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Website\Check Registers\"/>
    </mc:Choice>
  </mc:AlternateContent>
  <bookViews>
    <workbookView xWindow="0" yWindow="0" windowWidth="28800" windowHeight="13020"/>
  </bookViews>
  <sheets>
    <sheet name="DFin1800YtdCheckReg_csv_2018-08" sheetId="1" r:id="rId1"/>
  </sheets>
  <calcPr calcId="0"/>
</workbook>
</file>

<file path=xl/calcChain.xml><?xml version="1.0" encoding="utf-8"?>
<calcChain xmlns="http://schemas.openxmlformats.org/spreadsheetml/2006/main">
  <c r="B2" i="1" l="1"/>
  <c r="C2" i="1"/>
  <c r="M2" i="1"/>
  <c r="B3" i="1"/>
  <c r="C3" i="1"/>
  <c r="M3" i="1"/>
  <c r="B4" i="1"/>
  <c r="C4" i="1"/>
  <c r="M4" i="1"/>
  <c r="B5" i="1"/>
  <c r="C5" i="1"/>
  <c r="M5" i="1"/>
  <c r="B6" i="1"/>
  <c r="C6" i="1"/>
  <c r="M6" i="1"/>
  <c r="B7" i="1"/>
  <c r="C7" i="1"/>
  <c r="M7" i="1"/>
  <c r="B8" i="1"/>
  <c r="C8" i="1"/>
  <c r="M8" i="1"/>
  <c r="B9" i="1"/>
  <c r="C9" i="1"/>
  <c r="M9" i="1"/>
  <c r="B10" i="1"/>
  <c r="C10" i="1"/>
  <c r="M10" i="1"/>
  <c r="B11" i="1"/>
  <c r="C11" i="1"/>
  <c r="M11" i="1"/>
  <c r="B12" i="1"/>
  <c r="C12" i="1"/>
  <c r="M12" i="1"/>
  <c r="B13" i="1"/>
  <c r="C13" i="1"/>
  <c r="M13" i="1"/>
  <c r="B14" i="1"/>
  <c r="C14" i="1"/>
  <c r="M14" i="1"/>
  <c r="B15" i="1"/>
  <c r="C15" i="1"/>
  <c r="M15" i="1"/>
  <c r="B16" i="1"/>
  <c r="C16" i="1"/>
  <c r="M16" i="1"/>
  <c r="B17" i="1"/>
  <c r="C17" i="1"/>
  <c r="M17" i="1"/>
  <c r="B18" i="1"/>
  <c r="C18" i="1"/>
  <c r="M18" i="1"/>
  <c r="B19" i="1"/>
  <c r="C19" i="1"/>
  <c r="M19" i="1"/>
  <c r="B20" i="1"/>
  <c r="C20" i="1"/>
  <c r="M20" i="1"/>
  <c r="B21" i="1"/>
  <c r="C21" i="1"/>
  <c r="M21" i="1"/>
  <c r="B22" i="1"/>
  <c r="C22" i="1"/>
  <c r="M22" i="1"/>
  <c r="B23" i="1"/>
  <c r="C23" i="1"/>
  <c r="M23" i="1"/>
  <c r="B24" i="1"/>
  <c r="C24" i="1"/>
  <c r="M24" i="1"/>
  <c r="B25" i="1"/>
  <c r="C25" i="1"/>
  <c r="M25" i="1"/>
  <c r="B26" i="1"/>
  <c r="C26" i="1"/>
  <c r="M26" i="1"/>
  <c r="B27" i="1"/>
  <c r="C27" i="1"/>
  <c r="M27" i="1"/>
  <c r="B28" i="1"/>
  <c r="C28" i="1"/>
  <c r="M28" i="1"/>
  <c r="B29" i="1"/>
  <c r="C29" i="1"/>
  <c r="M29" i="1"/>
  <c r="B30" i="1"/>
  <c r="C30" i="1"/>
  <c r="M30" i="1"/>
  <c r="B31" i="1"/>
  <c r="C31" i="1"/>
  <c r="M31" i="1"/>
  <c r="B32" i="1"/>
  <c r="C32" i="1"/>
  <c r="M32" i="1"/>
  <c r="B33" i="1"/>
  <c r="C33" i="1"/>
  <c r="M33" i="1"/>
  <c r="B34" i="1"/>
  <c r="C34" i="1"/>
  <c r="M34" i="1"/>
  <c r="B35" i="1"/>
  <c r="C35" i="1"/>
  <c r="M35" i="1"/>
  <c r="B36" i="1"/>
  <c r="C36" i="1"/>
  <c r="M36" i="1"/>
  <c r="B37" i="1"/>
  <c r="C37" i="1"/>
  <c r="M37" i="1"/>
  <c r="B38" i="1"/>
  <c r="C38" i="1"/>
  <c r="M38" i="1"/>
  <c r="B39" i="1"/>
  <c r="C39" i="1"/>
  <c r="M39" i="1"/>
  <c r="B40" i="1"/>
  <c r="C40" i="1"/>
  <c r="M40" i="1"/>
  <c r="B41" i="1"/>
  <c r="C41" i="1"/>
  <c r="M41" i="1"/>
  <c r="B42" i="1"/>
  <c r="C42" i="1"/>
  <c r="M42" i="1"/>
  <c r="B43" i="1"/>
  <c r="C43" i="1"/>
  <c r="M43" i="1"/>
  <c r="B44" i="1"/>
  <c r="C44" i="1"/>
  <c r="M44" i="1"/>
  <c r="B45" i="1"/>
  <c r="C45" i="1"/>
  <c r="M45" i="1"/>
  <c r="B46" i="1"/>
  <c r="C46" i="1"/>
  <c r="M46" i="1"/>
  <c r="B47" i="1"/>
  <c r="C47" i="1"/>
  <c r="M47" i="1"/>
  <c r="B48" i="1"/>
  <c r="C48" i="1"/>
  <c r="M48" i="1"/>
  <c r="B49" i="1"/>
  <c r="C49" i="1"/>
  <c r="M49" i="1"/>
  <c r="B50" i="1"/>
  <c r="C50" i="1"/>
  <c r="M50" i="1"/>
  <c r="B51" i="1"/>
  <c r="C51" i="1"/>
  <c r="M51" i="1"/>
  <c r="B52" i="1"/>
  <c r="C52" i="1"/>
  <c r="M52" i="1"/>
  <c r="B53" i="1"/>
  <c r="C53" i="1"/>
  <c r="M53" i="1"/>
  <c r="B54" i="1"/>
  <c r="C54" i="1"/>
  <c r="M54" i="1"/>
  <c r="B55" i="1"/>
  <c r="C55" i="1"/>
  <c r="M55" i="1"/>
  <c r="B56" i="1"/>
  <c r="C56" i="1"/>
  <c r="M56" i="1"/>
  <c r="B57" i="1"/>
  <c r="C57" i="1"/>
  <c r="M57" i="1"/>
  <c r="B58" i="1"/>
  <c r="C58" i="1"/>
  <c r="M58" i="1"/>
  <c r="B59" i="1"/>
  <c r="C59" i="1"/>
  <c r="M59" i="1"/>
  <c r="B60" i="1"/>
  <c r="C60" i="1"/>
  <c r="M60" i="1"/>
  <c r="B61" i="1"/>
  <c r="C61" i="1"/>
  <c r="M61" i="1"/>
  <c r="B62" i="1"/>
  <c r="C62" i="1"/>
  <c r="M62" i="1"/>
  <c r="B63" i="1"/>
  <c r="C63" i="1"/>
  <c r="M63" i="1"/>
  <c r="B64" i="1"/>
  <c r="C64" i="1"/>
  <c r="M64" i="1"/>
  <c r="B65" i="1"/>
  <c r="C65" i="1"/>
  <c r="M65" i="1"/>
  <c r="B66" i="1"/>
  <c r="C66" i="1"/>
  <c r="M66" i="1"/>
  <c r="B67" i="1"/>
  <c r="C67" i="1"/>
  <c r="M67" i="1"/>
  <c r="B68" i="1"/>
  <c r="C68" i="1"/>
  <c r="M68" i="1"/>
  <c r="B69" i="1"/>
  <c r="C69" i="1"/>
  <c r="M69" i="1"/>
  <c r="B70" i="1"/>
  <c r="C70" i="1"/>
  <c r="M70" i="1"/>
  <c r="B71" i="1"/>
  <c r="C71" i="1"/>
  <c r="M71" i="1"/>
  <c r="B72" i="1"/>
  <c r="C72" i="1"/>
  <c r="M72" i="1"/>
  <c r="B73" i="1"/>
  <c r="C73" i="1"/>
  <c r="M73" i="1"/>
  <c r="B74" i="1"/>
  <c r="C74" i="1"/>
  <c r="M74" i="1"/>
  <c r="B75" i="1"/>
  <c r="C75" i="1"/>
  <c r="M75" i="1"/>
  <c r="B76" i="1"/>
  <c r="C76" i="1"/>
  <c r="M76" i="1"/>
  <c r="B77" i="1"/>
  <c r="C77" i="1"/>
  <c r="M77" i="1"/>
  <c r="B78" i="1"/>
  <c r="C78" i="1"/>
  <c r="M78" i="1"/>
  <c r="B79" i="1"/>
  <c r="C79" i="1"/>
  <c r="M79" i="1"/>
  <c r="B80" i="1"/>
  <c r="C80" i="1"/>
  <c r="M80" i="1"/>
  <c r="B81" i="1"/>
  <c r="C81" i="1"/>
  <c r="M81" i="1"/>
  <c r="B82" i="1"/>
  <c r="C82" i="1"/>
  <c r="M82" i="1"/>
  <c r="B83" i="1"/>
  <c r="C83" i="1"/>
  <c r="M83" i="1"/>
  <c r="B84" i="1"/>
  <c r="C84" i="1"/>
  <c r="M84" i="1"/>
  <c r="B85" i="1"/>
  <c r="C85" i="1"/>
  <c r="M85" i="1"/>
  <c r="B86" i="1"/>
  <c r="C86" i="1"/>
  <c r="M86" i="1"/>
  <c r="B87" i="1"/>
  <c r="C87" i="1"/>
  <c r="M87" i="1"/>
  <c r="B88" i="1"/>
  <c r="C88" i="1"/>
  <c r="M88" i="1"/>
  <c r="B89" i="1"/>
  <c r="C89" i="1"/>
  <c r="M89" i="1"/>
  <c r="B90" i="1"/>
  <c r="C90" i="1"/>
  <c r="M90" i="1"/>
  <c r="B91" i="1"/>
  <c r="C91" i="1"/>
  <c r="M91" i="1"/>
  <c r="B92" i="1"/>
  <c r="C92" i="1"/>
  <c r="M92" i="1"/>
  <c r="B93" i="1"/>
  <c r="C93" i="1"/>
  <c r="M93" i="1"/>
  <c r="B94" i="1"/>
  <c r="C94" i="1"/>
  <c r="M94" i="1"/>
  <c r="B95" i="1"/>
  <c r="C95" i="1"/>
  <c r="M95" i="1"/>
  <c r="B96" i="1"/>
  <c r="C96" i="1"/>
  <c r="M96" i="1"/>
  <c r="B97" i="1"/>
  <c r="C97" i="1"/>
  <c r="M97" i="1"/>
  <c r="B98" i="1"/>
  <c r="C98" i="1"/>
  <c r="M98" i="1"/>
  <c r="B99" i="1"/>
  <c r="C99" i="1"/>
  <c r="M99" i="1"/>
  <c r="B100" i="1"/>
  <c r="C100" i="1"/>
  <c r="M100" i="1"/>
  <c r="B101" i="1"/>
  <c r="C101" i="1"/>
  <c r="M101" i="1"/>
  <c r="B102" i="1"/>
  <c r="C102" i="1"/>
  <c r="M102" i="1"/>
  <c r="B103" i="1"/>
  <c r="C103" i="1"/>
  <c r="M103" i="1"/>
  <c r="B104" i="1"/>
  <c r="C104" i="1"/>
  <c r="M104" i="1"/>
  <c r="B105" i="1"/>
  <c r="C105" i="1"/>
  <c r="M105" i="1"/>
  <c r="B106" i="1"/>
  <c r="C106" i="1"/>
  <c r="M106" i="1"/>
  <c r="B107" i="1"/>
  <c r="C107" i="1"/>
  <c r="M107" i="1"/>
  <c r="B108" i="1"/>
  <c r="C108" i="1"/>
  <c r="M108" i="1"/>
  <c r="B109" i="1"/>
  <c r="C109" i="1"/>
  <c r="M109" i="1"/>
  <c r="B110" i="1"/>
  <c r="C110" i="1"/>
  <c r="M110" i="1"/>
  <c r="B111" i="1"/>
  <c r="C111" i="1"/>
  <c r="M111" i="1"/>
  <c r="B112" i="1"/>
  <c r="C112" i="1"/>
  <c r="M112" i="1"/>
  <c r="B113" i="1"/>
  <c r="C113" i="1"/>
  <c r="M113" i="1"/>
  <c r="B114" i="1"/>
  <c r="C114" i="1"/>
  <c r="M114" i="1"/>
  <c r="B115" i="1"/>
  <c r="C115" i="1"/>
  <c r="M115" i="1"/>
  <c r="B116" i="1"/>
  <c r="C116" i="1"/>
  <c r="M116" i="1"/>
  <c r="B117" i="1"/>
  <c r="C117" i="1"/>
  <c r="M117" i="1"/>
  <c r="B118" i="1"/>
  <c r="C118" i="1"/>
  <c r="M118" i="1"/>
  <c r="B119" i="1"/>
  <c r="C119" i="1"/>
  <c r="M119" i="1"/>
  <c r="B120" i="1"/>
  <c r="C120" i="1"/>
  <c r="M120" i="1"/>
  <c r="B121" i="1"/>
  <c r="C121" i="1"/>
  <c r="M121" i="1"/>
  <c r="B122" i="1"/>
  <c r="C122" i="1"/>
  <c r="M122" i="1"/>
  <c r="B123" i="1"/>
  <c r="C123" i="1"/>
  <c r="M123" i="1"/>
  <c r="B124" i="1"/>
  <c r="C124" i="1"/>
  <c r="M124" i="1"/>
  <c r="B125" i="1"/>
  <c r="C125" i="1"/>
  <c r="M125" i="1"/>
  <c r="B126" i="1"/>
  <c r="C126" i="1"/>
  <c r="M126" i="1"/>
  <c r="B127" i="1"/>
  <c r="C127" i="1"/>
  <c r="M127" i="1"/>
  <c r="B128" i="1"/>
  <c r="C128" i="1"/>
  <c r="M128" i="1"/>
  <c r="B129" i="1"/>
  <c r="C129" i="1"/>
  <c r="M129" i="1"/>
  <c r="B130" i="1"/>
  <c r="C130" i="1"/>
  <c r="M130" i="1"/>
  <c r="B131" i="1"/>
  <c r="C131" i="1"/>
  <c r="M131" i="1"/>
  <c r="B132" i="1"/>
  <c r="C132" i="1"/>
  <c r="M132" i="1"/>
  <c r="B133" i="1"/>
  <c r="C133" i="1"/>
  <c r="M133" i="1"/>
  <c r="B134" i="1"/>
  <c r="C134" i="1"/>
  <c r="M134" i="1"/>
  <c r="B135" i="1"/>
  <c r="C135" i="1"/>
  <c r="M135" i="1"/>
  <c r="B136" i="1"/>
  <c r="C136" i="1"/>
  <c r="M136" i="1"/>
  <c r="B137" i="1"/>
  <c r="C137" i="1"/>
  <c r="M137" i="1"/>
  <c r="B138" i="1"/>
  <c r="C138" i="1"/>
  <c r="M138" i="1"/>
  <c r="B139" i="1"/>
  <c r="C139" i="1"/>
  <c r="M139" i="1"/>
  <c r="B140" i="1"/>
  <c r="C140" i="1"/>
  <c r="M140" i="1"/>
  <c r="B141" i="1"/>
  <c r="C141" i="1"/>
  <c r="M141" i="1"/>
  <c r="B142" i="1"/>
  <c r="C142" i="1"/>
  <c r="M142" i="1"/>
  <c r="B143" i="1"/>
  <c r="C143" i="1"/>
  <c r="M143" i="1"/>
  <c r="B144" i="1"/>
  <c r="C144" i="1"/>
  <c r="M144" i="1"/>
  <c r="B145" i="1"/>
  <c r="C145" i="1"/>
  <c r="M145" i="1"/>
  <c r="B146" i="1"/>
  <c r="C146" i="1"/>
  <c r="M146" i="1"/>
  <c r="B147" i="1"/>
  <c r="C147" i="1"/>
  <c r="M147" i="1"/>
  <c r="B148" i="1"/>
  <c r="C148" i="1"/>
  <c r="M148" i="1"/>
  <c r="B149" i="1"/>
  <c r="C149" i="1"/>
  <c r="M149" i="1"/>
  <c r="B150" i="1"/>
  <c r="C150" i="1"/>
  <c r="M150" i="1"/>
  <c r="B151" i="1"/>
  <c r="C151" i="1"/>
  <c r="M151" i="1"/>
  <c r="B152" i="1"/>
  <c r="C152" i="1"/>
  <c r="M152" i="1"/>
  <c r="B153" i="1"/>
  <c r="C153" i="1"/>
  <c r="M153" i="1"/>
  <c r="B154" i="1"/>
  <c r="C154" i="1"/>
  <c r="M154" i="1"/>
  <c r="B155" i="1"/>
  <c r="C155" i="1"/>
  <c r="M155" i="1"/>
  <c r="B156" i="1"/>
  <c r="C156" i="1"/>
  <c r="M156" i="1"/>
  <c r="B157" i="1"/>
  <c r="C157" i="1"/>
  <c r="M157" i="1"/>
  <c r="B158" i="1"/>
  <c r="C158" i="1"/>
  <c r="M158" i="1"/>
  <c r="B159" i="1"/>
  <c r="C159" i="1"/>
  <c r="M159" i="1"/>
  <c r="B160" i="1"/>
  <c r="C160" i="1"/>
  <c r="M160" i="1"/>
  <c r="B161" i="1"/>
  <c r="C161" i="1"/>
  <c r="M161" i="1"/>
  <c r="B162" i="1"/>
  <c r="C162" i="1"/>
  <c r="M162" i="1"/>
  <c r="B163" i="1"/>
  <c r="C163" i="1"/>
  <c r="M163" i="1"/>
  <c r="B164" i="1"/>
  <c r="C164" i="1"/>
  <c r="M164" i="1"/>
  <c r="B165" i="1"/>
  <c r="C165" i="1"/>
  <c r="M165" i="1"/>
  <c r="B166" i="1"/>
  <c r="C166" i="1"/>
  <c r="M166" i="1"/>
  <c r="B167" i="1"/>
  <c r="C167" i="1"/>
  <c r="M167" i="1"/>
  <c r="B168" i="1"/>
  <c r="C168" i="1"/>
  <c r="M168" i="1"/>
  <c r="B169" i="1"/>
  <c r="C169" i="1"/>
  <c r="M169" i="1"/>
  <c r="B170" i="1"/>
  <c r="C170" i="1"/>
  <c r="M170" i="1"/>
  <c r="B171" i="1"/>
  <c r="C171" i="1"/>
  <c r="M171" i="1"/>
  <c r="B172" i="1"/>
  <c r="C172" i="1"/>
  <c r="M172" i="1"/>
  <c r="B173" i="1"/>
  <c r="C173" i="1"/>
  <c r="M173" i="1"/>
  <c r="B174" i="1"/>
  <c r="C174" i="1"/>
  <c r="M174" i="1"/>
  <c r="B175" i="1"/>
  <c r="C175" i="1"/>
  <c r="M175" i="1"/>
  <c r="B176" i="1"/>
  <c r="C176" i="1"/>
  <c r="M176" i="1"/>
  <c r="B177" i="1"/>
  <c r="C177" i="1"/>
  <c r="M177" i="1"/>
  <c r="B178" i="1"/>
  <c r="C178" i="1"/>
  <c r="M178" i="1"/>
  <c r="B179" i="1"/>
  <c r="C179" i="1"/>
  <c r="M179" i="1"/>
  <c r="B180" i="1"/>
  <c r="C180" i="1"/>
  <c r="M180" i="1"/>
  <c r="B181" i="1"/>
  <c r="C181" i="1"/>
  <c r="M181" i="1"/>
  <c r="B182" i="1"/>
  <c r="C182" i="1"/>
  <c r="M182" i="1"/>
  <c r="B183" i="1"/>
  <c r="C183" i="1"/>
  <c r="M183" i="1"/>
  <c r="B184" i="1"/>
  <c r="C184" i="1"/>
  <c r="M184" i="1"/>
  <c r="B185" i="1"/>
  <c r="C185" i="1"/>
  <c r="M185" i="1"/>
  <c r="B186" i="1"/>
  <c r="C186" i="1"/>
  <c r="M186" i="1"/>
  <c r="B187" i="1"/>
  <c r="C187" i="1"/>
  <c r="M187" i="1"/>
  <c r="B188" i="1"/>
  <c r="C188" i="1"/>
  <c r="M188" i="1"/>
  <c r="B189" i="1"/>
  <c r="C189" i="1"/>
  <c r="M189" i="1"/>
  <c r="B190" i="1"/>
  <c r="C190" i="1"/>
  <c r="M190" i="1"/>
  <c r="B191" i="1"/>
  <c r="C191" i="1"/>
  <c r="M191" i="1"/>
  <c r="B192" i="1"/>
  <c r="C192" i="1"/>
  <c r="M192" i="1"/>
  <c r="B193" i="1"/>
  <c r="C193" i="1"/>
  <c r="M193" i="1"/>
  <c r="B194" i="1"/>
  <c r="C194" i="1"/>
  <c r="M194" i="1"/>
  <c r="B195" i="1"/>
  <c r="C195" i="1"/>
  <c r="M195" i="1"/>
  <c r="B196" i="1"/>
  <c r="C196" i="1"/>
  <c r="M196" i="1"/>
  <c r="B197" i="1"/>
  <c r="C197" i="1"/>
  <c r="M197" i="1"/>
  <c r="B198" i="1"/>
  <c r="C198" i="1"/>
  <c r="M198" i="1"/>
  <c r="B199" i="1"/>
  <c r="C199" i="1"/>
  <c r="M199" i="1"/>
  <c r="B200" i="1"/>
  <c r="C200" i="1"/>
  <c r="M200" i="1"/>
  <c r="B201" i="1"/>
  <c r="C201" i="1"/>
  <c r="M201" i="1"/>
  <c r="B202" i="1"/>
  <c r="C202" i="1"/>
  <c r="M202" i="1"/>
  <c r="B203" i="1"/>
  <c r="C203" i="1"/>
  <c r="M203" i="1"/>
  <c r="B204" i="1"/>
  <c r="C204" i="1"/>
  <c r="M204" i="1"/>
  <c r="B205" i="1"/>
  <c r="C205" i="1"/>
  <c r="M205" i="1"/>
  <c r="B206" i="1"/>
  <c r="C206" i="1"/>
  <c r="M206" i="1"/>
  <c r="B207" i="1"/>
  <c r="C207" i="1"/>
  <c r="M207" i="1"/>
  <c r="B208" i="1"/>
  <c r="C208" i="1"/>
  <c r="M208" i="1"/>
  <c r="B209" i="1"/>
  <c r="C209" i="1"/>
  <c r="M209" i="1"/>
  <c r="B210" i="1"/>
  <c r="C210" i="1"/>
  <c r="M210" i="1"/>
  <c r="B211" i="1"/>
  <c r="C211" i="1"/>
  <c r="M211" i="1"/>
  <c r="B212" i="1"/>
  <c r="C212" i="1"/>
  <c r="M212" i="1"/>
  <c r="B213" i="1"/>
  <c r="C213" i="1"/>
  <c r="M213" i="1"/>
  <c r="B214" i="1"/>
  <c r="C214" i="1"/>
  <c r="M214" i="1"/>
  <c r="B215" i="1"/>
  <c r="C215" i="1"/>
  <c r="M215" i="1"/>
  <c r="B216" i="1"/>
  <c r="C216" i="1"/>
  <c r="M216" i="1"/>
  <c r="B217" i="1"/>
  <c r="C217" i="1"/>
  <c r="M217" i="1"/>
  <c r="B218" i="1"/>
  <c r="C218" i="1"/>
  <c r="M218" i="1"/>
  <c r="B219" i="1"/>
  <c r="C219" i="1"/>
  <c r="M219" i="1"/>
  <c r="B220" i="1"/>
  <c r="C220" i="1"/>
  <c r="M220" i="1"/>
  <c r="B221" i="1"/>
  <c r="C221" i="1"/>
  <c r="M221" i="1"/>
  <c r="B222" i="1"/>
  <c r="C222" i="1"/>
  <c r="M222" i="1"/>
  <c r="B223" i="1"/>
  <c r="C223" i="1"/>
  <c r="M223" i="1"/>
  <c r="B224" i="1"/>
  <c r="C224" i="1"/>
  <c r="M224" i="1"/>
  <c r="B225" i="1"/>
  <c r="C225" i="1"/>
  <c r="M225" i="1"/>
  <c r="B226" i="1"/>
  <c r="C226" i="1"/>
  <c r="M226" i="1"/>
  <c r="B227" i="1"/>
  <c r="C227" i="1"/>
  <c r="M227" i="1"/>
  <c r="B228" i="1"/>
  <c r="C228" i="1"/>
  <c r="M228" i="1"/>
  <c r="B229" i="1"/>
  <c r="C229" i="1"/>
  <c r="M229" i="1"/>
  <c r="B230" i="1"/>
  <c r="C230" i="1"/>
  <c r="M230" i="1"/>
  <c r="B231" i="1"/>
  <c r="C231" i="1"/>
  <c r="M231" i="1"/>
  <c r="B232" i="1"/>
  <c r="C232" i="1"/>
  <c r="M232" i="1"/>
  <c r="B233" i="1"/>
  <c r="C233" i="1"/>
  <c r="M233" i="1"/>
  <c r="B234" i="1"/>
  <c r="C234" i="1"/>
  <c r="M234" i="1"/>
  <c r="B235" i="1"/>
  <c r="C235" i="1"/>
  <c r="M235" i="1"/>
  <c r="B236" i="1"/>
  <c r="C236" i="1"/>
  <c r="M236" i="1"/>
  <c r="B237" i="1"/>
  <c r="C237" i="1"/>
  <c r="M237" i="1"/>
  <c r="B238" i="1"/>
  <c r="C238" i="1"/>
  <c r="M238" i="1"/>
  <c r="B239" i="1"/>
  <c r="C239" i="1"/>
  <c r="M239" i="1"/>
  <c r="B240" i="1"/>
  <c r="C240" i="1"/>
  <c r="M240" i="1"/>
  <c r="B241" i="1"/>
  <c r="C241" i="1"/>
  <c r="M241" i="1"/>
  <c r="B242" i="1"/>
  <c r="C242" i="1"/>
  <c r="M242" i="1"/>
  <c r="B243" i="1"/>
  <c r="C243" i="1"/>
  <c r="M243" i="1"/>
  <c r="B244" i="1"/>
  <c r="C244" i="1"/>
  <c r="M244" i="1"/>
  <c r="B245" i="1"/>
  <c r="C245" i="1"/>
  <c r="M245" i="1"/>
  <c r="B246" i="1"/>
  <c r="C246" i="1"/>
  <c r="M246" i="1"/>
  <c r="B247" i="1"/>
  <c r="C247" i="1"/>
  <c r="M247" i="1"/>
  <c r="B248" i="1"/>
  <c r="C248" i="1"/>
  <c r="M248" i="1"/>
  <c r="B249" i="1"/>
  <c r="C249" i="1"/>
  <c r="M249" i="1"/>
  <c r="B250" i="1"/>
  <c r="C250" i="1"/>
  <c r="M250" i="1"/>
  <c r="B251" i="1"/>
  <c r="C251" i="1"/>
  <c r="M251" i="1"/>
  <c r="B252" i="1"/>
  <c r="C252" i="1"/>
  <c r="M252" i="1"/>
  <c r="B253" i="1"/>
  <c r="C253" i="1"/>
  <c r="M253" i="1"/>
  <c r="B254" i="1"/>
  <c r="C254" i="1"/>
  <c r="M254" i="1"/>
  <c r="B255" i="1"/>
  <c r="C255" i="1"/>
  <c r="M255" i="1"/>
  <c r="B256" i="1"/>
  <c r="C256" i="1"/>
  <c r="M256" i="1"/>
  <c r="B257" i="1"/>
  <c r="C257" i="1"/>
  <c r="M257" i="1"/>
  <c r="B258" i="1"/>
  <c r="C258" i="1"/>
  <c r="M258" i="1"/>
  <c r="B259" i="1"/>
  <c r="C259" i="1"/>
  <c r="M259" i="1"/>
  <c r="B260" i="1"/>
  <c r="C260" i="1"/>
  <c r="M260" i="1"/>
  <c r="B261" i="1"/>
  <c r="C261" i="1"/>
  <c r="M261" i="1"/>
  <c r="B262" i="1"/>
  <c r="C262" i="1"/>
  <c r="M262" i="1"/>
  <c r="B263" i="1"/>
  <c r="C263" i="1"/>
  <c r="M263" i="1"/>
  <c r="B264" i="1"/>
  <c r="C264" i="1"/>
  <c r="M264" i="1"/>
  <c r="B265" i="1"/>
  <c r="C265" i="1"/>
  <c r="M265" i="1"/>
  <c r="B266" i="1"/>
  <c r="C266" i="1"/>
  <c r="M266" i="1"/>
  <c r="B267" i="1"/>
  <c r="C267" i="1"/>
  <c r="M267" i="1"/>
  <c r="B268" i="1"/>
  <c r="C268" i="1"/>
  <c r="M268" i="1"/>
  <c r="B269" i="1"/>
  <c r="C269" i="1"/>
  <c r="M269" i="1"/>
  <c r="B270" i="1"/>
  <c r="C270" i="1"/>
  <c r="M270" i="1"/>
  <c r="B271" i="1"/>
  <c r="C271" i="1"/>
  <c r="M271" i="1"/>
  <c r="B272" i="1"/>
  <c r="C272" i="1"/>
  <c r="M272" i="1"/>
  <c r="B273" i="1"/>
  <c r="C273" i="1"/>
  <c r="M273" i="1"/>
  <c r="B274" i="1"/>
  <c r="C274" i="1"/>
  <c r="M274" i="1"/>
  <c r="B275" i="1"/>
  <c r="C275" i="1"/>
  <c r="M275" i="1"/>
  <c r="B276" i="1"/>
  <c r="C276" i="1"/>
  <c r="M276" i="1"/>
  <c r="B277" i="1"/>
  <c r="C277" i="1"/>
  <c r="M277" i="1"/>
  <c r="B278" i="1"/>
  <c r="C278" i="1"/>
  <c r="M278" i="1"/>
  <c r="B279" i="1"/>
  <c r="C279" i="1"/>
  <c r="M279" i="1"/>
  <c r="B280" i="1"/>
  <c r="C280" i="1"/>
  <c r="M280" i="1"/>
  <c r="B281" i="1"/>
  <c r="C281" i="1"/>
  <c r="M281" i="1"/>
  <c r="B282" i="1"/>
  <c r="C282" i="1"/>
  <c r="M282" i="1"/>
  <c r="B283" i="1"/>
  <c r="C283" i="1"/>
  <c r="M283" i="1"/>
  <c r="B284" i="1"/>
  <c r="C284" i="1"/>
  <c r="M284" i="1"/>
  <c r="B285" i="1"/>
  <c r="C285" i="1"/>
  <c r="M285" i="1"/>
  <c r="B286" i="1"/>
  <c r="C286" i="1"/>
  <c r="M286" i="1"/>
  <c r="B287" i="1"/>
  <c r="C287" i="1"/>
  <c r="M287" i="1"/>
  <c r="B288" i="1"/>
  <c r="C288" i="1"/>
  <c r="M288" i="1"/>
  <c r="B289" i="1"/>
  <c r="C289" i="1"/>
  <c r="M289" i="1"/>
  <c r="B290" i="1"/>
  <c r="C290" i="1"/>
  <c r="M290" i="1"/>
  <c r="B291" i="1"/>
  <c r="C291" i="1"/>
  <c r="M291" i="1"/>
  <c r="B292" i="1"/>
  <c r="C292" i="1"/>
  <c r="M292" i="1"/>
  <c r="B293" i="1"/>
  <c r="C293" i="1"/>
  <c r="M293" i="1"/>
  <c r="B294" i="1"/>
  <c r="C294" i="1"/>
  <c r="M294" i="1"/>
  <c r="B295" i="1"/>
  <c r="C295" i="1"/>
  <c r="M295" i="1"/>
  <c r="B296" i="1"/>
  <c r="C296" i="1"/>
  <c r="M296" i="1"/>
  <c r="B297" i="1"/>
  <c r="C297" i="1"/>
  <c r="M297" i="1"/>
  <c r="B298" i="1"/>
  <c r="C298" i="1"/>
  <c r="M298" i="1"/>
  <c r="B299" i="1"/>
  <c r="C299" i="1"/>
  <c r="M299" i="1"/>
  <c r="B300" i="1"/>
  <c r="C300" i="1"/>
  <c r="M300" i="1"/>
  <c r="B301" i="1"/>
  <c r="C301" i="1"/>
  <c r="M301" i="1"/>
  <c r="B302" i="1"/>
  <c r="C302" i="1"/>
  <c r="M302" i="1"/>
  <c r="B303" i="1"/>
  <c r="C303" i="1"/>
  <c r="M303" i="1"/>
  <c r="B304" i="1"/>
  <c r="C304" i="1"/>
  <c r="M304" i="1"/>
  <c r="B305" i="1"/>
  <c r="C305" i="1"/>
  <c r="M305" i="1"/>
  <c r="B306" i="1"/>
  <c r="C306" i="1"/>
  <c r="M306" i="1"/>
  <c r="B307" i="1"/>
  <c r="C307" i="1"/>
  <c r="M307" i="1"/>
  <c r="B308" i="1"/>
  <c r="C308" i="1"/>
  <c r="M308" i="1"/>
  <c r="B309" i="1"/>
  <c r="C309" i="1"/>
  <c r="M309" i="1"/>
  <c r="B310" i="1"/>
  <c r="C310" i="1"/>
  <c r="M310" i="1"/>
  <c r="B311" i="1"/>
  <c r="C311" i="1"/>
  <c r="M311" i="1"/>
  <c r="B312" i="1"/>
  <c r="C312" i="1"/>
  <c r="M312" i="1"/>
  <c r="B313" i="1"/>
  <c r="C313" i="1"/>
  <c r="M313" i="1"/>
  <c r="B314" i="1"/>
  <c r="C314" i="1"/>
  <c r="M314" i="1"/>
  <c r="B315" i="1"/>
  <c r="C315" i="1"/>
  <c r="M315" i="1"/>
  <c r="B316" i="1"/>
  <c r="C316" i="1"/>
  <c r="M316" i="1"/>
  <c r="B317" i="1"/>
  <c r="C317" i="1"/>
  <c r="M317" i="1"/>
  <c r="B318" i="1"/>
  <c r="C318" i="1"/>
  <c r="M318" i="1"/>
  <c r="B319" i="1"/>
  <c r="C319" i="1"/>
  <c r="M319" i="1"/>
  <c r="B320" i="1"/>
  <c r="C320" i="1"/>
  <c r="M320" i="1"/>
  <c r="B321" i="1"/>
  <c r="C321" i="1"/>
  <c r="M321" i="1"/>
  <c r="B322" i="1"/>
  <c r="C322" i="1"/>
  <c r="M322" i="1"/>
  <c r="B323" i="1"/>
  <c r="C323" i="1"/>
  <c r="M323" i="1"/>
  <c r="B324" i="1"/>
  <c r="C324" i="1"/>
  <c r="M324" i="1"/>
  <c r="B325" i="1"/>
  <c r="C325" i="1"/>
  <c r="M325" i="1"/>
  <c r="B326" i="1"/>
  <c r="C326" i="1"/>
  <c r="M326" i="1"/>
  <c r="B327" i="1"/>
  <c r="C327" i="1"/>
  <c r="M327" i="1"/>
  <c r="B328" i="1"/>
  <c r="C328" i="1"/>
  <c r="M328" i="1"/>
  <c r="B329" i="1"/>
  <c r="C329" i="1"/>
  <c r="M329" i="1"/>
  <c r="B330" i="1"/>
  <c r="C330" i="1"/>
  <c r="M330" i="1"/>
  <c r="B331" i="1"/>
  <c r="C331" i="1"/>
  <c r="M331" i="1"/>
  <c r="B332" i="1"/>
  <c r="C332" i="1"/>
  <c r="M332" i="1"/>
  <c r="B333" i="1"/>
  <c r="C333" i="1"/>
  <c r="M333" i="1"/>
  <c r="B334" i="1"/>
  <c r="C334" i="1"/>
  <c r="M334" i="1"/>
  <c r="B335" i="1"/>
  <c r="C335" i="1"/>
  <c r="M335" i="1"/>
  <c r="B336" i="1"/>
  <c r="C336" i="1"/>
  <c r="M336" i="1"/>
  <c r="B337" i="1"/>
  <c r="C337" i="1"/>
  <c r="M337" i="1"/>
  <c r="B338" i="1"/>
  <c r="C338" i="1"/>
  <c r="M338" i="1"/>
  <c r="B339" i="1"/>
  <c r="C339" i="1"/>
  <c r="M339" i="1"/>
  <c r="B340" i="1"/>
  <c r="C340" i="1"/>
  <c r="M340" i="1"/>
  <c r="B341" i="1"/>
  <c r="C341" i="1"/>
  <c r="M341" i="1"/>
  <c r="B342" i="1"/>
  <c r="C342" i="1"/>
  <c r="M342" i="1"/>
  <c r="B343" i="1"/>
  <c r="C343" i="1"/>
  <c r="M343" i="1"/>
  <c r="B344" i="1"/>
  <c r="C344" i="1"/>
  <c r="M344" i="1"/>
  <c r="B345" i="1"/>
  <c r="C345" i="1"/>
  <c r="M345" i="1"/>
  <c r="B346" i="1"/>
  <c r="C346" i="1"/>
  <c r="M346" i="1"/>
  <c r="B347" i="1"/>
  <c r="C347" i="1"/>
  <c r="M347" i="1"/>
  <c r="B348" i="1"/>
  <c r="C348" i="1"/>
  <c r="M348" i="1"/>
  <c r="B349" i="1"/>
  <c r="C349" i="1"/>
  <c r="M349" i="1"/>
  <c r="B350" i="1"/>
  <c r="C350" i="1"/>
  <c r="M350" i="1"/>
  <c r="B351" i="1"/>
  <c r="C351" i="1"/>
  <c r="M351" i="1"/>
  <c r="B352" i="1"/>
  <c r="C352" i="1"/>
  <c r="M352" i="1"/>
  <c r="B353" i="1"/>
  <c r="C353" i="1"/>
  <c r="M353" i="1"/>
  <c r="B354" i="1"/>
  <c r="C354" i="1"/>
  <c r="M354" i="1"/>
  <c r="B355" i="1"/>
  <c r="C355" i="1"/>
  <c r="M355" i="1"/>
  <c r="B356" i="1"/>
  <c r="C356" i="1"/>
  <c r="M356" i="1"/>
  <c r="B357" i="1"/>
  <c r="C357" i="1"/>
  <c r="M357" i="1"/>
  <c r="B358" i="1"/>
  <c r="C358" i="1"/>
  <c r="M358" i="1"/>
  <c r="B359" i="1"/>
  <c r="C359" i="1"/>
  <c r="M359" i="1"/>
  <c r="B360" i="1"/>
  <c r="C360" i="1"/>
  <c r="M360" i="1"/>
  <c r="B361" i="1"/>
  <c r="C361" i="1"/>
  <c r="M361" i="1"/>
  <c r="B362" i="1"/>
  <c r="C362" i="1"/>
  <c r="M362" i="1"/>
  <c r="B363" i="1"/>
  <c r="C363" i="1"/>
  <c r="M363" i="1"/>
  <c r="B364" i="1"/>
  <c r="C364" i="1"/>
  <c r="M364" i="1"/>
  <c r="B365" i="1"/>
  <c r="C365" i="1"/>
  <c r="M365" i="1"/>
  <c r="B366" i="1"/>
  <c r="C366" i="1"/>
  <c r="M366" i="1"/>
  <c r="B367" i="1"/>
  <c r="C367" i="1"/>
  <c r="M367" i="1"/>
  <c r="B368" i="1"/>
  <c r="C368" i="1"/>
  <c r="M368" i="1"/>
  <c r="B369" i="1"/>
  <c r="C369" i="1"/>
  <c r="M369" i="1"/>
  <c r="B370" i="1"/>
  <c r="C370" i="1"/>
  <c r="M370" i="1"/>
  <c r="B371" i="1"/>
  <c r="C371" i="1"/>
  <c r="M371" i="1"/>
  <c r="B372" i="1"/>
  <c r="C372" i="1"/>
  <c r="M372" i="1"/>
  <c r="B373" i="1"/>
  <c r="C373" i="1"/>
  <c r="M373" i="1"/>
  <c r="B374" i="1"/>
  <c r="C374" i="1"/>
  <c r="M374" i="1"/>
  <c r="B375" i="1"/>
  <c r="C375" i="1"/>
  <c r="M375" i="1"/>
  <c r="B376" i="1"/>
  <c r="C376" i="1"/>
  <c r="M376" i="1"/>
  <c r="B377" i="1"/>
  <c r="C377" i="1"/>
  <c r="M377" i="1"/>
  <c r="B378" i="1"/>
  <c r="C378" i="1"/>
  <c r="M378" i="1"/>
  <c r="B379" i="1"/>
  <c r="C379" i="1"/>
  <c r="M379" i="1"/>
  <c r="B380" i="1"/>
  <c r="C380" i="1"/>
  <c r="M380" i="1"/>
  <c r="B381" i="1"/>
  <c r="C381" i="1"/>
  <c r="M381" i="1"/>
  <c r="B382" i="1"/>
  <c r="C382" i="1"/>
  <c r="M382" i="1"/>
  <c r="B383" i="1"/>
  <c r="C383" i="1"/>
  <c r="M383" i="1"/>
  <c r="B384" i="1"/>
  <c r="C384" i="1"/>
  <c r="M384" i="1"/>
  <c r="B385" i="1"/>
  <c r="C385" i="1"/>
  <c r="M385" i="1"/>
  <c r="B386" i="1"/>
  <c r="C386" i="1"/>
  <c r="M386" i="1"/>
  <c r="B387" i="1"/>
  <c r="C387" i="1"/>
  <c r="M387" i="1"/>
  <c r="B388" i="1"/>
  <c r="C388" i="1"/>
  <c r="M388" i="1"/>
  <c r="B389" i="1"/>
  <c r="C389" i="1"/>
  <c r="M389" i="1"/>
  <c r="B390" i="1"/>
  <c r="C390" i="1"/>
  <c r="M390" i="1"/>
  <c r="B391" i="1"/>
  <c r="C391" i="1"/>
  <c r="M391" i="1"/>
  <c r="B392" i="1"/>
  <c r="C392" i="1"/>
  <c r="M392" i="1"/>
  <c r="B393" i="1"/>
  <c r="C393" i="1"/>
  <c r="M393" i="1"/>
  <c r="B394" i="1"/>
  <c r="C394" i="1"/>
  <c r="M394" i="1"/>
  <c r="B395" i="1"/>
  <c r="C395" i="1"/>
  <c r="M395" i="1"/>
  <c r="B396" i="1"/>
  <c r="C396" i="1"/>
  <c r="M396" i="1"/>
  <c r="B397" i="1"/>
  <c r="C397" i="1"/>
  <c r="M397" i="1"/>
  <c r="B398" i="1"/>
  <c r="C398" i="1"/>
  <c r="M398" i="1"/>
  <c r="B399" i="1"/>
  <c r="C399" i="1"/>
  <c r="M399" i="1"/>
  <c r="B400" i="1"/>
  <c r="C400" i="1"/>
  <c r="M400" i="1"/>
  <c r="B401" i="1"/>
  <c r="C401" i="1"/>
  <c r="M401" i="1"/>
  <c r="B402" i="1"/>
  <c r="C402" i="1"/>
  <c r="M402" i="1"/>
  <c r="B403" i="1"/>
  <c r="C403" i="1"/>
  <c r="M403" i="1"/>
  <c r="B404" i="1"/>
  <c r="C404" i="1"/>
  <c r="M404" i="1"/>
  <c r="B405" i="1"/>
  <c r="C405" i="1"/>
  <c r="M405" i="1"/>
  <c r="B406" i="1"/>
  <c r="C406" i="1"/>
  <c r="M406" i="1"/>
  <c r="B407" i="1"/>
  <c r="C407" i="1"/>
  <c r="M407" i="1"/>
  <c r="B408" i="1"/>
  <c r="C408" i="1"/>
  <c r="M408" i="1"/>
  <c r="B409" i="1"/>
  <c r="C409" i="1"/>
  <c r="M409" i="1"/>
  <c r="B410" i="1"/>
  <c r="C410" i="1"/>
  <c r="M410" i="1"/>
  <c r="B411" i="1"/>
  <c r="C411" i="1"/>
  <c r="M411" i="1"/>
  <c r="B412" i="1"/>
  <c r="C412" i="1"/>
  <c r="M412" i="1"/>
  <c r="B413" i="1"/>
  <c r="C413" i="1"/>
  <c r="M413" i="1"/>
  <c r="B414" i="1"/>
  <c r="C414" i="1"/>
  <c r="M414" i="1"/>
  <c r="B415" i="1"/>
  <c r="C415" i="1"/>
  <c r="M415" i="1"/>
  <c r="B416" i="1"/>
  <c r="C416" i="1"/>
  <c r="M416" i="1"/>
  <c r="B417" i="1"/>
  <c r="C417" i="1"/>
  <c r="M417" i="1"/>
  <c r="B418" i="1"/>
  <c r="C418" i="1"/>
  <c r="M418" i="1"/>
  <c r="B419" i="1"/>
  <c r="C419" i="1"/>
  <c r="M419" i="1"/>
  <c r="B420" i="1"/>
  <c r="C420" i="1"/>
  <c r="M420" i="1"/>
  <c r="B421" i="1"/>
  <c r="C421" i="1"/>
  <c r="M421" i="1"/>
  <c r="B422" i="1"/>
  <c r="C422" i="1"/>
  <c r="M422" i="1"/>
  <c r="B423" i="1"/>
  <c r="C423" i="1"/>
  <c r="M423" i="1"/>
  <c r="B424" i="1"/>
  <c r="C424" i="1"/>
  <c r="M424" i="1"/>
  <c r="B425" i="1"/>
  <c r="C425" i="1"/>
  <c r="M425" i="1"/>
  <c r="B426" i="1"/>
  <c r="C426" i="1"/>
  <c r="M426" i="1"/>
  <c r="B427" i="1"/>
  <c r="C427" i="1"/>
  <c r="M427" i="1"/>
  <c r="B428" i="1"/>
  <c r="C428" i="1"/>
  <c r="M428" i="1"/>
  <c r="B429" i="1"/>
  <c r="C429" i="1"/>
  <c r="M429" i="1"/>
  <c r="B430" i="1"/>
  <c r="C430" i="1"/>
  <c r="M430" i="1"/>
  <c r="B431" i="1"/>
  <c r="C431" i="1"/>
  <c r="M431" i="1"/>
  <c r="B432" i="1"/>
  <c r="C432" i="1"/>
  <c r="M432" i="1"/>
  <c r="B433" i="1"/>
  <c r="C433" i="1"/>
  <c r="M433" i="1"/>
  <c r="B434" i="1"/>
  <c r="C434" i="1"/>
  <c r="M434" i="1"/>
  <c r="B435" i="1"/>
  <c r="C435" i="1"/>
  <c r="M435" i="1"/>
  <c r="B436" i="1"/>
  <c r="C436" i="1"/>
  <c r="M436" i="1"/>
  <c r="B437" i="1"/>
  <c r="C437" i="1"/>
  <c r="M437" i="1"/>
  <c r="B438" i="1"/>
  <c r="C438" i="1"/>
  <c r="M438" i="1"/>
  <c r="B439" i="1"/>
  <c r="C439" i="1"/>
  <c r="M439" i="1"/>
  <c r="B440" i="1"/>
  <c r="C440" i="1"/>
  <c r="M440" i="1"/>
  <c r="B441" i="1"/>
  <c r="C441" i="1"/>
  <c r="M441" i="1"/>
  <c r="B442" i="1"/>
  <c r="C442" i="1"/>
  <c r="M442" i="1"/>
  <c r="B443" i="1"/>
  <c r="C443" i="1"/>
  <c r="M443" i="1"/>
  <c r="B444" i="1"/>
  <c r="C444" i="1"/>
  <c r="M444" i="1"/>
  <c r="B445" i="1"/>
  <c r="C445" i="1"/>
  <c r="M445" i="1"/>
  <c r="B446" i="1"/>
  <c r="C446" i="1"/>
  <c r="M446" i="1"/>
  <c r="B447" i="1"/>
  <c r="C447" i="1"/>
  <c r="M447" i="1"/>
  <c r="B448" i="1"/>
  <c r="C448" i="1"/>
  <c r="M448" i="1"/>
  <c r="B449" i="1"/>
  <c r="C449" i="1"/>
  <c r="M449" i="1"/>
  <c r="B450" i="1"/>
  <c r="C450" i="1"/>
  <c r="M450" i="1"/>
  <c r="B451" i="1"/>
  <c r="C451" i="1"/>
  <c r="M451" i="1"/>
  <c r="B452" i="1"/>
  <c r="C452" i="1"/>
  <c r="M452" i="1"/>
  <c r="B453" i="1"/>
  <c r="C453" i="1"/>
  <c r="M453" i="1"/>
  <c r="B454" i="1"/>
  <c r="C454" i="1"/>
  <c r="M454" i="1"/>
  <c r="B455" i="1"/>
  <c r="C455" i="1"/>
  <c r="M455" i="1"/>
  <c r="B456" i="1"/>
  <c r="C456" i="1"/>
  <c r="M456" i="1"/>
  <c r="B457" i="1"/>
  <c r="C457" i="1"/>
  <c r="M457" i="1"/>
  <c r="B458" i="1"/>
  <c r="C458" i="1"/>
  <c r="M458" i="1"/>
  <c r="B459" i="1"/>
  <c r="C459" i="1"/>
  <c r="M459" i="1"/>
  <c r="B460" i="1"/>
  <c r="C460" i="1"/>
  <c r="M460" i="1"/>
  <c r="B461" i="1"/>
  <c r="C461" i="1"/>
  <c r="M461" i="1"/>
  <c r="B462" i="1"/>
  <c r="C462" i="1"/>
  <c r="M462" i="1"/>
  <c r="B463" i="1"/>
  <c r="C463" i="1"/>
  <c r="M463" i="1"/>
  <c r="B464" i="1"/>
  <c r="C464" i="1"/>
  <c r="M464" i="1"/>
  <c r="B465" i="1"/>
  <c r="C465" i="1"/>
  <c r="M465" i="1"/>
  <c r="B466" i="1"/>
  <c r="C466" i="1"/>
  <c r="M466" i="1"/>
  <c r="B467" i="1"/>
  <c r="C467" i="1"/>
  <c r="M467" i="1"/>
  <c r="B468" i="1"/>
  <c r="C468" i="1"/>
  <c r="M468" i="1"/>
  <c r="B469" i="1"/>
  <c r="C469" i="1"/>
  <c r="M469" i="1"/>
  <c r="B470" i="1"/>
  <c r="C470" i="1"/>
  <c r="M470" i="1"/>
  <c r="B471" i="1"/>
  <c r="C471" i="1"/>
  <c r="M471" i="1"/>
  <c r="B472" i="1"/>
  <c r="C472" i="1"/>
  <c r="M472" i="1"/>
  <c r="B473" i="1"/>
  <c r="C473" i="1"/>
  <c r="M473" i="1"/>
  <c r="B474" i="1"/>
  <c r="C474" i="1"/>
  <c r="M474" i="1"/>
  <c r="B475" i="1"/>
  <c r="C475" i="1"/>
  <c r="M475" i="1"/>
  <c r="B476" i="1"/>
  <c r="C476" i="1"/>
  <c r="M476" i="1"/>
  <c r="B477" i="1"/>
  <c r="C477" i="1"/>
  <c r="M477" i="1"/>
  <c r="B478" i="1"/>
  <c r="C478" i="1"/>
  <c r="M478" i="1"/>
  <c r="B479" i="1"/>
  <c r="C479" i="1"/>
  <c r="M479" i="1"/>
  <c r="B480" i="1"/>
  <c r="C480" i="1"/>
  <c r="M480" i="1"/>
  <c r="B481" i="1"/>
  <c r="C481" i="1"/>
  <c r="M481" i="1"/>
  <c r="B482" i="1"/>
  <c r="C482" i="1"/>
  <c r="M482" i="1"/>
  <c r="B483" i="1"/>
  <c r="C483" i="1"/>
  <c r="M483" i="1"/>
  <c r="B484" i="1"/>
  <c r="C484" i="1"/>
  <c r="M484" i="1"/>
  <c r="B485" i="1"/>
  <c r="C485" i="1"/>
  <c r="M485" i="1"/>
  <c r="B486" i="1"/>
  <c r="C486" i="1"/>
  <c r="M486" i="1"/>
  <c r="B487" i="1"/>
  <c r="C487" i="1"/>
  <c r="M487" i="1"/>
  <c r="B488" i="1"/>
  <c r="C488" i="1"/>
  <c r="M488" i="1"/>
  <c r="B489" i="1"/>
  <c r="C489" i="1"/>
  <c r="M489" i="1"/>
  <c r="B490" i="1"/>
  <c r="C490" i="1"/>
  <c r="M490" i="1"/>
  <c r="B491" i="1"/>
  <c r="C491" i="1"/>
  <c r="M491" i="1"/>
  <c r="B492" i="1"/>
  <c r="C492" i="1"/>
  <c r="M492" i="1"/>
  <c r="B493" i="1"/>
  <c r="C493" i="1"/>
  <c r="M493" i="1"/>
  <c r="B494" i="1"/>
  <c r="C494" i="1"/>
  <c r="M494" i="1"/>
  <c r="B495" i="1"/>
  <c r="C495" i="1"/>
  <c r="M495" i="1"/>
  <c r="B496" i="1"/>
  <c r="C496" i="1"/>
  <c r="M496" i="1"/>
  <c r="B497" i="1"/>
  <c r="C497" i="1"/>
  <c r="M497" i="1"/>
  <c r="B498" i="1"/>
  <c r="C498" i="1"/>
  <c r="M498" i="1"/>
  <c r="B499" i="1"/>
  <c r="C499" i="1"/>
  <c r="M499" i="1"/>
  <c r="B500" i="1"/>
  <c r="C500" i="1"/>
  <c r="M500" i="1"/>
  <c r="B501" i="1"/>
  <c r="C501" i="1"/>
  <c r="M501" i="1"/>
  <c r="B502" i="1"/>
  <c r="C502" i="1"/>
  <c r="M502" i="1"/>
  <c r="B503" i="1"/>
  <c r="C503" i="1"/>
  <c r="M503" i="1"/>
  <c r="B504" i="1"/>
  <c r="C504" i="1"/>
  <c r="M504" i="1"/>
  <c r="B505" i="1"/>
  <c r="C505" i="1"/>
  <c r="M505" i="1"/>
  <c r="B506" i="1"/>
  <c r="C506" i="1"/>
  <c r="M506" i="1"/>
  <c r="B507" i="1"/>
  <c r="C507" i="1"/>
  <c r="M507" i="1"/>
  <c r="B508" i="1"/>
  <c r="C508" i="1"/>
  <c r="M508" i="1"/>
  <c r="B509" i="1"/>
  <c r="C509" i="1"/>
  <c r="M509" i="1"/>
  <c r="B510" i="1"/>
  <c r="C510" i="1"/>
  <c r="M510" i="1"/>
  <c r="B511" i="1"/>
  <c r="C511" i="1"/>
  <c r="M511" i="1"/>
  <c r="B512" i="1"/>
  <c r="C512" i="1"/>
  <c r="M512" i="1"/>
  <c r="B513" i="1"/>
  <c r="C513" i="1"/>
  <c r="M513" i="1"/>
  <c r="B514" i="1"/>
  <c r="C514" i="1"/>
  <c r="M514" i="1"/>
  <c r="B515" i="1"/>
  <c r="C515" i="1"/>
  <c r="M515" i="1"/>
  <c r="B516" i="1"/>
  <c r="C516" i="1"/>
  <c r="M516" i="1"/>
  <c r="B517" i="1"/>
  <c r="C517" i="1"/>
  <c r="M517" i="1"/>
  <c r="B518" i="1"/>
  <c r="C518" i="1"/>
  <c r="M518" i="1"/>
  <c r="B519" i="1"/>
  <c r="C519" i="1"/>
  <c r="M519" i="1"/>
  <c r="B520" i="1"/>
  <c r="C520" i="1"/>
  <c r="M520" i="1"/>
  <c r="B521" i="1"/>
  <c r="C521" i="1"/>
  <c r="M521" i="1"/>
  <c r="B522" i="1"/>
  <c r="C522" i="1"/>
  <c r="M522" i="1"/>
  <c r="B523" i="1"/>
  <c r="C523" i="1"/>
  <c r="M523" i="1"/>
  <c r="B524" i="1"/>
  <c r="C524" i="1"/>
  <c r="M524" i="1"/>
  <c r="B525" i="1"/>
  <c r="C525" i="1"/>
  <c r="M525" i="1"/>
  <c r="B526" i="1"/>
  <c r="C526" i="1"/>
  <c r="M526" i="1"/>
  <c r="B527" i="1"/>
  <c r="C527" i="1"/>
  <c r="M527" i="1"/>
  <c r="B528" i="1"/>
  <c r="C528" i="1"/>
  <c r="M528" i="1"/>
  <c r="B529" i="1"/>
  <c r="C529" i="1"/>
  <c r="M529" i="1"/>
  <c r="B530" i="1"/>
  <c r="C530" i="1"/>
  <c r="M530" i="1"/>
  <c r="B531" i="1"/>
  <c r="C531" i="1"/>
  <c r="M531" i="1"/>
  <c r="B532" i="1"/>
  <c r="C532" i="1"/>
  <c r="M532" i="1"/>
  <c r="B533" i="1"/>
  <c r="C533" i="1"/>
  <c r="M533" i="1"/>
  <c r="B534" i="1"/>
  <c r="C534" i="1"/>
  <c r="M534" i="1"/>
  <c r="B535" i="1"/>
  <c r="C535" i="1"/>
  <c r="M535" i="1"/>
  <c r="B536" i="1"/>
  <c r="C536" i="1"/>
  <c r="M536" i="1"/>
  <c r="B537" i="1"/>
  <c r="C537" i="1"/>
  <c r="M537" i="1"/>
  <c r="B538" i="1"/>
  <c r="C538" i="1"/>
  <c r="M538" i="1"/>
  <c r="B539" i="1"/>
  <c r="C539" i="1"/>
  <c r="M539" i="1"/>
  <c r="B540" i="1"/>
  <c r="C540" i="1"/>
  <c r="M540" i="1"/>
  <c r="B541" i="1"/>
  <c r="C541" i="1"/>
  <c r="M541" i="1"/>
  <c r="B542" i="1"/>
  <c r="C542" i="1"/>
  <c r="M542" i="1"/>
  <c r="B543" i="1"/>
  <c r="C543" i="1"/>
  <c r="M543" i="1"/>
  <c r="B544" i="1"/>
  <c r="C544" i="1"/>
  <c r="M544" i="1"/>
  <c r="B545" i="1"/>
  <c r="C545" i="1"/>
  <c r="M545" i="1"/>
  <c r="B546" i="1"/>
  <c r="C546" i="1"/>
  <c r="M546" i="1"/>
  <c r="B547" i="1"/>
  <c r="C547" i="1"/>
  <c r="M547" i="1"/>
  <c r="B548" i="1"/>
  <c r="C548" i="1"/>
  <c r="M548" i="1"/>
  <c r="B549" i="1"/>
  <c r="C549" i="1"/>
  <c r="M549" i="1"/>
  <c r="B550" i="1"/>
  <c r="C550" i="1"/>
  <c r="M550" i="1"/>
  <c r="B551" i="1"/>
  <c r="C551" i="1"/>
  <c r="M551" i="1"/>
  <c r="B552" i="1"/>
  <c r="C552" i="1"/>
  <c r="M552" i="1"/>
  <c r="B553" i="1"/>
  <c r="C553" i="1"/>
  <c r="M553" i="1"/>
  <c r="B554" i="1"/>
  <c r="C554" i="1"/>
  <c r="M554" i="1"/>
  <c r="B555" i="1"/>
  <c r="C555" i="1"/>
  <c r="M555" i="1"/>
  <c r="B556" i="1"/>
  <c r="C556" i="1"/>
  <c r="M556" i="1"/>
  <c r="B557" i="1"/>
  <c r="C557" i="1"/>
  <c r="M557" i="1"/>
  <c r="B558" i="1"/>
  <c r="C558" i="1"/>
  <c r="M558" i="1"/>
  <c r="B559" i="1"/>
  <c r="C559" i="1"/>
  <c r="M559" i="1"/>
  <c r="B560" i="1"/>
  <c r="C560" i="1"/>
  <c r="M560" i="1"/>
  <c r="B561" i="1"/>
  <c r="C561" i="1"/>
  <c r="M561" i="1"/>
  <c r="B562" i="1"/>
  <c r="C562" i="1"/>
  <c r="M562" i="1"/>
  <c r="B563" i="1"/>
  <c r="C563" i="1"/>
  <c r="M563" i="1"/>
  <c r="B564" i="1"/>
  <c r="C564" i="1"/>
  <c r="M564" i="1"/>
  <c r="B565" i="1"/>
  <c r="C565" i="1"/>
  <c r="M565" i="1"/>
  <c r="B566" i="1"/>
  <c r="C566" i="1"/>
  <c r="M566" i="1"/>
  <c r="B567" i="1"/>
  <c r="C567" i="1"/>
  <c r="M567" i="1"/>
  <c r="B568" i="1"/>
  <c r="C568" i="1"/>
  <c r="M568" i="1"/>
  <c r="B569" i="1"/>
  <c r="C569" i="1"/>
  <c r="M569" i="1"/>
  <c r="B570" i="1"/>
  <c r="C570" i="1"/>
  <c r="M570" i="1"/>
  <c r="B571" i="1"/>
  <c r="C571" i="1"/>
  <c r="M571" i="1"/>
  <c r="B572" i="1"/>
  <c r="C572" i="1"/>
  <c r="M572" i="1"/>
  <c r="B573" i="1"/>
  <c r="C573" i="1"/>
  <c r="M573" i="1"/>
  <c r="B574" i="1"/>
  <c r="C574" i="1"/>
  <c r="M574" i="1"/>
  <c r="B575" i="1"/>
  <c r="C575" i="1"/>
  <c r="M575" i="1"/>
  <c r="B576" i="1"/>
  <c r="C576" i="1"/>
  <c r="M576" i="1"/>
  <c r="B577" i="1"/>
  <c r="C577" i="1"/>
  <c r="M577" i="1"/>
  <c r="B578" i="1"/>
  <c r="C578" i="1"/>
  <c r="M578" i="1"/>
  <c r="B579" i="1"/>
  <c r="C579" i="1"/>
  <c r="M579" i="1"/>
  <c r="B580" i="1"/>
  <c r="C580" i="1"/>
  <c r="M580" i="1"/>
  <c r="B581" i="1"/>
  <c r="C581" i="1"/>
  <c r="M581" i="1"/>
  <c r="B582" i="1"/>
  <c r="C582" i="1"/>
  <c r="M582" i="1"/>
  <c r="B583" i="1"/>
  <c r="C583" i="1"/>
  <c r="M583" i="1"/>
  <c r="B584" i="1"/>
  <c r="C584" i="1"/>
  <c r="M584" i="1"/>
  <c r="B585" i="1"/>
  <c r="C585" i="1"/>
  <c r="M585" i="1"/>
  <c r="B586" i="1"/>
  <c r="C586" i="1"/>
  <c r="M586" i="1"/>
  <c r="B587" i="1"/>
  <c r="C587" i="1"/>
  <c r="M587" i="1"/>
  <c r="B588" i="1"/>
  <c r="C588" i="1"/>
  <c r="M588" i="1"/>
  <c r="B589" i="1"/>
  <c r="C589" i="1"/>
  <c r="M589" i="1"/>
  <c r="B590" i="1"/>
  <c r="C590" i="1"/>
  <c r="M590" i="1"/>
  <c r="B591" i="1"/>
  <c r="C591" i="1"/>
  <c r="M591" i="1"/>
  <c r="B592" i="1"/>
  <c r="C592" i="1"/>
  <c r="M592" i="1"/>
  <c r="B593" i="1"/>
  <c r="C593" i="1"/>
  <c r="M593" i="1"/>
  <c r="B594" i="1"/>
  <c r="C594" i="1"/>
  <c r="M594" i="1"/>
  <c r="B595" i="1"/>
  <c r="C595" i="1"/>
  <c r="M595" i="1"/>
  <c r="B596" i="1"/>
  <c r="C596" i="1"/>
  <c r="M596" i="1"/>
  <c r="B597" i="1"/>
  <c r="C597" i="1"/>
  <c r="M597" i="1"/>
  <c r="B598" i="1"/>
  <c r="C598" i="1"/>
  <c r="M598" i="1"/>
  <c r="B599" i="1"/>
  <c r="C599" i="1"/>
  <c r="M599" i="1"/>
  <c r="B600" i="1"/>
  <c r="C600" i="1"/>
  <c r="M600" i="1"/>
  <c r="B601" i="1"/>
  <c r="C601" i="1"/>
  <c r="M601" i="1"/>
  <c r="B602" i="1"/>
  <c r="C602" i="1"/>
  <c r="M602" i="1"/>
  <c r="B603" i="1"/>
  <c r="C603" i="1"/>
  <c r="M603" i="1"/>
  <c r="B604" i="1"/>
  <c r="C604" i="1"/>
  <c r="M604" i="1"/>
  <c r="B605" i="1"/>
  <c r="C605" i="1"/>
  <c r="M605" i="1"/>
  <c r="B606" i="1"/>
  <c r="C606" i="1"/>
  <c r="M606" i="1"/>
  <c r="B607" i="1"/>
  <c r="C607" i="1"/>
  <c r="M607" i="1"/>
  <c r="B608" i="1"/>
  <c r="C608" i="1"/>
  <c r="M608" i="1"/>
  <c r="B609" i="1"/>
  <c r="C609" i="1"/>
  <c r="M609" i="1"/>
  <c r="B610" i="1"/>
  <c r="C610" i="1"/>
  <c r="M610" i="1"/>
  <c r="B611" i="1"/>
  <c r="C611" i="1"/>
  <c r="M611" i="1"/>
  <c r="B612" i="1"/>
  <c r="C612" i="1"/>
  <c r="M612" i="1"/>
  <c r="B613" i="1"/>
  <c r="C613" i="1"/>
  <c r="M613" i="1"/>
  <c r="B614" i="1"/>
  <c r="C614" i="1"/>
  <c r="M614" i="1"/>
  <c r="B615" i="1"/>
  <c r="C615" i="1"/>
  <c r="M615" i="1"/>
  <c r="B616" i="1"/>
  <c r="C616" i="1"/>
  <c r="M616" i="1"/>
  <c r="B617" i="1"/>
  <c r="C617" i="1"/>
  <c r="M617" i="1"/>
  <c r="B618" i="1"/>
  <c r="C618" i="1"/>
  <c r="M618" i="1"/>
  <c r="B619" i="1"/>
  <c r="C619" i="1"/>
  <c r="M619" i="1"/>
  <c r="B620" i="1"/>
  <c r="C620" i="1"/>
  <c r="M620" i="1"/>
  <c r="B621" i="1"/>
  <c r="C621" i="1"/>
  <c r="M621" i="1"/>
  <c r="B622" i="1"/>
  <c r="C622" i="1"/>
  <c r="M622" i="1"/>
  <c r="B623" i="1"/>
  <c r="C623" i="1"/>
  <c r="M623" i="1"/>
  <c r="B624" i="1"/>
  <c r="C624" i="1"/>
  <c r="M624" i="1"/>
  <c r="B625" i="1"/>
  <c r="C625" i="1"/>
  <c r="M625" i="1"/>
  <c r="B626" i="1"/>
  <c r="C626" i="1"/>
  <c r="M626" i="1"/>
  <c r="B627" i="1"/>
  <c r="C627" i="1"/>
  <c r="M627" i="1"/>
  <c r="B628" i="1"/>
  <c r="C628" i="1"/>
  <c r="M628" i="1"/>
  <c r="B629" i="1"/>
  <c r="C629" i="1"/>
  <c r="M629" i="1"/>
  <c r="B630" i="1"/>
  <c r="C630" i="1"/>
  <c r="M630" i="1"/>
  <c r="B631" i="1"/>
  <c r="C631" i="1"/>
  <c r="M631" i="1"/>
  <c r="B632" i="1"/>
  <c r="C632" i="1"/>
  <c r="M632" i="1"/>
  <c r="B633" i="1"/>
  <c r="C633" i="1"/>
  <c r="M633" i="1"/>
  <c r="B634" i="1"/>
  <c r="C634" i="1"/>
  <c r="M634" i="1"/>
  <c r="B635" i="1"/>
  <c r="C635" i="1"/>
  <c r="M635" i="1"/>
  <c r="B636" i="1"/>
  <c r="C636" i="1"/>
  <c r="M636" i="1"/>
  <c r="B637" i="1"/>
  <c r="C637" i="1"/>
  <c r="M637" i="1"/>
  <c r="B638" i="1"/>
  <c r="C638" i="1"/>
  <c r="M638" i="1"/>
  <c r="B639" i="1"/>
  <c r="C639" i="1"/>
  <c r="M639" i="1"/>
  <c r="B640" i="1"/>
  <c r="C640" i="1"/>
  <c r="M640" i="1"/>
  <c r="B641" i="1"/>
  <c r="C641" i="1"/>
  <c r="M641" i="1"/>
  <c r="B642" i="1"/>
  <c r="C642" i="1"/>
  <c r="M642" i="1"/>
  <c r="B643" i="1"/>
  <c r="C643" i="1"/>
  <c r="M643" i="1"/>
  <c r="B644" i="1"/>
  <c r="C644" i="1"/>
  <c r="M644" i="1"/>
  <c r="B645" i="1"/>
  <c r="C645" i="1"/>
  <c r="M645" i="1"/>
  <c r="B646" i="1"/>
  <c r="C646" i="1"/>
  <c r="M646" i="1"/>
  <c r="B647" i="1"/>
  <c r="C647" i="1"/>
  <c r="M647" i="1"/>
  <c r="B648" i="1"/>
  <c r="C648" i="1"/>
  <c r="M648" i="1"/>
  <c r="B649" i="1"/>
  <c r="C649" i="1"/>
  <c r="M649" i="1"/>
  <c r="B650" i="1"/>
  <c r="C650" i="1"/>
  <c r="M650" i="1"/>
  <c r="B651" i="1"/>
  <c r="C651" i="1"/>
  <c r="M651" i="1"/>
  <c r="B652" i="1"/>
  <c r="C652" i="1"/>
  <c r="M652" i="1"/>
  <c r="B653" i="1"/>
  <c r="C653" i="1"/>
  <c r="M653" i="1"/>
  <c r="B654" i="1"/>
  <c r="C654" i="1"/>
  <c r="M654" i="1"/>
  <c r="B655" i="1"/>
  <c r="C655" i="1"/>
  <c r="M655" i="1"/>
  <c r="B656" i="1"/>
  <c r="C656" i="1"/>
  <c r="M656" i="1"/>
  <c r="B657" i="1"/>
  <c r="C657" i="1"/>
  <c r="M657" i="1"/>
  <c r="B658" i="1"/>
  <c r="C658" i="1"/>
  <c r="M658" i="1"/>
  <c r="B659" i="1"/>
  <c r="C659" i="1"/>
  <c r="M659" i="1"/>
  <c r="B660" i="1"/>
  <c r="C660" i="1"/>
  <c r="M660" i="1"/>
  <c r="B661" i="1"/>
  <c r="C661" i="1"/>
  <c r="M661" i="1"/>
  <c r="B662" i="1"/>
  <c r="C662" i="1"/>
  <c r="M662" i="1"/>
  <c r="B663" i="1"/>
  <c r="C663" i="1"/>
  <c r="M663" i="1"/>
  <c r="B664" i="1"/>
  <c r="C664" i="1"/>
  <c r="M664" i="1"/>
  <c r="B665" i="1"/>
  <c r="C665" i="1"/>
  <c r="M665" i="1"/>
  <c r="B666" i="1"/>
  <c r="C666" i="1"/>
  <c r="M666" i="1"/>
  <c r="B667" i="1"/>
  <c r="C667" i="1"/>
  <c r="M667" i="1"/>
  <c r="B668" i="1"/>
  <c r="C668" i="1"/>
  <c r="M668" i="1"/>
  <c r="B669" i="1"/>
  <c r="C669" i="1"/>
  <c r="M669" i="1"/>
  <c r="B670" i="1"/>
  <c r="C670" i="1"/>
  <c r="M670" i="1"/>
  <c r="B671" i="1"/>
  <c r="C671" i="1"/>
  <c r="M671" i="1"/>
  <c r="B672" i="1"/>
  <c r="C672" i="1"/>
  <c r="M672" i="1"/>
  <c r="B673" i="1"/>
  <c r="C673" i="1"/>
  <c r="M673" i="1"/>
  <c r="B674" i="1"/>
  <c r="C674" i="1"/>
  <c r="M674" i="1"/>
  <c r="B675" i="1"/>
  <c r="C675" i="1"/>
  <c r="M675" i="1"/>
  <c r="B676" i="1"/>
  <c r="C676" i="1"/>
  <c r="M676" i="1"/>
  <c r="B677" i="1"/>
  <c r="C677" i="1"/>
  <c r="M677" i="1"/>
  <c r="B678" i="1"/>
  <c r="C678" i="1"/>
  <c r="M678" i="1"/>
  <c r="B679" i="1"/>
  <c r="C679" i="1"/>
  <c r="M679" i="1"/>
  <c r="B680" i="1"/>
  <c r="C680" i="1"/>
  <c r="M680" i="1"/>
  <c r="B681" i="1"/>
  <c r="C681" i="1"/>
  <c r="M681" i="1"/>
  <c r="B682" i="1"/>
  <c r="C682" i="1"/>
  <c r="M682" i="1"/>
  <c r="B683" i="1"/>
  <c r="C683" i="1"/>
  <c r="M683" i="1"/>
  <c r="B684" i="1"/>
  <c r="C684" i="1"/>
  <c r="M684" i="1"/>
  <c r="B685" i="1"/>
  <c r="C685" i="1"/>
  <c r="M685" i="1"/>
  <c r="B686" i="1"/>
  <c r="C686" i="1"/>
  <c r="M686" i="1"/>
  <c r="B687" i="1"/>
  <c r="C687" i="1"/>
  <c r="M687" i="1"/>
  <c r="B688" i="1"/>
  <c r="C688" i="1"/>
  <c r="M688" i="1"/>
  <c r="B689" i="1"/>
  <c r="C689" i="1"/>
  <c r="M689" i="1"/>
  <c r="B690" i="1"/>
  <c r="C690" i="1"/>
  <c r="M690" i="1"/>
  <c r="B691" i="1"/>
  <c r="C691" i="1"/>
  <c r="M691" i="1"/>
  <c r="B692" i="1"/>
  <c r="C692" i="1"/>
  <c r="M692" i="1"/>
  <c r="B693" i="1"/>
  <c r="C693" i="1"/>
  <c r="M693" i="1"/>
  <c r="B694" i="1"/>
  <c r="C694" i="1"/>
  <c r="M694" i="1"/>
  <c r="B695" i="1"/>
  <c r="C695" i="1"/>
  <c r="M695" i="1"/>
  <c r="B696" i="1"/>
  <c r="C696" i="1"/>
  <c r="M696" i="1"/>
  <c r="B697" i="1"/>
  <c r="C697" i="1"/>
  <c r="M697" i="1"/>
  <c r="B698" i="1"/>
  <c r="C698" i="1"/>
  <c r="M698" i="1"/>
  <c r="B699" i="1"/>
  <c r="C699" i="1"/>
  <c r="M699" i="1"/>
  <c r="B700" i="1"/>
  <c r="C700" i="1"/>
  <c r="M700" i="1"/>
  <c r="B701" i="1"/>
  <c r="C701" i="1"/>
  <c r="M701" i="1"/>
  <c r="B702" i="1"/>
  <c r="C702" i="1"/>
  <c r="M702" i="1"/>
  <c r="B703" i="1"/>
  <c r="C703" i="1"/>
  <c r="M703" i="1"/>
  <c r="B704" i="1"/>
  <c r="C704" i="1"/>
  <c r="M704" i="1"/>
  <c r="B705" i="1"/>
  <c r="C705" i="1"/>
  <c r="M705" i="1"/>
  <c r="B706" i="1"/>
  <c r="C706" i="1"/>
  <c r="M706" i="1"/>
  <c r="B707" i="1"/>
  <c r="C707" i="1"/>
  <c r="M707" i="1"/>
  <c r="B708" i="1"/>
  <c r="C708" i="1"/>
  <c r="M708" i="1"/>
  <c r="B709" i="1"/>
  <c r="C709" i="1"/>
  <c r="M709" i="1"/>
  <c r="B710" i="1"/>
  <c r="C710" i="1"/>
  <c r="M710" i="1"/>
  <c r="B711" i="1"/>
  <c r="C711" i="1"/>
  <c r="M711" i="1"/>
  <c r="B712" i="1"/>
  <c r="C712" i="1"/>
  <c r="M712" i="1"/>
  <c r="B713" i="1"/>
  <c r="C713" i="1"/>
  <c r="M713" i="1"/>
  <c r="B714" i="1"/>
  <c r="C714" i="1"/>
  <c r="M714" i="1"/>
  <c r="B715" i="1"/>
  <c r="C715" i="1"/>
  <c r="M715" i="1"/>
  <c r="B716" i="1"/>
  <c r="C716" i="1"/>
  <c r="M716" i="1"/>
  <c r="B717" i="1"/>
  <c r="C717" i="1"/>
  <c r="M717" i="1"/>
  <c r="B718" i="1"/>
  <c r="C718" i="1"/>
  <c r="M718" i="1"/>
  <c r="B719" i="1"/>
  <c r="C719" i="1"/>
  <c r="M719" i="1"/>
  <c r="B720" i="1"/>
  <c r="C720" i="1"/>
  <c r="M720" i="1"/>
  <c r="B721" i="1"/>
  <c r="C721" i="1"/>
  <c r="M721" i="1"/>
  <c r="B722" i="1"/>
  <c r="C722" i="1"/>
  <c r="M722" i="1"/>
  <c r="B723" i="1"/>
  <c r="C723" i="1"/>
  <c r="M723" i="1"/>
  <c r="B724" i="1"/>
  <c r="C724" i="1"/>
  <c r="M724" i="1"/>
  <c r="B725" i="1"/>
  <c r="C725" i="1"/>
  <c r="M725" i="1"/>
  <c r="B726" i="1"/>
  <c r="C726" i="1"/>
  <c r="M726" i="1"/>
  <c r="B727" i="1"/>
  <c r="C727" i="1"/>
  <c r="M727" i="1"/>
  <c r="B728" i="1"/>
  <c r="C728" i="1"/>
  <c r="M728" i="1"/>
  <c r="B729" i="1"/>
  <c r="C729" i="1"/>
  <c r="M729" i="1"/>
  <c r="B730" i="1"/>
  <c r="C730" i="1"/>
  <c r="M730" i="1"/>
  <c r="B731" i="1"/>
  <c r="C731" i="1"/>
  <c r="M731" i="1"/>
  <c r="B732" i="1"/>
  <c r="C732" i="1"/>
  <c r="M732" i="1"/>
  <c r="B733" i="1"/>
  <c r="C733" i="1"/>
  <c r="M733" i="1"/>
  <c r="B734" i="1"/>
  <c r="C734" i="1"/>
  <c r="M734" i="1"/>
  <c r="B735" i="1"/>
  <c r="C735" i="1"/>
  <c r="M735" i="1"/>
  <c r="B736" i="1"/>
  <c r="C736" i="1"/>
  <c r="M736" i="1"/>
  <c r="B737" i="1"/>
  <c r="C737" i="1"/>
  <c r="M737" i="1"/>
  <c r="B738" i="1"/>
  <c r="C738" i="1"/>
  <c r="M738" i="1"/>
  <c r="B739" i="1"/>
  <c r="C739" i="1"/>
  <c r="M739" i="1"/>
  <c r="B740" i="1"/>
  <c r="C740" i="1"/>
  <c r="M740" i="1"/>
  <c r="B741" i="1"/>
  <c r="C741" i="1"/>
  <c r="M741" i="1"/>
  <c r="B742" i="1"/>
  <c r="C742" i="1"/>
  <c r="M742" i="1"/>
  <c r="B743" i="1"/>
  <c r="C743" i="1"/>
  <c r="M743" i="1"/>
  <c r="B744" i="1"/>
  <c r="C744" i="1"/>
  <c r="M744" i="1"/>
  <c r="B745" i="1"/>
  <c r="C745" i="1"/>
  <c r="M745" i="1"/>
  <c r="B746" i="1"/>
  <c r="C746" i="1"/>
  <c r="M746" i="1"/>
  <c r="B747" i="1"/>
  <c r="C747" i="1"/>
  <c r="M747" i="1"/>
  <c r="B748" i="1"/>
  <c r="C748" i="1"/>
  <c r="M748" i="1"/>
  <c r="B749" i="1"/>
  <c r="C749" i="1"/>
  <c r="M749" i="1"/>
  <c r="B750" i="1"/>
  <c r="C750" i="1"/>
  <c r="M750" i="1"/>
  <c r="B751" i="1"/>
  <c r="C751" i="1"/>
  <c r="M751" i="1"/>
  <c r="B752" i="1"/>
  <c r="C752" i="1"/>
  <c r="M752" i="1"/>
  <c r="B753" i="1"/>
  <c r="C753" i="1"/>
  <c r="M753" i="1"/>
  <c r="B754" i="1"/>
  <c r="C754" i="1"/>
  <c r="M754" i="1"/>
  <c r="B755" i="1"/>
  <c r="C755" i="1"/>
  <c r="M755" i="1"/>
  <c r="B756" i="1"/>
  <c r="C756" i="1"/>
  <c r="M756" i="1"/>
  <c r="B757" i="1"/>
  <c r="C757" i="1"/>
  <c r="M757" i="1"/>
  <c r="B758" i="1"/>
  <c r="C758" i="1"/>
  <c r="M758" i="1"/>
  <c r="B759" i="1"/>
  <c r="C759" i="1"/>
  <c r="M759" i="1"/>
  <c r="B760" i="1"/>
  <c r="C760" i="1"/>
  <c r="M760" i="1"/>
  <c r="B761" i="1"/>
  <c r="C761" i="1"/>
  <c r="M761" i="1"/>
  <c r="B762" i="1"/>
  <c r="C762" i="1"/>
  <c r="M762" i="1"/>
  <c r="B763" i="1"/>
  <c r="C763" i="1"/>
  <c r="M763" i="1"/>
  <c r="B764" i="1"/>
  <c r="C764" i="1"/>
  <c r="M764" i="1"/>
  <c r="B765" i="1"/>
  <c r="C765" i="1"/>
  <c r="M765" i="1"/>
  <c r="B766" i="1"/>
  <c r="C766" i="1"/>
  <c r="M766" i="1"/>
  <c r="B767" i="1"/>
  <c r="C767" i="1"/>
  <c r="M767" i="1"/>
  <c r="B768" i="1"/>
  <c r="C768" i="1"/>
  <c r="M768" i="1"/>
  <c r="B769" i="1"/>
  <c r="C769" i="1"/>
  <c r="M769" i="1"/>
  <c r="B770" i="1"/>
  <c r="C770" i="1"/>
  <c r="M770" i="1"/>
  <c r="B771" i="1"/>
  <c r="C771" i="1"/>
  <c r="M771" i="1"/>
  <c r="B772" i="1"/>
  <c r="C772" i="1"/>
  <c r="M772" i="1"/>
  <c r="B773" i="1"/>
  <c r="C773" i="1"/>
  <c r="M773" i="1"/>
  <c r="B774" i="1"/>
  <c r="C774" i="1"/>
  <c r="M774" i="1"/>
  <c r="B775" i="1"/>
  <c r="C775" i="1"/>
  <c r="M775" i="1"/>
  <c r="B776" i="1"/>
  <c r="C776" i="1"/>
  <c r="M776" i="1"/>
  <c r="B777" i="1"/>
  <c r="C777" i="1"/>
  <c r="M777" i="1"/>
  <c r="B778" i="1"/>
  <c r="C778" i="1"/>
  <c r="M778" i="1"/>
  <c r="B779" i="1"/>
  <c r="C779" i="1"/>
  <c r="M779" i="1"/>
  <c r="B780" i="1"/>
  <c r="C780" i="1"/>
  <c r="M780" i="1"/>
  <c r="B781" i="1"/>
  <c r="C781" i="1"/>
  <c r="M781" i="1"/>
  <c r="B782" i="1"/>
  <c r="C782" i="1"/>
  <c r="M782" i="1"/>
  <c r="B783" i="1"/>
  <c r="C783" i="1"/>
  <c r="M783" i="1"/>
  <c r="B784" i="1"/>
  <c r="C784" i="1"/>
  <c r="M784" i="1"/>
  <c r="B785" i="1"/>
  <c r="C785" i="1"/>
  <c r="M785" i="1"/>
  <c r="B786" i="1"/>
  <c r="C786" i="1"/>
  <c r="M786" i="1"/>
  <c r="B787" i="1"/>
  <c r="C787" i="1"/>
  <c r="M787" i="1"/>
  <c r="B788" i="1"/>
  <c r="C788" i="1"/>
  <c r="M788" i="1"/>
  <c r="B789" i="1"/>
  <c r="C789" i="1"/>
  <c r="M789" i="1"/>
  <c r="B790" i="1"/>
  <c r="C790" i="1"/>
  <c r="M790" i="1"/>
  <c r="B791" i="1"/>
  <c r="C791" i="1"/>
  <c r="M791" i="1"/>
  <c r="B792" i="1"/>
  <c r="C792" i="1"/>
  <c r="M792" i="1"/>
  <c r="B793" i="1"/>
  <c r="C793" i="1"/>
  <c r="M793" i="1"/>
  <c r="B794" i="1"/>
  <c r="C794" i="1"/>
  <c r="M794" i="1"/>
  <c r="B795" i="1"/>
  <c r="C795" i="1"/>
  <c r="M795" i="1"/>
  <c r="B796" i="1"/>
  <c r="C796" i="1"/>
  <c r="M796" i="1"/>
  <c r="B797" i="1"/>
  <c r="C797" i="1"/>
  <c r="M797" i="1"/>
  <c r="B798" i="1"/>
  <c r="C798" i="1"/>
  <c r="M798" i="1"/>
  <c r="B799" i="1"/>
  <c r="C799" i="1"/>
  <c r="M799" i="1"/>
  <c r="B800" i="1"/>
  <c r="C800" i="1"/>
  <c r="M800" i="1"/>
  <c r="B801" i="1"/>
  <c r="C801" i="1"/>
  <c r="M801" i="1"/>
  <c r="B802" i="1"/>
  <c r="C802" i="1"/>
  <c r="M802" i="1"/>
  <c r="B803" i="1"/>
  <c r="C803" i="1"/>
  <c r="M803" i="1"/>
  <c r="B804" i="1"/>
  <c r="C804" i="1"/>
  <c r="M804" i="1"/>
  <c r="B805" i="1"/>
  <c r="C805" i="1"/>
  <c r="M805" i="1"/>
  <c r="B806" i="1"/>
  <c r="C806" i="1"/>
  <c r="M806" i="1"/>
  <c r="B807" i="1"/>
  <c r="C807" i="1"/>
  <c r="M807" i="1"/>
  <c r="B808" i="1"/>
  <c r="C808" i="1"/>
  <c r="M808" i="1"/>
  <c r="B809" i="1"/>
  <c r="C809" i="1"/>
  <c r="M809" i="1"/>
  <c r="B810" i="1"/>
  <c r="C810" i="1"/>
  <c r="M810" i="1"/>
  <c r="B811" i="1"/>
  <c r="C811" i="1"/>
  <c r="M811" i="1"/>
  <c r="B812" i="1"/>
  <c r="C812" i="1"/>
  <c r="M812" i="1"/>
  <c r="B813" i="1"/>
  <c r="C813" i="1"/>
  <c r="M813" i="1"/>
  <c r="B814" i="1"/>
  <c r="C814" i="1"/>
  <c r="M814" i="1"/>
  <c r="B815" i="1"/>
  <c r="C815" i="1"/>
  <c r="M815" i="1"/>
  <c r="B816" i="1"/>
  <c r="C816" i="1"/>
  <c r="M816" i="1"/>
  <c r="B817" i="1"/>
  <c r="C817" i="1"/>
  <c r="M817" i="1"/>
  <c r="B818" i="1"/>
  <c r="C818" i="1"/>
  <c r="M818" i="1"/>
  <c r="B819" i="1"/>
  <c r="C819" i="1"/>
  <c r="M819" i="1"/>
  <c r="B820" i="1"/>
  <c r="C820" i="1"/>
  <c r="M820" i="1"/>
  <c r="B821" i="1"/>
  <c r="C821" i="1"/>
  <c r="M821" i="1"/>
  <c r="B822" i="1"/>
  <c r="C822" i="1"/>
  <c r="M822" i="1"/>
  <c r="B823" i="1"/>
  <c r="C823" i="1"/>
  <c r="M823" i="1"/>
  <c r="B824" i="1"/>
  <c r="C824" i="1"/>
  <c r="M824" i="1"/>
  <c r="B825" i="1"/>
  <c r="C825" i="1"/>
  <c r="M825" i="1"/>
  <c r="B826" i="1"/>
  <c r="C826" i="1"/>
  <c r="M826" i="1"/>
  <c r="B827" i="1"/>
  <c r="C827" i="1"/>
  <c r="M827" i="1"/>
  <c r="B828" i="1"/>
  <c r="C828" i="1"/>
  <c r="M828" i="1"/>
  <c r="B829" i="1"/>
  <c r="C829" i="1"/>
  <c r="M829" i="1"/>
  <c r="B830" i="1"/>
  <c r="C830" i="1"/>
  <c r="M830" i="1"/>
  <c r="B831" i="1"/>
  <c r="C831" i="1"/>
  <c r="M831" i="1"/>
  <c r="B832" i="1"/>
  <c r="C832" i="1"/>
  <c r="M832" i="1"/>
  <c r="B833" i="1"/>
  <c r="C833" i="1"/>
  <c r="M833" i="1"/>
  <c r="B834" i="1"/>
  <c r="C834" i="1"/>
  <c r="M834" i="1"/>
  <c r="B835" i="1"/>
  <c r="C835" i="1"/>
  <c r="M835" i="1"/>
  <c r="B836" i="1"/>
  <c r="C836" i="1"/>
  <c r="M836" i="1"/>
  <c r="B837" i="1"/>
  <c r="C837" i="1"/>
  <c r="M837" i="1"/>
  <c r="B838" i="1"/>
  <c r="C838" i="1"/>
  <c r="M838" i="1"/>
  <c r="B839" i="1"/>
  <c r="C839" i="1"/>
  <c r="M839" i="1"/>
  <c r="B840" i="1"/>
  <c r="C840" i="1"/>
  <c r="M840" i="1"/>
  <c r="B841" i="1"/>
  <c r="C841" i="1"/>
  <c r="M841" i="1"/>
  <c r="B842" i="1"/>
  <c r="C842" i="1"/>
  <c r="M842" i="1"/>
  <c r="B843" i="1"/>
  <c r="C843" i="1"/>
  <c r="M843" i="1"/>
  <c r="B844" i="1"/>
  <c r="C844" i="1"/>
  <c r="M844" i="1"/>
  <c r="B845" i="1"/>
  <c r="C845" i="1"/>
  <c r="M845" i="1"/>
  <c r="B846" i="1"/>
  <c r="C846" i="1"/>
  <c r="M846" i="1"/>
  <c r="B847" i="1"/>
  <c r="C847" i="1"/>
  <c r="M847" i="1"/>
  <c r="B848" i="1"/>
  <c r="C848" i="1"/>
  <c r="M848" i="1"/>
  <c r="B849" i="1"/>
  <c r="C849" i="1"/>
  <c r="M849" i="1"/>
  <c r="B850" i="1"/>
  <c r="C850" i="1"/>
  <c r="M850" i="1"/>
  <c r="B851" i="1"/>
  <c r="C851" i="1"/>
  <c r="M851" i="1"/>
  <c r="B852" i="1"/>
  <c r="C852" i="1"/>
  <c r="M852" i="1"/>
  <c r="B853" i="1"/>
  <c r="C853" i="1"/>
  <c r="M853" i="1"/>
  <c r="B854" i="1"/>
  <c r="C854" i="1"/>
  <c r="M854" i="1"/>
  <c r="B855" i="1"/>
  <c r="C855" i="1"/>
  <c r="M855" i="1"/>
  <c r="B856" i="1"/>
  <c r="C856" i="1"/>
  <c r="M856" i="1"/>
  <c r="B857" i="1"/>
  <c r="C857" i="1"/>
  <c r="M857" i="1"/>
  <c r="B858" i="1"/>
  <c r="C858" i="1"/>
  <c r="M858" i="1"/>
  <c r="B859" i="1"/>
  <c r="C859" i="1"/>
  <c r="M859" i="1"/>
  <c r="B860" i="1"/>
  <c r="C860" i="1"/>
  <c r="M860" i="1"/>
  <c r="B861" i="1"/>
  <c r="C861" i="1"/>
  <c r="M861" i="1"/>
  <c r="B862" i="1"/>
  <c r="C862" i="1"/>
  <c r="M862" i="1"/>
  <c r="B863" i="1"/>
  <c r="C863" i="1"/>
  <c r="M863" i="1"/>
  <c r="B864" i="1"/>
  <c r="C864" i="1"/>
  <c r="M864" i="1"/>
  <c r="B865" i="1"/>
  <c r="C865" i="1"/>
  <c r="M865" i="1"/>
  <c r="B866" i="1"/>
  <c r="C866" i="1"/>
  <c r="M866" i="1"/>
  <c r="B867" i="1"/>
  <c r="C867" i="1"/>
  <c r="M867" i="1"/>
  <c r="B868" i="1"/>
  <c r="C868" i="1"/>
  <c r="M868" i="1"/>
  <c r="B869" i="1"/>
  <c r="C869" i="1"/>
  <c r="M869" i="1"/>
  <c r="B870" i="1"/>
  <c r="C870" i="1"/>
  <c r="M870" i="1"/>
  <c r="B871" i="1"/>
  <c r="C871" i="1"/>
  <c r="M871" i="1"/>
  <c r="B872" i="1"/>
  <c r="C872" i="1"/>
  <c r="M872" i="1"/>
  <c r="B873" i="1"/>
  <c r="C873" i="1"/>
  <c r="M873" i="1"/>
  <c r="B874" i="1"/>
  <c r="C874" i="1"/>
  <c r="M874" i="1"/>
  <c r="B875" i="1"/>
  <c r="C875" i="1"/>
  <c r="M875" i="1"/>
  <c r="B876" i="1"/>
  <c r="C876" i="1"/>
  <c r="M876" i="1"/>
  <c r="B877" i="1"/>
  <c r="C877" i="1"/>
  <c r="M877" i="1"/>
  <c r="B878" i="1"/>
  <c r="C878" i="1"/>
  <c r="M878" i="1"/>
  <c r="B879" i="1"/>
  <c r="C879" i="1"/>
  <c r="M879" i="1"/>
  <c r="B880" i="1"/>
  <c r="C880" i="1"/>
  <c r="M880" i="1"/>
  <c r="B881" i="1"/>
  <c r="C881" i="1"/>
  <c r="M881" i="1"/>
  <c r="B882" i="1"/>
  <c r="C882" i="1"/>
  <c r="M882" i="1"/>
  <c r="B883" i="1"/>
  <c r="C883" i="1"/>
  <c r="M883" i="1"/>
  <c r="B884" i="1"/>
  <c r="C884" i="1"/>
  <c r="M884" i="1"/>
  <c r="B885" i="1"/>
  <c r="C885" i="1"/>
  <c r="M885" i="1"/>
  <c r="B886" i="1"/>
  <c r="C886" i="1"/>
  <c r="M886" i="1"/>
  <c r="B887" i="1"/>
  <c r="C887" i="1"/>
  <c r="M887" i="1"/>
  <c r="B888" i="1"/>
  <c r="C888" i="1"/>
  <c r="M888" i="1"/>
  <c r="B889" i="1"/>
  <c r="C889" i="1"/>
  <c r="M889" i="1"/>
  <c r="B890" i="1"/>
  <c r="C890" i="1"/>
  <c r="M890" i="1"/>
  <c r="B891" i="1"/>
  <c r="C891" i="1"/>
  <c r="M891" i="1"/>
  <c r="B892" i="1"/>
  <c r="C892" i="1"/>
  <c r="M892" i="1"/>
  <c r="B893" i="1"/>
  <c r="C893" i="1"/>
  <c r="M893" i="1"/>
  <c r="B894" i="1"/>
  <c r="C894" i="1"/>
  <c r="M894" i="1"/>
  <c r="B895" i="1"/>
  <c r="C895" i="1"/>
  <c r="M895" i="1"/>
  <c r="B896" i="1"/>
  <c r="C896" i="1"/>
  <c r="M896" i="1"/>
  <c r="B897" i="1"/>
  <c r="C897" i="1"/>
  <c r="M897" i="1"/>
  <c r="B898" i="1"/>
  <c r="C898" i="1"/>
  <c r="M898" i="1"/>
  <c r="B899" i="1"/>
  <c r="C899" i="1"/>
  <c r="M899" i="1"/>
  <c r="B900" i="1"/>
  <c r="C900" i="1"/>
  <c r="M900" i="1"/>
  <c r="B901" i="1"/>
  <c r="C901" i="1"/>
  <c r="M901" i="1"/>
  <c r="B902" i="1"/>
  <c r="C902" i="1"/>
  <c r="M902" i="1"/>
  <c r="B903" i="1"/>
  <c r="C903" i="1"/>
  <c r="M903" i="1"/>
  <c r="B904" i="1"/>
  <c r="C904" i="1"/>
  <c r="M904" i="1"/>
  <c r="B905" i="1"/>
  <c r="C905" i="1"/>
  <c r="M905" i="1"/>
  <c r="B906" i="1"/>
  <c r="C906" i="1"/>
  <c r="M906" i="1"/>
  <c r="B907" i="1"/>
  <c r="C907" i="1"/>
  <c r="M907" i="1"/>
  <c r="B908" i="1"/>
  <c r="C908" i="1"/>
  <c r="M908" i="1"/>
  <c r="B909" i="1"/>
  <c r="C909" i="1"/>
  <c r="M909" i="1"/>
  <c r="B910" i="1"/>
  <c r="C910" i="1"/>
  <c r="M910" i="1"/>
  <c r="B911" i="1"/>
  <c r="C911" i="1"/>
  <c r="M911" i="1"/>
  <c r="B912" i="1"/>
  <c r="C912" i="1"/>
  <c r="M912" i="1"/>
  <c r="B913" i="1"/>
  <c r="C913" i="1"/>
  <c r="M913" i="1"/>
  <c r="B914" i="1"/>
  <c r="C914" i="1"/>
  <c r="M914" i="1"/>
  <c r="B915" i="1"/>
  <c r="C915" i="1"/>
  <c r="M915" i="1"/>
  <c r="B916" i="1"/>
  <c r="C916" i="1"/>
  <c r="M916" i="1"/>
  <c r="B917" i="1"/>
  <c r="C917" i="1"/>
  <c r="M917" i="1"/>
  <c r="B918" i="1"/>
  <c r="C918" i="1"/>
  <c r="M918" i="1"/>
  <c r="B919" i="1"/>
  <c r="C919" i="1"/>
  <c r="M919" i="1"/>
  <c r="B920" i="1"/>
  <c r="C920" i="1"/>
  <c r="M920" i="1"/>
  <c r="B921" i="1"/>
  <c r="C921" i="1"/>
  <c r="M921" i="1"/>
  <c r="B922" i="1"/>
  <c r="C922" i="1"/>
  <c r="M922" i="1"/>
  <c r="B923" i="1"/>
  <c r="C923" i="1"/>
  <c r="M923" i="1"/>
  <c r="B924" i="1"/>
  <c r="C924" i="1"/>
  <c r="M924" i="1"/>
  <c r="B925" i="1"/>
  <c r="C925" i="1"/>
  <c r="M925" i="1"/>
  <c r="B926" i="1"/>
  <c r="C926" i="1"/>
  <c r="M926" i="1"/>
  <c r="B927" i="1"/>
  <c r="C927" i="1"/>
  <c r="M927" i="1"/>
  <c r="B928" i="1"/>
  <c r="C928" i="1"/>
  <c r="M928" i="1"/>
  <c r="B929" i="1"/>
  <c r="C929" i="1"/>
  <c r="M929" i="1"/>
  <c r="B930" i="1"/>
  <c r="C930" i="1"/>
  <c r="M930" i="1"/>
  <c r="B931" i="1"/>
  <c r="C931" i="1"/>
  <c r="M931" i="1"/>
  <c r="B932" i="1"/>
  <c r="C932" i="1"/>
  <c r="M932" i="1"/>
  <c r="B933" i="1"/>
  <c r="C933" i="1"/>
  <c r="M933" i="1"/>
  <c r="B934" i="1"/>
  <c r="C934" i="1"/>
  <c r="M934" i="1"/>
  <c r="B935" i="1"/>
  <c r="C935" i="1"/>
  <c r="M935" i="1"/>
  <c r="B936" i="1"/>
  <c r="C936" i="1"/>
  <c r="M936" i="1"/>
  <c r="B937" i="1"/>
  <c r="C937" i="1"/>
  <c r="M937" i="1"/>
  <c r="B938" i="1"/>
  <c r="C938" i="1"/>
  <c r="M938" i="1"/>
  <c r="B939" i="1"/>
  <c r="C939" i="1"/>
  <c r="M939" i="1"/>
  <c r="B940" i="1"/>
  <c r="C940" i="1"/>
  <c r="M940" i="1"/>
  <c r="B941" i="1"/>
  <c r="C941" i="1"/>
  <c r="M941" i="1"/>
  <c r="B942" i="1"/>
  <c r="C942" i="1"/>
  <c r="M942" i="1"/>
  <c r="B943" i="1"/>
  <c r="C943" i="1"/>
  <c r="M943" i="1"/>
  <c r="B944" i="1"/>
  <c r="C944" i="1"/>
  <c r="M944" i="1"/>
  <c r="B945" i="1"/>
  <c r="C945" i="1"/>
  <c r="M945" i="1"/>
  <c r="B946" i="1"/>
  <c r="C946" i="1"/>
  <c r="M946" i="1"/>
  <c r="B947" i="1"/>
  <c r="C947" i="1"/>
  <c r="M947" i="1"/>
  <c r="B948" i="1"/>
  <c r="C948" i="1"/>
  <c r="M948" i="1"/>
  <c r="B949" i="1"/>
  <c r="C949" i="1"/>
  <c r="M949" i="1"/>
  <c r="B950" i="1"/>
  <c r="C950" i="1"/>
  <c r="M950" i="1"/>
  <c r="B951" i="1"/>
  <c r="C951" i="1"/>
  <c r="M951" i="1"/>
  <c r="B952" i="1"/>
  <c r="C952" i="1"/>
  <c r="M952" i="1"/>
  <c r="B953" i="1"/>
  <c r="C953" i="1"/>
  <c r="M953" i="1"/>
  <c r="B954" i="1"/>
  <c r="C954" i="1"/>
  <c r="M954" i="1"/>
  <c r="B955" i="1"/>
  <c r="C955" i="1"/>
  <c r="M955" i="1"/>
  <c r="B956" i="1"/>
  <c r="C956" i="1"/>
  <c r="M956" i="1"/>
  <c r="B957" i="1"/>
  <c r="C957" i="1"/>
  <c r="M957" i="1"/>
  <c r="B958" i="1"/>
  <c r="C958" i="1"/>
  <c r="M958" i="1"/>
  <c r="B959" i="1"/>
  <c r="C959" i="1"/>
  <c r="M959" i="1"/>
  <c r="B960" i="1"/>
  <c r="C960" i="1"/>
  <c r="M960" i="1"/>
  <c r="B961" i="1"/>
  <c r="C961" i="1"/>
  <c r="M961" i="1"/>
  <c r="B962" i="1"/>
  <c r="C962" i="1"/>
  <c r="M962" i="1"/>
  <c r="B963" i="1"/>
  <c r="C963" i="1"/>
  <c r="M963" i="1"/>
  <c r="B964" i="1"/>
  <c r="C964" i="1"/>
  <c r="M964" i="1"/>
  <c r="B965" i="1"/>
  <c r="C965" i="1"/>
  <c r="M965" i="1"/>
  <c r="B966" i="1"/>
  <c r="C966" i="1"/>
  <c r="M966" i="1"/>
  <c r="B967" i="1"/>
  <c r="C967" i="1"/>
  <c r="M967" i="1"/>
  <c r="B968" i="1"/>
  <c r="C968" i="1"/>
  <c r="M968" i="1"/>
  <c r="B969" i="1"/>
  <c r="C969" i="1"/>
  <c r="M969" i="1"/>
  <c r="B970" i="1"/>
  <c r="C970" i="1"/>
  <c r="M970" i="1"/>
  <c r="B971" i="1"/>
  <c r="C971" i="1"/>
  <c r="M971" i="1"/>
  <c r="B972" i="1"/>
  <c r="C972" i="1"/>
  <c r="M972" i="1"/>
  <c r="B973" i="1"/>
  <c r="C973" i="1"/>
  <c r="M973" i="1"/>
  <c r="B974" i="1"/>
  <c r="C974" i="1"/>
  <c r="M974" i="1"/>
  <c r="B975" i="1"/>
  <c r="C975" i="1"/>
  <c r="M975" i="1"/>
  <c r="B976" i="1"/>
  <c r="C976" i="1"/>
  <c r="M976" i="1"/>
  <c r="B977" i="1"/>
  <c r="C977" i="1"/>
  <c r="M977" i="1"/>
  <c r="B978" i="1"/>
  <c r="C978" i="1"/>
  <c r="M978" i="1"/>
  <c r="B979" i="1"/>
  <c r="C979" i="1"/>
  <c r="M979" i="1"/>
  <c r="B980" i="1"/>
  <c r="C980" i="1"/>
  <c r="M980" i="1"/>
  <c r="B981" i="1"/>
  <c r="C981" i="1"/>
  <c r="M981" i="1"/>
  <c r="B982" i="1"/>
  <c r="C982" i="1"/>
  <c r="M982" i="1"/>
  <c r="B983" i="1"/>
  <c r="C983" i="1"/>
  <c r="M983" i="1"/>
  <c r="B984" i="1"/>
  <c r="C984" i="1"/>
  <c r="M984" i="1"/>
  <c r="B985" i="1"/>
  <c r="C985" i="1"/>
  <c r="M985" i="1"/>
  <c r="B986" i="1"/>
  <c r="C986" i="1"/>
  <c r="M986" i="1"/>
  <c r="B987" i="1"/>
  <c r="C987" i="1"/>
  <c r="M987" i="1"/>
  <c r="B988" i="1"/>
  <c r="C988" i="1"/>
  <c r="M988" i="1"/>
  <c r="B989" i="1"/>
  <c r="C989" i="1"/>
  <c r="M989" i="1"/>
  <c r="B990" i="1"/>
  <c r="C990" i="1"/>
  <c r="M990" i="1"/>
  <c r="B991" i="1"/>
  <c r="C991" i="1"/>
  <c r="M991" i="1"/>
  <c r="B992" i="1"/>
  <c r="C992" i="1"/>
  <c r="M992" i="1"/>
  <c r="B993" i="1"/>
  <c r="C993" i="1"/>
  <c r="M993" i="1"/>
  <c r="B994" i="1"/>
  <c r="C994" i="1"/>
  <c r="M994" i="1"/>
  <c r="B995" i="1"/>
  <c r="C995" i="1"/>
  <c r="M995" i="1"/>
  <c r="B996" i="1"/>
  <c r="C996" i="1"/>
  <c r="M996" i="1"/>
  <c r="B997" i="1"/>
  <c r="C997" i="1"/>
  <c r="M997" i="1"/>
  <c r="B998" i="1"/>
  <c r="C998" i="1"/>
  <c r="M998" i="1"/>
  <c r="B999" i="1"/>
  <c r="C999" i="1"/>
  <c r="M999" i="1"/>
  <c r="B1000" i="1"/>
  <c r="C1000" i="1"/>
  <c r="M1000" i="1"/>
  <c r="B1001" i="1"/>
  <c r="C1001" i="1"/>
  <c r="M1001" i="1"/>
  <c r="B1002" i="1"/>
  <c r="C1002" i="1"/>
  <c r="M1002" i="1"/>
  <c r="B1003" i="1"/>
  <c r="C1003" i="1"/>
  <c r="M1003" i="1"/>
  <c r="B1004" i="1"/>
  <c r="C1004" i="1"/>
  <c r="M1004" i="1"/>
  <c r="B1005" i="1"/>
  <c r="C1005" i="1"/>
  <c r="M1005" i="1"/>
  <c r="B1006" i="1"/>
  <c r="C1006" i="1"/>
  <c r="M1006" i="1"/>
  <c r="B1007" i="1"/>
  <c r="C1007" i="1"/>
  <c r="M1007" i="1"/>
  <c r="B1008" i="1"/>
  <c r="C1008" i="1"/>
  <c r="M1008" i="1"/>
  <c r="B1009" i="1"/>
  <c r="C1009" i="1"/>
  <c r="M1009" i="1"/>
  <c r="B1010" i="1"/>
  <c r="C1010" i="1"/>
  <c r="M1010" i="1"/>
  <c r="B1011" i="1"/>
  <c r="C1011" i="1"/>
  <c r="M1011" i="1"/>
  <c r="B1012" i="1"/>
  <c r="C1012" i="1"/>
  <c r="M1012" i="1"/>
  <c r="B1013" i="1"/>
  <c r="C1013" i="1"/>
  <c r="M1013" i="1"/>
  <c r="B1014" i="1"/>
  <c r="C1014" i="1"/>
  <c r="M1014" i="1"/>
  <c r="B1015" i="1"/>
  <c r="C1015" i="1"/>
  <c r="M1015" i="1"/>
  <c r="B1016" i="1"/>
  <c r="C1016" i="1"/>
  <c r="M1016" i="1"/>
  <c r="B1017" i="1"/>
  <c r="C1017" i="1"/>
  <c r="M1017" i="1"/>
  <c r="B1018" i="1"/>
  <c r="C1018" i="1"/>
  <c r="M1018" i="1"/>
  <c r="B1019" i="1"/>
  <c r="C1019" i="1"/>
  <c r="M1019" i="1"/>
  <c r="B1020" i="1"/>
  <c r="C1020" i="1"/>
  <c r="M1020" i="1"/>
  <c r="B1021" i="1"/>
  <c r="C1021" i="1"/>
  <c r="M1021" i="1"/>
  <c r="B1022" i="1"/>
  <c r="C1022" i="1"/>
  <c r="M1022" i="1"/>
  <c r="B1023" i="1"/>
  <c r="C1023" i="1"/>
  <c r="M1023" i="1"/>
  <c r="B1024" i="1"/>
  <c r="C1024" i="1"/>
  <c r="M1024" i="1"/>
  <c r="B1025" i="1"/>
  <c r="C1025" i="1"/>
  <c r="M1025" i="1"/>
  <c r="B1026" i="1"/>
  <c r="C1026" i="1"/>
  <c r="M1026" i="1"/>
  <c r="B1027" i="1"/>
  <c r="C1027" i="1"/>
  <c r="M1027" i="1"/>
  <c r="B1028" i="1"/>
  <c r="C1028" i="1"/>
  <c r="M1028" i="1"/>
  <c r="B1029" i="1"/>
  <c r="C1029" i="1"/>
  <c r="M1029" i="1"/>
  <c r="B1030" i="1"/>
  <c r="C1030" i="1"/>
  <c r="M1030" i="1"/>
  <c r="B1031" i="1"/>
  <c r="C1031" i="1"/>
  <c r="M1031" i="1"/>
  <c r="B1032" i="1"/>
  <c r="C1032" i="1"/>
  <c r="M1032" i="1"/>
  <c r="B1033" i="1"/>
  <c r="C1033" i="1"/>
  <c r="M1033" i="1"/>
  <c r="B1034" i="1"/>
  <c r="C1034" i="1"/>
  <c r="M1034" i="1"/>
  <c r="B1035" i="1"/>
  <c r="C1035" i="1"/>
  <c r="M1035" i="1"/>
  <c r="B1036" i="1"/>
  <c r="C1036" i="1"/>
  <c r="M1036" i="1"/>
  <c r="B1037" i="1"/>
  <c r="C1037" i="1"/>
  <c r="M1037" i="1"/>
  <c r="B1038" i="1"/>
  <c r="C1038" i="1"/>
  <c r="M1038" i="1"/>
  <c r="B1039" i="1"/>
  <c r="C1039" i="1"/>
  <c r="M1039" i="1"/>
  <c r="B1040" i="1"/>
  <c r="C1040" i="1"/>
  <c r="M1040" i="1"/>
  <c r="B1041" i="1"/>
  <c r="C1041" i="1"/>
  <c r="M1041" i="1"/>
  <c r="B1042" i="1"/>
  <c r="C1042" i="1"/>
  <c r="M1042" i="1"/>
  <c r="B1043" i="1"/>
  <c r="C1043" i="1"/>
  <c r="M1043" i="1"/>
  <c r="B1044" i="1"/>
  <c r="C1044" i="1"/>
  <c r="M1044" i="1"/>
  <c r="B1045" i="1"/>
  <c r="C1045" i="1"/>
  <c r="M1045" i="1"/>
  <c r="B1046" i="1"/>
  <c r="C1046" i="1"/>
  <c r="M1046" i="1"/>
  <c r="B1047" i="1"/>
  <c r="C1047" i="1"/>
  <c r="M1047" i="1"/>
  <c r="B1048" i="1"/>
  <c r="C1048" i="1"/>
  <c r="M1048" i="1"/>
  <c r="B1049" i="1"/>
  <c r="C1049" i="1"/>
  <c r="M1049" i="1"/>
  <c r="B1050" i="1"/>
  <c r="C1050" i="1"/>
  <c r="M1050" i="1"/>
  <c r="B1051" i="1"/>
  <c r="C1051" i="1"/>
  <c r="M1051" i="1"/>
  <c r="B1052" i="1"/>
  <c r="C1052" i="1"/>
  <c r="M1052" i="1"/>
  <c r="B1053" i="1"/>
  <c r="C1053" i="1"/>
  <c r="M1053" i="1"/>
  <c r="B1054" i="1"/>
  <c r="C1054" i="1"/>
  <c r="M1054" i="1"/>
  <c r="B1055" i="1"/>
  <c r="C1055" i="1"/>
  <c r="M1055" i="1"/>
  <c r="B1056" i="1"/>
  <c r="C1056" i="1"/>
  <c r="M1056" i="1"/>
  <c r="B1057" i="1"/>
  <c r="C1057" i="1"/>
  <c r="M1057" i="1"/>
  <c r="B1058" i="1"/>
  <c r="C1058" i="1"/>
  <c r="M1058" i="1"/>
  <c r="B1059" i="1"/>
  <c r="C1059" i="1"/>
  <c r="M1059" i="1"/>
  <c r="B1060" i="1"/>
  <c r="C1060" i="1"/>
  <c r="M1060" i="1"/>
  <c r="B1061" i="1"/>
  <c r="C1061" i="1"/>
  <c r="M1061" i="1"/>
  <c r="B1062" i="1"/>
  <c r="C1062" i="1"/>
  <c r="M1062" i="1"/>
  <c r="B1063" i="1"/>
  <c r="C1063" i="1"/>
  <c r="M1063" i="1"/>
  <c r="B1064" i="1"/>
  <c r="C1064" i="1"/>
  <c r="M1064" i="1"/>
  <c r="B1065" i="1"/>
  <c r="C1065" i="1"/>
  <c r="M1065" i="1"/>
  <c r="B1066" i="1"/>
  <c r="C1066" i="1"/>
  <c r="M1066" i="1"/>
  <c r="B1067" i="1"/>
  <c r="C1067" i="1"/>
  <c r="M1067" i="1"/>
  <c r="B1068" i="1"/>
  <c r="C1068" i="1"/>
  <c r="M1068" i="1"/>
  <c r="B1069" i="1"/>
  <c r="C1069" i="1"/>
  <c r="M1069" i="1"/>
  <c r="B1070" i="1"/>
  <c r="C1070" i="1"/>
  <c r="M1070" i="1"/>
  <c r="B1071" i="1"/>
  <c r="C1071" i="1"/>
  <c r="M1071" i="1"/>
  <c r="B1072" i="1"/>
  <c r="C1072" i="1"/>
  <c r="M1072" i="1"/>
  <c r="B1073" i="1"/>
  <c r="C1073" i="1"/>
  <c r="M1073" i="1"/>
  <c r="B1074" i="1"/>
  <c r="C1074" i="1"/>
  <c r="M1074" i="1"/>
  <c r="B1075" i="1"/>
  <c r="C1075" i="1"/>
  <c r="M1075" i="1"/>
  <c r="B1076" i="1"/>
  <c r="C1076" i="1"/>
  <c r="M1076" i="1"/>
  <c r="B1077" i="1"/>
  <c r="C1077" i="1"/>
  <c r="M1077" i="1"/>
  <c r="B1078" i="1"/>
  <c r="C1078" i="1"/>
  <c r="M1078" i="1"/>
  <c r="B1079" i="1"/>
  <c r="C1079" i="1"/>
  <c r="M1079" i="1"/>
  <c r="B1080" i="1"/>
  <c r="C1080" i="1"/>
  <c r="M1080" i="1"/>
  <c r="B1081" i="1"/>
  <c r="C1081" i="1"/>
  <c r="M1081" i="1"/>
  <c r="B1082" i="1"/>
  <c r="C1082" i="1"/>
  <c r="M1082" i="1"/>
  <c r="B1083" i="1"/>
  <c r="C1083" i="1"/>
  <c r="M1083" i="1"/>
  <c r="B1084" i="1"/>
  <c r="C1084" i="1"/>
  <c r="M1084" i="1"/>
  <c r="B1085" i="1"/>
  <c r="C1085" i="1"/>
  <c r="M1085" i="1"/>
  <c r="B1086" i="1"/>
  <c r="C1086" i="1"/>
  <c r="M1086" i="1"/>
  <c r="B1087" i="1"/>
  <c r="C1087" i="1"/>
  <c r="M1087" i="1"/>
  <c r="B1088" i="1"/>
  <c r="C1088" i="1"/>
  <c r="M1088" i="1"/>
  <c r="B1089" i="1"/>
  <c r="C1089" i="1"/>
  <c r="M1089" i="1"/>
  <c r="B1090" i="1"/>
  <c r="C1090" i="1"/>
  <c r="M1090" i="1"/>
  <c r="B1091" i="1"/>
  <c r="C1091" i="1"/>
  <c r="M1091" i="1"/>
  <c r="B1092" i="1"/>
  <c r="C1092" i="1"/>
  <c r="M1092" i="1"/>
  <c r="B1093" i="1"/>
  <c r="C1093" i="1"/>
  <c r="M1093" i="1"/>
  <c r="B1094" i="1"/>
  <c r="C1094" i="1"/>
  <c r="M1094" i="1"/>
  <c r="B1095" i="1"/>
  <c r="C1095" i="1"/>
  <c r="M1095" i="1"/>
  <c r="B1096" i="1"/>
  <c r="C1096" i="1"/>
  <c r="M1096" i="1"/>
  <c r="B1097" i="1"/>
  <c r="C1097" i="1"/>
  <c r="M1097" i="1"/>
  <c r="B1098" i="1"/>
  <c r="C1098" i="1"/>
  <c r="M1098" i="1"/>
  <c r="B1099" i="1"/>
  <c r="C1099" i="1"/>
  <c r="M1099" i="1"/>
  <c r="B1100" i="1"/>
  <c r="C1100" i="1"/>
  <c r="M1100" i="1"/>
  <c r="B1101" i="1"/>
  <c r="C1101" i="1"/>
  <c r="M1101" i="1"/>
  <c r="B1102" i="1"/>
  <c r="C1102" i="1"/>
  <c r="M1102" i="1"/>
  <c r="B1103" i="1"/>
  <c r="C1103" i="1"/>
  <c r="M1103" i="1"/>
  <c r="B1104" i="1"/>
  <c r="C1104" i="1"/>
  <c r="M1104" i="1"/>
  <c r="B1105" i="1"/>
  <c r="C1105" i="1"/>
  <c r="M1105" i="1"/>
  <c r="B1106" i="1"/>
  <c r="C1106" i="1"/>
  <c r="M1106" i="1"/>
  <c r="B1107" i="1"/>
  <c r="C1107" i="1"/>
  <c r="M1107" i="1"/>
  <c r="B1108" i="1"/>
  <c r="C1108" i="1"/>
  <c r="M1108" i="1"/>
  <c r="B1109" i="1"/>
  <c r="C1109" i="1"/>
  <c r="M1109" i="1"/>
  <c r="B1110" i="1"/>
  <c r="C1110" i="1"/>
  <c r="M1110" i="1"/>
  <c r="B1111" i="1"/>
  <c r="C1111" i="1"/>
  <c r="M1111" i="1"/>
  <c r="B1112" i="1"/>
  <c r="C1112" i="1"/>
  <c r="M1112" i="1"/>
  <c r="B1113" i="1"/>
  <c r="C1113" i="1"/>
  <c r="M1113" i="1"/>
  <c r="B1114" i="1"/>
  <c r="C1114" i="1"/>
  <c r="M1114" i="1"/>
  <c r="B1115" i="1"/>
  <c r="C1115" i="1"/>
  <c r="M1115" i="1"/>
  <c r="B1116" i="1"/>
  <c r="C1116" i="1"/>
  <c r="M1116" i="1"/>
  <c r="B1117" i="1"/>
  <c r="C1117" i="1"/>
  <c r="M1117" i="1"/>
  <c r="B1118" i="1"/>
  <c r="C1118" i="1"/>
  <c r="M1118" i="1"/>
  <c r="B1119" i="1"/>
  <c r="C1119" i="1"/>
  <c r="M1119" i="1"/>
  <c r="B1120" i="1"/>
  <c r="C1120" i="1"/>
  <c r="M1120" i="1"/>
  <c r="B1121" i="1"/>
  <c r="C1121" i="1"/>
  <c r="M1121" i="1"/>
  <c r="B1122" i="1"/>
  <c r="C1122" i="1"/>
  <c r="M1122" i="1"/>
  <c r="B1123" i="1"/>
  <c r="C1123" i="1"/>
  <c r="M1123" i="1"/>
  <c r="B1124" i="1"/>
  <c r="C1124" i="1"/>
  <c r="M1124" i="1"/>
  <c r="B1125" i="1"/>
  <c r="C1125" i="1"/>
  <c r="M1125" i="1"/>
  <c r="B1126" i="1"/>
  <c r="C1126" i="1"/>
  <c r="M1126" i="1"/>
  <c r="B1127" i="1"/>
  <c r="C1127" i="1"/>
  <c r="M1127" i="1"/>
  <c r="B1128" i="1"/>
  <c r="C1128" i="1"/>
  <c r="M1128" i="1"/>
  <c r="B1129" i="1"/>
  <c r="C1129" i="1"/>
  <c r="M1129" i="1"/>
  <c r="B1130" i="1"/>
  <c r="C1130" i="1"/>
  <c r="M1130" i="1"/>
  <c r="B1131" i="1"/>
  <c r="C1131" i="1"/>
  <c r="M1131" i="1"/>
  <c r="B1132" i="1"/>
  <c r="C1132" i="1"/>
  <c r="M1132" i="1"/>
  <c r="B1133" i="1"/>
  <c r="C1133" i="1"/>
  <c r="M1133" i="1"/>
  <c r="B1134" i="1"/>
  <c r="C1134" i="1"/>
  <c r="M1134" i="1"/>
  <c r="B1135" i="1"/>
  <c r="C1135" i="1"/>
  <c r="M1135" i="1"/>
  <c r="B1136" i="1"/>
  <c r="C1136" i="1"/>
  <c r="M1136" i="1"/>
  <c r="B1137" i="1"/>
  <c r="C1137" i="1"/>
  <c r="M1137" i="1"/>
  <c r="B1138" i="1"/>
  <c r="C1138" i="1"/>
  <c r="M1138" i="1"/>
  <c r="B1139" i="1"/>
  <c r="C1139" i="1"/>
  <c r="M1139" i="1"/>
  <c r="B1140" i="1"/>
  <c r="C1140" i="1"/>
  <c r="M1140" i="1"/>
  <c r="B1141" i="1"/>
  <c r="C1141" i="1"/>
  <c r="M1141" i="1"/>
  <c r="B1142" i="1"/>
  <c r="C1142" i="1"/>
  <c r="M1142" i="1"/>
  <c r="B1143" i="1"/>
  <c r="C1143" i="1"/>
  <c r="M1143" i="1"/>
  <c r="B1144" i="1"/>
  <c r="C1144" i="1"/>
  <c r="M1144" i="1"/>
  <c r="B1145" i="1"/>
  <c r="C1145" i="1"/>
  <c r="M1145" i="1"/>
  <c r="B1146" i="1"/>
  <c r="C1146" i="1"/>
  <c r="M1146" i="1"/>
  <c r="B1147" i="1"/>
  <c r="C1147" i="1"/>
  <c r="M1147" i="1"/>
  <c r="B1148" i="1"/>
  <c r="C1148" i="1"/>
  <c r="M1148" i="1"/>
  <c r="B1149" i="1"/>
  <c r="C1149" i="1"/>
  <c r="M1149" i="1"/>
  <c r="B1150" i="1"/>
  <c r="C1150" i="1"/>
  <c r="M1150" i="1"/>
  <c r="B1151" i="1"/>
  <c r="C1151" i="1"/>
  <c r="M1151" i="1"/>
  <c r="B1152" i="1"/>
  <c r="C1152" i="1"/>
  <c r="M1152" i="1"/>
  <c r="B1153" i="1"/>
  <c r="C1153" i="1"/>
  <c r="M1153" i="1"/>
  <c r="B1154" i="1"/>
  <c r="C1154" i="1"/>
  <c r="M1154" i="1"/>
  <c r="B1155" i="1"/>
  <c r="C1155" i="1"/>
  <c r="M1155" i="1"/>
  <c r="B1156" i="1"/>
  <c r="C1156" i="1"/>
  <c r="M1156" i="1"/>
  <c r="B1157" i="1"/>
  <c r="C1157" i="1"/>
  <c r="M1157" i="1"/>
  <c r="B1158" i="1"/>
  <c r="C1158" i="1"/>
  <c r="M1158" i="1"/>
  <c r="B1159" i="1"/>
  <c r="C1159" i="1"/>
  <c r="M1159" i="1"/>
  <c r="B1160" i="1"/>
  <c r="C1160" i="1"/>
  <c r="M1160" i="1"/>
  <c r="B1161" i="1"/>
  <c r="C1161" i="1"/>
  <c r="M1161" i="1"/>
  <c r="B1162" i="1"/>
  <c r="C1162" i="1"/>
  <c r="M1162" i="1"/>
  <c r="B1163" i="1"/>
  <c r="C1163" i="1"/>
  <c r="M1163" i="1"/>
  <c r="B1164" i="1"/>
  <c r="C1164" i="1"/>
  <c r="M1164" i="1"/>
  <c r="B1165" i="1"/>
  <c r="C1165" i="1"/>
  <c r="M1165" i="1"/>
  <c r="B1166" i="1"/>
  <c r="C1166" i="1"/>
  <c r="M1166" i="1"/>
  <c r="B1167" i="1"/>
  <c r="C1167" i="1"/>
  <c r="M1167" i="1"/>
  <c r="B1168" i="1"/>
  <c r="C1168" i="1"/>
  <c r="M1168" i="1"/>
  <c r="B1169" i="1"/>
  <c r="C1169" i="1"/>
  <c r="M1169" i="1"/>
  <c r="B1170" i="1"/>
  <c r="C1170" i="1"/>
  <c r="M1170" i="1"/>
  <c r="B1171" i="1"/>
  <c r="C1171" i="1"/>
  <c r="M1171" i="1"/>
  <c r="B1172" i="1"/>
  <c r="C1172" i="1"/>
  <c r="M1172" i="1"/>
  <c r="B1173" i="1"/>
  <c r="C1173" i="1"/>
  <c r="M1173" i="1"/>
  <c r="B1174" i="1"/>
  <c r="C1174" i="1"/>
  <c r="M1174" i="1"/>
  <c r="B1175" i="1"/>
  <c r="C1175" i="1"/>
  <c r="M1175" i="1"/>
  <c r="B1176" i="1"/>
  <c r="C1176" i="1"/>
  <c r="M1176" i="1"/>
  <c r="B1177" i="1"/>
  <c r="C1177" i="1"/>
  <c r="M1177" i="1"/>
  <c r="B1178" i="1"/>
  <c r="C1178" i="1"/>
  <c r="M1178" i="1"/>
  <c r="B1179" i="1"/>
  <c r="C1179" i="1"/>
  <c r="M1179" i="1"/>
  <c r="B1180" i="1"/>
  <c r="C1180" i="1"/>
  <c r="M1180" i="1"/>
  <c r="B1181" i="1"/>
  <c r="C1181" i="1"/>
  <c r="M1181" i="1"/>
  <c r="B1182" i="1"/>
  <c r="C1182" i="1"/>
  <c r="M1182" i="1"/>
  <c r="B1183" i="1"/>
  <c r="C1183" i="1"/>
  <c r="M1183" i="1"/>
  <c r="B1184" i="1"/>
  <c r="C1184" i="1"/>
  <c r="M1184" i="1"/>
  <c r="B1185" i="1"/>
  <c r="C1185" i="1"/>
  <c r="M1185" i="1"/>
  <c r="B1186" i="1"/>
  <c r="C1186" i="1"/>
  <c r="M1186" i="1"/>
  <c r="B1187" i="1"/>
  <c r="C1187" i="1"/>
  <c r="M1187" i="1"/>
  <c r="B1188" i="1"/>
  <c r="C1188" i="1"/>
  <c r="M1188" i="1"/>
  <c r="B1189" i="1"/>
  <c r="C1189" i="1"/>
  <c r="M1189" i="1"/>
  <c r="B1190" i="1"/>
  <c r="C1190" i="1"/>
  <c r="M1190" i="1"/>
  <c r="B1191" i="1"/>
  <c r="C1191" i="1"/>
  <c r="M1191" i="1"/>
  <c r="B1192" i="1"/>
  <c r="C1192" i="1"/>
  <c r="M1192" i="1"/>
  <c r="B1193" i="1"/>
  <c r="C1193" i="1"/>
  <c r="M1193" i="1"/>
  <c r="B1194" i="1"/>
  <c r="C1194" i="1"/>
  <c r="M1194" i="1"/>
  <c r="B1195" i="1"/>
  <c r="C1195" i="1"/>
  <c r="M1195" i="1"/>
  <c r="B1196" i="1"/>
  <c r="C1196" i="1"/>
  <c r="M1196" i="1"/>
  <c r="B1197" i="1"/>
  <c r="C1197" i="1"/>
  <c r="M1197" i="1"/>
  <c r="B1198" i="1"/>
  <c r="C1198" i="1"/>
  <c r="M1198" i="1"/>
  <c r="B1199" i="1"/>
  <c r="C1199" i="1"/>
  <c r="M1199" i="1"/>
  <c r="B1200" i="1"/>
  <c r="C1200" i="1"/>
  <c r="M1200" i="1"/>
  <c r="B1201" i="1"/>
  <c r="C1201" i="1"/>
  <c r="M1201" i="1"/>
  <c r="B1202" i="1"/>
  <c r="C1202" i="1"/>
  <c r="M1202" i="1"/>
  <c r="B1203" i="1"/>
  <c r="C1203" i="1"/>
  <c r="M1203" i="1"/>
  <c r="B1204" i="1"/>
  <c r="C1204" i="1"/>
  <c r="M1204" i="1"/>
  <c r="B1205" i="1"/>
  <c r="C1205" i="1"/>
  <c r="M1205" i="1"/>
  <c r="B1206" i="1"/>
  <c r="C1206" i="1"/>
  <c r="M1206" i="1"/>
  <c r="B1207" i="1"/>
  <c r="C1207" i="1"/>
  <c r="M1207" i="1"/>
  <c r="B1208" i="1"/>
  <c r="C1208" i="1"/>
  <c r="M1208" i="1"/>
  <c r="B1209" i="1"/>
  <c r="C1209" i="1"/>
  <c r="M1209" i="1"/>
  <c r="B1210" i="1"/>
  <c r="C1210" i="1"/>
  <c r="M1210" i="1"/>
  <c r="B1211" i="1"/>
  <c r="C1211" i="1"/>
  <c r="M1211" i="1"/>
  <c r="B1212" i="1"/>
  <c r="C1212" i="1"/>
  <c r="M1212" i="1"/>
  <c r="B1213" i="1"/>
  <c r="C1213" i="1"/>
  <c r="M1213" i="1"/>
  <c r="B1214" i="1"/>
  <c r="C1214" i="1"/>
  <c r="M1214" i="1"/>
  <c r="B1215" i="1"/>
  <c r="C1215" i="1"/>
  <c r="M1215" i="1"/>
  <c r="B1216" i="1"/>
  <c r="C1216" i="1"/>
  <c r="M1216" i="1"/>
  <c r="B1217" i="1"/>
  <c r="C1217" i="1"/>
  <c r="M1217" i="1"/>
  <c r="B1218" i="1"/>
  <c r="C1218" i="1"/>
  <c r="M1218" i="1"/>
  <c r="B1219" i="1"/>
  <c r="C1219" i="1"/>
  <c r="M1219" i="1"/>
  <c r="B1220" i="1"/>
  <c r="C1220" i="1"/>
  <c r="M1220" i="1"/>
  <c r="B1221" i="1"/>
  <c r="C1221" i="1"/>
  <c r="M1221" i="1"/>
  <c r="B1222" i="1"/>
  <c r="C1222" i="1"/>
  <c r="M1222" i="1"/>
  <c r="B1223" i="1"/>
  <c r="C1223" i="1"/>
  <c r="M1223" i="1"/>
  <c r="B1224" i="1"/>
  <c r="C1224" i="1"/>
  <c r="M1224" i="1"/>
  <c r="B1225" i="1"/>
  <c r="C1225" i="1"/>
  <c r="M1225" i="1"/>
  <c r="B1226" i="1"/>
  <c r="C1226" i="1"/>
  <c r="M1226" i="1"/>
  <c r="B1227" i="1"/>
  <c r="C1227" i="1"/>
  <c r="M1227" i="1"/>
  <c r="B1228" i="1"/>
  <c r="C1228" i="1"/>
  <c r="M1228" i="1"/>
  <c r="B1229" i="1"/>
  <c r="C1229" i="1"/>
  <c r="M1229" i="1"/>
  <c r="B1230" i="1"/>
  <c r="C1230" i="1"/>
  <c r="M1230" i="1"/>
  <c r="B1231" i="1"/>
  <c r="C1231" i="1"/>
  <c r="M1231" i="1"/>
  <c r="B1232" i="1"/>
  <c r="C1232" i="1"/>
  <c r="M1232" i="1"/>
  <c r="B1233" i="1"/>
  <c r="C1233" i="1"/>
  <c r="M1233" i="1"/>
  <c r="B1234" i="1"/>
  <c r="C1234" i="1"/>
  <c r="M1234" i="1"/>
  <c r="B1235" i="1"/>
  <c r="C1235" i="1"/>
  <c r="M1235" i="1"/>
  <c r="B1236" i="1"/>
  <c r="C1236" i="1"/>
  <c r="M1236" i="1"/>
  <c r="B1237" i="1"/>
  <c r="C1237" i="1"/>
  <c r="M1237" i="1"/>
  <c r="B1238" i="1"/>
  <c r="C1238" i="1"/>
  <c r="M1238" i="1"/>
  <c r="B1239" i="1"/>
  <c r="C1239" i="1"/>
  <c r="M1239" i="1"/>
  <c r="B1240" i="1"/>
  <c r="C1240" i="1"/>
  <c r="M1240" i="1"/>
  <c r="B1241" i="1"/>
  <c r="C1241" i="1"/>
  <c r="M1241" i="1"/>
  <c r="B1242" i="1"/>
  <c r="C1242" i="1"/>
  <c r="M1242" i="1"/>
  <c r="B1243" i="1"/>
  <c r="C1243" i="1"/>
  <c r="M1243" i="1"/>
  <c r="B1244" i="1"/>
  <c r="C1244" i="1"/>
  <c r="M1244" i="1"/>
  <c r="B1245" i="1"/>
  <c r="C1245" i="1"/>
  <c r="M1245" i="1"/>
  <c r="B1246" i="1"/>
  <c r="C1246" i="1"/>
  <c r="M1246" i="1"/>
  <c r="B1247" i="1"/>
  <c r="C1247" i="1"/>
  <c r="M1247" i="1"/>
  <c r="B1248" i="1"/>
  <c r="C1248" i="1"/>
  <c r="M1248" i="1"/>
  <c r="B1249" i="1"/>
  <c r="C1249" i="1"/>
  <c r="M1249" i="1"/>
  <c r="B1250" i="1"/>
  <c r="C1250" i="1"/>
  <c r="M1250" i="1"/>
  <c r="B1251" i="1"/>
  <c r="C1251" i="1"/>
  <c r="M1251" i="1"/>
  <c r="B1252" i="1"/>
  <c r="C1252" i="1"/>
  <c r="M1252" i="1"/>
  <c r="B1253" i="1"/>
  <c r="C1253" i="1"/>
  <c r="M1253" i="1"/>
  <c r="B1254" i="1"/>
  <c r="C1254" i="1"/>
  <c r="M1254" i="1"/>
  <c r="B1255" i="1"/>
  <c r="C1255" i="1"/>
  <c r="M1255" i="1"/>
  <c r="B1256" i="1"/>
  <c r="C1256" i="1"/>
  <c r="M1256" i="1"/>
  <c r="B1257" i="1"/>
  <c r="C1257" i="1"/>
  <c r="M1257" i="1"/>
  <c r="B1258" i="1"/>
  <c r="C1258" i="1"/>
  <c r="M1258" i="1"/>
  <c r="B1259" i="1"/>
  <c r="C1259" i="1"/>
  <c r="M1259" i="1"/>
  <c r="B1260" i="1"/>
  <c r="C1260" i="1"/>
  <c r="M1260" i="1"/>
  <c r="B1261" i="1"/>
  <c r="C1261" i="1"/>
  <c r="M1261" i="1"/>
  <c r="B1262" i="1"/>
  <c r="C1262" i="1"/>
  <c r="M1262" i="1"/>
  <c r="B1263" i="1"/>
  <c r="C1263" i="1"/>
  <c r="M1263" i="1"/>
  <c r="B1264" i="1"/>
  <c r="C1264" i="1"/>
  <c r="M1264" i="1"/>
  <c r="B1265" i="1"/>
  <c r="C1265" i="1"/>
  <c r="M1265" i="1"/>
  <c r="B1266" i="1"/>
  <c r="C1266" i="1"/>
  <c r="M1266" i="1"/>
  <c r="B1267" i="1"/>
  <c r="C1267" i="1"/>
  <c r="M1267" i="1"/>
  <c r="B1268" i="1"/>
  <c r="C1268" i="1"/>
  <c r="M1268" i="1"/>
  <c r="B1269" i="1"/>
  <c r="C1269" i="1"/>
  <c r="M1269" i="1"/>
  <c r="B1270" i="1"/>
  <c r="C1270" i="1"/>
  <c r="M1270" i="1"/>
  <c r="B1271" i="1"/>
  <c r="C1271" i="1"/>
  <c r="M1271" i="1"/>
  <c r="B1272" i="1"/>
  <c r="C1272" i="1"/>
  <c r="M1272" i="1"/>
  <c r="B1273" i="1"/>
  <c r="C1273" i="1"/>
  <c r="M1273" i="1"/>
  <c r="B1274" i="1"/>
  <c r="C1274" i="1"/>
  <c r="M1274" i="1"/>
  <c r="B1275" i="1"/>
  <c r="C1275" i="1"/>
  <c r="M1275" i="1"/>
  <c r="B1276" i="1"/>
  <c r="C1276" i="1"/>
  <c r="M1276" i="1"/>
  <c r="B1277" i="1"/>
  <c r="C1277" i="1"/>
  <c r="M1277" i="1"/>
  <c r="B1278" i="1"/>
  <c r="C1278" i="1"/>
  <c r="M1278" i="1"/>
  <c r="B1279" i="1"/>
  <c r="C1279" i="1"/>
  <c r="M1279" i="1"/>
  <c r="B1280" i="1"/>
  <c r="C1280" i="1"/>
  <c r="M1280" i="1"/>
  <c r="B1281" i="1"/>
  <c r="C1281" i="1"/>
  <c r="M1281" i="1"/>
  <c r="B1282" i="1"/>
  <c r="C1282" i="1"/>
  <c r="M1282" i="1"/>
  <c r="B1283" i="1"/>
  <c r="C1283" i="1"/>
  <c r="M1283" i="1"/>
  <c r="B1284" i="1"/>
  <c r="C1284" i="1"/>
  <c r="M1284" i="1"/>
  <c r="B1285" i="1"/>
  <c r="C1285" i="1"/>
  <c r="M1285" i="1"/>
  <c r="B1286" i="1"/>
  <c r="C1286" i="1"/>
  <c r="M1286" i="1"/>
  <c r="B1287" i="1"/>
  <c r="C1287" i="1"/>
  <c r="M1287" i="1"/>
  <c r="B1288" i="1"/>
  <c r="C1288" i="1"/>
  <c r="M1288" i="1"/>
  <c r="B1289" i="1"/>
  <c r="C1289" i="1"/>
  <c r="M1289" i="1"/>
  <c r="B1290" i="1"/>
  <c r="C1290" i="1"/>
  <c r="M1290" i="1"/>
  <c r="B1291" i="1"/>
  <c r="C1291" i="1"/>
  <c r="M1291" i="1"/>
  <c r="B1292" i="1"/>
  <c r="C1292" i="1"/>
  <c r="M1292" i="1"/>
  <c r="B1293" i="1"/>
  <c r="C1293" i="1"/>
  <c r="M1293" i="1"/>
  <c r="B1294" i="1"/>
  <c r="C1294" i="1"/>
  <c r="M1294" i="1"/>
  <c r="B1295" i="1"/>
  <c r="C1295" i="1"/>
  <c r="M1295" i="1"/>
  <c r="B1296" i="1"/>
  <c r="C1296" i="1"/>
  <c r="M1296" i="1"/>
  <c r="B1297" i="1"/>
  <c r="C1297" i="1"/>
  <c r="M1297" i="1"/>
  <c r="B1298" i="1"/>
  <c r="C1298" i="1"/>
  <c r="M1298" i="1"/>
  <c r="B1299" i="1"/>
  <c r="C1299" i="1"/>
  <c r="M1299" i="1"/>
  <c r="B1300" i="1"/>
  <c r="C1300" i="1"/>
  <c r="M1300" i="1"/>
  <c r="B1301" i="1"/>
  <c r="C1301" i="1"/>
  <c r="M1301" i="1"/>
  <c r="B1302" i="1"/>
  <c r="C1302" i="1"/>
  <c r="M1302" i="1"/>
  <c r="B1303" i="1"/>
  <c r="C1303" i="1"/>
  <c r="M1303" i="1"/>
  <c r="B1304" i="1"/>
  <c r="C1304" i="1"/>
  <c r="M1304" i="1"/>
  <c r="B1305" i="1"/>
  <c r="C1305" i="1"/>
  <c r="M1305" i="1"/>
  <c r="B1306" i="1"/>
  <c r="C1306" i="1"/>
  <c r="M1306" i="1"/>
  <c r="B1307" i="1"/>
  <c r="C1307" i="1"/>
  <c r="M1307" i="1"/>
  <c r="B1308" i="1"/>
  <c r="C1308" i="1"/>
  <c r="M1308" i="1"/>
  <c r="B1309" i="1"/>
  <c r="C1309" i="1"/>
  <c r="M1309" i="1"/>
  <c r="B1310" i="1"/>
  <c r="C1310" i="1"/>
  <c r="M1310" i="1"/>
  <c r="B1311" i="1"/>
  <c r="C1311" i="1"/>
  <c r="M1311" i="1"/>
  <c r="B1312" i="1"/>
  <c r="C1312" i="1"/>
  <c r="M1312" i="1"/>
  <c r="B1313" i="1"/>
  <c r="C1313" i="1"/>
  <c r="M1313" i="1"/>
  <c r="B1314" i="1"/>
  <c r="C1314" i="1"/>
  <c r="M1314" i="1"/>
  <c r="B1315" i="1"/>
  <c r="C1315" i="1"/>
  <c r="M1315" i="1"/>
  <c r="B1316" i="1"/>
  <c r="C1316" i="1"/>
  <c r="M1316" i="1"/>
  <c r="B1317" i="1"/>
  <c r="C1317" i="1"/>
  <c r="M1317" i="1"/>
  <c r="B1318" i="1"/>
  <c r="C1318" i="1"/>
  <c r="M1318" i="1"/>
  <c r="B1319" i="1"/>
  <c r="C1319" i="1"/>
  <c r="M1319" i="1"/>
  <c r="B1320" i="1"/>
  <c r="C1320" i="1"/>
  <c r="M1320" i="1"/>
  <c r="B1321" i="1"/>
  <c r="C1321" i="1"/>
  <c r="M1321" i="1"/>
  <c r="B1322" i="1"/>
  <c r="C1322" i="1"/>
  <c r="M1322" i="1"/>
  <c r="B1323" i="1"/>
  <c r="C1323" i="1"/>
  <c r="M1323" i="1"/>
  <c r="B1324" i="1"/>
  <c r="C1324" i="1"/>
  <c r="M1324" i="1"/>
  <c r="B1325" i="1"/>
  <c r="C1325" i="1"/>
  <c r="M1325" i="1"/>
  <c r="B1326" i="1"/>
  <c r="C1326" i="1"/>
  <c r="M1326" i="1"/>
  <c r="B1327" i="1"/>
  <c r="C1327" i="1"/>
  <c r="M1327" i="1"/>
  <c r="B1328" i="1"/>
  <c r="C1328" i="1"/>
  <c r="M1328" i="1"/>
  <c r="B1329" i="1"/>
  <c r="C1329" i="1"/>
  <c r="M1329" i="1"/>
  <c r="B1330" i="1"/>
  <c r="C1330" i="1"/>
  <c r="M1330" i="1"/>
  <c r="B1331" i="1"/>
  <c r="C1331" i="1"/>
  <c r="M1331" i="1"/>
  <c r="B1332" i="1"/>
  <c r="C1332" i="1"/>
  <c r="M1332" i="1"/>
  <c r="B1333" i="1"/>
  <c r="C1333" i="1"/>
  <c r="M1333" i="1"/>
  <c r="B1334" i="1"/>
  <c r="C1334" i="1"/>
  <c r="M1334" i="1"/>
  <c r="B1335" i="1"/>
  <c r="C1335" i="1"/>
  <c r="M1335" i="1"/>
  <c r="B1336" i="1"/>
  <c r="C1336" i="1"/>
  <c r="M1336" i="1"/>
  <c r="B1337" i="1"/>
  <c r="C1337" i="1"/>
  <c r="M1337" i="1"/>
  <c r="B1338" i="1"/>
  <c r="C1338" i="1"/>
  <c r="M1338" i="1"/>
  <c r="B1339" i="1"/>
  <c r="C1339" i="1"/>
  <c r="M1339" i="1"/>
  <c r="B1340" i="1"/>
  <c r="C1340" i="1"/>
  <c r="M1340" i="1"/>
  <c r="B1341" i="1"/>
  <c r="C1341" i="1"/>
  <c r="M1341" i="1"/>
  <c r="B1342" i="1"/>
  <c r="C1342" i="1"/>
  <c r="M1342" i="1"/>
  <c r="B1343" i="1"/>
  <c r="C1343" i="1"/>
  <c r="M1343" i="1"/>
  <c r="B1344" i="1"/>
  <c r="C1344" i="1"/>
  <c r="M1344" i="1"/>
  <c r="B1345" i="1"/>
  <c r="C1345" i="1"/>
  <c r="M1345" i="1"/>
  <c r="B1346" i="1"/>
  <c r="C1346" i="1"/>
  <c r="M1346" i="1"/>
  <c r="B1347" i="1"/>
  <c r="C1347" i="1"/>
  <c r="M1347" i="1"/>
  <c r="B1348" i="1"/>
  <c r="C1348" i="1"/>
  <c r="M1348" i="1"/>
  <c r="B1349" i="1"/>
  <c r="C1349" i="1"/>
  <c r="M1349" i="1"/>
  <c r="B1350" i="1"/>
  <c r="C1350" i="1"/>
  <c r="M1350" i="1"/>
  <c r="B1351" i="1"/>
  <c r="C1351" i="1"/>
  <c r="M1351" i="1"/>
  <c r="B1352" i="1"/>
  <c r="C1352" i="1"/>
  <c r="M1352" i="1"/>
  <c r="B1353" i="1"/>
  <c r="C1353" i="1"/>
  <c r="M1353" i="1"/>
  <c r="B1354" i="1"/>
  <c r="C1354" i="1"/>
  <c r="M1354" i="1"/>
  <c r="B1355" i="1"/>
  <c r="C1355" i="1"/>
  <c r="M1355" i="1"/>
  <c r="B1356" i="1"/>
  <c r="C1356" i="1"/>
  <c r="M1356" i="1"/>
  <c r="B1357" i="1"/>
  <c r="C1357" i="1"/>
  <c r="M1357" i="1"/>
  <c r="B1358" i="1"/>
  <c r="C1358" i="1"/>
  <c r="M1358" i="1"/>
  <c r="B1359" i="1"/>
  <c r="C1359" i="1"/>
  <c r="M1359" i="1"/>
  <c r="B1360" i="1"/>
  <c r="C1360" i="1"/>
  <c r="M1360" i="1"/>
  <c r="B1361" i="1"/>
  <c r="C1361" i="1"/>
  <c r="M1361" i="1"/>
  <c r="B1362" i="1"/>
  <c r="C1362" i="1"/>
  <c r="M1362" i="1"/>
  <c r="B1363" i="1"/>
  <c r="C1363" i="1"/>
  <c r="M1363" i="1"/>
  <c r="B1364" i="1"/>
  <c r="C1364" i="1"/>
  <c r="M1364" i="1"/>
  <c r="B1365" i="1"/>
  <c r="C1365" i="1"/>
  <c r="M1365" i="1"/>
  <c r="B1366" i="1"/>
  <c r="C1366" i="1"/>
  <c r="M1366" i="1"/>
  <c r="B1367" i="1"/>
  <c r="C1367" i="1"/>
  <c r="M1367" i="1"/>
  <c r="B1368" i="1"/>
  <c r="C1368" i="1"/>
  <c r="M1368" i="1"/>
  <c r="B1369" i="1"/>
  <c r="C1369" i="1"/>
  <c r="M1369" i="1"/>
  <c r="B1370" i="1"/>
  <c r="C1370" i="1"/>
  <c r="M1370" i="1"/>
  <c r="B1371" i="1"/>
  <c r="C1371" i="1"/>
  <c r="M1371" i="1"/>
  <c r="B1372" i="1"/>
  <c r="C1372" i="1"/>
  <c r="M1372" i="1"/>
  <c r="B1373" i="1"/>
  <c r="C1373" i="1"/>
  <c r="M1373" i="1"/>
  <c r="B1374" i="1"/>
  <c r="C1374" i="1"/>
  <c r="M1374" i="1"/>
  <c r="B1375" i="1"/>
  <c r="C1375" i="1"/>
  <c r="M1375" i="1"/>
  <c r="B1376" i="1"/>
  <c r="C1376" i="1"/>
  <c r="M1376" i="1"/>
  <c r="B1377" i="1"/>
  <c r="C1377" i="1"/>
  <c r="M1377" i="1"/>
  <c r="B1378" i="1"/>
  <c r="C1378" i="1"/>
  <c r="M1378" i="1"/>
  <c r="B1379" i="1"/>
  <c r="C1379" i="1"/>
  <c r="M1379" i="1"/>
  <c r="B1380" i="1"/>
  <c r="C1380" i="1"/>
  <c r="M1380" i="1"/>
  <c r="B1381" i="1"/>
  <c r="C1381" i="1"/>
  <c r="M1381" i="1"/>
  <c r="B1382" i="1"/>
  <c r="C1382" i="1"/>
  <c r="M1382" i="1"/>
  <c r="B1383" i="1"/>
  <c r="C1383" i="1"/>
  <c r="M1383" i="1"/>
  <c r="B1384" i="1"/>
  <c r="C1384" i="1"/>
  <c r="M1384" i="1"/>
  <c r="B1385" i="1"/>
  <c r="C1385" i="1"/>
  <c r="M1385" i="1"/>
  <c r="B1386" i="1"/>
  <c r="C1386" i="1"/>
  <c r="M1386" i="1"/>
  <c r="B1387" i="1"/>
  <c r="C1387" i="1"/>
  <c r="M1387" i="1"/>
  <c r="B1388" i="1"/>
  <c r="C1388" i="1"/>
  <c r="M1388" i="1"/>
  <c r="B1389" i="1"/>
  <c r="C1389" i="1"/>
  <c r="M1389" i="1"/>
  <c r="B1390" i="1"/>
  <c r="C1390" i="1"/>
  <c r="M1390" i="1"/>
  <c r="B1391" i="1"/>
  <c r="C1391" i="1"/>
  <c r="M1391" i="1"/>
  <c r="B1392" i="1"/>
  <c r="C1392" i="1"/>
  <c r="M1392" i="1"/>
  <c r="B1393" i="1"/>
  <c r="C1393" i="1"/>
  <c r="M1393" i="1"/>
  <c r="B1394" i="1"/>
  <c r="C1394" i="1"/>
  <c r="M1394" i="1"/>
  <c r="B1395" i="1"/>
  <c r="C1395" i="1"/>
  <c r="M1395" i="1"/>
  <c r="B1396" i="1"/>
  <c r="C1396" i="1"/>
  <c r="M1396" i="1"/>
  <c r="B1397" i="1"/>
  <c r="C1397" i="1"/>
  <c r="M1397" i="1"/>
  <c r="B1398" i="1"/>
  <c r="C1398" i="1"/>
  <c r="M1398" i="1"/>
  <c r="B1399" i="1"/>
  <c r="C1399" i="1"/>
  <c r="M1399" i="1"/>
  <c r="B1400" i="1"/>
  <c r="C1400" i="1"/>
  <c r="M1400" i="1"/>
  <c r="B1401" i="1"/>
  <c r="C1401" i="1"/>
  <c r="M1401" i="1"/>
  <c r="B1402" i="1"/>
  <c r="C1402" i="1"/>
  <c r="M1402" i="1"/>
  <c r="B1403" i="1"/>
  <c r="C1403" i="1"/>
  <c r="M1403" i="1"/>
  <c r="B1404" i="1"/>
  <c r="C1404" i="1"/>
  <c r="M1404" i="1"/>
  <c r="B1405" i="1"/>
  <c r="C1405" i="1"/>
  <c r="M1405" i="1"/>
  <c r="B1406" i="1"/>
  <c r="C1406" i="1"/>
  <c r="M1406" i="1"/>
  <c r="B1407" i="1"/>
  <c r="C1407" i="1"/>
  <c r="M1407" i="1"/>
  <c r="B1408" i="1"/>
  <c r="C1408" i="1"/>
  <c r="M1408" i="1"/>
  <c r="B1409" i="1"/>
  <c r="C1409" i="1"/>
  <c r="M1409" i="1"/>
  <c r="B1410" i="1"/>
  <c r="C1410" i="1"/>
  <c r="M1410" i="1"/>
  <c r="B1411" i="1"/>
  <c r="C1411" i="1"/>
  <c r="M1411" i="1"/>
  <c r="B1412" i="1"/>
  <c r="C1412" i="1"/>
  <c r="M1412" i="1"/>
  <c r="B1413" i="1"/>
  <c r="C1413" i="1"/>
  <c r="M1413" i="1"/>
  <c r="B1414" i="1"/>
  <c r="C1414" i="1"/>
  <c r="M1414" i="1"/>
  <c r="B1415" i="1"/>
  <c r="C1415" i="1"/>
  <c r="M1415" i="1"/>
  <c r="B1416" i="1"/>
  <c r="C1416" i="1"/>
  <c r="M1416" i="1"/>
  <c r="B1417" i="1"/>
  <c r="C1417" i="1"/>
  <c r="M1417" i="1"/>
  <c r="B1418" i="1"/>
  <c r="C1418" i="1"/>
  <c r="M1418" i="1"/>
  <c r="B1419" i="1"/>
  <c r="C1419" i="1"/>
  <c r="M1419" i="1"/>
  <c r="B1420" i="1"/>
  <c r="C1420" i="1"/>
  <c r="M1420" i="1"/>
  <c r="B1421" i="1"/>
  <c r="C1421" i="1"/>
  <c r="M1421" i="1"/>
  <c r="B1422" i="1"/>
  <c r="C1422" i="1"/>
  <c r="M1422" i="1"/>
  <c r="B1423" i="1"/>
  <c r="C1423" i="1"/>
  <c r="M1423" i="1"/>
  <c r="B1424" i="1"/>
  <c r="C1424" i="1"/>
  <c r="M1424" i="1"/>
  <c r="B1425" i="1"/>
  <c r="C1425" i="1"/>
  <c r="M1425" i="1"/>
  <c r="B1426" i="1"/>
  <c r="C1426" i="1"/>
  <c r="M1426" i="1"/>
  <c r="B1427" i="1"/>
  <c r="C1427" i="1"/>
  <c r="M1427" i="1"/>
  <c r="B1428" i="1"/>
  <c r="C1428" i="1"/>
  <c r="M1428" i="1"/>
  <c r="B1429" i="1"/>
  <c r="C1429" i="1"/>
  <c r="M1429" i="1"/>
  <c r="B1430" i="1"/>
  <c r="C1430" i="1"/>
  <c r="M1430" i="1"/>
  <c r="B1431" i="1"/>
  <c r="C1431" i="1"/>
  <c r="M1431" i="1"/>
  <c r="B1432" i="1"/>
  <c r="C1432" i="1"/>
  <c r="M1432" i="1"/>
  <c r="B1433" i="1"/>
  <c r="C1433" i="1"/>
  <c r="M1433" i="1"/>
  <c r="B1434" i="1"/>
  <c r="C1434" i="1"/>
  <c r="M1434" i="1"/>
  <c r="B1435" i="1"/>
  <c r="C1435" i="1"/>
  <c r="M1435" i="1"/>
  <c r="B1436" i="1"/>
  <c r="C1436" i="1"/>
  <c r="M1436" i="1"/>
  <c r="B1437" i="1"/>
  <c r="C1437" i="1"/>
  <c r="M1437" i="1"/>
  <c r="B1438" i="1"/>
  <c r="C1438" i="1"/>
  <c r="M1438" i="1"/>
  <c r="B1439" i="1"/>
  <c r="C1439" i="1"/>
  <c r="M1439" i="1"/>
  <c r="B1440" i="1"/>
  <c r="C1440" i="1"/>
  <c r="M1440" i="1"/>
  <c r="B1441" i="1"/>
  <c r="C1441" i="1"/>
  <c r="M1441" i="1"/>
  <c r="B1442" i="1"/>
  <c r="C1442" i="1"/>
  <c r="M1442" i="1"/>
  <c r="B1443" i="1"/>
  <c r="C1443" i="1"/>
  <c r="M1443" i="1"/>
  <c r="B1444" i="1"/>
  <c r="C1444" i="1"/>
  <c r="M1444" i="1"/>
  <c r="B1445" i="1"/>
  <c r="C1445" i="1"/>
  <c r="M1445" i="1"/>
  <c r="B1446" i="1"/>
  <c r="C1446" i="1"/>
  <c r="M1446" i="1"/>
  <c r="B1447" i="1"/>
  <c r="C1447" i="1"/>
  <c r="M1447" i="1"/>
  <c r="B1448" i="1"/>
  <c r="C1448" i="1"/>
  <c r="M1448" i="1"/>
  <c r="B1449" i="1"/>
  <c r="C1449" i="1"/>
  <c r="M1449" i="1"/>
  <c r="B1450" i="1"/>
  <c r="C1450" i="1"/>
  <c r="M1450" i="1"/>
  <c r="B1451" i="1"/>
  <c r="C1451" i="1"/>
  <c r="M1451" i="1"/>
  <c r="B1452" i="1"/>
  <c r="C1452" i="1"/>
  <c r="M1452" i="1"/>
  <c r="B1453" i="1"/>
  <c r="C1453" i="1"/>
  <c r="M1453" i="1"/>
  <c r="B1454" i="1"/>
  <c r="C1454" i="1"/>
  <c r="M1454" i="1"/>
  <c r="B1455" i="1"/>
  <c r="C1455" i="1"/>
  <c r="M1455" i="1"/>
  <c r="B1456" i="1"/>
  <c r="C1456" i="1"/>
  <c r="M1456" i="1"/>
  <c r="B1457" i="1"/>
  <c r="C1457" i="1"/>
  <c r="M1457" i="1"/>
  <c r="B1458" i="1"/>
  <c r="C1458" i="1"/>
  <c r="M1458" i="1"/>
  <c r="B1459" i="1"/>
  <c r="C1459" i="1"/>
  <c r="M1459" i="1"/>
  <c r="B1460" i="1"/>
  <c r="C1460" i="1"/>
  <c r="M1460" i="1"/>
  <c r="B1461" i="1"/>
  <c r="C1461" i="1"/>
  <c r="M1461" i="1"/>
  <c r="B1462" i="1"/>
  <c r="C1462" i="1"/>
  <c r="M1462" i="1"/>
  <c r="B1463" i="1"/>
  <c r="C1463" i="1"/>
  <c r="M1463" i="1"/>
  <c r="B1464" i="1"/>
  <c r="C1464" i="1"/>
  <c r="M1464" i="1"/>
  <c r="B1465" i="1"/>
  <c r="C1465" i="1"/>
  <c r="M1465" i="1"/>
  <c r="B1466" i="1"/>
  <c r="C1466" i="1"/>
  <c r="M1466" i="1"/>
  <c r="B1467" i="1"/>
  <c r="C1467" i="1"/>
  <c r="M1467" i="1"/>
  <c r="B1468" i="1"/>
  <c r="C1468" i="1"/>
  <c r="M1468" i="1"/>
  <c r="B1469" i="1"/>
  <c r="C1469" i="1"/>
  <c r="M1469" i="1"/>
  <c r="B1470" i="1"/>
  <c r="C1470" i="1"/>
  <c r="M1470" i="1"/>
  <c r="B1471" i="1"/>
  <c r="C1471" i="1"/>
  <c r="M1471" i="1"/>
  <c r="B1472" i="1"/>
  <c r="C1472" i="1"/>
  <c r="M1472" i="1"/>
  <c r="B1473" i="1"/>
  <c r="C1473" i="1"/>
  <c r="M1473" i="1"/>
  <c r="B1474" i="1"/>
  <c r="C1474" i="1"/>
  <c r="M1474" i="1"/>
  <c r="B1475" i="1"/>
  <c r="C1475" i="1"/>
  <c r="M1475" i="1"/>
  <c r="B1476" i="1"/>
  <c r="C1476" i="1"/>
  <c r="M1476" i="1"/>
  <c r="B1477" i="1"/>
  <c r="C1477" i="1"/>
  <c r="M1477" i="1"/>
  <c r="B1478" i="1"/>
  <c r="C1478" i="1"/>
  <c r="M1478" i="1"/>
  <c r="B1479" i="1"/>
  <c r="C1479" i="1"/>
  <c r="M1479" i="1"/>
  <c r="B1480" i="1"/>
  <c r="C1480" i="1"/>
  <c r="M1480" i="1"/>
  <c r="B1481" i="1"/>
  <c r="C1481" i="1"/>
  <c r="M1481" i="1"/>
  <c r="B1482" i="1"/>
  <c r="C1482" i="1"/>
  <c r="M1482" i="1"/>
  <c r="B1483" i="1"/>
  <c r="C1483" i="1"/>
  <c r="M1483" i="1"/>
  <c r="B1484" i="1"/>
  <c r="C1484" i="1"/>
  <c r="M1484" i="1"/>
  <c r="B1485" i="1"/>
  <c r="C1485" i="1"/>
  <c r="M1485" i="1"/>
  <c r="B1486" i="1"/>
  <c r="C1486" i="1"/>
  <c r="M1486" i="1"/>
  <c r="B1487" i="1"/>
  <c r="C1487" i="1"/>
  <c r="M1487" i="1"/>
  <c r="B1488" i="1"/>
  <c r="C1488" i="1"/>
  <c r="M1488" i="1"/>
  <c r="B1489" i="1"/>
  <c r="C1489" i="1"/>
  <c r="M1489" i="1"/>
  <c r="B1490" i="1"/>
  <c r="C1490" i="1"/>
  <c r="M1490" i="1"/>
  <c r="B1491" i="1"/>
  <c r="C1491" i="1"/>
  <c r="M1491" i="1"/>
  <c r="B1492" i="1"/>
  <c r="C1492" i="1"/>
  <c r="M1492" i="1"/>
  <c r="B1493" i="1"/>
  <c r="C1493" i="1"/>
  <c r="M1493" i="1"/>
  <c r="B1494" i="1"/>
  <c r="C1494" i="1"/>
  <c r="M1494" i="1"/>
  <c r="B1495" i="1"/>
  <c r="C1495" i="1"/>
  <c r="M1495" i="1"/>
  <c r="B1496" i="1"/>
  <c r="C1496" i="1"/>
  <c r="M1496" i="1"/>
  <c r="B1497" i="1"/>
  <c r="C1497" i="1"/>
  <c r="M1497" i="1"/>
  <c r="B1498" i="1"/>
  <c r="C1498" i="1"/>
  <c r="M1498" i="1"/>
  <c r="B1499" i="1"/>
  <c r="C1499" i="1"/>
  <c r="M1499" i="1"/>
  <c r="B1500" i="1"/>
  <c r="C1500" i="1"/>
  <c r="M1500" i="1"/>
  <c r="B1501" i="1"/>
  <c r="C1501" i="1"/>
  <c r="M1501" i="1"/>
  <c r="B1502" i="1"/>
  <c r="C1502" i="1"/>
  <c r="M1502" i="1"/>
  <c r="B1503" i="1"/>
  <c r="C1503" i="1"/>
  <c r="M1503" i="1"/>
  <c r="B1504" i="1"/>
  <c r="C1504" i="1"/>
  <c r="M1504" i="1"/>
  <c r="B1505" i="1"/>
  <c r="C1505" i="1"/>
  <c r="M1505" i="1"/>
  <c r="B1506" i="1"/>
  <c r="C1506" i="1"/>
  <c r="M1506" i="1"/>
  <c r="B1507" i="1"/>
  <c r="C1507" i="1"/>
  <c r="M1507" i="1"/>
  <c r="B1508" i="1"/>
  <c r="C1508" i="1"/>
  <c r="M1508" i="1"/>
  <c r="B1509" i="1"/>
  <c r="C1509" i="1"/>
  <c r="M1509" i="1"/>
  <c r="B1510" i="1"/>
  <c r="C1510" i="1"/>
  <c r="M1510" i="1"/>
  <c r="B1511" i="1"/>
  <c r="C1511" i="1"/>
  <c r="M1511" i="1"/>
  <c r="B1512" i="1"/>
  <c r="C1512" i="1"/>
  <c r="M1512" i="1"/>
  <c r="B1513" i="1"/>
  <c r="C1513" i="1"/>
  <c r="M1513" i="1"/>
  <c r="B1514" i="1"/>
  <c r="C1514" i="1"/>
  <c r="M1514" i="1"/>
  <c r="B1515" i="1"/>
  <c r="C1515" i="1"/>
  <c r="M1515" i="1"/>
  <c r="B1516" i="1"/>
  <c r="C1516" i="1"/>
  <c r="M1516" i="1"/>
  <c r="B1517" i="1"/>
  <c r="C1517" i="1"/>
  <c r="M1517" i="1"/>
  <c r="B1518" i="1"/>
  <c r="C1518" i="1"/>
  <c r="M1518" i="1"/>
  <c r="B1519" i="1"/>
  <c r="C1519" i="1"/>
  <c r="M1519" i="1"/>
  <c r="B1520" i="1"/>
  <c r="C1520" i="1"/>
  <c r="M1520" i="1"/>
  <c r="B1521" i="1"/>
  <c r="C1521" i="1"/>
  <c r="M1521" i="1"/>
  <c r="B1522" i="1"/>
  <c r="C1522" i="1"/>
  <c r="M1522" i="1"/>
  <c r="B1523" i="1"/>
  <c r="C1523" i="1"/>
  <c r="M1523" i="1"/>
  <c r="B1524" i="1"/>
  <c r="C1524" i="1"/>
  <c r="M1524" i="1"/>
  <c r="B1525" i="1"/>
  <c r="C1525" i="1"/>
  <c r="M1525" i="1"/>
  <c r="B1526" i="1"/>
  <c r="C1526" i="1"/>
  <c r="M1526" i="1"/>
  <c r="B1527" i="1"/>
  <c r="C1527" i="1"/>
  <c r="M1527" i="1"/>
  <c r="B1528" i="1"/>
  <c r="C1528" i="1"/>
  <c r="M1528" i="1"/>
  <c r="B1529" i="1"/>
  <c r="C1529" i="1"/>
  <c r="M1529" i="1"/>
  <c r="B1530" i="1"/>
  <c r="C1530" i="1"/>
  <c r="M1530" i="1"/>
  <c r="B1531" i="1"/>
  <c r="C1531" i="1"/>
  <c r="M1531" i="1"/>
  <c r="B1532" i="1"/>
  <c r="C1532" i="1"/>
  <c r="M1532" i="1"/>
  <c r="B1533" i="1"/>
  <c r="C1533" i="1"/>
  <c r="M1533" i="1"/>
  <c r="B1534" i="1"/>
  <c r="C1534" i="1"/>
  <c r="M1534" i="1"/>
  <c r="B1535" i="1"/>
  <c r="C1535" i="1"/>
  <c r="M1535" i="1"/>
  <c r="B1536" i="1"/>
  <c r="C1536" i="1"/>
  <c r="M1536" i="1"/>
  <c r="B1537" i="1"/>
  <c r="C1537" i="1"/>
  <c r="M1537" i="1"/>
  <c r="B1538" i="1"/>
  <c r="C1538" i="1"/>
  <c r="M1538" i="1"/>
  <c r="B1539" i="1"/>
  <c r="C1539" i="1"/>
  <c r="M1539" i="1"/>
  <c r="B1540" i="1"/>
  <c r="C1540" i="1"/>
  <c r="M1540" i="1"/>
  <c r="B1541" i="1"/>
  <c r="C1541" i="1"/>
  <c r="M1541" i="1"/>
  <c r="B1542" i="1"/>
  <c r="C1542" i="1"/>
  <c r="M1542" i="1"/>
  <c r="B1543" i="1"/>
  <c r="C1543" i="1"/>
  <c r="M1543" i="1"/>
  <c r="B1544" i="1"/>
  <c r="C1544" i="1"/>
  <c r="M1544" i="1"/>
  <c r="B1545" i="1"/>
  <c r="C1545" i="1"/>
  <c r="M1545" i="1"/>
  <c r="B1546" i="1"/>
  <c r="C1546" i="1"/>
  <c r="M1546" i="1"/>
  <c r="B1547" i="1"/>
  <c r="C1547" i="1"/>
  <c r="M1547" i="1"/>
  <c r="B1548" i="1"/>
  <c r="C1548" i="1"/>
  <c r="M1548" i="1"/>
  <c r="B1549" i="1"/>
  <c r="C1549" i="1"/>
  <c r="M1549" i="1"/>
  <c r="B1550" i="1"/>
  <c r="C1550" i="1"/>
  <c r="M1550" i="1"/>
  <c r="B1551" i="1"/>
  <c r="C1551" i="1"/>
  <c r="M1551" i="1"/>
  <c r="B1552" i="1"/>
  <c r="C1552" i="1"/>
  <c r="M1552" i="1"/>
  <c r="B1553" i="1"/>
  <c r="C1553" i="1"/>
  <c r="M1553" i="1"/>
  <c r="B1554" i="1"/>
  <c r="C1554" i="1"/>
  <c r="M1554" i="1"/>
  <c r="B1555" i="1"/>
  <c r="C1555" i="1"/>
  <c r="M1555" i="1"/>
  <c r="B1556" i="1"/>
  <c r="C1556" i="1"/>
  <c r="M1556" i="1"/>
  <c r="B1557" i="1"/>
  <c r="C1557" i="1"/>
  <c r="M1557" i="1"/>
  <c r="B1558" i="1"/>
  <c r="C1558" i="1"/>
  <c r="M1558" i="1"/>
  <c r="B1559" i="1"/>
  <c r="C1559" i="1"/>
  <c r="M1559" i="1"/>
  <c r="B1560" i="1"/>
  <c r="C1560" i="1"/>
  <c r="M1560" i="1"/>
  <c r="B1561" i="1"/>
  <c r="C1561" i="1"/>
  <c r="M1561" i="1"/>
  <c r="B1562" i="1"/>
  <c r="C1562" i="1"/>
  <c r="M1562" i="1"/>
  <c r="B1563" i="1"/>
  <c r="C1563" i="1"/>
  <c r="M1563" i="1"/>
  <c r="B1564" i="1"/>
  <c r="C1564" i="1"/>
  <c r="M1564" i="1"/>
  <c r="B1565" i="1"/>
  <c r="C1565" i="1"/>
  <c r="M1565" i="1"/>
  <c r="B1566" i="1"/>
  <c r="C1566" i="1"/>
  <c r="M1566" i="1"/>
  <c r="B1567" i="1"/>
  <c r="C1567" i="1"/>
  <c r="M1567" i="1"/>
  <c r="B1568" i="1"/>
  <c r="C1568" i="1"/>
  <c r="M1568" i="1"/>
  <c r="B1569" i="1"/>
  <c r="C1569" i="1"/>
  <c r="M1569" i="1"/>
  <c r="B1570" i="1"/>
  <c r="C1570" i="1"/>
  <c r="M1570" i="1"/>
  <c r="B1571" i="1"/>
  <c r="C1571" i="1"/>
  <c r="M1571" i="1"/>
  <c r="B1572" i="1"/>
  <c r="C1572" i="1"/>
  <c r="M1572" i="1"/>
  <c r="B1573" i="1"/>
  <c r="C1573" i="1"/>
  <c r="M1573" i="1"/>
  <c r="B1574" i="1"/>
  <c r="C1574" i="1"/>
  <c r="M1574" i="1"/>
  <c r="B1575" i="1"/>
  <c r="C1575" i="1"/>
  <c r="M1575" i="1"/>
  <c r="B1576" i="1"/>
  <c r="C1576" i="1"/>
  <c r="M1576" i="1"/>
  <c r="B1577" i="1"/>
  <c r="C1577" i="1"/>
  <c r="M1577" i="1"/>
  <c r="B1578" i="1"/>
  <c r="C1578" i="1"/>
  <c r="M1578" i="1"/>
  <c r="B1579" i="1"/>
  <c r="C1579" i="1"/>
  <c r="M1579" i="1"/>
  <c r="B1580" i="1"/>
  <c r="C1580" i="1"/>
  <c r="M1580" i="1"/>
  <c r="B1581" i="1"/>
  <c r="C1581" i="1"/>
  <c r="M1581" i="1"/>
  <c r="B1582" i="1"/>
  <c r="C1582" i="1"/>
  <c r="M1582" i="1"/>
  <c r="B1583" i="1"/>
  <c r="C1583" i="1"/>
  <c r="M1583" i="1"/>
  <c r="B1584" i="1"/>
  <c r="C1584" i="1"/>
  <c r="M1584" i="1"/>
  <c r="B1585" i="1"/>
  <c r="C1585" i="1"/>
  <c r="M1585" i="1"/>
  <c r="B1586" i="1"/>
  <c r="C1586" i="1"/>
  <c r="M1586" i="1"/>
  <c r="B1587" i="1"/>
  <c r="C1587" i="1"/>
  <c r="M1587" i="1"/>
  <c r="B1588" i="1"/>
  <c r="C1588" i="1"/>
  <c r="M1588" i="1"/>
  <c r="B1589" i="1"/>
  <c r="C1589" i="1"/>
  <c r="M1589" i="1"/>
  <c r="B1590" i="1"/>
  <c r="C1590" i="1"/>
  <c r="M1590" i="1"/>
  <c r="B1591" i="1"/>
  <c r="C1591" i="1"/>
  <c r="M1591" i="1"/>
  <c r="B1592" i="1"/>
  <c r="C1592" i="1"/>
  <c r="M1592" i="1"/>
  <c r="B1593" i="1"/>
  <c r="C1593" i="1"/>
  <c r="M1593" i="1"/>
  <c r="B1594" i="1"/>
  <c r="C1594" i="1"/>
  <c r="M1594" i="1"/>
  <c r="B1595" i="1"/>
  <c r="C1595" i="1"/>
  <c r="M1595" i="1"/>
  <c r="B1596" i="1"/>
  <c r="C1596" i="1"/>
  <c r="M1596" i="1"/>
  <c r="B1597" i="1"/>
  <c r="C1597" i="1"/>
  <c r="M1597" i="1"/>
  <c r="B1598" i="1"/>
  <c r="C1598" i="1"/>
  <c r="M1598" i="1"/>
  <c r="B1599" i="1"/>
  <c r="C1599" i="1"/>
  <c r="M1599" i="1"/>
  <c r="B1600" i="1"/>
  <c r="C1600" i="1"/>
  <c r="M1600" i="1"/>
  <c r="B1601" i="1"/>
  <c r="C1601" i="1"/>
  <c r="M1601" i="1"/>
  <c r="B1602" i="1"/>
  <c r="C1602" i="1"/>
  <c r="M1602" i="1"/>
  <c r="B1603" i="1"/>
  <c r="C1603" i="1"/>
  <c r="M1603" i="1"/>
  <c r="B1604" i="1"/>
  <c r="C1604" i="1"/>
  <c r="M1604" i="1"/>
  <c r="B1605" i="1"/>
  <c r="C1605" i="1"/>
  <c r="M1605" i="1"/>
  <c r="B1606" i="1"/>
  <c r="C1606" i="1"/>
  <c r="M1606" i="1"/>
  <c r="B1607" i="1"/>
  <c r="C1607" i="1"/>
  <c r="M1607" i="1"/>
  <c r="B1608" i="1"/>
  <c r="C1608" i="1"/>
  <c r="M1608" i="1"/>
  <c r="B1609" i="1"/>
  <c r="C1609" i="1"/>
  <c r="M1609" i="1"/>
  <c r="B1610" i="1"/>
  <c r="C1610" i="1"/>
  <c r="M1610" i="1"/>
  <c r="B1611" i="1"/>
  <c r="C1611" i="1"/>
  <c r="M1611" i="1"/>
  <c r="B1612" i="1"/>
  <c r="C1612" i="1"/>
  <c r="M1612" i="1"/>
  <c r="B1613" i="1"/>
  <c r="C1613" i="1"/>
  <c r="M1613" i="1"/>
  <c r="B1614" i="1"/>
  <c r="C1614" i="1"/>
  <c r="M1614" i="1"/>
  <c r="B1615" i="1"/>
  <c r="C1615" i="1"/>
  <c r="M1615" i="1"/>
  <c r="B1616" i="1"/>
  <c r="C1616" i="1"/>
  <c r="M1616" i="1"/>
  <c r="B1617" i="1"/>
  <c r="C1617" i="1"/>
  <c r="M1617" i="1"/>
  <c r="B1618" i="1"/>
  <c r="C1618" i="1"/>
  <c r="M1618" i="1"/>
  <c r="B1619" i="1"/>
  <c r="C1619" i="1"/>
  <c r="M1619" i="1"/>
  <c r="B1620" i="1"/>
  <c r="C1620" i="1"/>
  <c r="M1620" i="1"/>
  <c r="B1621" i="1"/>
  <c r="C1621" i="1"/>
  <c r="M1621" i="1"/>
  <c r="B1622" i="1"/>
  <c r="C1622" i="1"/>
  <c r="M1622" i="1"/>
  <c r="B1623" i="1"/>
  <c r="C1623" i="1"/>
  <c r="M1623" i="1"/>
  <c r="B1624" i="1"/>
  <c r="C1624" i="1"/>
  <c r="M1624" i="1"/>
  <c r="B1625" i="1"/>
  <c r="C1625" i="1"/>
  <c r="M1625" i="1"/>
  <c r="B1626" i="1"/>
  <c r="C1626" i="1"/>
  <c r="M1626" i="1"/>
  <c r="B1627" i="1"/>
  <c r="C1627" i="1"/>
  <c r="M1627" i="1"/>
  <c r="B1628" i="1"/>
  <c r="C1628" i="1"/>
  <c r="M1628" i="1"/>
  <c r="B1629" i="1"/>
  <c r="C1629" i="1"/>
  <c r="M1629" i="1"/>
  <c r="B1630" i="1"/>
  <c r="C1630" i="1"/>
  <c r="M1630" i="1"/>
  <c r="B1631" i="1"/>
  <c r="C1631" i="1"/>
  <c r="M1631" i="1"/>
  <c r="B1632" i="1"/>
  <c r="C1632" i="1"/>
  <c r="M1632" i="1"/>
  <c r="B1633" i="1"/>
  <c r="C1633" i="1"/>
  <c r="M1633" i="1"/>
  <c r="B1634" i="1"/>
  <c r="C1634" i="1"/>
  <c r="M1634" i="1"/>
  <c r="B1635" i="1"/>
  <c r="C1635" i="1"/>
  <c r="M1635" i="1"/>
  <c r="B1636" i="1"/>
  <c r="C1636" i="1"/>
  <c r="M1636" i="1"/>
  <c r="B1637" i="1"/>
  <c r="C1637" i="1"/>
  <c r="M1637" i="1"/>
  <c r="B1638" i="1"/>
  <c r="C1638" i="1"/>
  <c r="M1638" i="1"/>
  <c r="B1639" i="1"/>
  <c r="C1639" i="1"/>
  <c r="M1639" i="1"/>
  <c r="B1640" i="1"/>
  <c r="C1640" i="1"/>
  <c r="M1640" i="1"/>
  <c r="B1641" i="1"/>
  <c r="C1641" i="1"/>
  <c r="M1641" i="1"/>
  <c r="B1642" i="1"/>
  <c r="C1642" i="1"/>
  <c r="M1642" i="1"/>
  <c r="B1643" i="1"/>
  <c r="C1643" i="1"/>
  <c r="M1643" i="1"/>
  <c r="B1644" i="1"/>
  <c r="C1644" i="1"/>
  <c r="M1644" i="1"/>
  <c r="B1645" i="1"/>
  <c r="C1645" i="1"/>
  <c r="M1645" i="1"/>
  <c r="B1646" i="1"/>
  <c r="C1646" i="1"/>
  <c r="M1646" i="1"/>
  <c r="B1647" i="1"/>
  <c r="C1647" i="1"/>
  <c r="M1647" i="1"/>
  <c r="B1648" i="1"/>
  <c r="C1648" i="1"/>
  <c r="M1648" i="1"/>
  <c r="B1649" i="1"/>
  <c r="C1649" i="1"/>
  <c r="M1649" i="1"/>
  <c r="B1650" i="1"/>
  <c r="C1650" i="1"/>
  <c r="M1650" i="1"/>
  <c r="B1651" i="1"/>
  <c r="C1651" i="1"/>
  <c r="M1651" i="1"/>
  <c r="B1652" i="1"/>
  <c r="C1652" i="1"/>
  <c r="M1652" i="1"/>
  <c r="B1653" i="1"/>
  <c r="C1653" i="1"/>
  <c r="M1653" i="1"/>
  <c r="B1654" i="1"/>
  <c r="C1654" i="1"/>
  <c r="M1654" i="1"/>
  <c r="B1655" i="1"/>
  <c r="C1655" i="1"/>
  <c r="M1655" i="1"/>
  <c r="B1656" i="1"/>
  <c r="C1656" i="1"/>
  <c r="M1656" i="1"/>
  <c r="B1657" i="1"/>
  <c r="C1657" i="1"/>
  <c r="M1657" i="1"/>
  <c r="B1658" i="1"/>
  <c r="C1658" i="1"/>
  <c r="M1658" i="1"/>
  <c r="B1659" i="1"/>
  <c r="C1659" i="1"/>
  <c r="M1659" i="1"/>
  <c r="B1660" i="1"/>
  <c r="C1660" i="1"/>
  <c r="M1660" i="1"/>
  <c r="B1661" i="1"/>
  <c r="C1661" i="1"/>
  <c r="M1661" i="1"/>
  <c r="B1662" i="1"/>
  <c r="C1662" i="1"/>
  <c r="M1662" i="1"/>
  <c r="B1663" i="1"/>
  <c r="C1663" i="1"/>
  <c r="M1663" i="1"/>
  <c r="B1664" i="1"/>
  <c r="C1664" i="1"/>
  <c r="M1664" i="1"/>
  <c r="B1665" i="1"/>
  <c r="C1665" i="1"/>
  <c r="M1665" i="1"/>
  <c r="B1666" i="1"/>
  <c r="C1666" i="1"/>
  <c r="M1666" i="1"/>
  <c r="B1667" i="1"/>
  <c r="C1667" i="1"/>
  <c r="M1667" i="1"/>
  <c r="B1668" i="1"/>
  <c r="C1668" i="1"/>
  <c r="M1668" i="1"/>
  <c r="B1669" i="1"/>
  <c r="C1669" i="1"/>
  <c r="M1669" i="1"/>
  <c r="B1670" i="1"/>
  <c r="C1670" i="1"/>
  <c r="M1670" i="1"/>
  <c r="B1671" i="1"/>
  <c r="C1671" i="1"/>
  <c r="M1671" i="1"/>
  <c r="B1672" i="1"/>
  <c r="C1672" i="1"/>
  <c r="M1672" i="1"/>
  <c r="B1673" i="1"/>
  <c r="C1673" i="1"/>
  <c r="M1673" i="1"/>
  <c r="B1674" i="1"/>
  <c r="C1674" i="1"/>
  <c r="M1674" i="1"/>
  <c r="B1675" i="1"/>
  <c r="C1675" i="1"/>
  <c r="M1675" i="1"/>
  <c r="B1676" i="1"/>
  <c r="C1676" i="1"/>
  <c r="M1676" i="1"/>
  <c r="B1677" i="1"/>
  <c r="C1677" i="1"/>
  <c r="M1677" i="1"/>
  <c r="B1678" i="1"/>
  <c r="C1678" i="1"/>
  <c r="M1678" i="1"/>
  <c r="B1679" i="1"/>
  <c r="C1679" i="1"/>
  <c r="M1679" i="1"/>
  <c r="B1680" i="1"/>
  <c r="C1680" i="1"/>
  <c r="M1680" i="1"/>
  <c r="B1681" i="1"/>
  <c r="C1681" i="1"/>
  <c r="M1681" i="1"/>
  <c r="B1682" i="1"/>
  <c r="C1682" i="1"/>
  <c r="M1682" i="1"/>
  <c r="B1683" i="1"/>
  <c r="C1683" i="1"/>
  <c r="M1683" i="1"/>
  <c r="B1684" i="1"/>
  <c r="C1684" i="1"/>
  <c r="M1684" i="1"/>
  <c r="B1685" i="1"/>
  <c r="C1685" i="1"/>
  <c r="M1685" i="1"/>
  <c r="B1686" i="1"/>
  <c r="C1686" i="1"/>
  <c r="M1686" i="1"/>
  <c r="B1687" i="1"/>
  <c r="C1687" i="1"/>
  <c r="M1687" i="1"/>
  <c r="B1688" i="1"/>
  <c r="C1688" i="1"/>
  <c r="M1688" i="1"/>
  <c r="B1689" i="1"/>
  <c r="C1689" i="1"/>
  <c r="M1689" i="1"/>
  <c r="B1690" i="1"/>
  <c r="C1690" i="1"/>
  <c r="M1690" i="1"/>
  <c r="B1691" i="1"/>
  <c r="C1691" i="1"/>
  <c r="M1691" i="1"/>
  <c r="B1692" i="1"/>
  <c r="C1692" i="1"/>
  <c r="M1692" i="1"/>
  <c r="B1693" i="1"/>
  <c r="C1693" i="1"/>
  <c r="M1693" i="1"/>
  <c r="B1694" i="1"/>
  <c r="C1694" i="1"/>
  <c r="M1694" i="1"/>
  <c r="B1695" i="1"/>
  <c r="C1695" i="1"/>
  <c r="M1695" i="1"/>
  <c r="B1696" i="1"/>
  <c r="C1696" i="1"/>
  <c r="M1696" i="1"/>
  <c r="B1697" i="1"/>
  <c r="C1697" i="1"/>
  <c r="M1697" i="1"/>
  <c r="B1698" i="1"/>
  <c r="C1698" i="1"/>
  <c r="M1698" i="1"/>
  <c r="B1699" i="1"/>
  <c r="C1699" i="1"/>
  <c r="M1699" i="1"/>
  <c r="B1700" i="1"/>
  <c r="C1700" i="1"/>
  <c r="M1700" i="1"/>
  <c r="B1701" i="1"/>
  <c r="C1701" i="1"/>
  <c r="M1701" i="1"/>
  <c r="B1702" i="1"/>
  <c r="C1702" i="1"/>
  <c r="M1702" i="1"/>
  <c r="B1703" i="1"/>
  <c r="C1703" i="1"/>
  <c r="M1703" i="1"/>
  <c r="B1704" i="1"/>
  <c r="C1704" i="1"/>
  <c r="M1704" i="1"/>
  <c r="B1705" i="1"/>
  <c r="C1705" i="1"/>
  <c r="M1705" i="1"/>
  <c r="B1706" i="1"/>
  <c r="C1706" i="1"/>
  <c r="M1706" i="1"/>
  <c r="B1707" i="1"/>
  <c r="C1707" i="1"/>
  <c r="M1707" i="1"/>
  <c r="B1708" i="1"/>
  <c r="C1708" i="1"/>
  <c r="M1708" i="1"/>
  <c r="B1709" i="1"/>
  <c r="C1709" i="1"/>
  <c r="M1709" i="1"/>
  <c r="B1710" i="1"/>
  <c r="C1710" i="1"/>
  <c r="M1710" i="1"/>
  <c r="B1711" i="1"/>
  <c r="C1711" i="1"/>
  <c r="M1711" i="1"/>
  <c r="B1712" i="1"/>
  <c r="C1712" i="1"/>
  <c r="M1712" i="1"/>
  <c r="B1713" i="1"/>
  <c r="C1713" i="1"/>
  <c r="M1713" i="1"/>
  <c r="B1714" i="1"/>
  <c r="C1714" i="1"/>
  <c r="M1714" i="1"/>
  <c r="B1715" i="1"/>
  <c r="C1715" i="1"/>
  <c r="M1715" i="1"/>
  <c r="B1716" i="1"/>
  <c r="C1716" i="1"/>
  <c r="M1716" i="1"/>
  <c r="B1717" i="1"/>
  <c r="C1717" i="1"/>
  <c r="M1717" i="1"/>
  <c r="B1718" i="1"/>
  <c r="C1718" i="1"/>
  <c r="M1718" i="1"/>
  <c r="B1719" i="1"/>
  <c r="C1719" i="1"/>
  <c r="M1719" i="1"/>
  <c r="B1720" i="1"/>
  <c r="C1720" i="1"/>
  <c r="M1720" i="1"/>
  <c r="B1721" i="1"/>
  <c r="C1721" i="1"/>
  <c r="M1721" i="1"/>
  <c r="B1722" i="1"/>
  <c r="C1722" i="1"/>
  <c r="M1722" i="1"/>
  <c r="B1723" i="1"/>
  <c r="C1723" i="1"/>
  <c r="M1723" i="1"/>
  <c r="B1724" i="1"/>
  <c r="C1724" i="1"/>
  <c r="M1724" i="1"/>
  <c r="B1725" i="1"/>
  <c r="C1725" i="1"/>
  <c r="M1725" i="1"/>
  <c r="B1726" i="1"/>
  <c r="C1726" i="1"/>
  <c r="M1726" i="1"/>
  <c r="B1727" i="1"/>
  <c r="C1727" i="1"/>
  <c r="M1727" i="1"/>
  <c r="B1728" i="1"/>
  <c r="C1728" i="1"/>
  <c r="M1728" i="1"/>
  <c r="B1729" i="1"/>
  <c r="C1729" i="1"/>
  <c r="M1729" i="1"/>
  <c r="B1730" i="1"/>
  <c r="C1730" i="1"/>
  <c r="M1730" i="1"/>
  <c r="B1731" i="1"/>
  <c r="C1731" i="1"/>
  <c r="M1731" i="1"/>
  <c r="B1732" i="1"/>
  <c r="C1732" i="1"/>
  <c r="M1732" i="1"/>
  <c r="B1733" i="1"/>
  <c r="C1733" i="1"/>
  <c r="M1733" i="1"/>
  <c r="B1734" i="1"/>
  <c r="C1734" i="1"/>
  <c r="M1734" i="1"/>
  <c r="B1735" i="1"/>
  <c r="C1735" i="1"/>
  <c r="M1735" i="1"/>
  <c r="B1736" i="1"/>
  <c r="C1736" i="1"/>
  <c r="M1736" i="1"/>
  <c r="B1737" i="1"/>
  <c r="C1737" i="1"/>
  <c r="M1737" i="1"/>
  <c r="B1738" i="1"/>
  <c r="C1738" i="1"/>
  <c r="M1738" i="1"/>
  <c r="B1739" i="1"/>
  <c r="C1739" i="1"/>
  <c r="M1739" i="1"/>
  <c r="B1740" i="1"/>
  <c r="C1740" i="1"/>
  <c r="M1740" i="1"/>
  <c r="B1741" i="1"/>
  <c r="C1741" i="1"/>
  <c r="M1741" i="1"/>
  <c r="B1742" i="1"/>
  <c r="C1742" i="1"/>
  <c r="M1742" i="1"/>
  <c r="B1743" i="1"/>
  <c r="C1743" i="1"/>
  <c r="M1743" i="1"/>
  <c r="B1744" i="1"/>
  <c r="C1744" i="1"/>
  <c r="M1744" i="1"/>
  <c r="B1745" i="1"/>
  <c r="C1745" i="1"/>
  <c r="M1745" i="1"/>
  <c r="B1746" i="1"/>
  <c r="C1746" i="1"/>
  <c r="M1746" i="1"/>
  <c r="B1747" i="1"/>
  <c r="C1747" i="1"/>
  <c r="M1747" i="1"/>
  <c r="B1748" i="1"/>
  <c r="C1748" i="1"/>
  <c r="M1748" i="1"/>
  <c r="B1749" i="1"/>
  <c r="C1749" i="1"/>
  <c r="M1749" i="1"/>
  <c r="B1750" i="1"/>
  <c r="C1750" i="1"/>
  <c r="M1750" i="1"/>
  <c r="B1751" i="1"/>
  <c r="C1751" i="1"/>
  <c r="M1751" i="1"/>
  <c r="B1752" i="1"/>
  <c r="C1752" i="1"/>
  <c r="M1752" i="1"/>
  <c r="B1753" i="1"/>
  <c r="C1753" i="1"/>
  <c r="M1753" i="1"/>
  <c r="B1754" i="1"/>
  <c r="C1754" i="1"/>
  <c r="M1754" i="1"/>
  <c r="B1755" i="1"/>
  <c r="C1755" i="1"/>
  <c r="M1755" i="1"/>
  <c r="B1756" i="1"/>
  <c r="C1756" i="1"/>
  <c r="M1756" i="1"/>
  <c r="B1757" i="1"/>
  <c r="C1757" i="1"/>
  <c r="M1757" i="1"/>
  <c r="B1758" i="1"/>
  <c r="C1758" i="1"/>
  <c r="M1758" i="1"/>
  <c r="B1759" i="1"/>
  <c r="C1759" i="1"/>
  <c r="M1759" i="1"/>
  <c r="B1760" i="1"/>
  <c r="C1760" i="1"/>
  <c r="M1760" i="1"/>
  <c r="B1761" i="1"/>
  <c r="C1761" i="1"/>
  <c r="M1761" i="1"/>
  <c r="B1762" i="1"/>
  <c r="C1762" i="1"/>
  <c r="M1762" i="1"/>
  <c r="B1763" i="1"/>
  <c r="C1763" i="1"/>
  <c r="M1763" i="1"/>
  <c r="B1764" i="1"/>
  <c r="C1764" i="1"/>
  <c r="M1764" i="1"/>
  <c r="B1765" i="1"/>
  <c r="C1765" i="1"/>
  <c r="M1765" i="1"/>
  <c r="B1766" i="1"/>
  <c r="C1766" i="1"/>
  <c r="M1766" i="1"/>
  <c r="B1767" i="1"/>
  <c r="C1767" i="1"/>
  <c r="M1767" i="1"/>
  <c r="B1768" i="1"/>
  <c r="C1768" i="1"/>
  <c r="M1768" i="1"/>
  <c r="B1769" i="1"/>
  <c r="C1769" i="1"/>
  <c r="M1769" i="1"/>
  <c r="B1770" i="1"/>
  <c r="C1770" i="1"/>
  <c r="M1770" i="1"/>
  <c r="B1771" i="1"/>
  <c r="C1771" i="1"/>
  <c r="M1771" i="1"/>
  <c r="B1772" i="1"/>
  <c r="C1772" i="1"/>
  <c r="M1772" i="1"/>
  <c r="B1773" i="1"/>
  <c r="C1773" i="1"/>
  <c r="M1773" i="1"/>
  <c r="B1774" i="1"/>
  <c r="C1774" i="1"/>
  <c r="M1774" i="1"/>
  <c r="B1775" i="1"/>
  <c r="C1775" i="1"/>
  <c r="M1775" i="1"/>
  <c r="B1776" i="1"/>
  <c r="C1776" i="1"/>
  <c r="M1776" i="1"/>
  <c r="B1777" i="1"/>
  <c r="C1777" i="1"/>
  <c r="M1777" i="1"/>
  <c r="B1778" i="1"/>
  <c r="C1778" i="1"/>
  <c r="M1778" i="1"/>
  <c r="B1779" i="1"/>
  <c r="C1779" i="1"/>
  <c r="M1779" i="1"/>
  <c r="B1780" i="1"/>
  <c r="C1780" i="1"/>
  <c r="M1780" i="1"/>
  <c r="B1781" i="1"/>
  <c r="C1781" i="1"/>
  <c r="M1781" i="1"/>
  <c r="B1782" i="1"/>
  <c r="C1782" i="1"/>
  <c r="M1782" i="1"/>
  <c r="B1783" i="1"/>
  <c r="C1783" i="1"/>
  <c r="M1783" i="1"/>
  <c r="B1784" i="1"/>
  <c r="C1784" i="1"/>
  <c r="M1784" i="1"/>
  <c r="B1785" i="1"/>
  <c r="C1785" i="1"/>
  <c r="M1785" i="1"/>
  <c r="B1786" i="1"/>
  <c r="C1786" i="1"/>
  <c r="M1786" i="1"/>
  <c r="B1787" i="1"/>
  <c r="C1787" i="1"/>
  <c r="M1787" i="1"/>
  <c r="B1788" i="1"/>
  <c r="C1788" i="1"/>
  <c r="M1788" i="1"/>
  <c r="B1789" i="1"/>
  <c r="C1789" i="1"/>
  <c r="M1789" i="1"/>
  <c r="B1790" i="1"/>
  <c r="C1790" i="1"/>
  <c r="M1790" i="1"/>
  <c r="B1791" i="1"/>
  <c r="C1791" i="1"/>
  <c r="M1791" i="1"/>
  <c r="B1792" i="1"/>
  <c r="C1792" i="1"/>
  <c r="M1792" i="1"/>
  <c r="B1793" i="1"/>
  <c r="C1793" i="1"/>
  <c r="M1793" i="1"/>
  <c r="B1794" i="1"/>
  <c r="C1794" i="1"/>
  <c r="M1794" i="1"/>
  <c r="B1795" i="1"/>
  <c r="C1795" i="1"/>
  <c r="M1795" i="1"/>
  <c r="B1796" i="1"/>
  <c r="C1796" i="1"/>
  <c r="M1796" i="1"/>
  <c r="B1797" i="1"/>
  <c r="C1797" i="1"/>
  <c r="M1797" i="1"/>
  <c r="B1798" i="1"/>
  <c r="C1798" i="1"/>
  <c r="M1798" i="1"/>
  <c r="B1799" i="1"/>
  <c r="C1799" i="1"/>
  <c r="M1799" i="1"/>
  <c r="B1800" i="1"/>
  <c r="C1800" i="1"/>
  <c r="M1800" i="1"/>
  <c r="B1801" i="1"/>
  <c r="C1801" i="1"/>
  <c r="M1801" i="1"/>
  <c r="B1802" i="1"/>
  <c r="C1802" i="1"/>
  <c r="M1802" i="1"/>
  <c r="B1803" i="1"/>
  <c r="C1803" i="1"/>
  <c r="M1803" i="1"/>
  <c r="B1804" i="1"/>
  <c r="C1804" i="1"/>
  <c r="M1804" i="1"/>
  <c r="B1805" i="1"/>
  <c r="C1805" i="1"/>
  <c r="M1805" i="1"/>
  <c r="B1806" i="1"/>
  <c r="C1806" i="1"/>
  <c r="M1806" i="1"/>
  <c r="B1807" i="1"/>
  <c r="C1807" i="1"/>
  <c r="M1807" i="1"/>
  <c r="B1808" i="1"/>
  <c r="C1808" i="1"/>
  <c r="M1808" i="1"/>
  <c r="B1809" i="1"/>
  <c r="C1809" i="1"/>
  <c r="M1809" i="1"/>
  <c r="B1810" i="1"/>
  <c r="C1810" i="1"/>
  <c r="M1810" i="1"/>
  <c r="B1811" i="1"/>
  <c r="C1811" i="1"/>
  <c r="M1811" i="1"/>
  <c r="B1812" i="1"/>
  <c r="C1812" i="1"/>
  <c r="M1812" i="1"/>
  <c r="B1813" i="1"/>
  <c r="C1813" i="1"/>
  <c r="M1813" i="1"/>
  <c r="B1814" i="1"/>
  <c r="C1814" i="1"/>
  <c r="M1814" i="1"/>
  <c r="B1815" i="1"/>
  <c r="C1815" i="1"/>
  <c r="M1815" i="1"/>
  <c r="B1816" i="1"/>
  <c r="C1816" i="1"/>
  <c r="M1816" i="1"/>
  <c r="B1817" i="1"/>
  <c r="C1817" i="1"/>
  <c r="M1817" i="1"/>
  <c r="B1818" i="1"/>
  <c r="C1818" i="1"/>
  <c r="M1818" i="1"/>
  <c r="B1819" i="1"/>
  <c r="C1819" i="1"/>
  <c r="M1819" i="1"/>
  <c r="B1820" i="1"/>
  <c r="C1820" i="1"/>
  <c r="M1820" i="1"/>
  <c r="B1821" i="1"/>
  <c r="C1821" i="1"/>
  <c r="M1821" i="1"/>
  <c r="B1822" i="1"/>
  <c r="C1822" i="1"/>
  <c r="M1822" i="1"/>
  <c r="B1823" i="1"/>
  <c r="C1823" i="1"/>
  <c r="M1823" i="1"/>
  <c r="B1824" i="1"/>
  <c r="C1824" i="1"/>
  <c r="M1824" i="1"/>
  <c r="B1825" i="1"/>
  <c r="C1825" i="1"/>
  <c r="M1825" i="1"/>
  <c r="B1826" i="1"/>
  <c r="C1826" i="1"/>
  <c r="M1826" i="1"/>
  <c r="B1827" i="1"/>
  <c r="C1827" i="1"/>
  <c r="M1827" i="1"/>
  <c r="B1828" i="1"/>
  <c r="C1828" i="1"/>
  <c r="M1828" i="1"/>
  <c r="B1829" i="1"/>
  <c r="C1829" i="1"/>
  <c r="M1829" i="1"/>
  <c r="B1830" i="1"/>
  <c r="C1830" i="1"/>
  <c r="M1830" i="1"/>
  <c r="B1831" i="1"/>
  <c r="C1831" i="1"/>
  <c r="M1831" i="1"/>
  <c r="B1832" i="1"/>
  <c r="C1832" i="1"/>
  <c r="M1832" i="1"/>
  <c r="B1833" i="1"/>
  <c r="C1833" i="1"/>
  <c r="M1833" i="1"/>
  <c r="B1834" i="1"/>
  <c r="C1834" i="1"/>
  <c r="M1834" i="1"/>
  <c r="B1835" i="1"/>
  <c r="C1835" i="1"/>
  <c r="M1835" i="1"/>
  <c r="B1836" i="1"/>
  <c r="C1836" i="1"/>
  <c r="M1836" i="1"/>
  <c r="B1837" i="1"/>
  <c r="C1837" i="1"/>
  <c r="M1837" i="1"/>
  <c r="B1838" i="1"/>
  <c r="C1838" i="1"/>
  <c r="M1838" i="1"/>
  <c r="B1839" i="1"/>
  <c r="C1839" i="1"/>
  <c r="M1839" i="1"/>
  <c r="B1840" i="1"/>
  <c r="C1840" i="1"/>
  <c r="M1840" i="1"/>
  <c r="B1841" i="1"/>
  <c r="C1841" i="1"/>
  <c r="M1841" i="1"/>
  <c r="B1842" i="1"/>
  <c r="C1842" i="1"/>
  <c r="M1842" i="1"/>
  <c r="B1843" i="1"/>
  <c r="C1843" i="1"/>
  <c r="M1843" i="1"/>
  <c r="B1844" i="1"/>
  <c r="C1844" i="1"/>
  <c r="M1844" i="1"/>
  <c r="B1845" i="1"/>
  <c r="C1845" i="1"/>
  <c r="M1845" i="1"/>
  <c r="B1846" i="1"/>
  <c r="C1846" i="1"/>
  <c r="M1846" i="1"/>
  <c r="B1847" i="1"/>
  <c r="C1847" i="1"/>
  <c r="M1847" i="1"/>
  <c r="B1848" i="1"/>
  <c r="C1848" i="1"/>
  <c r="M1848" i="1"/>
  <c r="B1849" i="1"/>
  <c r="C1849" i="1"/>
  <c r="M1849" i="1"/>
  <c r="B1850" i="1"/>
  <c r="C1850" i="1"/>
  <c r="M1850" i="1"/>
  <c r="B1851" i="1"/>
  <c r="C1851" i="1"/>
  <c r="M1851" i="1"/>
  <c r="B1852" i="1"/>
  <c r="C1852" i="1"/>
  <c r="M1852" i="1"/>
  <c r="B1853" i="1"/>
  <c r="C1853" i="1"/>
  <c r="M1853" i="1"/>
  <c r="B1854" i="1"/>
  <c r="C1854" i="1"/>
  <c r="M1854" i="1"/>
  <c r="B1855" i="1"/>
  <c r="C1855" i="1"/>
  <c r="M1855" i="1"/>
  <c r="B1856" i="1"/>
  <c r="C1856" i="1"/>
  <c r="M1856" i="1"/>
  <c r="B1857" i="1"/>
  <c r="C1857" i="1"/>
  <c r="M1857" i="1"/>
  <c r="B1858" i="1"/>
  <c r="C1858" i="1"/>
  <c r="M1858" i="1"/>
  <c r="B1859" i="1"/>
  <c r="C1859" i="1"/>
  <c r="M1859" i="1"/>
  <c r="B1860" i="1"/>
  <c r="C1860" i="1"/>
  <c r="M1860" i="1"/>
  <c r="B1861" i="1"/>
  <c r="C1861" i="1"/>
  <c r="M1861" i="1"/>
  <c r="B1862" i="1"/>
  <c r="C1862" i="1"/>
  <c r="M1862" i="1"/>
  <c r="B1863" i="1"/>
  <c r="C1863" i="1"/>
  <c r="M1863" i="1"/>
  <c r="B1864" i="1"/>
  <c r="C1864" i="1"/>
  <c r="M1864" i="1"/>
  <c r="B1865" i="1"/>
  <c r="C1865" i="1"/>
  <c r="M1865" i="1"/>
  <c r="B1866" i="1"/>
  <c r="C1866" i="1"/>
  <c r="M1866" i="1"/>
  <c r="B1867" i="1"/>
  <c r="C1867" i="1"/>
  <c r="M1867" i="1"/>
  <c r="B1868" i="1"/>
  <c r="C1868" i="1"/>
  <c r="M1868" i="1"/>
  <c r="B1869" i="1"/>
  <c r="C1869" i="1"/>
  <c r="M1869" i="1"/>
  <c r="B1870" i="1"/>
  <c r="C1870" i="1"/>
  <c r="M1870" i="1"/>
  <c r="B1871" i="1"/>
  <c r="C1871" i="1"/>
  <c r="M1871" i="1"/>
  <c r="B1872" i="1"/>
  <c r="C1872" i="1"/>
  <c r="M1872" i="1"/>
  <c r="B1873" i="1"/>
  <c r="C1873" i="1"/>
  <c r="M1873" i="1"/>
  <c r="B1874" i="1"/>
  <c r="C1874" i="1"/>
  <c r="M1874" i="1"/>
  <c r="B1875" i="1"/>
  <c r="C1875" i="1"/>
  <c r="M1875" i="1"/>
  <c r="B1876" i="1"/>
  <c r="C1876" i="1"/>
  <c r="M1876" i="1"/>
  <c r="B1877" i="1"/>
  <c r="C1877" i="1"/>
  <c r="M1877" i="1"/>
  <c r="B1878" i="1"/>
  <c r="C1878" i="1"/>
  <c r="M1878" i="1"/>
  <c r="B1879" i="1"/>
  <c r="C1879" i="1"/>
  <c r="M1879" i="1"/>
  <c r="B1880" i="1"/>
  <c r="C1880" i="1"/>
  <c r="M1880" i="1"/>
  <c r="B1881" i="1"/>
  <c r="C1881" i="1"/>
  <c r="M1881" i="1"/>
  <c r="B1882" i="1"/>
  <c r="C1882" i="1"/>
  <c r="M1882" i="1"/>
  <c r="B1883" i="1"/>
  <c r="C1883" i="1"/>
  <c r="M1883" i="1"/>
  <c r="B1884" i="1"/>
  <c r="C1884" i="1"/>
  <c r="M1884" i="1"/>
  <c r="B1885" i="1"/>
  <c r="C1885" i="1"/>
  <c r="M1885" i="1"/>
  <c r="B1886" i="1"/>
  <c r="C1886" i="1"/>
  <c r="M1886" i="1"/>
  <c r="B1887" i="1"/>
  <c r="C1887" i="1"/>
  <c r="M1887" i="1"/>
  <c r="B1888" i="1"/>
  <c r="C1888" i="1"/>
  <c r="M1888" i="1"/>
  <c r="B1889" i="1"/>
  <c r="C1889" i="1"/>
  <c r="M1889" i="1"/>
  <c r="B1890" i="1"/>
  <c r="C1890" i="1"/>
  <c r="M1890" i="1"/>
  <c r="B1891" i="1"/>
  <c r="C1891" i="1"/>
  <c r="M1891" i="1"/>
  <c r="B1892" i="1"/>
  <c r="C1892" i="1"/>
  <c r="M1892" i="1"/>
  <c r="B1893" i="1"/>
  <c r="C1893" i="1"/>
  <c r="M1893" i="1"/>
  <c r="B1894" i="1"/>
  <c r="C1894" i="1"/>
  <c r="M1894" i="1"/>
  <c r="B1895" i="1"/>
  <c r="C1895" i="1"/>
  <c r="M1895" i="1"/>
  <c r="B1896" i="1"/>
  <c r="C1896" i="1"/>
  <c r="M1896" i="1"/>
  <c r="B1897" i="1"/>
  <c r="C1897" i="1"/>
  <c r="M1897" i="1"/>
  <c r="B1898" i="1"/>
  <c r="C1898" i="1"/>
  <c r="M1898" i="1"/>
  <c r="B1899" i="1"/>
  <c r="C1899" i="1"/>
  <c r="M1899" i="1"/>
  <c r="B1900" i="1"/>
  <c r="C1900" i="1"/>
  <c r="M1900" i="1"/>
  <c r="B1901" i="1"/>
  <c r="C1901" i="1"/>
  <c r="M1901" i="1"/>
  <c r="B1902" i="1"/>
  <c r="C1902" i="1"/>
  <c r="M1902" i="1"/>
  <c r="B1903" i="1"/>
  <c r="C1903" i="1"/>
  <c r="M1903" i="1"/>
  <c r="B1904" i="1"/>
  <c r="C1904" i="1"/>
  <c r="M1904" i="1"/>
  <c r="B1905" i="1"/>
  <c r="C1905" i="1"/>
  <c r="M1905" i="1"/>
  <c r="B1906" i="1"/>
  <c r="C1906" i="1"/>
  <c r="M1906" i="1"/>
  <c r="B1907" i="1"/>
  <c r="C1907" i="1"/>
  <c r="M1907" i="1"/>
  <c r="B1908" i="1"/>
  <c r="C1908" i="1"/>
  <c r="M1908" i="1"/>
  <c r="B1909" i="1"/>
  <c r="C1909" i="1"/>
  <c r="M1909" i="1"/>
  <c r="B1910" i="1"/>
  <c r="C1910" i="1"/>
  <c r="M1910" i="1"/>
  <c r="B1911" i="1"/>
  <c r="C1911" i="1"/>
  <c r="M1911" i="1"/>
  <c r="B1912" i="1"/>
  <c r="C1912" i="1"/>
  <c r="M1912" i="1"/>
  <c r="B1913" i="1"/>
  <c r="C1913" i="1"/>
  <c r="M1913" i="1"/>
  <c r="B1914" i="1"/>
  <c r="C1914" i="1"/>
  <c r="M1914" i="1"/>
  <c r="B1915" i="1"/>
  <c r="C1915" i="1"/>
  <c r="M1915" i="1"/>
  <c r="B1916" i="1"/>
  <c r="C1916" i="1"/>
  <c r="M1916" i="1"/>
  <c r="B1917" i="1"/>
  <c r="C1917" i="1"/>
  <c r="M1917" i="1"/>
  <c r="B1918" i="1"/>
  <c r="C1918" i="1"/>
  <c r="M1918" i="1"/>
  <c r="B1919" i="1"/>
  <c r="C1919" i="1"/>
  <c r="M1919" i="1"/>
  <c r="B1920" i="1"/>
  <c r="C1920" i="1"/>
  <c r="M1920" i="1"/>
  <c r="B1921" i="1"/>
  <c r="C1921" i="1"/>
  <c r="M1921" i="1"/>
  <c r="B1922" i="1"/>
  <c r="C1922" i="1"/>
  <c r="M1922" i="1"/>
  <c r="B1923" i="1"/>
  <c r="C1923" i="1"/>
  <c r="M1923" i="1"/>
  <c r="B1924" i="1"/>
  <c r="C1924" i="1"/>
  <c r="M1924" i="1"/>
  <c r="B1925" i="1"/>
  <c r="C1925" i="1"/>
  <c r="M1925" i="1"/>
  <c r="B1926" i="1"/>
  <c r="C1926" i="1"/>
  <c r="M1926" i="1"/>
  <c r="B1927" i="1"/>
  <c r="C1927" i="1"/>
  <c r="M1927" i="1"/>
  <c r="B1928" i="1"/>
  <c r="C1928" i="1"/>
  <c r="M1928" i="1"/>
  <c r="B1929" i="1"/>
  <c r="C1929" i="1"/>
  <c r="M1929" i="1"/>
  <c r="B1930" i="1"/>
  <c r="C1930" i="1"/>
  <c r="M1930" i="1"/>
  <c r="B1931" i="1"/>
  <c r="C1931" i="1"/>
  <c r="M1931" i="1"/>
  <c r="B1932" i="1"/>
  <c r="C1932" i="1"/>
  <c r="M1932" i="1"/>
  <c r="B1933" i="1"/>
  <c r="C1933" i="1"/>
  <c r="M1933" i="1"/>
  <c r="B1934" i="1"/>
  <c r="C1934" i="1"/>
  <c r="M1934" i="1"/>
  <c r="B1935" i="1"/>
  <c r="C1935" i="1"/>
  <c r="M1935" i="1"/>
  <c r="B1936" i="1"/>
  <c r="C1936" i="1"/>
  <c r="M1936" i="1"/>
  <c r="B1937" i="1"/>
  <c r="C1937" i="1"/>
  <c r="M1937" i="1"/>
  <c r="B1938" i="1"/>
  <c r="C1938" i="1"/>
  <c r="M1938" i="1"/>
  <c r="B1939" i="1"/>
  <c r="C1939" i="1"/>
  <c r="M1939" i="1"/>
  <c r="B1940" i="1"/>
  <c r="C1940" i="1"/>
  <c r="M1940" i="1"/>
  <c r="B1941" i="1"/>
  <c r="C1941" i="1"/>
  <c r="M1941" i="1"/>
  <c r="B1942" i="1"/>
  <c r="C1942" i="1"/>
  <c r="M1942" i="1"/>
  <c r="B1943" i="1"/>
  <c r="C1943" i="1"/>
  <c r="M1943" i="1"/>
  <c r="B1944" i="1"/>
  <c r="C1944" i="1"/>
  <c r="M1944" i="1"/>
  <c r="B1945" i="1"/>
  <c r="C1945" i="1"/>
  <c r="M1945" i="1"/>
  <c r="B1946" i="1"/>
  <c r="C1946" i="1"/>
  <c r="M1946" i="1"/>
  <c r="B1947" i="1"/>
  <c r="C1947" i="1"/>
  <c r="M1947" i="1"/>
  <c r="B1948" i="1"/>
  <c r="C1948" i="1"/>
  <c r="M1948" i="1"/>
  <c r="B1949" i="1"/>
  <c r="C1949" i="1"/>
  <c r="M1949" i="1"/>
  <c r="B1950" i="1"/>
  <c r="C1950" i="1"/>
  <c r="M1950" i="1"/>
  <c r="B1951" i="1"/>
  <c r="C1951" i="1"/>
  <c r="M1951" i="1"/>
  <c r="B1952" i="1"/>
  <c r="C1952" i="1"/>
  <c r="M1952" i="1"/>
  <c r="B1953" i="1"/>
  <c r="C1953" i="1"/>
  <c r="M1953" i="1"/>
  <c r="B1954" i="1"/>
  <c r="C1954" i="1"/>
  <c r="M1954" i="1"/>
  <c r="B1955" i="1"/>
  <c r="C1955" i="1"/>
  <c r="M1955" i="1"/>
  <c r="B1956" i="1"/>
  <c r="C1956" i="1"/>
  <c r="M1956" i="1"/>
  <c r="B1957" i="1"/>
  <c r="C1957" i="1"/>
  <c r="M1957" i="1"/>
  <c r="B1958" i="1"/>
  <c r="C1958" i="1"/>
  <c r="M1958" i="1"/>
  <c r="B1959" i="1"/>
  <c r="C1959" i="1"/>
  <c r="M1959" i="1"/>
  <c r="B1960" i="1"/>
  <c r="C1960" i="1"/>
  <c r="M1960" i="1"/>
  <c r="B1961" i="1"/>
  <c r="C1961" i="1"/>
  <c r="M1961" i="1"/>
  <c r="B1962" i="1"/>
  <c r="C1962" i="1"/>
  <c r="M1962" i="1"/>
  <c r="B1963" i="1"/>
  <c r="C1963" i="1"/>
  <c r="M1963" i="1"/>
  <c r="B1964" i="1"/>
  <c r="C1964" i="1"/>
  <c r="M1964" i="1"/>
  <c r="B1965" i="1"/>
  <c r="C1965" i="1"/>
  <c r="M1965" i="1"/>
  <c r="B1966" i="1"/>
  <c r="C1966" i="1"/>
  <c r="M1966" i="1"/>
  <c r="B1967" i="1"/>
  <c r="C1967" i="1"/>
  <c r="M1967" i="1"/>
  <c r="B1968" i="1"/>
  <c r="C1968" i="1"/>
  <c r="M1968" i="1"/>
  <c r="B1969" i="1"/>
  <c r="C1969" i="1"/>
  <c r="M1969" i="1"/>
  <c r="B1970" i="1"/>
  <c r="C1970" i="1"/>
  <c r="M1970" i="1"/>
  <c r="B1971" i="1"/>
  <c r="C1971" i="1"/>
  <c r="M1971" i="1"/>
  <c r="B1972" i="1"/>
  <c r="C1972" i="1"/>
  <c r="M1972" i="1"/>
  <c r="B1973" i="1"/>
  <c r="C1973" i="1"/>
  <c r="M1973" i="1"/>
  <c r="B1974" i="1"/>
  <c r="C1974" i="1"/>
  <c r="M1974" i="1"/>
  <c r="B1975" i="1"/>
  <c r="C1975" i="1"/>
  <c r="M1975" i="1"/>
  <c r="B1976" i="1"/>
  <c r="C1976" i="1"/>
  <c r="M1976" i="1"/>
  <c r="B1977" i="1"/>
  <c r="C1977" i="1"/>
  <c r="M1977" i="1"/>
  <c r="B1978" i="1"/>
  <c r="C1978" i="1"/>
  <c r="M1978" i="1"/>
  <c r="B1979" i="1"/>
  <c r="C1979" i="1"/>
  <c r="M1979" i="1"/>
  <c r="B1980" i="1"/>
  <c r="C1980" i="1"/>
  <c r="M1980" i="1"/>
  <c r="B1981" i="1"/>
  <c r="C1981" i="1"/>
  <c r="M1981" i="1"/>
  <c r="B1982" i="1"/>
  <c r="C1982" i="1"/>
  <c r="M1982" i="1"/>
  <c r="B1983" i="1"/>
  <c r="C1983" i="1"/>
  <c r="M1983" i="1"/>
  <c r="B1984" i="1"/>
  <c r="C1984" i="1"/>
  <c r="M1984" i="1"/>
  <c r="B1985" i="1"/>
  <c r="C1985" i="1"/>
  <c r="M1985" i="1"/>
  <c r="B1986" i="1"/>
  <c r="C1986" i="1"/>
  <c r="M1986" i="1"/>
  <c r="B1987" i="1"/>
  <c r="C1987" i="1"/>
  <c r="M1987" i="1"/>
  <c r="B1988" i="1"/>
  <c r="C1988" i="1"/>
  <c r="M1988" i="1"/>
  <c r="B1989" i="1"/>
  <c r="C1989" i="1"/>
  <c r="M1989" i="1"/>
  <c r="B1990" i="1"/>
  <c r="C1990" i="1"/>
  <c r="M1990" i="1"/>
  <c r="B1991" i="1"/>
  <c r="C1991" i="1"/>
  <c r="M1991" i="1"/>
  <c r="B1992" i="1"/>
  <c r="C1992" i="1"/>
  <c r="M1992" i="1"/>
  <c r="B1993" i="1"/>
  <c r="C1993" i="1"/>
  <c r="M1993" i="1"/>
  <c r="B1994" i="1"/>
  <c r="C1994" i="1"/>
  <c r="M1994" i="1"/>
  <c r="B1995" i="1"/>
  <c r="C1995" i="1"/>
  <c r="M1995" i="1"/>
  <c r="B1996" i="1"/>
  <c r="C1996" i="1"/>
  <c r="M1996" i="1"/>
  <c r="B1997" i="1"/>
  <c r="C1997" i="1"/>
  <c r="M1997" i="1"/>
  <c r="B1998" i="1"/>
  <c r="C1998" i="1"/>
  <c r="M1998" i="1"/>
  <c r="B1999" i="1"/>
  <c r="C1999" i="1"/>
  <c r="M1999" i="1"/>
  <c r="B2000" i="1"/>
  <c r="C2000" i="1"/>
  <c r="M2000" i="1"/>
  <c r="B2001" i="1"/>
  <c r="C2001" i="1"/>
  <c r="M2001" i="1"/>
  <c r="B2002" i="1"/>
  <c r="C2002" i="1"/>
  <c r="M2002" i="1"/>
  <c r="B2003" i="1"/>
  <c r="C2003" i="1"/>
  <c r="M2003" i="1"/>
  <c r="B2004" i="1"/>
  <c r="C2004" i="1"/>
  <c r="M2004" i="1"/>
  <c r="B2005" i="1"/>
  <c r="C2005" i="1"/>
  <c r="M2005" i="1"/>
  <c r="B2006" i="1"/>
  <c r="C2006" i="1"/>
  <c r="M2006" i="1"/>
  <c r="B2007" i="1"/>
  <c r="C2007" i="1"/>
  <c r="M2007" i="1"/>
  <c r="B2008" i="1"/>
  <c r="C2008" i="1"/>
  <c r="M2008" i="1"/>
  <c r="B2009" i="1"/>
  <c r="C2009" i="1"/>
  <c r="M2009" i="1"/>
  <c r="B2010" i="1"/>
  <c r="C2010" i="1"/>
  <c r="M2010" i="1"/>
  <c r="B2011" i="1"/>
  <c r="C2011" i="1"/>
  <c r="M2011" i="1"/>
  <c r="B2012" i="1"/>
  <c r="C2012" i="1"/>
  <c r="M2012" i="1"/>
  <c r="B2013" i="1"/>
  <c r="C2013" i="1"/>
  <c r="M2013" i="1"/>
  <c r="B2014" i="1"/>
  <c r="C2014" i="1"/>
  <c r="M2014" i="1"/>
  <c r="B2015" i="1"/>
  <c r="C2015" i="1"/>
  <c r="M2015" i="1"/>
  <c r="B2016" i="1"/>
  <c r="C2016" i="1"/>
  <c r="M2016" i="1"/>
  <c r="B2017" i="1"/>
  <c r="C2017" i="1"/>
  <c r="M2017" i="1"/>
  <c r="B2018" i="1"/>
  <c r="C2018" i="1"/>
  <c r="M2018" i="1"/>
  <c r="B2019" i="1"/>
  <c r="C2019" i="1"/>
  <c r="M2019" i="1"/>
  <c r="B2020" i="1"/>
  <c r="C2020" i="1"/>
  <c r="M2020" i="1"/>
  <c r="B2021" i="1"/>
  <c r="C2021" i="1"/>
  <c r="M2021" i="1"/>
  <c r="B2022" i="1"/>
  <c r="C2022" i="1"/>
  <c r="M2022" i="1"/>
  <c r="B2023" i="1"/>
  <c r="C2023" i="1"/>
  <c r="M2023" i="1"/>
  <c r="B2024" i="1"/>
  <c r="C2024" i="1"/>
  <c r="M2024" i="1"/>
  <c r="B2025" i="1"/>
  <c r="C2025" i="1"/>
  <c r="M2025" i="1"/>
  <c r="B2026" i="1"/>
  <c r="C2026" i="1"/>
  <c r="M2026" i="1"/>
  <c r="B2027" i="1"/>
  <c r="C2027" i="1"/>
  <c r="M2027" i="1"/>
  <c r="B2028" i="1"/>
  <c r="C2028" i="1"/>
  <c r="M2028" i="1"/>
  <c r="B2029" i="1"/>
  <c r="C2029" i="1"/>
  <c r="M2029" i="1"/>
  <c r="B2030" i="1"/>
  <c r="C2030" i="1"/>
  <c r="M2030" i="1"/>
  <c r="B2031" i="1"/>
  <c r="C2031" i="1"/>
  <c r="M2031" i="1"/>
  <c r="B2032" i="1"/>
  <c r="C2032" i="1"/>
  <c r="M2032" i="1"/>
  <c r="B2033" i="1"/>
  <c r="C2033" i="1"/>
  <c r="M2033" i="1"/>
  <c r="B2034" i="1"/>
  <c r="C2034" i="1"/>
  <c r="M2034" i="1"/>
  <c r="B2035" i="1"/>
  <c r="C2035" i="1"/>
  <c r="M2035" i="1"/>
  <c r="B2036" i="1"/>
  <c r="C2036" i="1"/>
  <c r="M2036" i="1"/>
  <c r="B2037" i="1"/>
  <c r="C2037" i="1"/>
  <c r="M2037" i="1"/>
  <c r="B2038" i="1"/>
  <c r="C2038" i="1"/>
  <c r="M2038" i="1"/>
  <c r="B2039" i="1"/>
  <c r="C2039" i="1"/>
  <c r="M2039" i="1"/>
  <c r="B2040" i="1"/>
  <c r="C2040" i="1"/>
  <c r="M2040" i="1"/>
  <c r="B2041" i="1"/>
  <c r="C2041" i="1"/>
  <c r="M2041" i="1"/>
  <c r="B2042" i="1"/>
  <c r="C2042" i="1"/>
  <c r="M2042" i="1"/>
  <c r="B2043" i="1"/>
  <c r="C2043" i="1"/>
  <c r="M2043" i="1"/>
  <c r="B2044" i="1"/>
  <c r="C2044" i="1"/>
  <c r="M2044" i="1"/>
  <c r="B2045" i="1"/>
  <c r="C2045" i="1"/>
  <c r="M2045" i="1"/>
  <c r="B2046" i="1"/>
  <c r="C2046" i="1"/>
  <c r="M2046" i="1"/>
  <c r="B2047" i="1"/>
  <c r="C2047" i="1"/>
  <c r="M2047" i="1"/>
  <c r="B2048" i="1"/>
  <c r="C2048" i="1"/>
  <c r="M2048" i="1"/>
  <c r="B2049" i="1"/>
  <c r="C2049" i="1"/>
  <c r="M2049" i="1"/>
  <c r="B2050" i="1"/>
  <c r="C2050" i="1"/>
  <c r="M2050" i="1"/>
  <c r="B2051" i="1"/>
  <c r="C2051" i="1"/>
  <c r="M2051" i="1"/>
  <c r="B2052" i="1"/>
  <c r="C2052" i="1"/>
  <c r="M2052" i="1"/>
  <c r="B2053" i="1"/>
  <c r="C2053" i="1"/>
  <c r="M2053" i="1"/>
  <c r="B2054" i="1"/>
  <c r="C2054" i="1"/>
  <c r="M2054" i="1"/>
  <c r="B2055" i="1"/>
  <c r="C2055" i="1"/>
  <c r="M2055" i="1"/>
  <c r="B2056" i="1"/>
  <c r="C2056" i="1"/>
  <c r="M2056" i="1"/>
  <c r="B2057" i="1"/>
  <c r="C2057" i="1"/>
  <c r="M2057" i="1"/>
  <c r="B2058" i="1"/>
  <c r="C2058" i="1"/>
  <c r="M2058" i="1"/>
  <c r="B2059" i="1"/>
  <c r="C2059" i="1"/>
  <c r="M2059" i="1"/>
  <c r="B2060" i="1"/>
  <c r="C2060" i="1"/>
  <c r="M2060" i="1"/>
  <c r="B2061" i="1"/>
  <c r="C2061" i="1"/>
  <c r="M2061" i="1"/>
  <c r="B2062" i="1"/>
  <c r="C2062" i="1"/>
  <c r="M2062" i="1"/>
  <c r="B2063" i="1"/>
  <c r="C2063" i="1"/>
  <c r="M2063" i="1"/>
  <c r="B2064" i="1"/>
  <c r="C2064" i="1"/>
  <c r="M2064" i="1"/>
  <c r="B2065" i="1"/>
  <c r="C2065" i="1"/>
  <c r="M2065" i="1"/>
  <c r="B2066" i="1"/>
  <c r="C2066" i="1"/>
  <c r="M2066" i="1"/>
  <c r="B2067" i="1"/>
  <c r="C2067" i="1"/>
  <c r="M2067" i="1"/>
  <c r="B2068" i="1"/>
  <c r="C2068" i="1"/>
  <c r="M2068" i="1"/>
  <c r="B2069" i="1"/>
  <c r="C2069" i="1"/>
  <c r="M2069" i="1"/>
  <c r="B2070" i="1"/>
  <c r="C2070" i="1"/>
  <c r="M2070" i="1"/>
  <c r="B2071" i="1"/>
  <c r="C2071" i="1"/>
  <c r="M2071" i="1"/>
  <c r="B2072" i="1"/>
  <c r="C2072" i="1"/>
  <c r="M2072" i="1"/>
  <c r="B2073" i="1"/>
  <c r="C2073" i="1"/>
  <c r="M2073" i="1"/>
  <c r="B2074" i="1"/>
  <c r="C2074" i="1"/>
  <c r="M2074" i="1"/>
  <c r="B2075" i="1"/>
  <c r="C2075" i="1"/>
  <c r="M2075" i="1"/>
  <c r="B2076" i="1"/>
  <c r="C2076" i="1"/>
  <c r="M2076" i="1"/>
  <c r="B2077" i="1"/>
  <c r="C2077" i="1"/>
  <c r="M2077" i="1"/>
  <c r="B2078" i="1"/>
  <c r="C2078" i="1"/>
  <c r="M2078" i="1"/>
  <c r="B2079" i="1"/>
  <c r="C2079" i="1"/>
  <c r="M2079" i="1"/>
  <c r="B2080" i="1"/>
  <c r="C2080" i="1"/>
  <c r="M2080" i="1"/>
  <c r="B2081" i="1"/>
  <c r="C2081" i="1"/>
  <c r="M2081" i="1"/>
  <c r="B2082" i="1"/>
  <c r="C2082" i="1"/>
  <c r="M2082" i="1"/>
  <c r="B2083" i="1"/>
  <c r="C2083" i="1"/>
  <c r="M2083" i="1"/>
  <c r="B2084" i="1"/>
  <c r="C2084" i="1"/>
  <c r="M2084" i="1"/>
  <c r="B2085" i="1"/>
  <c r="C2085" i="1"/>
  <c r="M2085" i="1"/>
  <c r="B2086" i="1"/>
  <c r="C2086" i="1"/>
  <c r="M2086" i="1"/>
  <c r="B2087" i="1"/>
  <c r="C2087" i="1"/>
  <c r="M2087" i="1"/>
  <c r="B2088" i="1"/>
  <c r="C2088" i="1"/>
  <c r="M2088" i="1"/>
  <c r="B2089" i="1"/>
  <c r="C2089" i="1"/>
  <c r="M2089" i="1"/>
  <c r="B2090" i="1"/>
  <c r="C2090" i="1"/>
  <c r="M2090" i="1"/>
  <c r="B2091" i="1"/>
  <c r="C2091" i="1"/>
  <c r="M2091" i="1"/>
  <c r="B2092" i="1"/>
  <c r="C2092" i="1"/>
  <c r="M2092" i="1"/>
  <c r="B2093" i="1"/>
  <c r="C2093" i="1"/>
  <c r="M2093" i="1"/>
  <c r="B2094" i="1"/>
  <c r="C2094" i="1"/>
  <c r="M2094" i="1"/>
  <c r="B2095" i="1"/>
  <c r="C2095" i="1"/>
  <c r="M2095" i="1"/>
  <c r="B2096" i="1"/>
  <c r="C2096" i="1"/>
  <c r="M2096" i="1"/>
  <c r="B2097" i="1"/>
  <c r="C2097" i="1"/>
  <c r="M2097" i="1"/>
  <c r="B2098" i="1"/>
  <c r="C2098" i="1"/>
  <c r="M2098" i="1"/>
  <c r="B2099" i="1"/>
  <c r="C2099" i="1"/>
  <c r="M2099" i="1"/>
  <c r="B2100" i="1"/>
  <c r="C2100" i="1"/>
  <c r="M2100" i="1"/>
  <c r="B2101" i="1"/>
  <c r="C2101" i="1"/>
  <c r="M2101" i="1"/>
  <c r="B2102" i="1"/>
  <c r="C2102" i="1"/>
  <c r="M2102" i="1"/>
  <c r="B2103" i="1"/>
  <c r="C2103" i="1"/>
  <c r="M2103" i="1"/>
  <c r="B2104" i="1"/>
  <c r="C2104" i="1"/>
  <c r="M2104" i="1"/>
  <c r="B2105" i="1"/>
  <c r="C2105" i="1"/>
  <c r="M2105" i="1"/>
  <c r="B2106" i="1"/>
  <c r="C2106" i="1"/>
  <c r="M2106" i="1"/>
  <c r="B2107" i="1"/>
  <c r="C2107" i="1"/>
  <c r="M2107" i="1"/>
  <c r="B2108" i="1"/>
  <c r="C2108" i="1"/>
  <c r="M2108" i="1"/>
  <c r="B2109" i="1"/>
  <c r="C2109" i="1"/>
  <c r="M2109" i="1"/>
  <c r="B2110" i="1"/>
  <c r="C2110" i="1"/>
  <c r="M2110" i="1"/>
  <c r="B2111" i="1"/>
  <c r="C2111" i="1"/>
  <c r="M2111" i="1"/>
  <c r="B2112" i="1"/>
  <c r="C2112" i="1"/>
  <c r="M2112" i="1"/>
  <c r="B2113" i="1"/>
  <c r="C2113" i="1"/>
  <c r="M2113" i="1"/>
  <c r="B2114" i="1"/>
  <c r="C2114" i="1"/>
  <c r="M2114" i="1"/>
  <c r="B2115" i="1"/>
  <c r="C2115" i="1"/>
  <c r="M2115" i="1"/>
  <c r="B2116" i="1"/>
  <c r="C2116" i="1"/>
  <c r="M2116" i="1"/>
  <c r="B2117" i="1"/>
  <c r="C2117" i="1"/>
  <c r="M2117" i="1"/>
  <c r="B2118" i="1"/>
  <c r="C2118" i="1"/>
  <c r="M2118" i="1"/>
  <c r="B2119" i="1"/>
  <c r="C2119" i="1"/>
  <c r="M2119" i="1"/>
  <c r="B2120" i="1"/>
  <c r="C2120" i="1"/>
  <c r="M2120" i="1"/>
  <c r="B2121" i="1"/>
  <c r="C2121" i="1"/>
  <c r="M2121" i="1"/>
  <c r="B2122" i="1"/>
  <c r="C2122" i="1"/>
  <c r="M2122" i="1"/>
  <c r="B2123" i="1"/>
  <c r="C2123" i="1"/>
  <c r="M2123" i="1"/>
  <c r="B2124" i="1"/>
  <c r="C2124" i="1"/>
  <c r="M2124" i="1"/>
  <c r="B2125" i="1"/>
  <c r="C2125" i="1"/>
  <c r="M2125" i="1"/>
  <c r="B2126" i="1"/>
  <c r="C2126" i="1"/>
  <c r="M2126" i="1"/>
  <c r="B2127" i="1"/>
  <c r="C2127" i="1"/>
  <c r="M2127" i="1"/>
  <c r="B2128" i="1"/>
  <c r="C2128" i="1"/>
  <c r="M2128" i="1"/>
  <c r="B2129" i="1"/>
  <c r="C2129" i="1"/>
  <c r="M2129" i="1"/>
  <c r="B2130" i="1"/>
  <c r="C2130" i="1"/>
  <c r="M2130" i="1"/>
  <c r="B2131" i="1"/>
  <c r="C2131" i="1"/>
  <c r="M2131" i="1"/>
  <c r="B2132" i="1"/>
  <c r="C2132" i="1"/>
  <c r="M2132" i="1"/>
  <c r="B2133" i="1"/>
  <c r="C2133" i="1"/>
  <c r="M2133" i="1"/>
  <c r="B2134" i="1"/>
  <c r="C2134" i="1"/>
  <c r="M2134" i="1"/>
  <c r="B2135" i="1"/>
  <c r="C2135" i="1"/>
  <c r="M2135" i="1"/>
  <c r="B2136" i="1"/>
  <c r="C2136" i="1"/>
  <c r="M2136" i="1"/>
  <c r="B2137" i="1"/>
  <c r="C2137" i="1"/>
  <c r="M2137" i="1"/>
  <c r="B2138" i="1"/>
  <c r="C2138" i="1"/>
  <c r="M2138" i="1"/>
  <c r="B2139" i="1"/>
  <c r="C2139" i="1"/>
  <c r="M2139" i="1"/>
  <c r="B2140" i="1"/>
  <c r="C2140" i="1"/>
  <c r="M2140" i="1"/>
  <c r="B2141" i="1"/>
  <c r="C2141" i="1"/>
  <c r="M2141" i="1"/>
  <c r="B2142" i="1"/>
  <c r="C2142" i="1"/>
  <c r="M2142" i="1"/>
  <c r="B2143" i="1"/>
  <c r="C2143" i="1"/>
  <c r="M2143" i="1"/>
  <c r="B2144" i="1"/>
  <c r="C2144" i="1"/>
  <c r="M2144" i="1"/>
  <c r="B2145" i="1"/>
  <c r="C2145" i="1"/>
  <c r="M2145" i="1"/>
  <c r="B2146" i="1"/>
  <c r="C2146" i="1"/>
  <c r="M2146" i="1"/>
  <c r="B2147" i="1"/>
  <c r="C2147" i="1"/>
  <c r="M2147" i="1"/>
  <c r="B2148" i="1"/>
  <c r="C2148" i="1"/>
  <c r="M2148" i="1"/>
  <c r="B2149" i="1"/>
  <c r="C2149" i="1"/>
  <c r="M2149" i="1"/>
  <c r="B2150" i="1"/>
  <c r="C2150" i="1"/>
  <c r="M2150" i="1"/>
  <c r="B2151" i="1"/>
  <c r="C2151" i="1"/>
  <c r="M2151" i="1"/>
  <c r="B2152" i="1"/>
  <c r="C2152" i="1"/>
  <c r="M2152" i="1"/>
  <c r="B2153" i="1"/>
  <c r="C2153" i="1"/>
  <c r="M2153" i="1"/>
  <c r="B2154" i="1"/>
  <c r="C2154" i="1"/>
  <c r="M2154" i="1"/>
  <c r="B2155" i="1"/>
  <c r="C2155" i="1"/>
  <c r="M2155" i="1"/>
  <c r="B2156" i="1"/>
  <c r="C2156" i="1"/>
  <c r="M2156" i="1"/>
  <c r="B2157" i="1"/>
  <c r="C2157" i="1"/>
  <c r="M2157" i="1"/>
  <c r="B2158" i="1"/>
  <c r="C2158" i="1"/>
  <c r="M2158" i="1"/>
  <c r="B2159" i="1"/>
  <c r="C2159" i="1"/>
  <c r="M2159" i="1"/>
  <c r="B2160" i="1"/>
  <c r="C2160" i="1"/>
  <c r="M2160" i="1"/>
  <c r="B2161" i="1"/>
  <c r="C2161" i="1"/>
  <c r="M2161" i="1"/>
  <c r="B2162" i="1"/>
  <c r="C2162" i="1"/>
  <c r="M2162" i="1"/>
  <c r="B2163" i="1"/>
  <c r="C2163" i="1"/>
  <c r="M2163" i="1"/>
  <c r="B2164" i="1"/>
  <c r="C2164" i="1"/>
  <c r="M2164" i="1"/>
  <c r="B2165" i="1"/>
  <c r="C2165" i="1"/>
  <c r="M2165" i="1"/>
  <c r="B2166" i="1"/>
  <c r="C2166" i="1"/>
  <c r="M2166" i="1"/>
  <c r="B2167" i="1"/>
  <c r="C2167" i="1"/>
  <c r="M2167" i="1"/>
  <c r="B2168" i="1"/>
  <c r="C2168" i="1"/>
  <c r="M2168" i="1"/>
  <c r="B2169" i="1"/>
  <c r="C2169" i="1"/>
  <c r="M2169" i="1"/>
  <c r="B2170" i="1"/>
  <c r="C2170" i="1"/>
  <c r="M2170" i="1"/>
  <c r="B2171" i="1"/>
  <c r="C2171" i="1"/>
  <c r="M2171" i="1"/>
  <c r="B2172" i="1"/>
  <c r="C2172" i="1"/>
  <c r="M2172" i="1"/>
  <c r="B2173" i="1"/>
  <c r="C2173" i="1"/>
  <c r="M2173" i="1"/>
  <c r="B2174" i="1"/>
  <c r="C2174" i="1"/>
  <c r="M2174" i="1"/>
  <c r="B2175" i="1"/>
  <c r="C2175" i="1"/>
  <c r="M2175" i="1"/>
  <c r="B2176" i="1"/>
  <c r="C2176" i="1"/>
  <c r="M2176" i="1"/>
  <c r="B2177" i="1"/>
  <c r="C2177" i="1"/>
  <c r="M2177" i="1"/>
  <c r="B2178" i="1"/>
  <c r="C2178" i="1"/>
  <c r="M2178" i="1"/>
  <c r="B2179" i="1"/>
  <c r="C2179" i="1"/>
  <c r="M2179" i="1"/>
  <c r="B2180" i="1"/>
  <c r="C2180" i="1"/>
  <c r="M2180" i="1"/>
  <c r="B2181" i="1"/>
  <c r="C2181" i="1"/>
  <c r="M2181" i="1"/>
  <c r="B2182" i="1"/>
  <c r="C2182" i="1"/>
  <c r="M2182" i="1"/>
  <c r="B2183" i="1"/>
  <c r="C2183" i="1"/>
  <c r="M2183" i="1"/>
  <c r="B2184" i="1"/>
  <c r="C2184" i="1"/>
  <c r="M2184" i="1"/>
  <c r="B2185" i="1"/>
  <c r="C2185" i="1"/>
  <c r="M2185" i="1"/>
  <c r="B2186" i="1"/>
  <c r="C2186" i="1"/>
  <c r="M2186" i="1"/>
  <c r="B2187" i="1"/>
  <c r="C2187" i="1"/>
  <c r="M2187" i="1"/>
  <c r="B2188" i="1"/>
  <c r="C2188" i="1"/>
  <c r="M2188" i="1"/>
  <c r="B2189" i="1"/>
  <c r="C2189" i="1"/>
  <c r="M2189" i="1"/>
  <c r="B2190" i="1"/>
  <c r="C2190" i="1"/>
  <c r="M2190" i="1"/>
  <c r="B2191" i="1"/>
  <c r="C2191" i="1"/>
  <c r="M2191" i="1"/>
  <c r="B2192" i="1"/>
  <c r="C2192" i="1"/>
  <c r="M2192" i="1"/>
  <c r="B2193" i="1"/>
  <c r="C2193" i="1"/>
  <c r="M2193" i="1"/>
  <c r="B2194" i="1"/>
  <c r="C2194" i="1"/>
  <c r="M2194" i="1"/>
  <c r="B2195" i="1"/>
  <c r="C2195" i="1"/>
  <c r="M2195" i="1"/>
  <c r="B2196" i="1"/>
  <c r="C2196" i="1"/>
  <c r="M2196" i="1"/>
  <c r="B2197" i="1"/>
  <c r="C2197" i="1"/>
  <c r="M2197" i="1"/>
  <c r="B2198" i="1"/>
  <c r="C2198" i="1"/>
  <c r="M2198" i="1"/>
  <c r="B2199" i="1"/>
  <c r="C2199" i="1"/>
  <c r="M2199" i="1"/>
  <c r="B2200" i="1"/>
  <c r="C2200" i="1"/>
  <c r="M2200" i="1"/>
  <c r="B2201" i="1"/>
  <c r="C2201" i="1"/>
  <c r="M2201" i="1"/>
  <c r="B2202" i="1"/>
  <c r="C2202" i="1"/>
  <c r="M2202" i="1"/>
  <c r="B2203" i="1"/>
  <c r="C2203" i="1"/>
  <c r="M2203" i="1"/>
  <c r="B2204" i="1"/>
  <c r="C2204" i="1"/>
  <c r="M2204" i="1"/>
  <c r="B2205" i="1"/>
  <c r="C2205" i="1"/>
  <c r="M2205" i="1"/>
  <c r="B2206" i="1"/>
  <c r="C2206" i="1"/>
  <c r="M2206" i="1"/>
  <c r="B2207" i="1"/>
  <c r="C2207" i="1"/>
  <c r="M2207" i="1"/>
  <c r="B2208" i="1"/>
  <c r="C2208" i="1"/>
  <c r="M2208" i="1"/>
  <c r="B2209" i="1"/>
  <c r="C2209" i="1"/>
  <c r="M2209" i="1"/>
  <c r="B2210" i="1"/>
  <c r="C2210" i="1"/>
  <c r="M2210" i="1"/>
  <c r="B2211" i="1"/>
  <c r="C2211" i="1"/>
  <c r="M2211" i="1"/>
  <c r="B2212" i="1"/>
  <c r="C2212" i="1"/>
  <c r="M2212" i="1"/>
  <c r="B2213" i="1"/>
  <c r="C2213" i="1"/>
  <c r="M2213" i="1"/>
  <c r="B2214" i="1"/>
  <c r="C2214" i="1"/>
  <c r="M2214" i="1"/>
  <c r="B2215" i="1"/>
  <c r="C2215" i="1"/>
  <c r="M2215" i="1"/>
  <c r="B2216" i="1"/>
  <c r="C2216" i="1"/>
  <c r="M2216" i="1"/>
  <c r="B2217" i="1"/>
  <c r="C2217" i="1"/>
  <c r="M2217" i="1"/>
  <c r="B2218" i="1"/>
  <c r="C2218" i="1"/>
  <c r="M2218" i="1"/>
  <c r="B2219" i="1"/>
  <c r="C2219" i="1"/>
  <c r="M2219" i="1"/>
  <c r="B2220" i="1"/>
  <c r="C2220" i="1"/>
  <c r="M2220" i="1"/>
  <c r="B2221" i="1"/>
  <c r="C2221" i="1"/>
  <c r="M2221" i="1"/>
  <c r="B2222" i="1"/>
  <c r="C2222" i="1"/>
  <c r="M2222" i="1"/>
  <c r="B2223" i="1"/>
  <c r="C2223" i="1"/>
  <c r="M2223" i="1"/>
  <c r="B2224" i="1"/>
  <c r="C2224" i="1"/>
  <c r="M2224" i="1"/>
  <c r="B2225" i="1"/>
  <c r="C2225" i="1"/>
  <c r="M2225" i="1"/>
  <c r="B2226" i="1"/>
  <c r="C2226" i="1"/>
  <c r="M2226" i="1"/>
  <c r="B2227" i="1"/>
  <c r="C2227" i="1"/>
  <c r="M2227" i="1"/>
  <c r="B2228" i="1"/>
  <c r="C2228" i="1"/>
  <c r="M2228" i="1"/>
  <c r="B2229" i="1"/>
  <c r="C2229" i="1"/>
  <c r="M2229" i="1"/>
  <c r="B2230" i="1"/>
  <c r="C2230" i="1"/>
  <c r="M2230" i="1"/>
  <c r="B2231" i="1"/>
  <c r="C2231" i="1"/>
  <c r="M2231" i="1"/>
  <c r="B2232" i="1"/>
  <c r="C2232" i="1"/>
  <c r="M2232" i="1"/>
  <c r="B2233" i="1"/>
  <c r="C2233" i="1"/>
  <c r="M2233" i="1"/>
  <c r="B2234" i="1"/>
  <c r="C2234" i="1"/>
  <c r="M2234" i="1"/>
  <c r="B2235" i="1"/>
  <c r="C2235" i="1"/>
  <c r="M2235" i="1"/>
  <c r="B2236" i="1"/>
  <c r="C2236" i="1"/>
  <c r="M2236" i="1"/>
  <c r="B2237" i="1"/>
  <c r="C2237" i="1"/>
  <c r="M2237" i="1"/>
  <c r="B2238" i="1"/>
  <c r="C2238" i="1"/>
  <c r="M2238" i="1"/>
  <c r="B2239" i="1"/>
  <c r="C2239" i="1"/>
  <c r="M2239" i="1"/>
  <c r="B2240" i="1"/>
  <c r="C2240" i="1"/>
  <c r="M2240" i="1"/>
  <c r="B2241" i="1"/>
  <c r="C2241" i="1"/>
  <c r="M2241" i="1"/>
  <c r="B2242" i="1"/>
  <c r="C2242" i="1"/>
  <c r="M2242" i="1"/>
  <c r="B2243" i="1"/>
  <c r="C2243" i="1"/>
  <c r="M2243" i="1"/>
  <c r="B2244" i="1"/>
  <c r="C2244" i="1"/>
  <c r="M2244" i="1"/>
  <c r="B2245" i="1"/>
  <c r="C2245" i="1"/>
  <c r="M2245" i="1"/>
  <c r="B2246" i="1"/>
  <c r="C2246" i="1"/>
  <c r="M2246" i="1"/>
  <c r="B2247" i="1"/>
  <c r="C2247" i="1"/>
  <c r="M2247" i="1"/>
  <c r="B2248" i="1"/>
  <c r="C2248" i="1"/>
  <c r="M2248" i="1"/>
  <c r="B2249" i="1"/>
  <c r="C2249" i="1"/>
  <c r="M2249" i="1"/>
  <c r="B2250" i="1"/>
  <c r="C2250" i="1"/>
  <c r="M2250" i="1"/>
  <c r="B2251" i="1"/>
  <c r="C2251" i="1"/>
  <c r="M2251" i="1"/>
  <c r="B2252" i="1"/>
  <c r="C2252" i="1"/>
  <c r="M2252" i="1"/>
  <c r="B2253" i="1"/>
  <c r="C2253" i="1"/>
  <c r="M2253" i="1"/>
  <c r="B2254" i="1"/>
  <c r="C2254" i="1"/>
  <c r="M2254" i="1"/>
  <c r="B2255" i="1"/>
  <c r="C2255" i="1"/>
  <c r="M2255" i="1"/>
  <c r="B2256" i="1"/>
  <c r="C2256" i="1"/>
  <c r="M2256" i="1"/>
  <c r="B2257" i="1"/>
  <c r="C2257" i="1"/>
  <c r="M2257" i="1"/>
  <c r="B2258" i="1"/>
  <c r="C2258" i="1"/>
  <c r="M2258" i="1"/>
  <c r="B2259" i="1"/>
  <c r="C2259" i="1"/>
  <c r="M2259" i="1"/>
  <c r="B2260" i="1"/>
  <c r="C2260" i="1"/>
  <c r="M2260" i="1"/>
  <c r="B2261" i="1"/>
  <c r="C2261" i="1"/>
  <c r="M2261" i="1"/>
  <c r="B2262" i="1"/>
  <c r="C2262" i="1"/>
  <c r="M2262" i="1"/>
  <c r="B2263" i="1"/>
  <c r="C2263" i="1"/>
  <c r="M2263" i="1"/>
  <c r="B2264" i="1"/>
  <c r="C2264" i="1"/>
  <c r="M2264" i="1"/>
  <c r="B2265" i="1"/>
  <c r="C2265" i="1"/>
  <c r="M2265" i="1"/>
  <c r="B2266" i="1"/>
  <c r="C2266" i="1"/>
  <c r="M2266" i="1"/>
  <c r="B2267" i="1"/>
  <c r="C2267" i="1"/>
  <c r="M2267" i="1"/>
  <c r="B2268" i="1"/>
  <c r="C2268" i="1"/>
  <c r="M2268" i="1"/>
  <c r="B2269" i="1"/>
  <c r="C2269" i="1"/>
  <c r="M2269" i="1"/>
  <c r="B2270" i="1"/>
  <c r="C2270" i="1"/>
  <c r="M2270" i="1"/>
  <c r="B2271" i="1"/>
  <c r="C2271" i="1"/>
  <c r="M2271" i="1"/>
  <c r="B2272" i="1"/>
  <c r="C2272" i="1"/>
  <c r="M2272" i="1"/>
  <c r="B2273" i="1"/>
  <c r="C2273" i="1"/>
  <c r="M2273" i="1"/>
  <c r="B2274" i="1"/>
  <c r="C2274" i="1"/>
  <c r="M2274" i="1"/>
  <c r="B2275" i="1"/>
  <c r="C2275" i="1"/>
  <c r="M2275" i="1"/>
  <c r="B2276" i="1"/>
  <c r="C2276" i="1"/>
  <c r="M2276" i="1"/>
  <c r="B2277" i="1"/>
  <c r="C2277" i="1"/>
  <c r="M2277" i="1"/>
  <c r="B2278" i="1"/>
  <c r="C2278" i="1"/>
  <c r="M2278" i="1"/>
  <c r="B2279" i="1"/>
  <c r="C2279" i="1"/>
  <c r="M2279" i="1"/>
  <c r="B2280" i="1"/>
  <c r="C2280" i="1"/>
  <c r="M2280" i="1"/>
  <c r="B2281" i="1"/>
  <c r="C2281" i="1"/>
  <c r="M2281" i="1"/>
  <c r="B2282" i="1"/>
  <c r="C2282" i="1"/>
  <c r="M2282" i="1"/>
  <c r="B2283" i="1"/>
  <c r="C2283" i="1"/>
  <c r="M2283" i="1"/>
  <c r="B2284" i="1"/>
  <c r="C2284" i="1"/>
  <c r="M2284" i="1"/>
  <c r="B2285" i="1"/>
  <c r="C2285" i="1"/>
  <c r="M2285" i="1"/>
  <c r="B2286" i="1"/>
  <c r="C2286" i="1"/>
  <c r="M2286" i="1"/>
  <c r="B2287" i="1"/>
  <c r="C2287" i="1"/>
  <c r="M2287" i="1"/>
  <c r="B2288" i="1"/>
  <c r="C2288" i="1"/>
  <c r="M2288" i="1"/>
  <c r="B2289" i="1"/>
  <c r="C2289" i="1"/>
  <c r="M2289" i="1"/>
  <c r="B2290" i="1"/>
  <c r="C2290" i="1"/>
  <c r="M2290" i="1"/>
  <c r="B2291" i="1"/>
  <c r="C2291" i="1"/>
  <c r="M2291" i="1"/>
  <c r="B2292" i="1"/>
  <c r="C2292" i="1"/>
  <c r="M2292" i="1"/>
  <c r="B2293" i="1"/>
  <c r="C2293" i="1"/>
  <c r="M2293" i="1"/>
  <c r="B2294" i="1"/>
  <c r="C2294" i="1"/>
  <c r="M2294" i="1"/>
  <c r="B2295" i="1"/>
  <c r="C2295" i="1"/>
  <c r="M2295" i="1"/>
  <c r="B2296" i="1"/>
  <c r="C2296" i="1"/>
  <c r="M2296" i="1"/>
  <c r="B2297" i="1"/>
  <c r="C2297" i="1"/>
  <c r="M2297" i="1"/>
  <c r="B2298" i="1"/>
  <c r="C2298" i="1"/>
  <c r="M2298" i="1"/>
  <c r="B2299" i="1"/>
  <c r="C2299" i="1"/>
  <c r="M2299" i="1"/>
  <c r="B2300" i="1"/>
  <c r="C2300" i="1"/>
  <c r="M2300" i="1"/>
  <c r="B2301" i="1"/>
  <c r="C2301" i="1"/>
  <c r="M2301" i="1"/>
  <c r="B2302" i="1"/>
  <c r="C2302" i="1"/>
  <c r="M2302" i="1"/>
  <c r="B2303" i="1"/>
  <c r="C2303" i="1"/>
  <c r="M2303" i="1"/>
  <c r="B2304" i="1"/>
  <c r="C2304" i="1"/>
  <c r="M2304" i="1"/>
  <c r="B2305" i="1"/>
  <c r="C2305" i="1"/>
  <c r="M2305" i="1"/>
  <c r="B2306" i="1"/>
  <c r="C2306" i="1"/>
  <c r="M2306" i="1"/>
  <c r="B2307" i="1"/>
  <c r="C2307" i="1"/>
  <c r="M2307" i="1"/>
  <c r="B2308" i="1"/>
  <c r="C2308" i="1"/>
  <c r="M2308" i="1"/>
  <c r="B2309" i="1"/>
  <c r="C2309" i="1"/>
  <c r="M2309" i="1"/>
  <c r="B2310" i="1"/>
  <c r="C2310" i="1"/>
  <c r="M2310" i="1"/>
  <c r="B2311" i="1"/>
  <c r="C2311" i="1"/>
  <c r="M2311" i="1"/>
  <c r="B2312" i="1"/>
  <c r="C2312" i="1"/>
  <c r="M2312" i="1"/>
  <c r="B2313" i="1"/>
  <c r="C2313" i="1"/>
  <c r="M2313" i="1"/>
  <c r="B2314" i="1"/>
  <c r="C2314" i="1"/>
  <c r="M2314" i="1"/>
  <c r="B2315" i="1"/>
  <c r="C2315" i="1"/>
  <c r="M2315" i="1"/>
  <c r="B2316" i="1"/>
  <c r="C2316" i="1"/>
  <c r="M2316" i="1"/>
  <c r="B2317" i="1"/>
  <c r="C2317" i="1"/>
  <c r="M2317" i="1"/>
  <c r="B2318" i="1"/>
  <c r="C2318" i="1"/>
  <c r="M2318" i="1"/>
  <c r="B2319" i="1"/>
  <c r="C2319" i="1"/>
  <c r="M2319" i="1"/>
  <c r="B2320" i="1"/>
  <c r="C2320" i="1"/>
  <c r="M2320" i="1"/>
  <c r="B2321" i="1"/>
  <c r="C2321" i="1"/>
  <c r="M2321" i="1"/>
  <c r="B2322" i="1"/>
  <c r="C2322" i="1"/>
  <c r="M2322" i="1"/>
  <c r="B2323" i="1"/>
  <c r="C2323" i="1"/>
  <c r="M2323" i="1"/>
  <c r="B2324" i="1"/>
  <c r="C2324" i="1"/>
  <c r="M2324" i="1"/>
  <c r="B2325" i="1"/>
  <c r="C2325" i="1"/>
  <c r="M2325" i="1"/>
  <c r="B2326" i="1"/>
  <c r="C2326" i="1"/>
  <c r="M2326" i="1"/>
  <c r="B2327" i="1"/>
  <c r="C2327" i="1"/>
  <c r="M2327" i="1"/>
  <c r="B2328" i="1"/>
  <c r="C2328" i="1"/>
  <c r="M2328" i="1"/>
  <c r="B2329" i="1"/>
  <c r="C2329" i="1"/>
  <c r="M2329" i="1"/>
  <c r="B2330" i="1"/>
  <c r="C2330" i="1"/>
  <c r="M2330" i="1"/>
  <c r="B2331" i="1"/>
  <c r="C2331" i="1"/>
  <c r="M2331" i="1"/>
  <c r="B2332" i="1"/>
  <c r="C2332" i="1"/>
  <c r="M2332" i="1"/>
  <c r="B2333" i="1"/>
  <c r="C2333" i="1"/>
  <c r="M2333" i="1"/>
  <c r="B2334" i="1"/>
  <c r="C2334" i="1"/>
  <c r="M2334" i="1"/>
  <c r="B2335" i="1"/>
  <c r="C2335" i="1"/>
  <c r="M2335" i="1"/>
  <c r="B2336" i="1"/>
  <c r="C2336" i="1"/>
  <c r="M2336" i="1"/>
  <c r="B2337" i="1"/>
  <c r="C2337" i="1"/>
  <c r="M2337" i="1"/>
  <c r="B2338" i="1"/>
  <c r="C2338" i="1"/>
  <c r="M2338" i="1"/>
  <c r="B2339" i="1"/>
  <c r="C2339" i="1"/>
  <c r="M2339" i="1"/>
  <c r="B2340" i="1"/>
  <c r="C2340" i="1"/>
  <c r="M2340" i="1"/>
  <c r="B2341" i="1"/>
  <c r="C2341" i="1"/>
  <c r="M2341" i="1"/>
  <c r="B2342" i="1"/>
  <c r="C2342" i="1"/>
  <c r="M2342" i="1"/>
  <c r="B2343" i="1"/>
  <c r="C2343" i="1"/>
  <c r="M2343" i="1"/>
  <c r="B2344" i="1"/>
  <c r="C2344" i="1"/>
  <c r="M2344" i="1"/>
  <c r="B2345" i="1"/>
  <c r="C2345" i="1"/>
  <c r="M2345" i="1"/>
  <c r="B2346" i="1"/>
  <c r="C2346" i="1"/>
  <c r="M2346" i="1"/>
  <c r="B2347" i="1"/>
  <c r="C2347" i="1"/>
  <c r="M2347" i="1"/>
  <c r="B2348" i="1"/>
  <c r="C2348" i="1"/>
  <c r="M2348" i="1"/>
  <c r="B2349" i="1"/>
  <c r="C2349" i="1"/>
  <c r="M2349" i="1"/>
  <c r="B2350" i="1"/>
  <c r="C2350" i="1"/>
  <c r="M2350" i="1"/>
  <c r="B2351" i="1"/>
  <c r="C2351" i="1"/>
  <c r="M2351" i="1"/>
  <c r="B2352" i="1"/>
  <c r="C2352" i="1"/>
  <c r="M2352" i="1"/>
  <c r="B2353" i="1"/>
  <c r="C2353" i="1"/>
  <c r="M2353" i="1"/>
  <c r="B2354" i="1"/>
  <c r="C2354" i="1"/>
  <c r="M2354" i="1"/>
  <c r="B2355" i="1"/>
  <c r="C2355" i="1"/>
  <c r="M2355" i="1"/>
  <c r="B2356" i="1"/>
  <c r="C2356" i="1"/>
  <c r="M2356" i="1"/>
  <c r="B2357" i="1"/>
  <c r="C2357" i="1"/>
  <c r="M2357" i="1"/>
  <c r="B2358" i="1"/>
  <c r="C2358" i="1"/>
  <c r="M2358" i="1"/>
  <c r="B2359" i="1"/>
  <c r="C2359" i="1"/>
  <c r="M2359" i="1"/>
  <c r="B2360" i="1"/>
  <c r="C2360" i="1"/>
  <c r="M2360" i="1"/>
  <c r="B2361" i="1"/>
  <c r="C2361" i="1"/>
  <c r="M2361" i="1"/>
  <c r="B2362" i="1"/>
  <c r="C2362" i="1"/>
  <c r="M2362" i="1"/>
  <c r="B2363" i="1"/>
  <c r="C2363" i="1"/>
  <c r="M2363" i="1"/>
  <c r="B2364" i="1"/>
  <c r="C2364" i="1"/>
  <c r="M2364" i="1"/>
  <c r="B2365" i="1"/>
  <c r="C2365" i="1"/>
  <c r="M2365" i="1"/>
  <c r="B2366" i="1"/>
  <c r="C2366" i="1"/>
  <c r="M2366" i="1"/>
  <c r="B2367" i="1"/>
  <c r="C2367" i="1"/>
  <c r="M2367" i="1"/>
  <c r="B2368" i="1"/>
  <c r="C2368" i="1"/>
  <c r="M2368" i="1"/>
  <c r="B2369" i="1"/>
  <c r="C2369" i="1"/>
  <c r="M2369" i="1"/>
  <c r="B2370" i="1"/>
  <c r="C2370" i="1"/>
  <c r="M2370" i="1"/>
  <c r="B2371" i="1"/>
  <c r="C2371" i="1"/>
  <c r="M2371" i="1"/>
  <c r="B2372" i="1"/>
  <c r="C2372" i="1"/>
  <c r="M2372" i="1"/>
  <c r="B2373" i="1"/>
  <c r="C2373" i="1"/>
  <c r="M2373" i="1"/>
  <c r="B2374" i="1"/>
  <c r="C2374" i="1"/>
  <c r="M2374" i="1"/>
  <c r="B2375" i="1"/>
  <c r="C2375" i="1"/>
  <c r="M2375" i="1"/>
  <c r="B2376" i="1"/>
  <c r="C2376" i="1"/>
  <c r="M2376" i="1"/>
  <c r="B2377" i="1"/>
  <c r="C2377" i="1"/>
  <c r="M2377" i="1"/>
  <c r="B2378" i="1"/>
  <c r="C2378" i="1"/>
  <c r="M2378" i="1"/>
  <c r="B2379" i="1"/>
  <c r="C2379" i="1"/>
  <c r="M2379" i="1"/>
  <c r="B2380" i="1"/>
  <c r="C2380" i="1"/>
  <c r="M2380" i="1"/>
  <c r="B2381" i="1"/>
  <c r="C2381" i="1"/>
  <c r="M2381" i="1"/>
  <c r="B2382" i="1"/>
  <c r="C2382" i="1"/>
  <c r="M2382" i="1"/>
  <c r="B2383" i="1"/>
  <c r="C2383" i="1"/>
  <c r="M2383" i="1"/>
  <c r="B2384" i="1"/>
  <c r="C2384" i="1"/>
  <c r="M2384" i="1"/>
  <c r="B2385" i="1"/>
  <c r="C2385" i="1"/>
  <c r="M2385" i="1"/>
  <c r="B2386" i="1"/>
  <c r="C2386" i="1"/>
  <c r="M2386" i="1"/>
  <c r="B2387" i="1"/>
  <c r="C2387" i="1"/>
  <c r="M2387" i="1"/>
  <c r="B2388" i="1"/>
  <c r="C2388" i="1"/>
  <c r="M2388" i="1"/>
  <c r="B2389" i="1"/>
  <c r="C2389" i="1"/>
  <c r="M2389" i="1"/>
  <c r="B2390" i="1"/>
  <c r="C2390" i="1"/>
  <c r="M2390" i="1"/>
  <c r="B2391" i="1"/>
  <c r="C2391" i="1"/>
  <c r="M2391" i="1"/>
  <c r="B2392" i="1"/>
  <c r="C2392" i="1"/>
  <c r="M2392" i="1"/>
  <c r="B2393" i="1"/>
  <c r="C2393" i="1"/>
  <c r="M2393" i="1"/>
  <c r="B2394" i="1"/>
  <c r="C2394" i="1"/>
  <c r="M2394" i="1"/>
  <c r="B2395" i="1"/>
  <c r="C2395" i="1"/>
  <c r="M2395" i="1"/>
  <c r="B2396" i="1"/>
  <c r="C2396" i="1"/>
  <c r="M2396" i="1"/>
  <c r="B2397" i="1"/>
  <c r="C2397" i="1"/>
  <c r="M2397" i="1"/>
  <c r="B2398" i="1"/>
  <c r="C2398" i="1"/>
  <c r="M2398" i="1"/>
  <c r="B2399" i="1"/>
  <c r="C2399" i="1"/>
  <c r="M2399" i="1"/>
  <c r="B2400" i="1"/>
  <c r="C2400" i="1"/>
  <c r="M2400" i="1"/>
  <c r="B2401" i="1"/>
  <c r="C2401" i="1"/>
  <c r="M2401" i="1"/>
  <c r="B2402" i="1"/>
  <c r="C2402" i="1"/>
  <c r="M2402" i="1"/>
  <c r="B2403" i="1"/>
  <c r="C2403" i="1"/>
  <c r="M2403" i="1"/>
  <c r="B2404" i="1"/>
  <c r="C2404" i="1"/>
  <c r="M2404" i="1"/>
  <c r="B2405" i="1"/>
  <c r="C2405" i="1"/>
  <c r="M2405" i="1"/>
  <c r="B2406" i="1"/>
  <c r="C2406" i="1"/>
  <c r="M2406" i="1"/>
  <c r="B2407" i="1"/>
  <c r="C2407" i="1"/>
  <c r="M2407" i="1"/>
  <c r="B2408" i="1"/>
  <c r="C2408" i="1"/>
  <c r="M2408" i="1"/>
  <c r="B2409" i="1"/>
  <c r="C2409" i="1"/>
  <c r="M2409" i="1"/>
  <c r="B2410" i="1"/>
  <c r="C2410" i="1"/>
  <c r="M2410" i="1"/>
  <c r="B2411" i="1"/>
  <c r="C2411" i="1"/>
  <c r="M2411" i="1"/>
  <c r="B2412" i="1"/>
  <c r="C2412" i="1"/>
  <c r="M2412" i="1"/>
  <c r="B2413" i="1"/>
  <c r="C2413" i="1"/>
  <c r="M2413" i="1"/>
  <c r="B2414" i="1"/>
  <c r="C2414" i="1"/>
  <c r="M2414" i="1"/>
  <c r="B2415" i="1"/>
  <c r="C2415" i="1"/>
  <c r="M2415" i="1"/>
  <c r="B2416" i="1"/>
  <c r="C2416" i="1"/>
  <c r="M2416" i="1"/>
  <c r="B2417" i="1"/>
  <c r="C2417" i="1"/>
  <c r="M2417" i="1"/>
  <c r="B2418" i="1"/>
  <c r="C2418" i="1"/>
  <c r="M2418" i="1"/>
  <c r="B2419" i="1"/>
  <c r="C2419" i="1"/>
  <c r="M2419" i="1"/>
  <c r="B2420" i="1"/>
  <c r="C2420" i="1"/>
  <c r="M2420" i="1"/>
  <c r="B2421" i="1"/>
  <c r="C2421" i="1"/>
  <c r="M2421" i="1"/>
  <c r="B2422" i="1"/>
  <c r="C2422" i="1"/>
  <c r="M2422" i="1"/>
  <c r="B2423" i="1"/>
  <c r="C2423" i="1"/>
  <c r="M2423" i="1"/>
  <c r="B2424" i="1"/>
  <c r="C2424" i="1"/>
  <c r="M2424" i="1"/>
  <c r="B2425" i="1"/>
  <c r="C2425" i="1"/>
  <c r="M2425" i="1"/>
  <c r="B2426" i="1"/>
  <c r="C2426" i="1"/>
  <c r="M2426" i="1"/>
  <c r="B2427" i="1"/>
  <c r="C2427" i="1"/>
  <c r="M2427" i="1"/>
  <c r="B2428" i="1"/>
  <c r="C2428" i="1"/>
  <c r="M2428" i="1"/>
  <c r="B2429" i="1"/>
  <c r="C2429" i="1"/>
  <c r="M2429" i="1"/>
  <c r="B2430" i="1"/>
  <c r="C2430" i="1"/>
  <c r="M2430" i="1"/>
  <c r="B2431" i="1"/>
  <c r="C2431" i="1"/>
  <c r="M2431" i="1"/>
  <c r="B2432" i="1"/>
  <c r="C2432" i="1"/>
  <c r="M2432" i="1"/>
  <c r="B2433" i="1"/>
  <c r="C2433" i="1"/>
  <c r="M2433" i="1"/>
  <c r="B2434" i="1"/>
  <c r="C2434" i="1"/>
  <c r="M2434" i="1"/>
  <c r="B2435" i="1"/>
  <c r="C2435" i="1"/>
  <c r="M2435" i="1"/>
  <c r="B2436" i="1"/>
  <c r="C2436" i="1"/>
  <c r="M2436" i="1"/>
  <c r="B2437" i="1"/>
  <c r="C2437" i="1"/>
  <c r="M2437" i="1"/>
  <c r="B2438" i="1"/>
  <c r="C2438" i="1"/>
  <c r="M2438" i="1"/>
  <c r="B2439" i="1"/>
  <c r="C2439" i="1"/>
  <c r="M2439" i="1"/>
  <c r="B2440" i="1"/>
  <c r="C2440" i="1"/>
  <c r="M2440" i="1"/>
  <c r="B2441" i="1"/>
  <c r="C2441" i="1"/>
  <c r="M2441" i="1"/>
  <c r="B2442" i="1"/>
  <c r="C2442" i="1"/>
  <c r="M2442" i="1"/>
  <c r="B2443" i="1"/>
  <c r="C2443" i="1"/>
  <c r="M2443" i="1"/>
  <c r="B2444" i="1"/>
  <c r="C2444" i="1"/>
  <c r="M2444" i="1"/>
  <c r="B2445" i="1"/>
  <c r="C2445" i="1"/>
  <c r="M2445" i="1"/>
  <c r="B2446" i="1"/>
  <c r="C2446" i="1"/>
  <c r="M2446" i="1"/>
  <c r="B2447" i="1"/>
  <c r="C2447" i="1"/>
  <c r="M2447" i="1"/>
  <c r="B2448" i="1"/>
  <c r="C2448" i="1"/>
  <c r="M2448" i="1"/>
  <c r="B2449" i="1"/>
  <c r="C2449" i="1"/>
  <c r="M2449" i="1"/>
  <c r="B2450" i="1"/>
  <c r="C2450" i="1"/>
  <c r="M2450" i="1"/>
  <c r="B2451" i="1"/>
  <c r="C2451" i="1"/>
  <c r="M2451" i="1"/>
  <c r="B2452" i="1"/>
  <c r="C2452" i="1"/>
  <c r="M2452" i="1"/>
  <c r="B2453" i="1"/>
  <c r="C2453" i="1"/>
  <c r="M2453" i="1"/>
  <c r="B2454" i="1"/>
  <c r="C2454" i="1"/>
  <c r="M2454" i="1"/>
  <c r="B2455" i="1"/>
  <c r="C2455" i="1"/>
  <c r="M2455" i="1"/>
  <c r="B2456" i="1"/>
  <c r="C2456" i="1"/>
  <c r="M2456" i="1"/>
  <c r="B2457" i="1"/>
  <c r="C2457" i="1"/>
  <c r="M2457" i="1"/>
  <c r="B2458" i="1"/>
  <c r="C2458" i="1"/>
  <c r="M2458" i="1"/>
  <c r="B2459" i="1"/>
  <c r="C2459" i="1"/>
  <c r="M2459" i="1"/>
  <c r="B2460" i="1"/>
  <c r="C2460" i="1"/>
  <c r="M2460" i="1"/>
  <c r="B2461" i="1"/>
  <c r="C2461" i="1"/>
  <c r="M2461" i="1"/>
  <c r="B2462" i="1"/>
  <c r="C2462" i="1"/>
  <c r="M2462" i="1"/>
  <c r="B2463" i="1"/>
  <c r="C2463" i="1"/>
  <c r="M2463" i="1"/>
  <c r="B2464" i="1"/>
  <c r="C2464" i="1"/>
  <c r="M2464" i="1"/>
  <c r="B2465" i="1"/>
  <c r="C2465" i="1"/>
  <c r="M2465" i="1"/>
  <c r="B2466" i="1"/>
  <c r="C2466" i="1"/>
  <c r="M2466" i="1"/>
  <c r="B2467" i="1"/>
  <c r="C2467" i="1"/>
  <c r="M2467" i="1"/>
  <c r="B2468" i="1"/>
  <c r="C2468" i="1"/>
  <c r="M2468" i="1"/>
  <c r="B2469" i="1"/>
  <c r="C2469" i="1"/>
  <c r="M2469" i="1"/>
  <c r="B2470" i="1"/>
  <c r="C2470" i="1"/>
  <c r="M2470" i="1"/>
  <c r="B2471" i="1"/>
  <c r="C2471" i="1"/>
  <c r="M2471" i="1"/>
  <c r="B2472" i="1"/>
  <c r="C2472" i="1"/>
  <c r="M2472" i="1"/>
  <c r="B2473" i="1"/>
  <c r="C2473" i="1"/>
  <c r="M2473" i="1"/>
  <c r="B2474" i="1"/>
  <c r="C2474" i="1"/>
  <c r="M2474" i="1"/>
  <c r="B2475" i="1"/>
  <c r="C2475" i="1"/>
  <c r="M2475" i="1"/>
  <c r="B2476" i="1"/>
  <c r="C2476" i="1"/>
  <c r="M2476" i="1"/>
  <c r="B2477" i="1"/>
  <c r="C2477" i="1"/>
  <c r="M2477" i="1"/>
  <c r="B2478" i="1"/>
  <c r="C2478" i="1"/>
  <c r="M2478" i="1"/>
  <c r="B2479" i="1"/>
  <c r="C2479" i="1"/>
  <c r="M2479" i="1"/>
  <c r="B2480" i="1"/>
  <c r="C2480" i="1"/>
  <c r="M2480" i="1"/>
  <c r="B2481" i="1"/>
  <c r="C2481" i="1"/>
  <c r="M2481" i="1"/>
  <c r="B2482" i="1"/>
  <c r="C2482" i="1"/>
  <c r="M2482" i="1"/>
  <c r="B2483" i="1"/>
  <c r="C2483" i="1"/>
  <c r="M2483" i="1"/>
  <c r="B2484" i="1"/>
  <c r="C2484" i="1"/>
  <c r="M2484" i="1"/>
  <c r="B2485" i="1"/>
  <c r="C2485" i="1"/>
  <c r="M2485" i="1"/>
  <c r="B2486" i="1"/>
  <c r="C2486" i="1"/>
  <c r="M2486" i="1"/>
  <c r="B2487" i="1"/>
  <c r="C2487" i="1"/>
  <c r="M2487" i="1"/>
  <c r="B2488" i="1"/>
  <c r="C2488" i="1"/>
  <c r="M2488" i="1"/>
  <c r="B2489" i="1"/>
  <c r="C2489" i="1"/>
  <c r="M2489" i="1"/>
  <c r="B2490" i="1"/>
  <c r="C2490" i="1"/>
  <c r="M2490" i="1"/>
  <c r="B2491" i="1"/>
  <c r="C2491" i="1"/>
  <c r="M2491" i="1"/>
  <c r="B2492" i="1"/>
  <c r="C2492" i="1"/>
  <c r="M2492" i="1"/>
  <c r="B2493" i="1"/>
  <c r="C2493" i="1"/>
  <c r="M2493" i="1"/>
  <c r="B2494" i="1"/>
  <c r="C2494" i="1"/>
  <c r="M2494" i="1"/>
  <c r="B2495" i="1"/>
  <c r="C2495" i="1"/>
  <c r="M2495" i="1"/>
  <c r="B2496" i="1"/>
  <c r="C2496" i="1"/>
  <c r="M2496" i="1"/>
  <c r="B2497" i="1"/>
  <c r="C2497" i="1"/>
  <c r="M2497" i="1"/>
  <c r="B2498" i="1"/>
  <c r="C2498" i="1"/>
  <c r="M2498" i="1"/>
  <c r="B2499" i="1"/>
  <c r="C2499" i="1"/>
  <c r="M2499" i="1"/>
  <c r="B2500" i="1"/>
  <c r="C2500" i="1"/>
  <c r="M2500" i="1"/>
  <c r="B2501" i="1"/>
  <c r="C2501" i="1"/>
  <c r="M2501" i="1"/>
  <c r="B2502" i="1"/>
  <c r="C2502" i="1"/>
  <c r="M2502" i="1"/>
  <c r="B2503" i="1"/>
  <c r="C2503" i="1"/>
  <c r="M2503" i="1"/>
  <c r="B2504" i="1"/>
  <c r="C2504" i="1"/>
  <c r="M2504" i="1"/>
  <c r="B2505" i="1"/>
  <c r="C2505" i="1"/>
  <c r="M2505" i="1"/>
  <c r="B2506" i="1"/>
  <c r="C2506" i="1"/>
  <c r="M2506" i="1"/>
  <c r="B2507" i="1"/>
  <c r="C2507" i="1"/>
  <c r="M2507" i="1"/>
  <c r="B2508" i="1"/>
  <c r="C2508" i="1"/>
  <c r="M2508" i="1"/>
  <c r="B2509" i="1"/>
  <c r="C2509" i="1"/>
  <c r="M2509" i="1"/>
  <c r="B2510" i="1"/>
  <c r="C2510" i="1"/>
  <c r="M2510" i="1"/>
  <c r="B2511" i="1"/>
  <c r="C2511" i="1"/>
  <c r="M2511" i="1"/>
  <c r="B2512" i="1"/>
  <c r="C2512" i="1"/>
  <c r="M2512" i="1"/>
  <c r="B2513" i="1"/>
  <c r="C2513" i="1"/>
  <c r="M2513" i="1"/>
  <c r="B2514" i="1"/>
  <c r="C2514" i="1"/>
  <c r="M2514" i="1"/>
  <c r="B2515" i="1"/>
  <c r="C2515" i="1"/>
  <c r="M2515" i="1"/>
  <c r="B2516" i="1"/>
  <c r="C2516" i="1"/>
  <c r="M2516" i="1"/>
  <c r="B2517" i="1"/>
  <c r="C2517" i="1"/>
  <c r="M2517" i="1"/>
  <c r="B2518" i="1"/>
  <c r="C2518" i="1"/>
  <c r="M2518" i="1"/>
  <c r="B2519" i="1"/>
  <c r="C2519" i="1"/>
  <c r="M2519" i="1"/>
  <c r="B2520" i="1"/>
  <c r="C2520" i="1"/>
  <c r="M2520" i="1"/>
  <c r="B2521" i="1"/>
  <c r="C2521" i="1"/>
  <c r="M2521" i="1"/>
  <c r="B2522" i="1"/>
  <c r="C2522" i="1"/>
  <c r="M2522" i="1"/>
  <c r="B2523" i="1"/>
  <c r="C2523" i="1"/>
  <c r="M2523" i="1"/>
  <c r="B2524" i="1"/>
  <c r="C2524" i="1"/>
  <c r="M2524" i="1"/>
  <c r="B2525" i="1"/>
  <c r="C2525" i="1"/>
  <c r="M2525" i="1"/>
  <c r="B2526" i="1"/>
  <c r="C2526" i="1"/>
  <c r="M2526" i="1"/>
  <c r="B2527" i="1"/>
  <c r="C2527" i="1"/>
  <c r="M2527" i="1"/>
  <c r="B2528" i="1"/>
  <c r="C2528" i="1"/>
  <c r="M2528" i="1"/>
  <c r="B2529" i="1"/>
  <c r="C2529" i="1"/>
  <c r="M2529" i="1"/>
  <c r="B2530" i="1"/>
  <c r="C2530" i="1"/>
  <c r="M2530" i="1"/>
  <c r="B2531" i="1"/>
  <c r="C2531" i="1"/>
  <c r="M2531" i="1"/>
  <c r="B2532" i="1"/>
  <c r="C2532" i="1"/>
  <c r="M2532" i="1"/>
  <c r="B2533" i="1"/>
  <c r="C2533" i="1"/>
  <c r="M2533" i="1"/>
  <c r="B2534" i="1"/>
  <c r="C2534" i="1"/>
  <c r="M2534" i="1"/>
  <c r="B2535" i="1"/>
  <c r="C2535" i="1"/>
  <c r="M2535" i="1"/>
  <c r="B2536" i="1"/>
  <c r="C2536" i="1"/>
  <c r="M2536" i="1"/>
  <c r="B2537" i="1"/>
  <c r="C2537" i="1"/>
  <c r="M2537" i="1"/>
  <c r="B2538" i="1"/>
  <c r="C2538" i="1"/>
  <c r="M2538" i="1"/>
  <c r="B2539" i="1"/>
  <c r="C2539" i="1"/>
  <c r="M2539" i="1"/>
  <c r="B2540" i="1"/>
  <c r="C2540" i="1"/>
  <c r="M2540" i="1"/>
  <c r="B2541" i="1"/>
  <c r="C2541" i="1"/>
  <c r="M2541" i="1"/>
  <c r="B2542" i="1"/>
  <c r="C2542" i="1"/>
  <c r="M2542" i="1"/>
  <c r="B2543" i="1"/>
  <c r="C2543" i="1"/>
  <c r="M2543" i="1"/>
  <c r="B2544" i="1"/>
  <c r="C2544" i="1"/>
  <c r="M2544" i="1"/>
  <c r="B2545" i="1"/>
  <c r="C2545" i="1"/>
  <c r="M2545" i="1"/>
  <c r="B2546" i="1"/>
  <c r="C2546" i="1"/>
  <c r="M2546" i="1"/>
  <c r="B2547" i="1"/>
  <c r="C2547" i="1"/>
  <c r="M2547" i="1"/>
  <c r="B2548" i="1"/>
  <c r="C2548" i="1"/>
  <c r="M2548" i="1"/>
  <c r="B2549" i="1"/>
  <c r="C2549" i="1"/>
  <c r="M2549" i="1"/>
  <c r="B2550" i="1"/>
  <c r="C2550" i="1"/>
  <c r="M2550" i="1"/>
  <c r="B2551" i="1"/>
  <c r="C2551" i="1"/>
  <c r="M2551" i="1"/>
  <c r="B2552" i="1"/>
  <c r="C2552" i="1"/>
  <c r="M2552" i="1"/>
  <c r="B2553" i="1"/>
  <c r="C2553" i="1"/>
  <c r="M2553" i="1"/>
  <c r="B2554" i="1"/>
  <c r="C2554" i="1"/>
  <c r="M2554" i="1"/>
  <c r="B2555" i="1"/>
  <c r="C2555" i="1"/>
  <c r="M2555" i="1"/>
  <c r="B2556" i="1"/>
  <c r="C2556" i="1"/>
  <c r="M2556" i="1"/>
  <c r="B2557" i="1"/>
  <c r="C2557" i="1"/>
  <c r="M2557" i="1"/>
  <c r="B2558" i="1"/>
  <c r="C2558" i="1"/>
  <c r="M2558" i="1"/>
  <c r="B2559" i="1"/>
  <c r="C2559" i="1"/>
  <c r="M2559" i="1"/>
  <c r="B2560" i="1"/>
  <c r="C2560" i="1"/>
  <c r="M2560" i="1"/>
  <c r="B2561" i="1"/>
  <c r="C2561" i="1"/>
  <c r="M2561" i="1"/>
  <c r="B2562" i="1"/>
  <c r="C2562" i="1"/>
  <c r="M2562" i="1"/>
  <c r="B2563" i="1"/>
  <c r="C2563" i="1"/>
  <c r="M2563" i="1"/>
  <c r="B2564" i="1"/>
  <c r="C2564" i="1"/>
  <c r="M2564" i="1"/>
  <c r="B2565" i="1"/>
  <c r="C2565" i="1"/>
  <c r="M2565" i="1"/>
  <c r="B2566" i="1"/>
  <c r="C2566" i="1"/>
  <c r="M2566" i="1"/>
  <c r="B2567" i="1"/>
  <c r="C2567" i="1"/>
  <c r="M2567" i="1"/>
  <c r="B2568" i="1"/>
  <c r="C2568" i="1"/>
  <c r="M2568" i="1"/>
  <c r="B2569" i="1"/>
  <c r="C2569" i="1"/>
  <c r="M2569" i="1"/>
  <c r="B2570" i="1"/>
  <c r="C2570" i="1"/>
  <c r="M2570" i="1"/>
  <c r="B2571" i="1"/>
  <c r="C2571" i="1"/>
  <c r="M2571" i="1"/>
  <c r="B2572" i="1"/>
  <c r="C2572" i="1"/>
  <c r="M2572" i="1"/>
  <c r="B2573" i="1"/>
  <c r="C2573" i="1"/>
  <c r="M2573" i="1"/>
  <c r="B2574" i="1"/>
  <c r="C2574" i="1"/>
  <c r="M2574" i="1"/>
  <c r="B2575" i="1"/>
  <c r="C2575" i="1"/>
  <c r="M2575" i="1"/>
  <c r="B2576" i="1"/>
  <c r="C2576" i="1"/>
  <c r="M2576" i="1"/>
  <c r="B2577" i="1"/>
  <c r="C2577" i="1"/>
  <c r="M2577" i="1"/>
  <c r="B2578" i="1"/>
  <c r="C2578" i="1"/>
  <c r="M2578" i="1"/>
  <c r="B2579" i="1"/>
  <c r="C2579" i="1"/>
  <c r="M2579" i="1"/>
  <c r="B2580" i="1"/>
  <c r="C2580" i="1"/>
  <c r="M2580" i="1"/>
  <c r="B2581" i="1"/>
  <c r="C2581" i="1"/>
  <c r="M2581" i="1"/>
  <c r="B2582" i="1"/>
  <c r="C2582" i="1"/>
  <c r="M2582" i="1"/>
  <c r="B2583" i="1"/>
  <c r="C2583" i="1"/>
  <c r="M2583" i="1"/>
  <c r="B2584" i="1"/>
  <c r="C2584" i="1"/>
  <c r="M2584" i="1"/>
  <c r="B2585" i="1"/>
  <c r="C2585" i="1"/>
  <c r="M2585" i="1"/>
  <c r="B2586" i="1"/>
  <c r="C2586" i="1"/>
  <c r="M2586" i="1"/>
  <c r="B2587" i="1"/>
  <c r="C2587" i="1"/>
  <c r="M2587" i="1"/>
  <c r="B2588" i="1"/>
  <c r="C2588" i="1"/>
  <c r="M2588" i="1"/>
  <c r="B2589" i="1"/>
  <c r="C2589" i="1"/>
  <c r="M2589" i="1"/>
  <c r="B2590" i="1"/>
  <c r="C2590" i="1"/>
  <c r="M2590" i="1"/>
  <c r="B2591" i="1"/>
  <c r="C2591" i="1"/>
  <c r="M2591" i="1"/>
  <c r="B2592" i="1"/>
  <c r="C2592" i="1"/>
  <c r="M2592" i="1"/>
  <c r="B2593" i="1"/>
  <c r="C2593" i="1"/>
  <c r="M2593" i="1"/>
  <c r="B2594" i="1"/>
  <c r="C2594" i="1"/>
  <c r="M2594" i="1"/>
  <c r="B2595" i="1"/>
  <c r="C2595" i="1"/>
  <c r="M2595" i="1"/>
  <c r="B2596" i="1"/>
  <c r="C2596" i="1"/>
  <c r="M2596" i="1"/>
  <c r="B2597" i="1"/>
  <c r="C2597" i="1"/>
  <c r="M2597" i="1"/>
  <c r="B2598" i="1"/>
  <c r="C2598" i="1"/>
  <c r="M2598" i="1"/>
  <c r="B2599" i="1"/>
  <c r="C2599" i="1"/>
  <c r="M2599" i="1"/>
  <c r="B2600" i="1"/>
  <c r="C2600" i="1"/>
  <c r="M2600" i="1"/>
  <c r="B2601" i="1"/>
  <c r="C2601" i="1"/>
  <c r="M2601" i="1"/>
  <c r="B2602" i="1"/>
  <c r="C2602" i="1"/>
  <c r="M2602" i="1"/>
  <c r="B2603" i="1"/>
  <c r="C2603" i="1"/>
  <c r="M2603" i="1"/>
  <c r="B2604" i="1"/>
  <c r="C2604" i="1"/>
  <c r="M2604" i="1"/>
  <c r="B2605" i="1"/>
  <c r="C2605" i="1"/>
  <c r="M2605" i="1"/>
  <c r="B2606" i="1"/>
  <c r="C2606" i="1"/>
  <c r="M2606" i="1"/>
  <c r="B2607" i="1"/>
  <c r="C2607" i="1"/>
  <c r="M2607" i="1"/>
  <c r="B2608" i="1"/>
  <c r="C2608" i="1"/>
  <c r="M2608" i="1"/>
  <c r="B2609" i="1"/>
  <c r="C2609" i="1"/>
  <c r="M2609" i="1"/>
  <c r="B2610" i="1"/>
  <c r="C2610" i="1"/>
  <c r="M2610" i="1"/>
  <c r="B2611" i="1"/>
  <c r="C2611" i="1"/>
  <c r="M2611" i="1"/>
  <c r="B2612" i="1"/>
  <c r="C2612" i="1"/>
  <c r="M2612" i="1"/>
  <c r="B2613" i="1"/>
  <c r="C2613" i="1"/>
  <c r="M2613" i="1"/>
  <c r="B2614" i="1"/>
  <c r="C2614" i="1"/>
  <c r="M2614" i="1"/>
  <c r="B2615" i="1"/>
  <c r="C2615" i="1"/>
  <c r="M2615" i="1"/>
  <c r="B2616" i="1"/>
  <c r="C2616" i="1"/>
  <c r="M2616" i="1"/>
  <c r="B2617" i="1"/>
  <c r="C2617" i="1"/>
  <c r="M2617" i="1"/>
  <c r="B2618" i="1"/>
  <c r="C2618" i="1"/>
  <c r="M2618" i="1"/>
  <c r="B2619" i="1"/>
  <c r="C2619" i="1"/>
  <c r="M2619" i="1"/>
  <c r="B2620" i="1"/>
  <c r="C2620" i="1"/>
  <c r="M2620" i="1"/>
  <c r="B2621" i="1"/>
  <c r="C2621" i="1"/>
  <c r="M2621" i="1"/>
  <c r="B2622" i="1"/>
  <c r="C2622" i="1"/>
  <c r="M2622" i="1"/>
  <c r="B2623" i="1"/>
  <c r="C2623" i="1"/>
  <c r="M2623" i="1"/>
  <c r="B2624" i="1"/>
  <c r="C2624" i="1"/>
  <c r="M2624" i="1"/>
  <c r="B2625" i="1"/>
  <c r="C2625" i="1"/>
  <c r="M2625" i="1"/>
  <c r="B2626" i="1"/>
  <c r="C2626" i="1"/>
  <c r="M2626" i="1"/>
  <c r="B2627" i="1"/>
  <c r="C2627" i="1"/>
  <c r="M2627" i="1"/>
  <c r="B2628" i="1"/>
  <c r="C2628" i="1"/>
  <c r="M2628" i="1"/>
  <c r="B2629" i="1"/>
  <c r="C2629" i="1"/>
  <c r="M2629" i="1"/>
  <c r="B2630" i="1"/>
  <c r="C2630" i="1"/>
  <c r="M2630" i="1"/>
  <c r="B2631" i="1"/>
  <c r="C2631" i="1"/>
  <c r="M2631" i="1"/>
  <c r="B2632" i="1"/>
  <c r="C2632" i="1"/>
  <c r="M2632" i="1"/>
  <c r="B2633" i="1"/>
  <c r="C2633" i="1"/>
  <c r="M2633" i="1"/>
  <c r="B2634" i="1"/>
  <c r="C2634" i="1"/>
  <c r="M2634" i="1"/>
  <c r="B2635" i="1"/>
  <c r="C2635" i="1"/>
  <c r="M2635" i="1"/>
  <c r="B2636" i="1"/>
  <c r="C2636" i="1"/>
  <c r="M2636" i="1"/>
  <c r="B2637" i="1"/>
  <c r="C2637" i="1"/>
  <c r="M2637" i="1"/>
  <c r="B2638" i="1"/>
  <c r="C2638" i="1"/>
  <c r="M2638" i="1"/>
  <c r="B2639" i="1"/>
  <c r="C2639" i="1"/>
  <c r="M2639" i="1"/>
  <c r="B2640" i="1"/>
  <c r="C2640" i="1"/>
  <c r="M2640" i="1"/>
  <c r="B2641" i="1"/>
  <c r="C2641" i="1"/>
  <c r="M2641" i="1"/>
  <c r="B2642" i="1"/>
  <c r="C2642" i="1"/>
  <c r="M2642" i="1"/>
  <c r="B2643" i="1"/>
  <c r="C2643" i="1"/>
  <c r="M2643" i="1"/>
  <c r="B2644" i="1"/>
  <c r="C2644" i="1"/>
  <c r="M2644" i="1"/>
  <c r="B2645" i="1"/>
  <c r="C2645" i="1"/>
  <c r="M2645" i="1"/>
  <c r="B2646" i="1"/>
  <c r="C2646" i="1"/>
  <c r="M2646" i="1"/>
  <c r="B2647" i="1"/>
  <c r="C2647" i="1"/>
  <c r="M2647" i="1"/>
  <c r="B2648" i="1"/>
  <c r="C2648" i="1"/>
  <c r="M2648" i="1"/>
  <c r="B2649" i="1"/>
  <c r="C2649" i="1"/>
  <c r="M2649" i="1"/>
  <c r="B2650" i="1"/>
  <c r="C2650" i="1"/>
  <c r="M2650" i="1"/>
  <c r="B2651" i="1"/>
  <c r="C2651" i="1"/>
  <c r="M2651" i="1"/>
  <c r="B2652" i="1"/>
  <c r="C2652" i="1"/>
  <c r="M2652" i="1"/>
  <c r="B2653" i="1"/>
  <c r="C2653" i="1"/>
  <c r="M2653" i="1"/>
  <c r="B2654" i="1"/>
  <c r="C2654" i="1"/>
  <c r="M2654" i="1"/>
  <c r="B2655" i="1"/>
  <c r="C2655" i="1"/>
  <c r="M2655" i="1"/>
  <c r="B2656" i="1"/>
  <c r="C2656" i="1"/>
  <c r="M2656" i="1"/>
  <c r="B2657" i="1"/>
  <c r="C2657" i="1"/>
  <c r="M2657" i="1"/>
  <c r="B2658" i="1"/>
  <c r="C2658" i="1"/>
  <c r="M2658" i="1"/>
  <c r="B2659" i="1"/>
  <c r="C2659" i="1"/>
  <c r="M2659" i="1"/>
  <c r="B2660" i="1"/>
  <c r="C2660" i="1"/>
  <c r="M2660" i="1"/>
  <c r="B2661" i="1"/>
  <c r="C2661" i="1"/>
  <c r="M2661" i="1"/>
  <c r="B2662" i="1"/>
  <c r="C2662" i="1"/>
  <c r="M2662" i="1"/>
  <c r="B2663" i="1"/>
  <c r="C2663" i="1"/>
  <c r="M2663" i="1"/>
  <c r="B2664" i="1"/>
  <c r="C2664" i="1"/>
  <c r="M2664" i="1"/>
  <c r="B2665" i="1"/>
  <c r="C2665" i="1"/>
  <c r="M2665" i="1"/>
  <c r="B2666" i="1"/>
  <c r="C2666" i="1"/>
  <c r="M2666" i="1"/>
  <c r="B2667" i="1"/>
  <c r="C2667" i="1"/>
  <c r="M2667" i="1"/>
  <c r="B2668" i="1"/>
  <c r="C2668" i="1"/>
  <c r="M2668" i="1"/>
  <c r="B2669" i="1"/>
  <c r="C2669" i="1"/>
  <c r="M2669" i="1"/>
  <c r="B2670" i="1"/>
  <c r="C2670" i="1"/>
  <c r="M2670" i="1"/>
  <c r="B2671" i="1"/>
  <c r="C2671" i="1"/>
  <c r="M2671" i="1"/>
  <c r="B2672" i="1"/>
  <c r="C2672" i="1"/>
  <c r="M2672" i="1"/>
  <c r="B2673" i="1"/>
  <c r="C2673" i="1"/>
  <c r="M2673" i="1"/>
  <c r="B2674" i="1"/>
  <c r="C2674" i="1"/>
  <c r="M2674" i="1"/>
  <c r="B2675" i="1"/>
  <c r="C2675" i="1"/>
  <c r="M2675" i="1"/>
  <c r="B2676" i="1"/>
  <c r="C2676" i="1"/>
  <c r="M2676" i="1"/>
  <c r="B2677" i="1"/>
  <c r="C2677" i="1"/>
  <c r="M2677" i="1"/>
  <c r="B2678" i="1"/>
  <c r="C2678" i="1"/>
  <c r="M2678" i="1"/>
  <c r="B2679" i="1"/>
  <c r="C2679" i="1"/>
  <c r="M2679" i="1"/>
  <c r="B2680" i="1"/>
  <c r="C2680" i="1"/>
  <c r="M2680" i="1"/>
  <c r="B2681" i="1"/>
  <c r="C2681" i="1"/>
  <c r="M2681" i="1"/>
  <c r="B2682" i="1"/>
  <c r="C2682" i="1"/>
  <c r="M2682" i="1"/>
  <c r="B2683" i="1"/>
  <c r="C2683" i="1"/>
  <c r="M2683" i="1"/>
  <c r="B2684" i="1"/>
  <c r="C2684" i="1"/>
  <c r="M2684" i="1"/>
  <c r="B2685" i="1"/>
  <c r="C2685" i="1"/>
  <c r="M2685" i="1"/>
  <c r="B2686" i="1"/>
  <c r="C2686" i="1"/>
  <c r="M2686" i="1"/>
  <c r="B2687" i="1"/>
  <c r="C2687" i="1"/>
  <c r="M2687" i="1"/>
  <c r="B2688" i="1"/>
  <c r="C2688" i="1"/>
  <c r="M2688" i="1"/>
  <c r="B2689" i="1"/>
  <c r="C2689" i="1"/>
  <c r="M2689" i="1"/>
  <c r="B2690" i="1"/>
  <c r="C2690" i="1"/>
  <c r="M2690" i="1"/>
  <c r="B2691" i="1"/>
  <c r="C2691" i="1"/>
  <c r="M2691" i="1"/>
  <c r="B2692" i="1"/>
  <c r="C2692" i="1"/>
  <c r="M2692" i="1"/>
  <c r="B2693" i="1"/>
  <c r="C2693" i="1"/>
  <c r="M2693" i="1"/>
  <c r="B2694" i="1"/>
  <c r="C2694" i="1"/>
  <c r="M2694" i="1"/>
  <c r="B2695" i="1"/>
  <c r="C2695" i="1"/>
  <c r="M2695" i="1"/>
  <c r="B2696" i="1"/>
  <c r="C2696" i="1"/>
  <c r="M2696" i="1"/>
  <c r="B2697" i="1"/>
  <c r="C2697" i="1"/>
  <c r="M2697" i="1"/>
  <c r="B2698" i="1"/>
  <c r="C2698" i="1"/>
  <c r="M2698" i="1"/>
  <c r="B2699" i="1"/>
  <c r="C2699" i="1"/>
  <c r="M2699" i="1"/>
  <c r="B2700" i="1"/>
  <c r="C2700" i="1"/>
  <c r="M2700" i="1"/>
  <c r="B2701" i="1"/>
  <c r="C2701" i="1"/>
  <c r="M2701" i="1"/>
  <c r="B2702" i="1"/>
  <c r="C2702" i="1"/>
  <c r="M2702" i="1"/>
  <c r="B2703" i="1"/>
  <c r="C2703" i="1"/>
  <c r="M2703" i="1"/>
  <c r="B2704" i="1"/>
  <c r="C2704" i="1"/>
  <c r="M2704" i="1"/>
  <c r="B2705" i="1"/>
  <c r="C2705" i="1"/>
  <c r="M2705" i="1"/>
  <c r="B2706" i="1"/>
  <c r="C2706" i="1"/>
  <c r="M2706" i="1"/>
  <c r="B2707" i="1"/>
  <c r="C2707" i="1"/>
  <c r="M2707" i="1"/>
  <c r="B2708" i="1"/>
  <c r="C2708" i="1"/>
  <c r="M2708" i="1"/>
  <c r="B2709" i="1"/>
  <c r="C2709" i="1"/>
  <c r="M2709" i="1"/>
  <c r="B2710" i="1"/>
  <c r="C2710" i="1"/>
  <c r="M2710" i="1"/>
  <c r="B2711" i="1"/>
  <c r="C2711" i="1"/>
  <c r="M2711" i="1"/>
  <c r="B2712" i="1"/>
  <c r="C2712" i="1"/>
  <c r="M2712" i="1"/>
  <c r="B2713" i="1"/>
  <c r="C2713" i="1"/>
  <c r="M2713" i="1"/>
  <c r="B2714" i="1"/>
  <c r="C2714" i="1"/>
  <c r="M2714" i="1"/>
  <c r="B2715" i="1"/>
  <c r="C2715" i="1"/>
  <c r="M2715" i="1"/>
  <c r="B2716" i="1"/>
  <c r="C2716" i="1"/>
  <c r="M2716" i="1"/>
  <c r="B2717" i="1"/>
  <c r="C2717" i="1"/>
  <c r="M2717" i="1"/>
  <c r="B2718" i="1"/>
  <c r="C2718" i="1"/>
  <c r="M2718" i="1"/>
  <c r="B2719" i="1"/>
  <c r="C2719" i="1"/>
  <c r="M2719" i="1"/>
  <c r="B2720" i="1"/>
  <c r="C2720" i="1"/>
  <c r="M2720" i="1"/>
  <c r="B2721" i="1"/>
  <c r="C2721" i="1"/>
  <c r="M2721" i="1"/>
  <c r="B2722" i="1"/>
  <c r="C2722" i="1"/>
  <c r="M2722" i="1"/>
  <c r="B2723" i="1"/>
  <c r="C2723" i="1"/>
  <c r="M2723" i="1"/>
  <c r="B2724" i="1"/>
  <c r="C2724" i="1"/>
  <c r="M2724" i="1"/>
  <c r="B2725" i="1"/>
  <c r="C2725" i="1"/>
  <c r="M2725" i="1"/>
  <c r="B2726" i="1"/>
  <c r="C2726" i="1"/>
  <c r="M2726" i="1"/>
  <c r="B2727" i="1"/>
  <c r="C2727" i="1"/>
  <c r="M2727" i="1"/>
  <c r="B2728" i="1"/>
  <c r="C2728" i="1"/>
  <c r="M2728" i="1"/>
  <c r="B2729" i="1"/>
  <c r="C2729" i="1"/>
  <c r="M2729" i="1"/>
  <c r="B2730" i="1"/>
  <c r="C2730" i="1"/>
  <c r="M2730" i="1"/>
  <c r="B2731" i="1"/>
  <c r="C2731" i="1"/>
  <c r="M2731" i="1"/>
  <c r="B2732" i="1"/>
  <c r="C2732" i="1"/>
  <c r="M2732" i="1"/>
  <c r="B2733" i="1"/>
  <c r="C2733" i="1"/>
  <c r="M2733" i="1"/>
  <c r="B2734" i="1"/>
  <c r="C2734" i="1"/>
  <c r="M2734" i="1"/>
  <c r="B2735" i="1"/>
  <c r="C2735" i="1"/>
  <c r="M2735" i="1"/>
  <c r="B2736" i="1"/>
  <c r="C2736" i="1"/>
  <c r="M2736" i="1"/>
  <c r="B2737" i="1"/>
  <c r="C2737" i="1"/>
  <c r="M2737" i="1"/>
  <c r="B2738" i="1"/>
  <c r="C2738" i="1"/>
  <c r="M2738" i="1"/>
  <c r="B2739" i="1"/>
  <c r="C2739" i="1"/>
  <c r="M2739" i="1"/>
  <c r="B2740" i="1"/>
  <c r="C2740" i="1"/>
  <c r="M2740" i="1"/>
  <c r="B2741" i="1"/>
  <c r="C2741" i="1"/>
  <c r="M2741" i="1"/>
  <c r="B2742" i="1"/>
  <c r="C2742" i="1"/>
  <c r="M2742" i="1"/>
  <c r="B2743" i="1"/>
  <c r="C2743" i="1"/>
  <c r="M2743" i="1"/>
  <c r="B2744" i="1"/>
  <c r="C2744" i="1"/>
  <c r="M2744" i="1"/>
  <c r="B2745" i="1"/>
  <c r="C2745" i="1"/>
  <c r="M2745" i="1"/>
  <c r="B2746" i="1"/>
  <c r="C2746" i="1"/>
  <c r="M2746" i="1"/>
  <c r="B2747" i="1"/>
  <c r="C2747" i="1"/>
  <c r="M2747" i="1"/>
  <c r="B2748" i="1"/>
  <c r="C2748" i="1"/>
  <c r="M2748" i="1"/>
  <c r="B2749" i="1"/>
  <c r="C2749" i="1"/>
  <c r="M2749" i="1"/>
  <c r="B2750" i="1"/>
  <c r="C2750" i="1"/>
  <c r="M2750" i="1"/>
  <c r="B2751" i="1"/>
  <c r="C2751" i="1"/>
  <c r="M2751" i="1"/>
  <c r="B2752" i="1"/>
  <c r="C2752" i="1"/>
  <c r="M2752" i="1"/>
  <c r="B2753" i="1"/>
  <c r="C2753" i="1"/>
  <c r="M2753" i="1"/>
  <c r="B2754" i="1"/>
  <c r="C2754" i="1"/>
  <c r="M2754" i="1"/>
  <c r="B2755" i="1"/>
  <c r="C2755" i="1"/>
  <c r="M2755" i="1"/>
  <c r="B2756" i="1"/>
  <c r="C2756" i="1"/>
  <c r="M2756" i="1"/>
  <c r="B2757" i="1"/>
  <c r="C2757" i="1"/>
  <c r="M2757" i="1"/>
  <c r="B2758" i="1"/>
  <c r="C2758" i="1"/>
  <c r="M2758" i="1"/>
  <c r="B2759" i="1"/>
  <c r="C2759" i="1"/>
  <c r="M2759" i="1"/>
  <c r="B2760" i="1"/>
  <c r="C2760" i="1"/>
  <c r="M2760" i="1"/>
  <c r="B2761" i="1"/>
  <c r="C2761" i="1"/>
  <c r="M2761" i="1"/>
  <c r="B2762" i="1"/>
  <c r="C2762" i="1"/>
  <c r="M2762" i="1"/>
  <c r="B2763" i="1"/>
  <c r="C2763" i="1"/>
  <c r="M2763" i="1"/>
  <c r="B2764" i="1"/>
  <c r="C2764" i="1"/>
  <c r="M2764" i="1"/>
  <c r="B2765" i="1"/>
  <c r="C2765" i="1"/>
  <c r="M2765" i="1"/>
  <c r="B2766" i="1"/>
  <c r="C2766" i="1"/>
  <c r="M2766" i="1"/>
  <c r="B2767" i="1"/>
  <c r="C2767" i="1"/>
  <c r="M2767" i="1"/>
  <c r="B2768" i="1"/>
  <c r="C2768" i="1"/>
  <c r="M2768" i="1"/>
  <c r="B2769" i="1"/>
  <c r="C2769" i="1"/>
  <c r="M2769" i="1"/>
  <c r="B2770" i="1"/>
  <c r="C2770" i="1"/>
  <c r="M2770" i="1"/>
  <c r="B2771" i="1"/>
  <c r="C2771" i="1"/>
  <c r="M2771" i="1"/>
  <c r="B2772" i="1"/>
  <c r="C2772" i="1"/>
  <c r="M2772" i="1"/>
  <c r="B2773" i="1"/>
  <c r="C2773" i="1"/>
  <c r="M2773" i="1"/>
  <c r="B2774" i="1"/>
  <c r="C2774" i="1"/>
  <c r="M2774" i="1"/>
  <c r="B2775" i="1"/>
  <c r="C2775" i="1"/>
  <c r="M2775" i="1"/>
  <c r="B2776" i="1"/>
  <c r="C2776" i="1"/>
  <c r="M2776" i="1"/>
  <c r="B2777" i="1"/>
  <c r="C2777" i="1"/>
  <c r="M2777" i="1"/>
  <c r="B2778" i="1"/>
  <c r="C2778" i="1"/>
  <c r="M2778" i="1"/>
  <c r="B2779" i="1"/>
  <c r="C2779" i="1"/>
  <c r="M2779" i="1"/>
  <c r="B2780" i="1"/>
  <c r="C2780" i="1"/>
  <c r="M2780" i="1"/>
  <c r="B2781" i="1"/>
  <c r="C2781" i="1"/>
  <c r="M2781" i="1"/>
  <c r="B2782" i="1"/>
  <c r="C2782" i="1"/>
  <c r="M2782" i="1"/>
  <c r="B2783" i="1"/>
  <c r="C2783" i="1"/>
  <c r="M2783" i="1"/>
  <c r="B2784" i="1"/>
  <c r="C2784" i="1"/>
  <c r="M2784" i="1"/>
  <c r="B2785" i="1"/>
  <c r="C2785" i="1"/>
  <c r="M2785" i="1"/>
  <c r="B2786" i="1"/>
  <c r="C2786" i="1"/>
  <c r="M2786" i="1"/>
  <c r="B2787" i="1"/>
  <c r="C2787" i="1"/>
  <c r="M2787" i="1"/>
  <c r="B2788" i="1"/>
  <c r="C2788" i="1"/>
  <c r="M2788" i="1"/>
  <c r="B2789" i="1"/>
  <c r="C2789" i="1"/>
  <c r="M2789" i="1"/>
  <c r="B2790" i="1"/>
  <c r="C2790" i="1"/>
  <c r="M2790" i="1"/>
  <c r="B2791" i="1"/>
  <c r="C2791" i="1"/>
  <c r="M2791" i="1"/>
  <c r="B2792" i="1"/>
  <c r="C2792" i="1"/>
  <c r="M2792" i="1"/>
  <c r="B2793" i="1"/>
  <c r="C2793" i="1"/>
  <c r="M2793" i="1"/>
  <c r="B2794" i="1"/>
  <c r="C2794" i="1"/>
  <c r="M2794" i="1"/>
  <c r="B2795" i="1"/>
  <c r="C2795" i="1"/>
  <c r="M2795" i="1"/>
  <c r="B2796" i="1"/>
  <c r="C2796" i="1"/>
  <c r="M2796" i="1"/>
  <c r="B2797" i="1"/>
  <c r="C2797" i="1"/>
  <c r="M2797" i="1"/>
  <c r="B2798" i="1"/>
  <c r="C2798" i="1"/>
  <c r="M2798" i="1"/>
  <c r="B2799" i="1"/>
  <c r="C2799" i="1"/>
  <c r="M2799" i="1"/>
  <c r="B2800" i="1"/>
  <c r="C2800" i="1"/>
  <c r="M2800" i="1"/>
  <c r="B2801" i="1"/>
  <c r="C2801" i="1"/>
  <c r="M2801" i="1"/>
  <c r="B2802" i="1"/>
  <c r="C2802" i="1"/>
  <c r="M2802" i="1"/>
  <c r="B2803" i="1"/>
  <c r="C2803" i="1"/>
  <c r="M2803" i="1"/>
  <c r="B2804" i="1"/>
  <c r="C2804" i="1"/>
  <c r="M2804" i="1"/>
  <c r="B2805" i="1"/>
  <c r="C2805" i="1"/>
  <c r="M2805" i="1"/>
  <c r="B2806" i="1"/>
  <c r="C2806" i="1"/>
  <c r="M2806" i="1"/>
  <c r="B2807" i="1"/>
  <c r="C2807" i="1"/>
  <c r="M2807" i="1"/>
  <c r="B2808" i="1"/>
  <c r="C2808" i="1"/>
  <c r="M2808" i="1"/>
  <c r="B2809" i="1"/>
  <c r="C2809" i="1"/>
  <c r="M2809" i="1"/>
  <c r="B2810" i="1"/>
  <c r="C2810" i="1"/>
  <c r="M2810" i="1"/>
  <c r="B2811" i="1"/>
  <c r="C2811" i="1"/>
  <c r="M2811" i="1"/>
  <c r="B2812" i="1"/>
  <c r="C2812" i="1"/>
  <c r="M2812" i="1"/>
  <c r="B2813" i="1"/>
  <c r="C2813" i="1"/>
  <c r="M2813" i="1"/>
  <c r="B2814" i="1"/>
  <c r="C2814" i="1"/>
  <c r="M2814" i="1"/>
  <c r="B2815" i="1"/>
  <c r="C2815" i="1"/>
  <c r="M2815" i="1"/>
  <c r="B2816" i="1"/>
  <c r="C2816" i="1"/>
  <c r="M2816" i="1"/>
  <c r="B2817" i="1"/>
  <c r="C2817" i="1"/>
  <c r="M2817" i="1"/>
  <c r="B2818" i="1"/>
  <c r="C2818" i="1"/>
  <c r="M2818" i="1"/>
  <c r="B2819" i="1"/>
  <c r="C2819" i="1"/>
  <c r="M2819" i="1"/>
  <c r="B2820" i="1"/>
  <c r="C2820" i="1"/>
  <c r="M2820" i="1"/>
  <c r="B2821" i="1"/>
  <c r="C2821" i="1"/>
  <c r="M2821" i="1"/>
  <c r="B2822" i="1"/>
  <c r="C2822" i="1"/>
  <c r="M2822" i="1"/>
  <c r="B2823" i="1"/>
  <c r="C2823" i="1"/>
  <c r="M2823" i="1"/>
  <c r="B2824" i="1"/>
  <c r="C2824" i="1"/>
  <c r="M2824" i="1"/>
  <c r="B2825" i="1"/>
  <c r="C2825" i="1"/>
  <c r="M2825" i="1"/>
  <c r="B2826" i="1"/>
  <c r="C2826" i="1"/>
  <c r="M2826" i="1"/>
  <c r="B2827" i="1"/>
  <c r="C2827" i="1"/>
  <c r="M2827" i="1"/>
  <c r="B2828" i="1"/>
  <c r="C2828" i="1"/>
  <c r="M2828" i="1"/>
  <c r="B2829" i="1"/>
  <c r="C2829" i="1"/>
  <c r="M2829" i="1"/>
  <c r="B2830" i="1"/>
  <c r="C2830" i="1"/>
  <c r="M2830" i="1"/>
  <c r="B2831" i="1"/>
  <c r="C2831" i="1"/>
  <c r="M2831" i="1"/>
  <c r="B2832" i="1"/>
  <c r="C2832" i="1"/>
  <c r="M2832" i="1"/>
  <c r="B2833" i="1"/>
  <c r="C2833" i="1"/>
  <c r="M2833" i="1"/>
  <c r="B2834" i="1"/>
  <c r="C2834" i="1"/>
  <c r="M2834" i="1"/>
  <c r="B2835" i="1"/>
  <c r="C2835" i="1"/>
  <c r="M2835" i="1"/>
  <c r="B2836" i="1"/>
  <c r="C2836" i="1"/>
  <c r="M2836" i="1"/>
  <c r="B2837" i="1"/>
  <c r="C2837" i="1"/>
  <c r="M2837" i="1"/>
  <c r="B2838" i="1"/>
  <c r="C2838" i="1"/>
  <c r="M2838" i="1"/>
  <c r="B2839" i="1"/>
  <c r="C2839" i="1"/>
  <c r="M2839" i="1"/>
  <c r="B2840" i="1"/>
  <c r="C2840" i="1"/>
  <c r="M2840" i="1"/>
  <c r="B2841" i="1"/>
  <c r="C2841" i="1"/>
  <c r="M2841" i="1"/>
  <c r="B2842" i="1"/>
  <c r="C2842" i="1"/>
  <c r="M2842" i="1"/>
  <c r="B2843" i="1"/>
  <c r="C2843" i="1"/>
  <c r="M2843" i="1"/>
  <c r="B2844" i="1"/>
  <c r="C2844" i="1"/>
  <c r="M2844" i="1"/>
  <c r="B2845" i="1"/>
  <c r="C2845" i="1"/>
  <c r="M2845" i="1"/>
  <c r="B2846" i="1"/>
  <c r="C2846" i="1"/>
  <c r="M2846" i="1"/>
  <c r="B2847" i="1"/>
  <c r="C2847" i="1"/>
  <c r="M2847" i="1"/>
  <c r="B2848" i="1"/>
  <c r="C2848" i="1"/>
  <c r="M2848" i="1"/>
  <c r="B2849" i="1"/>
  <c r="C2849" i="1"/>
  <c r="M2849" i="1"/>
  <c r="B2850" i="1"/>
  <c r="C2850" i="1"/>
  <c r="M2850" i="1"/>
  <c r="B2851" i="1"/>
  <c r="C2851" i="1"/>
  <c r="M2851" i="1"/>
  <c r="B2852" i="1"/>
  <c r="C2852" i="1"/>
  <c r="M2852" i="1"/>
  <c r="B2853" i="1"/>
  <c r="C2853" i="1"/>
  <c r="M2853" i="1"/>
  <c r="B2854" i="1"/>
  <c r="C2854" i="1"/>
  <c r="M2854" i="1"/>
  <c r="B2855" i="1"/>
  <c r="C2855" i="1"/>
  <c r="M2855" i="1"/>
  <c r="B2856" i="1"/>
  <c r="C2856" i="1"/>
  <c r="M2856" i="1"/>
  <c r="B2857" i="1"/>
  <c r="C2857" i="1"/>
  <c r="M2857" i="1"/>
  <c r="B2858" i="1"/>
  <c r="C2858" i="1"/>
  <c r="M2858" i="1"/>
  <c r="B2859" i="1"/>
  <c r="C2859" i="1"/>
  <c r="M2859" i="1"/>
  <c r="B2860" i="1"/>
  <c r="C2860" i="1"/>
  <c r="M2860" i="1"/>
  <c r="B2861" i="1"/>
  <c r="C2861" i="1"/>
  <c r="M2861" i="1"/>
  <c r="B2862" i="1"/>
  <c r="C2862" i="1"/>
  <c r="M2862" i="1"/>
  <c r="B2863" i="1"/>
  <c r="C2863" i="1"/>
  <c r="M2863" i="1"/>
  <c r="B2864" i="1"/>
  <c r="C2864" i="1"/>
  <c r="M2864" i="1"/>
  <c r="B2865" i="1"/>
  <c r="C2865" i="1"/>
  <c r="M2865" i="1"/>
  <c r="B2866" i="1"/>
  <c r="C2866" i="1"/>
  <c r="M2866" i="1"/>
  <c r="B2867" i="1"/>
  <c r="C2867" i="1"/>
  <c r="M2867" i="1"/>
  <c r="B2868" i="1"/>
  <c r="C2868" i="1"/>
  <c r="M2868" i="1"/>
  <c r="B2869" i="1"/>
  <c r="C2869" i="1"/>
  <c r="M2869" i="1"/>
  <c r="B2870" i="1"/>
  <c r="C2870" i="1"/>
  <c r="M2870" i="1"/>
  <c r="B2871" i="1"/>
  <c r="C2871" i="1"/>
  <c r="M2871" i="1"/>
  <c r="B2872" i="1"/>
  <c r="C2872" i="1"/>
  <c r="M2872" i="1"/>
  <c r="B2873" i="1"/>
  <c r="C2873" i="1"/>
  <c r="M2873" i="1"/>
  <c r="B2874" i="1"/>
  <c r="C2874" i="1"/>
  <c r="M2874" i="1"/>
  <c r="B2875" i="1"/>
  <c r="C2875" i="1"/>
  <c r="M2875" i="1"/>
  <c r="B2876" i="1"/>
  <c r="C2876" i="1"/>
  <c r="M2876" i="1"/>
  <c r="B2877" i="1"/>
  <c r="C2877" i="1"/>
  <c r="M2877" i="1"/>
  <c r="B2878" i="1"/>
  <c r="C2878" i="1"/>
  <c r="M2878" i="1"/>
  <c r="B2879" i="1"/>
  <c r="C2879" i="1"/>
  <c r="M2879" i="1"/>
  <c r="B2880" i="1"/>
  <c r="C2880" i="1"/>
  <c r="M2880" i="1"/>
  <c r="B2881" i="1"/>
  <c r="C2881" i="1"/>
  <c r="M2881" i="1"/>
  <c r="B2882" i="1"/>
  <c r="C2882" i="1"/>
  <c r="M2882" i="1"/>
  <c r="B2883" i="1"/>
  <c r="C2883" i="1"/>
  <c r="M2883" i="1"/>
  <c r="B2884" i="1"/>
  <c r="C2884" i="1"/>
  <c r="M2884" i="1"/>
  <c r="B2885" i="1"/>
  <c r="C2885" i="1"/>
  <c r="M2885" i="1"/>
  <c r="B2886" i="1"/>
  <c r="C2886" i="1"/>
  <c r="M2886" i="1"/>
  <c r="B2887" i="1"/>
  <c r="C2887" i="1"/>
  <c r="M2887" i="1"/>
  <c r="B2888" i="1"/>
  <c r="C2888" i="1"/>
  <c r="M2888" i="1"/>
  <c r="B2889" i="1"/>
  <c r="C2889" i="1"/>
  <c r="M2889" i="1"/>
  <c r="B2890" i="1"/>
  <c r="C2890" i="1"/>
  <c r="M2890" i="1"/>
  <c r="B2891" i="1"/>
  <c r="C2891" i="1"/>
  <c r="M2891" i="1"/>
  <c r="B2892" i="1"/>
  <c r="C2892" i="1"/>
  <c r="M2892" i="1"/>
  <c r="B2893" i="1"/>
  <c r="C2893" i="1"/>
  <c r="M2893" i="1"/>
  <c r="B2894" i="1"/>
  <c r="C2894" i="1"/>
  <c r="M2894" i="1"/>
  <c r="B2895" i="1"/>
  <c r="C2895" i="1"/>
  <c r="M2895" i="1"/>
  <c r="B2896" i="1"/>
  <c r="C2896" i="1"/>
  <c r="M2896" i="1"/>
  <c r="B2897" i="1"/>
  <c r="C2897" i="1"/>
  <c r="M2897" i="1"/>
  <c r="B2898" i="1"/>
  <c r="C2898" i="1"/>
  <c r="M2898" i="1"/>
  <c r="B2899" i="1"/>
  <c r="C2899" i="1"/>
  <c r="M2899" i="1"/>
  <c r="B2900" i="1"/>
  <c r="C2900" i="1"/>
  <c r="M2900" i="1"/>
  <c r="B2901" i="1"/>
  <c r="C2901" i="1"/>
  <c r="M2901" i="1"/>
  <c r="B2902" i="1"/>
  <c r="C2902" i="1"/>
  <c r="M2902" i="1"/>
  <c r="B2903" i="1"/>
  <c r="C2903" i="1"/>
  <c r="M2903" i="1"/>
  <c r="B2904" i="1"/>
  <c r="C2904" i="1"/>
  <c r="M2904" i="1"/>
  <c r="B2905" i="1"/>
  <c r="C2905" i="1"/>
  <c r="M2905" i="1"/>
  <c r="B2906" i="1"/>
  <c r="C2906" i="1"/>
  <c r="M2906" i="1"/>
  <c r="B2907" i="1"/>
  <c r="C2907" i="1"/>
  <c r="M2907" i="1"/>
  <c r="B2908" i="1"/>
  <c r="C2908" i="1"/>
  <c r="M2908" i="1"/>
  <c r="B2909" i="1"/>
  <c r="C2909" i="1"/>
  <c r="M2909" i="1"/>
  <c r="B2910" i="1"/>
  <c r="C2910" i="1"/>
  <c r="M2910" i="1"/>
  <c r="B2911" i="1"/>
  <c r="C2911" i="1"/>
  <c r="M2911" i="1"/>
  <c r="B2912" i="1"/>
  <c r="C2912" i="1"/>
  <c r="M2912" i="1"/>
  <c r="B2913" i="1"/>
  <c r="C2913" i="1"/>
  <c r="M2913" i="1"/>
  <c r="B2914" i="1"/>
  <c r="C2914" i="1"/>
  <c r="M2914" i="1"/>
  <c r="B2915" i="1"/>
  <c r="C2915" i="1"/>
  <c r="M2915" i="1"/>
  <c r="B2916" i="1"/>
  <c r="C2916" i="1"/>
  <c r="M2916" i="1"/>
  <c r="B2917" i="1"/>
  <c r="C2917" i="1"/>
  <c r="M2917" i="1"/>
  <c r="B2918" i="1"/>
  <c r="C2918" i="1"/>
  <c r="M2918" i="1"/>
  <c r="B2919" i="1"/>
  <c r="C2919" i="1"/>
  <c r="M2919" i="1"/>
  <c r="B2920" i="1"/>
  <c r="C2920" i="1"/>
  <c r="M2920" i="1"/>
  <c r="B2921" i="1"/>
  <c r="C2921" i="1"/>
  <c r="M2921" i="1"/>
  <c r="B2922" i="1"/>
  <c r="C2922" i="1"/>
  <c r="M2922" i="1"/>
  <c r="B2923" i="1"/>
  <c r="C2923" i="1"/>
  <c r="M2923" i="1"/>
  <c r="B2924" i="1"/>
  <c r="C2924" i="1"/>
  <c r="M2924" i="1"/>
  <c r="B2925" i="1"/>
  <c r="C2925" i="1"/>
  <c r="M2925" i="1"/>
  <c r="B2926" i="1"/>
  <c r="C2926" i="1"/>
  <c r="M2926" i="1"/>
  <c r="B2927" i="1"/>
  <c r="C2927" i="1"/>
  <c r="M2927" i="1"/>
  <c r="B2928" i="1"/>
  <c r="C2928" i="1"/>
  <c r="M2928" i="1"/>
  <c r="B2929" i="1"/>
  <c r="C2929" i="1"/>
  <c r="M2929" i="1"/>
  <c r="B2930" i="1"/>
  <c r="C2930" i="1"/>
  <c r="M2930" i="1"/>
  <c r="B2931" i="1"/>
  <c r="C2931" i="1"/>
  <c r="M2931" i="1"/>
  <c r="B2932" i="1"/>
  <c r="C2932" i="1"/>
  <c r="M2932" i="1"/>
  <c r="B2933" i="1"/>
  <c r="C2933" i="1"/>
  <c r="M2933" i="1"/>
  <c r="B2934" i="1"/>
  <c r="C2934" i="1"/>
  <c r="M2934" i="1"/>
  <c r="B2935" i="1"/>
  <c r="C2935" i="1"/>
  <c r="M2935" i="1"/>
  <c r="B2936" i="1"/>
  <c r="C2936" i="1"/>
  <c r="M2936" i="1"/>
  <c r="B2937" i="1"/>
  <c r="C2937" i="1"/>
  <c r="M2937" i="1"/>
  <c r="B2938" i="1"/>
  <c r="C2938" i="1"/>
  <c r="M2938" i="1"/>
  <c r="B2939" i="1"/>
  <c r="C2939" i="1"/>
  <c r="M2939" i="1"/>
  <c r="B2940" i="1"/>
  <c r="C2940" i="1"/>
  <c r="M2940" i="1"/>
  <c r="B2941" i="1"/>
  <c r="C2941" i="1"/>
  <c r="M2941" i="1"/>
  <c r="B2942" i="1"/>
  <c r="C2942" i="1"/>
  <c r="M2942" i="1"/>
  <c r="B2943" i="1"/>
  <c r="C2943" i="1"/>
  <c r="M2943" i="1"/>
  <c r="B2944" i="1"/>
  <c r="C2944" i="1"/>
  <c r="M2944" i="1"/>
  <c r="B2945" i="1"/>
  <c r="C2945" i="1"/>
  <c r="M2945" i="1"/>
  <c r="B2946" i="1"/>
  <c r="C2946" i="1"/>
  <c r="M2946" i="1"/>
  <c r="B2947" i="1"/>
  <c r="C2947" i="1"/>
  <c r="M2947" i="1"/>
  <c r="B2948" i="1"/>
  <c r="C2948" i="1"/>
  <c r="M2948" i="1"/>
  <c r="B2949" i="1"/>
  <c r="C2949" i="1"/>
  <c r="M2949" i="1"/>
  <c r="B2950" i="1"/>
  <c r="C2950" i="1"/>
  <c r="M2950" i="1"/>
  <c r="B2951" i="1"/>
  <c r="C2951" i="1"/>
  <c r="M2951" i="1"/>
  <c r="B2952" i="1"/>
  <c r="C2952" i="1"/>
  <c r="M2952" i="1"/>
  <c r="B2953" i="1"/>
  <c r="C2953" i="1"/>
  <c r="M2953" i="1"/>
  <c r="B2954" i="1"/>
  <c r="C2954" i="1"/>
  <c r="M2954" i="1"/>
  <c r="B2955" i="1"/>
  <c r="C2955" i="1"/>
  <c r="M2955" i="1"/>
  <c r="B2956" i="1"/>
  <c r="C2956" i="1"/>
  <c r="M2956" i="1"/>
  <c r="B2957" i="1"/>
  <c r="C2957" i="1"/>
  <c r="M2957" i="1"/>
  <c r="B2958" i="1"/>
  <c r="C2958" i="1"/>
  <c r="M2958" i="1"/>
  <c r="B2959" i="1"/>
  <c r="C2959" i="1"/>
  <c r="M2959" i="1"/>
  <c r="B2960" i="1"/>
  <c r="C2960" i="1"/>
  <c r="M2960" i="1"/>
  <c r="B2961" i="1"/>
  <c r="C2961" i="1"/>
  <c r="M2961" i="1"/>
  <c r="B2962" i="1"/>
  <c r="C2962" i="1"/>
  <c r="M2962" i="1"/>
  <c r="B2963" i="1"/>
  <c r="C2963" i="1"/>
  <c r="M2963" i="1"/>
  <c r="B2964" i="1"/>
  <c r="C2964" i="1"/>
  <c r="M2964" i="1"/>
  <c r="B2965" i="1"/>
  <c r="C2965" i="1"/>
  <c r="M2965" i="1"/>
  <c r="B2966" i="1"/>
  <c r="C2966" i="1"/>
  <c r="M2966" i="1"/>
  <c r="B2967" i="1"/>
  <c r="C2967" i="1"/>
  <c r="M2967" i="1"/>
  <c r="B2968" i="1"/>
  <c r="C2968" i="1"/>
  <c r="M2968" i="1"/>
  <c r="B2969" i="1"/>
  <c r="C2969" i="1"/>
  <c r="M2969" i="1"/>
  <c r="B2970" i="1"/>
  <c r="C2970" i="1"/>
  <c r="M2970" i="1"/>
  <c r="B2971" i="1"/>
  <c r="C2971" i="1"/>
  <c r="M2971" i="1"/>
  <c r="B2972" i="1"/>
  <c r="C2972" i="1"/>
  <c r="M2972" i="1"/>
  <c r="B2973" i="1"/>
  <c r="C2973" i="1"/>
  <c r="M2973" i="1"/>
  <c r="B2974" i="1"/>
  <c r="C2974" i="1"/>
  <c r="M2974" i="1"/>
  <c r="B2975" i="1"/>
  <c r="C2975" i="1"/>
  <c r="M2975" i="1"/>
  <c r="B2976" i="1"/>
  <c r="C2976" i="1"/>
  <c r="M2976" i="1"/>
  <c r="B2977" i="1"/>
  <c r="C2977" i="1"/>
  <c r="M2977" i="1"/>
  <c r="B2978" i="1"/>
  <c r="C2978" i="1"/>
  <c r="M2978" i="1"/>
  <c r="B2979" i="1"/>
  <c r="C2979" i="1"/>
  <c r="M2979" i="1"/>
  <c r="B2980" i="1"/>
  <c r="C2980" i="1"/>
  <c r="M2980" i="1"/>
  <c r="B2981" i="1"/>
  <c r="C2981" i="1"/>
  <c r="M2981" i="1"/>
  <c r="B2982" i="1"/>
  <c r="C2982" i="1"/>
  <c r="M2982" i="1"/>
  <c r="B2983" i="1"/>
  <c r="C2983" i="1"/>
  <c r="M2983" i="1"/>
  <c r="B2984" i="1"/>
  <c r="C2984" i="1"/>
  <c r="M2984" i="1"/>
  <c r="B2985" i="1"/>
  <c r="C2985" i="1"/>
  <c r="M2985" i="1"/>
  <c r="B2986" i="1"/>
  <c r="C2986" i="1"/>
  <c r="M2986" i="1"/>
  <c r="B2987" i="1"/>
  <c r="C2987" i="1"/>
  <c r="M2987" i="1"/>
  <c r="B2988" i="1"/>
  <c r="C2988" i="1"/>
  <c r="M2988" i="1"/>
  <c r="B2989" i="1"/>
  <c r="C2989" i="1"/>
  <c r="M2989" i="1"/>
  <c r="B2990" i="1"/>
  <c r="C2990" i="1"/>
  <c r="M2990" i="1"/>
  <c r="B2991" i="1"/>
  <c r="C2991" i="1"/>
  <c r="M2991" i="1"/>
  <c r="B2992" i="1"/>
  <c r="C2992" i="1"/>
  <c r="M2992" i="1"/>
  <c r="B2993" i="1"/>
  <c r="C2993" i="1"/>
  <c r="M2993" i="1"/>
  <c r="B2994" i="1"/>
  <c r="C2994" i="1"/>
  <c r="M2994" i="1"/>
  <c r="B2995" i="1"/>
  <c r="C2995" i="1"/>
  <c r="M2995" i="1"/>
  <c r="B2996" i="1"/>
  <c r="C2996" i="1"/>
  <c r="M2996" i="1"/>
  <c r="B2997" i="1"/>
  <c r="C2997" i="1"/>
  <c r="M2997" i="1"/>
  <c r="B2998" i="1"/>
  <c r="C2998" i="1"/>
  <c r="M2998" i="1"/>
  <c r="B2999" i="1"/>
  <c r="C2999" i="1"/>
  <c r="M2999" i="1"/>
  <c r="B3000" i="1"/>
  <c r="C3000" i="1"/>
  <c r="M3000" i="1"/>
  <c r="B3001" i="1"/>
  <c r="C3001" i="1"/>
  <c r="M3001" i="1"/>
  <c r="B3002" i="1"/>
  <c r="C3002" i="1"/>
  <c r="M3002" i="1"/>
  <c r="B3003" i="1"/>
  <c r="C3003" i="1"/>
  <c r="M3003" i="1"/>
  <c r="B3004" i="1"/>
  <c r="C3004" i="1"/>
  <c r="M3004" i="1"/>
  <c r="B3005" i="1"/>
  <c r="C3005" i="1"/>
  <c r="M3005" i="1"/>
  <c r="B3006" i="1"/>
  <c r="C3006" i="1"/>
  <c r="M3006" i="1"/>
  <c r="B3007" i="1"/>
  <c r="C3007" i="1"/>
  <c r="M3007" i="1"/>
  <c r="B3008" i="1"/>
  <c r="C3008" i="1"/>
  <c r="M3008" i="1"/>
  <c r="B3009" i="1"/>
  <c r="C3009" i="1"/>
  <c r="M3009" i="1"/>
  <c r="B3010" i="1"/>
  <c r="C3010" i="1"/>
  <c r="M3010" i="1"/>
  <c r="B3011" i="1"/>
  <c r="C3011" i="1"/>
  <c r="M3011" i="1"/>
  <c r="B3012" i="1"/>
  <c r="C3012" i="1"/>
  <c r="M3012" i="1"/>
  <c r="B3013" i="1"/>
  <c r="C3013" i="1"/>
  <c r="M3013" i="1"/>
  <c r="B3014" i="1"/>
  <c r="C3014" i="1"/>
  <c r="M3014" i="1"/>
  <c r="B3015" i="1"/>
  <c r="C3015" i="1"/>
  <c r="M3015" i="1"/>
  <c r="B3016" i="1"/>
  <c r="C3016" i="1"/>
  <c r="M3016" i="1"/>
  <c r="B3017" i="1"/>
  <c r="C3017" i="1"/>
  <c r="M3017" i="1"/>
  <c r="B3018" i="1"/>
  <c r="C3018" i="1"/>
  <c r="M3018" i="1"/>
  <c r="B3019" i="1"/>
  <c r="C3019" i="1"/>
  <c r="M3019" i="1"/>
  <c r="B3020" i="1"/>
  <c r="C3020" i="1"/>
  <c r="M3020" i="1"/>
  <c r="B3021" i="1"/>
  <c r="C3021" i="1"/>
  <c r="M3021" i="1"/>
  <c r="B3022" i="1"/>
  <c r="C3022" i="1"/>
  <c r="M3022" i="1"/>
  <c r="B3023" i="1"/>
  <c r="C3023" i="1"/>
  <c r="M3023" i="1"/>
  <c r="B3024" i="1"/>
  <c r="C3024" i="1"/>
  <c r="M3024" i="1"/>
  <c r="B3025" i="1"/>
  <c r="C3025" i="1"/>
  <c r="M3025" i="1"/>
  <c r="B3026" i="1"/>
  <c r="C3026" i="1"/>
  <c r="M3026" i="1"/>
  <c r="B3027" i="1"/>
  <c r="C3027" i="1"/>
  <c r="M3027" i="1"/>
  <c r="B3028" i="1"/>
  <c r="C3028" i="1"/>
  <c r="M3028" i="1"/>
  <c r="B3029" i="1"/>
  <c r="C3029" i="1"/>
  <c r="M3029" i="1"/>
  <c r="B3030" i="1"/>
  <c r="C3030" i="1"/>
  <c r="M3030" i="1"/>
  <c r="B3031" i="1"/>
  <c r="C3031" i="1"/>
  <c r="M3031" i="1"/>
  <c r="B3032" i="1"/>
  <c r="C3032" i="1"/>
  <c r="M3032" i="1"/>
  <c r="B3033" i="1"/>
  <c r="C3033" i="1"/>
  <c r="M3033" i="1"/>
  <c r="B3034" i="1"/>
  <c r="C3034" i="1"/>
  <c r="M3034" i="1"/>
  <c r="B3035" i="1"/>
  <c r="C3035" i="1"/>
  <c r="M3035" i="1"/>
  <c r="B3036" i="1"/>
  <c r="C3036" i="1"/>
  <c r="M3036" i="1"/>
  <c r="B3037" i="1"/>
  <c r="C3037" i="1"/>
  <c r="M3037" i="1"/>
  <c r="B3038" i="1"/>
  <c r="C3038" i="1"/>
  <c r="M3038" i="1"/>
  <c r="B3039" i="1"/>
  <c r="C3039" i="1"/>
  <c r="M3039" i="1"/>
  <c r="B3040" i="1"/>
  <c r="C3040" i="1"/>
  <c r="M3040" i="1"/>
  <c r="B3041" i="1"/>
  <c r="C3041" i="1"/>
  <c r="M3041" i="1"/>
  <c r="B3042" i="1"/>
  <c r="C3042" i="1"/>
  <c r="M3042" i="1"/>
  <c r="B3043" i="1"/>
  <c r="C3043" i="1"/>
  <c r="M3043" i="1"/>
  <c r="B3044" i="1"/>
  <c r="C3044" i="1"/>
  <c r="M3044" i="1"/>
  <c r="B3045" i="1"/>
  <c r="C3045" i="1"/>
  <c r="M3045" i="1"/>
  <c r="B3046" i="1"/>
  <c r="C3046" i="1"/>
  <c r="M3046" i="1"/>
  <c r="B3047" i="1"/>
  <c r="C3047" i="1"/>
  <c r="M3047" i="1"/>
  <c r="B3048" i="1"/>
  <c r="C3048" i="1"/>
  <c r="M3048" i="1"/>
  <c r="B3049" i="1"/>
  <c r="C3049" i="1"/>
  <c r="M3049" i="1"/>
  <c r="B3050" i="1"/>
  <c r="C3050" i="1"/>
  <c r="M3050" i="1"/>
  <c r="B3051" i="1"/>
  <c r="C3051" i="1"/>
  <c r="M3051" i="1"/>
  <c r="B3052" i="1"/>
  <c r="C3052" i="1"/>
  <c r="M3052" i="1"/>
  <c r="B3053" i="1"/>
  <c r="C3053" i="1"/>
  <c r="M3053" i="1"/>
  <c r="B3054" i="1"/>
  <c r="C3054" i="1"/>
  <c r="M3054" i="1"/>
  <c r="B3055" i="1"/>
  <c r="C3055" i="1"/>
  <c r="M3055" i="1"/>
  <c r="B3056" i="1"/>
  <c r="C3056" i="1"/>
  <c r="M3056" i="1"/>
  <c r="B3057" i="1"/>
  <c r="C3057" i="1"/>
  <c r="M3057" i="1"/>
  <c r="B3058" i="1"/>
  <c r="C3058" i="1"/>
  <c r="M3058" i="1"/>
  <c r="B3059" i="1"/>
  <c r="C3059" i="1"/>
  <c r="M3059" i="1"/>
  <c r="B3060" i="1"/>
  <c r="C3060" i="1"/>
  <c r="M3060" i="1"/>
  <c r="B3061" i="1"/>
  <c r="C3061" i="1"/>
  <c r="M3061" i="1"/>
  <c r="B3062" i="1"/>
  <c r="C3062" i="1"/>
  <c r="M3062" i="1"/>
  <c r="B3063" i="1"/>
  <c r="C3063" i="1"/>
  <c r="M3063" i="1"/>
  <c r="B3064" i="1"/>
  <c r="C3064" i="1"/>
  <c r="M3064" i="1"/>
  <c r="B3065" i="1"/>
  <c r="C3065" i="1"/>
  <c r="M3065" i="1"/>
  <c r="B3066" i="1"/>
  <c r="C3066" i="1"/>
  <c r="M3066" i="1"/>
  <c r="B3067" i="1"/>
  <c r="C3067" i="1"/>
  <c r="M3067" i="1"/>
  <c r="B3068" i="1"/>
  <c r="C3068" i="1"/>
  <c r="M3068" i="1"/>
  <c r="B3069" i="1"/>
  <c r="C3069" i="1"/>
  <c r="M3069" i="1"/>
  <c r="B3070" i="1"/>
  <c r="C3070" i="1"/>
  <c r="M3070" i="1"/>
  <c r="B3071" i="1"/>
  <c r="C3071" i="1"/>
  <c r="M3071" i="1"/>
  <c r="B3072" i="1"/>
  <c r="C3072" i="1"/>
  <c r="M3072" i="1"/>
  <c r="B3073" i="1"/>
  <c r="C3073" i="1"/>
  <c r="M3073" i="1"/>
  <c r="B3074" i="1"/>
  <c r="C3074" i="1"/>
  <c r="M3074" i="1"/>
  <c r="B3075" i="1"/>
  <c r="C3075" i="1"/>
  <c r="M3075" i="1"/>
  <c r="B3076" i="1"/>
  <c r="C3076" i="1"/>
  <c r="M3076" i="1"/>
  <c r="B3077" i="1"/>
  <c r="C3077" i="1"/>
  <c r="M3077" i="1"/>
  <c r="B3078" i="1"/>
  <c r="C3078" i="1"/>
  <c r="M3078" i="1"/>
  <c r="B3079" i="1"/>
  <c r="C3079" i="1"/>
  <c r="M3079" i="1"/>
  <c r="B3080" i="1"/>
  <c r="C3080" i="1"/>
  <c r="M3080" i="1"/>
  <c r="B3081" i="1"/>
  <c r="C3081" i="1"/>
  <c r="M3081" i="1"/>
  <c r="B3082" i="1"/>
  <c r="C3082" i="1"/>
  <c r="M3082" i="1"/>
  <c r="B3083" i="1"/>
  <c r="C3083" i="1"/>
  <c r="M3083" i="1"/>
  <c r="B3084" i="1"/>
  <c r="C3084" i="1"/>
  <c r="M3084" i="1"/>
  <c r="B3085" i="1"/>
  <c r="C3085" i="1"/>
  <c r="M3085" i="1"/>
  <c r="B3086" i="1"/>
  <c r="C3086" i="1"/>
  <c r="M3086" i="1"/>
  <c r="B3087" i="1"/>
  <c r="C3087" i="1"/>
  <c r="M3087" i="1"/>
  <c r="B3088" i="1"/>
  <c r="C3088" i="1"/>
  <c r="M3088" i="1"/>
  <c r="B3089" i="1"/>
  <c r="C3089" i="1"/>
  <c r="M3089" i="1"/>
  <c r="B3090" i="1"/>
  <c r="C3090" i="1"/>
  <c r="M3090" i="1"/>
  <c r="B3091" i="1"/>
  <c r="C3091" i="1"/>
  <c r="M3091" i="1"/>
  <c r="B3092" i="1"/>
  <c r="C3092" i="1"/>
  <c r="M3092" i="1"/>
  <c r="B3093" i="1"/>
  <c r="C3093" i="1"/>
  <c r="M3093" i="1"/>
  <c r="B3094" i="1"/>
  <c r="C3094" i="1"/>
  <c r="M3094" i="1"/>
  <c r="B3095" i="1"/>
  <c r="C3095" i="1"/>
  <c r="M3095" i="1"/>
  <c r="B3096" i="1"/>
  <c r="C3096" i="1"/>
  <c r="M3096" i="1"/>
  <c r="B3097" i="1"/>
  <c r="C3097" i="1"/>
  <c r="M3097" i="1"/>
  <c r="B3098" i="1"/>
  <c r="C3098" i="1"/>
  <c r="M3098" i="1"/>
  <c r="B3099" i="1"/>
  <c r="C3099" i="1"/>
  <c r="M3099" i="1"/>
  <c r="B3100" i="1"/>
  <c r="C3100" i="1"/>
  <c r="M3100" i="1"/>
  <c r="B3101" i="1"/>
  <c r="C3101" i="1"/>
  <c r="M3101" i="1"/>
  <c r="B3102" i="1"/>
  <c r="C3102" i="1"/>
  <c r="M3102" i="1"/>
  <c r="B3103" i="1"/>
  <c r="C3103" i="1"/>
  <c r="M3103" i="1"/>
  <c r="B3104" i="1"/>
  <c r="C3104" i="1"/>
  <c r="M3104" i="1"/>
  <c r="B3105" i="1"/>
  <c r="C3105" i="1"/>
  <c r="M3105" i="1"/>
  <c r="B3106" i="1"/>
  <c r="C3106" i="1"/>
  <c r="M3106" i="1"/>
  <c r="B3107" i="1"/>
  <c r="C3107" i="1"/>
  <c r="M3107" i="1"/>
  <c r="B3108" i="1"/>
  <c r="C3108" i="1"/>
  <c r="M3108" i="1"/>
  <c r="B3109" i="1"/>
  <c r="C3109" i="1"/>
  <c r="M3109" i="1"/>
  <c r="B3110" i="1"/>
  <c r="C3110" i="1"/>
  <c r="M3110" i="1"/>
  <c r="B3111" i="1"/>
  <c r="C3111" i="1"/>
  <c r="M3111" i="1"/>
  <c r="B3112" i="1"/>
  <c r="C3112" i="1"/>
  <c r="M3112" i="1"/>
  <c r="B3113" i="1"/>
  <c r="C3113" i="1"/>
  <c r="M3113" i="1"/>
  <c r="B3114" i="1"/>
  <c r="C3114" i="1"/>
  <c r="M3114" i="1"/>
  <c r="B3115" i="1"/>
  <c r="C3115" i="1"/>
  <c r="M3115" i="1"/>
  <c r="B3116" i="1"/>
  <c r="C3116" i="1"/>
  <c r="M3116" i="1"/>
  <c r="B3117" i="1"/>
  <c r="C3117" i="1"/>
  <c r="M3117" i="1"/>
  <c r="B3118" i="1"/>
  <c r="C3118" i="1"/>
  <c r="M3118" i="1"/>
  <c r="B3119" i="1"/>
  <c r="C3119" i="1"/>
  <c r="M3119" i="1"/>
  <c r="B3120" i="1"/>
  <c r="C3120" i="1"/>
  <c r="M3120" i="1"/>
  <c r="B3121" i="1"/>
  <c r="C3121" i="1"/>
  <c r="M3121" i="1"/>
  <c r="B3122" i="1"/>
  <c r="C3122" i="1"/>
  <c r="M3122" i="1"/>
  <c r="B3123" i="1"/>
  <c r="C3123" i="1"/>
  <c r="M3123" i="1"/>
  <c r="B3124" i="1"/>
  <c r="C3124" i="1"/>
  <c r="M3124" i="1"/>
  <c r="B3125" i="1"/>
  <c r="C3125" i="1"/>
  <c r="M3125" i="1"/>
  <c r="B3126" i="1"/>
  <c r="C3126" i="1"/>
  <c r="M3126" i="1"/>
  <c r="B3127" i="1"/>
  <c r="C3127" i="1"/>
  <c r="M3127" i="1"/>
  <c r="B3128" i="1"/>
  <c r="C3128" i="1"/>
  <c r="M3128" i="1"/>
  <c r="B3129" i="1"/>
  <c r="C3129" i="1"/>
  <c r="M3129" i="1"/>
  <c r="B3130" i="1"/>
  <c r="C3130" i="1"/>
  <c r="M3130" i="1"/>
  <c r="B3131" i="1"/>
  <c r="C3131" i="1"/>
  <c r="M3131" i="1"/>
  <c r="B3132" i="1"/>
  <c r="C3132" i="1"/>
  <c r="M3132" i="1"/>
  <c r="B3133" i="1"/>
  <c r="C3133" i="1"/>
  <c r="M3133" i="1"/>
  <c r="B3134" i="1"/>
  <c r="C3134" i="1"/>
  <c r="M3134" i="1"/>
  <c r="B3135" i="1"/>
  <c r="C3135" i="1"/>
  <c r="M3135" i="1"/>
  <c r="B3136" i="1"/>
  <c r="C3136" i="1"/>
  <c r="M3136" i="1"/>
  <c r="B3137" i="1"/>
  <c r="C3137" i="1"/>
  <c r="M3137" i="1"/>
  <c r="B3138" i="1"/>
  <c r="C3138" i="1"/>
  <c r="M3138" i="1"/>
  <c r="B3139" i="1"/>
  <c r="C3139" i="1"/>
  <c r="M3139" i="1"/>
  <c r="B3140" i="1"/>
  <c r="C3140" i="1"/>
  <c r="M3140" i="1"/>
  <c r="B3141" i="1"/>
  <c r="C3141" i="1"/>
  <c r="M3141" i="1"/>
  <c r="B3142" i="1"/>
  <c r="C3142" i="1"/>
  <c r="M3142" i="1"/>
  <c r="B3143" i="1"/>
  <c r="C3143" i="1"/>
  <c r="M3143" i="1"/>
  <c r="B3144" i="1"/>
  <c r="C3144" i="1"/>
  <c r="M3144" i="1"/>
  <c r="B3145" i="1"/>
  <c r="C3145" i="1"/>
  <c r="M3145" i="1"/>
  <c r="B3146" i="1"/>
  <c r="C3146" i="1"/>
  <c r="M3146" i="1"/>
  <c r="B3147" i="1"/>
  <c r="C3147" i="1"/>
  <c r="M3147" i="1"/>
  <c r="B3148" i="1"/>
  <c r="C3148" i="1"/>
  <c r="M3148" i="1"/>
  <c r="B3149" i="1"/>
  <c r="C3149" i="1"/>
  <c r="M3149" i="1"/>
  <c r="B3150" i="1"/>
  <c r="C3150" i="1"/>
  <c r="M3150" i="1"/>
  <c r="B3151" i="1"/>
  <c r="C3151" i="1"/>
  <c r="M3151" i="1"/>
  <c r="B3152" i="1"/>
  <c r="C3152" i="1"/>
  <c r="M3152" i="1"/>
  <c r="B3153" i="1"/>
  <c r="C3153" i="1"/>
  <c r="M3153" i="1"/>
  <c r="B3154" i="1"/>
  <c r="C3154" i="1"/>
  <c r="M3154" i="1"/>
  <c r="B3155" i="1"/>
  <c r="C3155" i="1"/>
  <c r="M3155" i="1"/>
  <c r="B3156" i="1"/>
  <c r="C3156" i="1"/>
  <c r="M3156" i="1"/>
  <c r="B3157" i="1"/>
  <c r="C3157" i="1"/>
  <c r="M3157" i="1"/>
  <c r="B3158" i="1"/>
  <c r="C3158" i="1"/>
  <c r="M3158" i="1"/>
  <c r="B3159" i="1"/>
  <c r="C3159" i="1"/>
  <c r="M3159" i="1"/>
  <c r="B3160" i="1"/>
  <c r="C3160" i="1"/>
  <c r="M3160" i="1"/>
  <c r="B3161" i="1"/>
  <c r="C3161" i="1"/>
  <c r="M3161" i="1"/>
  <c r="B3162" i="1"/>
  <c r="C3162" i="1"/>
  <c r="M3162" i="1"/>
  <c r="B3163" i="1"/>
  <c r="C3163" i="1"/>
  <c r="M3163" i="1"/>
  <c r="B3164" i="1"/>
  <c r="C3164" i="1"/>
  <c r="M3164" i="1"/>
  <c r="B3165" i="1"/>
  <c r="C3165" i="1"/>
  <c r="M3165" i="1"/>
  <c r="B3166" i="1"/>
  <c r="C3166" i="1"/>
  <c r="M3166" i="1"/>
  <c r="B3167" i="1"/>
  <c r="C3167" i="1"/>
  <c r="M3167" i="1"/>
  <c r="B3168" i="1"/>
  <c r="C3168" i="1"/>
  <c r="M3168" i="1"/>
  <c r="B3169" i="1"/>
  <c r="C3169" i="1"/>
  <c r="M3169" i="1"/>
  <c r="B3170" i="1"/>
  <c r="C3170" i="1"/>
  <c r="M3170" i="1"/>
  <c r="B3171" i="1"/>
  <c r="C3171" i="1"/>
  <c r="M3171" i="1"/>
  <c r="B3172" i="1"/>
  <c r="C3172" i="1"/>
  <c r="M3172" i="1"/>
  <c r="B3173" i="1"/>
  <c r="C3173" i="1"/>
  <c r="M3173" i="1"/>
  <c r="B3174" i="1"/>
  <c r="C3174" i="1"/>
  <c r="M3174" i="1"/>
  <c r="B3175" i="1"/>
  <c r="C3175" i="1"/>
  <c r="M3175" i="1"/>
  <c r="B3176" i="1"/>
  <c r="C3176" i="1"/>
  <c r="M3176" i="1"/>
  <c r="B3177" i="1"/>
  <c r="C3177" i="1"/>
  <c r="M3177" i="1"/>
  <c r="B3178" i="1"/>
  <c r="C3178" i="1"/>
  <c r="M3178" i="1"/>
  <c r="B3179" i="1"/>
  <c r="C3179" i="1"/>
  <c r="M3179" i="1"/>
  <c r="B3180" i="1"/>
  <c r="C3180" i="1"/>
  <c r="M3180" i="1"/>
  <c r="B3181" i="1"/>
  <c r="C3181" i="1"/>
  <c r="M3181" i="1"/>
  <c r="B3182" i="1"/>
  <c r="C3182" i="1"/>
  <c r="M3182" i="1"/>
  <c r="B3183" i="1"/>
  <c r="C3183" i="1"/>
  <c r="M3183" i="1"/>
  <c r="B3184" i="1"/>
  <c r="C3184" i="1"/>
  <c r="M3184" i="1"/>
  <c r="B3185" i="1"/>
  <c r="C3185" i="1"/>
  <c r="M3185" i="1"/>
  <c r="B3186" i="1"/>
  <c r="C3186" i="1"/>
  <c r="M3186" i="1"/>
  <c r="B3187" i="1"/>
  <c r="C3187" i="1"/>
  <c r="M3187" i="1"/>
  <c r="B3188" i="1"/>
  <c r="C3188" i="1"/>
  <c r="M3188" i="1"/>
  <c r="B3189" i="1"/>
  <c r="C3189" i="1"/>
  <c r="M3189" i="1"/>
  <c r="B3190" i="1"/>
  <c r="C3190" i="1"/>
  <c r="M3190" i="1"/>
  <c r="B3191" i="1"/>
  <c r="C3191" i="1"/>
  <c r="M3191" i="1"/>
  <c r="B3192" i="1"/>
  <c r="C3192" i="1"/>
  <c r="M3192" i="1"/>
  <c r="B3193" i="1"/>
  <c r="C3193" i="1"/>
  <c r="M3193" i="1"/>
  <c r="B3194" i="1"/>
  <c r="C3194" i="1"/>
  <c r="M3194" i="1"/>
  <c r="B3195" i="1"/>
  <c r="C3195" i="1"/>
  <c r="M3195" i="1"/>
  <c r="B3196" i="1"/>
  <c r="C3196" i="1"/>
  <c r="M3196" i="1"/>
  <c r="B3197" i="1"/>
  <c r="C3197" i="1"/>
  <c r="M3197" i="1"/>
  <c r="B3198" i="1"/>
  <c r="C3198" i="1"/>
  <c r="M3198" i="1"/>
  <c r="B3199" i="1"/>
  <c r="C3199" i="1"/>
  <c r="M3199" i="1"/>
  <c r="B3200" i="1"/>
  <c r="C3200" i="1"/>
  <c r="M3200" i="1"/>
  <c r="B3201" i="1"/>
  <c r="C3201" i="1"/>
  <c r="M3201" i="1"/>
  <c r="B3202" i="1"/>
  <c r="C3202" i="1"/>
  <c r="M3202" i="1"/>
  <c r="B3203" i="1"/>
  <c r="C3203" i="1"/>
  <c r="M3203" i="1"/>
  <c r="B3204" i="1"/>
  <c r="C3204" i="1"/>
  <c r="M3204" i="1"/>
  <c r="B3205" i="1"/>
  <c r="C3205" i="1"/>
  <c r="M3205" i="1"/>
  <c r="B3206" i="1"/>
  <c r="C3206" i="1"/>
  <c r="M3206" i="1"/>
  <c r="B3207" i="1"/>
  <c r="C3207" i="1"/>
  <c r="M3207" i="1"/>
  <c r="B3208" i="1"/>
  <c r="C3208" i="1"/>
  <c r="M3208" i="1"/>
  <c r="B3209" i="1"/>
  <c r="C3209" i="1"/>
  <c r="M3209" i="1"/>
  <c r="B3210" i="1"/>
  <c r="C3210" i="1"/>
  <c r="M3210" i="1"/>
  <c r="B3211" i="1"/>
  <c r="C3211" i="1"/>
  <c r="M3211" i="1"/>
  <c r="B3212" i="1"/>
  <c r="C3212" i="1"/>
  <c r="M3212" i="1"/>
  <c r="B3213" i="1"/>
  <c r="C3213" i="1"/>
  <c r="M3213" i="1"/>
  <c r="B3214" i="1"/>
  <c r="C3214" i="1"/>
  <c r="M3214" i="1"/>
  <c r="B3215" i="1"/>
  <c r="C3215" i="1"/>
  <c r="M3215" i="1"/>
  <c r="B3216" i="1"/>
  <c r="C3216" i="1"/>
  <c r="M3216" i="1"/>
  <c r="B3217" i="1"/>
  <c r="C3217" i="1"/>
  <c r="M3217" i="1"/>
  <c r="B3218" i="1"/>
  <c r="C3218" i="1"/>
  <c r="M3218" i="1"/>
  <c r="B3219" i="1"/>
  <c r="C3219" i="1"/>
  <c r="M3219" i="1"/>
  <c r="B3220" i="1"/>
  <c r="C3220" i="1"/>
  <c r="M3220" i="1"/>
  <c r="B3221" i="1"/>
  <c r="C3221" i="1"/>
  <c r="M3221" i="1"/>
  <c r="B3222" i="1"/>
  <c r="C3222" i="1"/>
  <c r="M3222" i="1"/>
  <c r="B3223" i="1"/>
  <c r="C3223" i="1"/>
  <c r="M3223" i="1"/>
  <c r="B3224" i="1"/>
  <c r="C3224" i="1"/>
  <c r="M3224" i="1"/>
  <c r="B3225" i="1"/>
  <c r="C3225" i="1"/>
  <c r="M3225" i="1"/>
  <c r="B3226" i="1"/>
  <c r="C3226" i="1"/>
  <c r="M3226" i="1"/>
  <c r="B3227" i="1"/>
  <c r="C3227" i="1"/>
  <c r="M3227" i="1"/>
  <c r="B3228" i="1"/>
  <c r="C3228" i="1"/>
  <c r="M3228" i="1"/>
  <c r="B3229" i="1"/>
  <c r="C3229" i="1"/>
  <c r="M3229" i="1"/>
  <c r="B3230" i="1"/>
  <c r="C3230" i="1"/>
  <c r="M3230" i="1"/>
  <c r="B3231" i="1"/>
  <c r="C3231" i="1"/>
  <c r="M3231" i="1"/>
  <c r="B3232" i="1"/>
  <c r="C3232" i="1"/>
  <c r="M3232" i="1"/>
  <c r="B3233" i="1"/>
  <c r="C3233" i="1"/>
  <c r="M3233" i="1"/>
  <c r="B3234" i="1"/>
  <c r="C3234" i="1"/>
  <c r="M3234" i="1"/>
  <c r="B3235" i="1"/>
  <c r="C3235" i="1"/>
  <c r="M3235" i="1"/>
  <c r="B3236" i="1"/>
  <c r="C3236" i="1"/>
  <c r="M3236" i="1"/>
  <c r="B3237" i="1"/>
  <c r="C3237" i="1"/>
  <c r="M3237" i="1"/>
  <c r="B3238" i="1"/>
  <c r="C3238" i="1"/>
  <c r="M3238" i="1"/>
  <c r="B3239" i="1"/>
  <c r="C3239" i="1"/>
  <c r="M3239" i="1"/>
  <c r="B3240" i="1"/>
  <c r="C3240" i="1"/>
  <c r="M3240" i="1"/>
  <c r="B3241" i="1"/>
  <c r="C3241" i="1"/>
  <c r="M3241" i="1"/>
  <c r="B3242" i="1"/>
  <c r="C3242" i="1"/>
  <c r="M3242" i="1"/>
  <c r="B3243" i="1"/>
  <c r="C3243" i="1"/>
  <c r="M3243" i="1"/>
  <c r="B3244" i="1"/>
  <c r="C3244" i="1"/>
  <c r="M3244" i="1"/>
  <c r="B3245" i="1"/>
  <c r="C3245" i="1"/>
  <c r="M3245" i="1"/>
  <c r="B3246" i="1"/>
  <c r="C3246" i="1"/>
  <c r="M3246" i="1"/>
  <c r="B3247" i="1"/>
  <c r="C3247" i="1"/>
  <c r="M3247" i="1"/>
  <c r="B3248" i="1"/>
  <c r="C3248" i="1"/>
  <c r="M3248" i="1"/>
  <c r="B3249" i="1"/>
  <c r="C3249" i="1"/>
  <c r="M3249" i="1"/>
  <c r="B3250" i="1"/>
  <c r="C3250" i="1"/>
  <c r="M3250" i="1"/>
  <c r="B3251" i="1"/>
  <c r="C3251" i="1"/>
  <c r="M3251" i="1"/>
  <c r="B3252" i="1"/>
  <c r="C3252" i="1"/>
  <c r="M3252" i="1"/>
  <c r="B3253" i="1"/>
  <c r="C3253" i="1"/>
  <c r="M3253" i="1"/>
  <c r="B3254" i="1"/>
  <c r="C3254" i="1"/>
  <c r="M3254" i="1"/>
  <c r="B3255" i="1"/>
  <c r="C3255" i="1"/>
  <c r="M3255" i="1"/>
  <c r="B3256" i="1"/>
  <c r="C3256" i="1"/>
  <c r="M3256" i="1"/>
  <c r="B3257" i="1"/>
  <c r="C3257" i="1"/>
  <c r="M3257" i="1"/>
  <c r="B3258" i="1"/>
  <c r="C3258" i="1"/>
  <c r="M3258" i="1"/>
  <c r="B3259" i="1"/>
  <c r="C3259" i="1"/>
  <c r="M3259" i="1"/>
  <c r="B3260" i="1"/>
  <c r="C3260" i="1"/>
  <c r="M3260" i="1"/>
  <c r="B3261" i="1"/>
  <c r="C3261" i="1"/>
  <c r="M3261" i="1"/>
  <c r="B3262" i="1"/>
  <c r="C3262" i="1"/>
  <c r="M3262" i="1"/>
  <c r="B3263" i="1"/>
  <c r="C3263" i="1"/>
  <c r="M3263" i="1"/>
  <c r="B3264" i="1"/>
  <c r="C3264" i="1"/>
  <c r="M3264" i="1"/>
  <c r="B3265" i="1"/>
  <c r="C3265" i="1"/>
  <c r="M3265" i="1"/>
  <c r="B3266" i="1"/>
  <c r="C3266" i="1"/>
  <c r="M3266" i="1"/>
  <c r="B3267" i="1"/>
  <c r="C3267" i="1"/>
  <c r="M3267" i="1"/>
  <c r="B3268" i="1"/>
  <c r="C3268" i="1"/>
  <c r="M3268" i="1"/>
  <c r="B3269" i="1"/>
  <c r="C3269" i="1"/>
  <c r="M3269" i="1"/>
  <c r="B3270" i="1"/>
  <c r="C3270" i="1"/>
  <c r="M3270" i="1"/>
  <c r="B3271" i="1"/>
  <c r="C3271" i="1"/>
  <c r="M3271" i="1"/>
  <c r="B3272" i="1"/>
  <c r="C3272" i="1"/>
  <c r="M3272" i="1"/>
  <c r="B3273" i="1"/>
  <c r="C3273" i="1"/>
  <c r="M3273" i="1"/>
  <c r="B3274" i="1"/>
  <c r="C3274" i="1"/>
  <c r="M3274" i="1"/>
  <c r="B3275" i="1"/>
  <c r="C3275" i="1"/>
  <c r="M3275" i="1"/>
  <c r="B3276" i="1"/>
  <c r="C3276" i="1"/>
  <c r="M3276" i="1"/>
  <c r="B3277" i="1"/>
  <c r="C3277" i="1"/>
  <c r="M3277" i="1"/>
  <c r="B3278" i="1"/>
  <c r="C3278" i="1"/>
  <c r="M3278" i="1"/>
  <c r="B3279" i="1"/>
  <c r="C3279" i="1"/>
  <c r="M3279" i="1"/>
  <c r="B3280" i="1"/>
  <c r="C3280" i="1"/>
  <c r="M3280" i="1"/>
  <c r="B3281" i="1"/>
  <c r="C3281" i="1"/>
  <c r="M3281" i="1"/>
  <c r="B3282" i="1"/>
  <c r="C3282" i="1"/>
  <c r="M3282" i="1"/>
  <c r="B3283" i="1"/>
  <c r="C3283" i="1"/>
  <c r="M3283" i="1"/>
  <c r="B3284" i="1"/>
  <c r="C3284" i="1"/>
  <c r="M3284" i="1"/>
  <c r="B3285" i="1"/>
  <c r="C3285" i="1"/>
  <c r="M3285" i="1"/>
  <c r="B3286" i="1"/>
  <c r="C3286" i="1"/>
  <c r="M3286" i="1"/>
  <c r="B3287" i="1"/>
  <c r="C3287" i="1"/>
  <c r="M3287" i="1"/>
  <c r="B3288" i="1"/>
  <c r="C3288" i="1"/>
  <c r="M3288" i="1"/>
  <c r="B3289" i="1"/>
  <c r="C3289" i="1"/>
  <c r="M3289" i="1"/>
  <c r="B3290" i="1"/>
  <c r="C3290" i="1"/>
  <c r="M3290" i="1"/>
  <c r="B3291" i="1"/>
  <c r="C3291" i="1"/>
  <c r="M3291" i="1"/>
  <c r="B3292" i="1"/>
  <c r="C3292" i="1"/>
  <c r="M3292" i="1"/>
  <c r="B3293" i="1"/>
  <c r="C3293" i="1"/>
  <c r="M3293" i="1"/>
  <c r="B3294" i="1"/>
  <c r="C3294" i="1"/>
  <c r="M3294" i="1"/>
  <c r="B3295" i="1"/>
  <c r="C3295" i="1"/>
  <c r="M3295" i="1"/>
  <c r="B3296" i="1"/>
  <c r="C3296" i="1"/>
  <c r="M3296" i="1"/>
  <c r="B3297" i="1"/>
  <c r="C3297" i="1"/>
  <c r="M3297" i="1"/>
  <c r="B3298" i="1"/>
  <c r="C3298" i="1"/>
  <c r="M3298" i="1"/>
  <c r="B3299" i="1"/>
  <c r="C3299" i="1"/>
  <c r="M3299" i="1"/>
  <c r="B3300" i="1"/>
  <c r="C3300" i="1"/>
  <c r="M3300" i="1"/>
  <c r="B3301" i="1"/>
  <c r="C3301" i="1"/>
  <c r="M3301" i="1"/>
  <c r="B3302" i="1"/>
  <c r="C3302" i="1"/>
  <c r="M3302" i="1"/>
  <c r="B3303" i="1"/>
  <c r="C3303" i="1"/>
  <c r="M3303" i="1"/>
  <c r="B3304" i="1"/>
  <c r="C3304" i="1"/>
  <c r="M3304" i="1"/>
  <c r="B3305" i="1"/>
  <c r="C3305" i="1"/>
  <c r="M3305" i="1"/>
  <c r="B3306" i="1"/>
  <c r="C3306" i="1"/>
  <c r="M3306" i="1"/>
  <c r="B3307" i="1"/>
  <c r="C3307" i="1"/>
  <c r="M3307" i="1"/>
  <c r="B3308" i="1"/>
  <c r="C3308" i="1"/>
  <c r="M3308" i="1"/>
  <c r="B3309" i="1"/>
  <c r="C3309" i="1"/>
  <c r="M3309" i="1"/>
  <c r="B3310" i="1"/>
  <c r="C3310" i="1"/>
  <c r="M3310" i="1"/>
  <c r="B3311" i="1"/>
  <c r="C3311" i="1"/>
  <c r="M3311" i="1"/>
  <c r="B3312" i="1"/>
  <c r="C3312" i="1"/>
  <c r="M3312" i="1"/>
  <c r="B3313" i="1"/>
  <c r="C3313" i="1"/>
  <c r="M3313" i="1"/>
  <c r="B3314" i="1"/>
  <c r="C3314" i="1"/>
  <c r="M3314" i="1"/>
  <c r="B3315" i="1"/>
  <c r="C3315" i="1"/>
  <c r="M3315" i="1"/>
  <c r="B3316" i="1"/>
  <c r="C3316" i="1"/>
  <c r="M3316" i="1"/>
  <c r="B3317" i="1"/>
  <c r="C3317" i="1"/>
  <c r="M3317" i="1"/>
  <c r="B3318" i="1"/>
  <c r="C3318" i="1"/>
  <c r="M3318" i="1"/>
  <c r="B3319" i="1"/>
  <c r="C3319" i="1"/>
  <c r="M3319" i="1"/>
  <c r="B3320" i="1"/>
  <c r="C3320" i="1"/>
  <c r="M3320" i="1"/>
  <c r="B3321" i="1"/>
  <c r="C3321" i="1"/>
  <c r="M3321" i="1"/>
  <c r="B3322" i="1"/>
  <c r="C3322" i="1"/>
  <c r="M3322" i="1"/>
  <c r="B3323" i="1"/>
  <c r="C3323" i="1"/>
  <c r="M3323" i="1"/>
  <c r="B3324" i="1"/>
  <c r="C3324" i="1"/>
  <c r="M3324" i="1"/>
  <c r="B3325" i="1"/>
  <c r="C3325" i="1"/>
  <c r="M3325" i="1"/>
  <c r="B3326" i="1"/>
  <c r="C3326" i="1"/>
  <c r="M3326" i="1"/>
  <c r="B3327" i="1"/>
  <c r="C3327" i="1"/>
  <c r="M3327" i="1"/>
  <c r="B3328" i="1"/>
  <c r="C3328" i="1"/>
  <c r="M3328" i="1"/>
  <c r="B3329" i="1"/>
  <c r="C3329" i="1"/>
  <c r="M3329" i="1"/>
  <c r="B3330" i="1"/>
  <c r="C3330" i="1"/>
  <c r="M3330" i="1"/>
  <c r="B3331" i="1"/>
  <c r="C3331" i="1"/>
  <c r="M3331" i="1"/>
  <c r="B3332" i="1"/>
  <c r="C3332" i="1"/>
  <c r="M3332" i="1"/>
  <c r="B3333" i="1"/>
  <c r="C3333" i="1"/>
  <c r="M3333" i="1"/>
  <c r="B3334" i="1"/>
  <c r="C3334" i="1"/>
  <c r="M3334" i="1"/>
  <c r="B3335" i="1"/>
  <c r="C3335" i="1"/>
  <c r="M3335" i="1"/>
  <c r="B3336" i="1"/>
  <c r="C3336" i="1"/>
  <c r="M3336" i="1"/>
  <c r="B3337" i="1"/>
  <c r="C3337" i="1"/>
  <c r="M3337" i="1"/>
  <c r="B3338" i="1"/>
  <c r="C3338" i="1"/>
  <c r="M3338" i="1"/>
  <c r="B3339" i="1"/>
  <c r="C3339" i="1"/>
  <c r="M3339" i="1"/>
  <c r="B3340" i="1"/>
  <c r="C3340" i="1"/>
  <c r="M3340" i="1"/>
  <c r="B3341" i="1"/>
  <c r="C3341" i="1"/>
  <c r="M3341" i="1"/>
  <c r="B3342" i="1"/>
  <c r="C3342" i="1"/>
  <c r="M3342" i="1"/>
  <c r="B3343" i="1"/>
  <c r="C3343" i="1"/>
  <c r="M3343" i="1"/>
  <c r="B3344" i="1"/>
  <c r="C3344" i="1"/>
  <c r="M3344" i="1"/>
  <c r="B3345" i="1"/>
  <c r="C3345" i="1"/>
  <c r="M3345" i="1"/>
  <c r="B3346" i="1"/>
  <c r="C3346" i="1"/>
  <c r="M3346" i="1"/>
  <c r="B3347" i="1"/>
  <c r="C3347" i="1"/>
  <c r="M3347" i="1"/>
  <c r="B3348" i="1"/>
  <c r="C3348" i="1"/>
  <c r="M3348" i="1"/>
  <c r="B3349" i="1"/>
  <c r="C3349" i="1"/>
  <c r="M3349" i="1"/>
  <c r="B3350" i="1"/>
  <c r="C3350" i="1"/>
  <c r="M3350" i="1"/>
  <c r="B3351" i="1"/>
  <c r="C3351" i="1"/>
  <c r="M3351" i="1"/>
  <c r="B3352" i="1"/>
  <c r="C3352" i="1"/>
  <c r="M3352" i="1"/>
  <c r="B3353" i="1"/>
  <c r="C3353" i="1"/>
  <c r="M3353" i="1"/>
  <c r="B3354" i="1"/>
  <c r="C3354" i="1"/>
  <c r="M3354" i="1"/>
  <c r="B3355" i="1"/>
  <c r="C3355" i="1"/>
  <c r="M3355" i="1"/>
  <c r="B3356" i="1"/>
  <c r="C3356" i="1"/>
  <c r="M3356" i="1"/>
  <c r="B3357" i="1"/>
  <c r="C3357" i="1"/>
  <c r="M3357" i="1"/>
  <c r="B3358" i="1"/>
  <c r="C3358" i="1"/>
  <c r="M3358" i="1"/>
  <c r="B3359" i="1"/>
  <c r="C3359" i="1"/>
  <c r="M3359" i="1"/>
  <c r="B3360" i="1"/>
  <c r="C3360" i="1"/>
  <c r="M3360" i="1"/>
  <c r="B3361" i="1"/>
  <c r="C3361" i="1"/>
  <c r="M3361" i="1"/>
  <c r="B3362" i="1"/>
  <c r="C3362" i="1"/>
  <c r="M3362" i="1"/>
  <c r="B3363" i="1"/>
  <c r="C3363" i="1"/>
  <c r="M3363" i="1"/>
  <c r="B3364" i="1"/>
  <c r="C3364" i="1"/>
  <c r="M3364" i="1"/>
  <c r="B3365" i="1"/>
  <c r="C3365" i="1"/>
  <c r="M3365" i="1"/>
  <c r="B3366" i="1"/>
  <c r="C3366" i="1"/>
  <c r="M3366" i="1"/>
  <c r="B3367" i="1"/>
  <c r="C3367" i="1"/>
  <c r="M3367" i="1"/>
  <c r="B3368" i="1"/>
  <c r="C3368" i="1"/>
  <c r="M3368" i="1"/>
  <c r="B3369" i="1"/>
  <c r="C3369" i="1"/>
  <c r="M3369" i="1"/>
  <c r="B3370" i="1"/>
  <c r="C3370" i="1"/>
  <c r="M3370" i="1"/>
  <c r="B3371" i="1"/>
  <c r="C3371" i="1"/>
  <c r="M3371" i="1"/>
  <c r="B3372" i="1"/>
  <c r="C3372" i="1"/>
  <c r="M3372" i="1"/>
  <c r="B3373" i="1"/>
  <c r="C3373" i="1"/>
  <c r="M3373" i="1"/>
  <c r="B3374" i="1"/>
  <c r="C3374" i="1"/>
  <c r="M3374" i="1"/>
  <c r="B3375" i="1"/>
  <c r="C3375" i="1"/>
  <c r="M3375" i="1"/>
  <c r="B3376" i="1"/>
  <c r="C3376" i="1"/>
  <c r="M3376" i="1"/>
  <c r="B3377" i="1"/>
  <c r="C3377" i="1"/>
  <c r="M3377" i="1"/>
  <c r="B3378" i="1"/>
  <c r="C3378" i="1"/>
  <c r="M3378" i="1"/>
  <c r="B3379" i="1"/>
  <c r="C3379" i="1"/>
  <c r="M3379" i="1"/>
  <c r="B3380" i="1"/>
  <c r="C3380" i="1"/>
  <c r="M3380" i="1"/>
  <c r="B3381" i="1"/>
  <c r="C3381" i="1"/>
  <c r="M3381" i="1"/>
  <c r="B3382" i="1"/>
  <c r="C3382" i="1"/>
  <c r="M3382" i="1"/>
  <c r="B3383" i="1"/>
  <c r="C3383" i="1"/>
  <c r="M3383" i="1"/>
  <c r="B3384" i="1"/>
  <c r="C3384" i="1"/>
  <c r="M3384" i="1"/>
  <c r="B3385" i="1"/>
  <c r="C3385" i="1"/>
  <c r="M3385" i="1"/>
  <c r="B3386" i="1"/>
  <c r="C3386" i="1"/>
  <c r="M3386" i="1"/>
  <c r="B3387" i="1"/>
  <c r="C3387" i="1"/>
  <c r="M3387" i="1"/>
  <c r="B3388" i="1"/>
  <c r="C3388" i="1"/>
  <c r="M3388" i="1"/>
  <c r="B3389" i="1"/>
  <c r="C3389" i="1"/>
  <c r="M3389" i="1"/>
  <c r="B3390" i="1"/>
  <c r="C3390" i="1"/>
  <c r="M3390" i="1"/>
  <c r="B3391" i="1"/>
  <c r="C3391" i="1"/>
  <c r="M3391" i="1"/>
  <c r="B3392" i="1"/>
  <c r="C3392" i="1"/>
  <c r="M3392" i="1"/>
  <c r="B3393" i="1"/>
  <c r="C3393" i="1"/>
  <c r="M3393" i="1"/>
  <c r="B3394" i="1"/>
  <c r="C3394" i="1"/>
  <c r="M3394" i="1"/>
  <c r="B3395" i="1"/>
  <c r="C3395" i="1"/>
  <c r="M3395" i="1"/>
  <c r="B3396" i="1"/>
  <c r="C3396" i="1"/>
  <c r="M3396" i="1"/>
  <c r="B3397" i="1"/>
  <c r="C3397" i="1"/>
  <c r="M3397" i="1"/>
  <c r="B3398" i="1"/>
  <c r="C3398" i="1"/>
  <c r="M3398" i="1"/>
  <c r="B3399" i="1"/>
  <c r="C3399" i="1"/>
  <c r="M3399" i="1"/>
  <c r="B3400" i="1"/>
  <c r="C3400" i="1"/>
  <c r="M3400" i="1"/>
  <c r="B3401" i="1"/>
  <c r="C3401" i="1"/>
  <c r="M3401" i="1"/>
  <c r="B3402" i="1"/>
  <c r="C3402" i="1"/>
  <c r="M3402" i="1"/>
  <c r="B3403" i="1"/>
  <c r="C3403" i="1"/>
  <c r="M3403" i="1"/>
  <c r="B3404" i="1"/>
  <c r="C3404" i="1"/>
  <c r="M3404" i="1"/>
  <c r="B3405" i="1"/>
  <c r="C3405" i="1"/>
  <c r="M3405" i="1"/>
  <c r="B3406" i="1"/>
  <c r="C3406" i="1"/>
  <c r="M3406" i="1"/>
  <c r="B3407" i="1"/>
  <c r="C3407" i="1"/>
  <c r="M3407" i="1"/>
  <c r="B3408" i="1"/>
  <c r="C3408" i="1"/>
  <c r="M3408" i="1"/>
  <c r="B3409" i="1"/>
  <c r="C3409" i="1"/>
  <c r="M3409" i="1"/>
  <c r="B3410" i="1"/>
  <c r="C3410" i="1"/>
  <c r="M3410" i="1"/>
  <c r="B3411" i="1"/>
  <c r="C3411" i="1"/>
  <c r="M3411" i="1"/>
  <c r="B3412" i="1"/>
  <c r="C3412" i="1"/>
  <c r="M3412" i="1"/>
  <c r="B3413" i="1"/>
  <c r="C3413" i="1"/>
  <c r="M3413" i="1"/>
  <c r="B3414" i="1"/>
  <c r="C3414" i="1"/>
  <c r="M3414" i="1"/>
  <c r="B3415" i="1"/>
  <c r="C3415" i="1"/>
  <c r="M3415" i="1"/>
  <c r="B3416" i="1"/>
  <c r="C3416" i="1"/>
  <c r="M3416" i="1"/>
  <c r="B3417" i="1"/>
  <c r="C3417" i="1"/>
  <c r="M3417" i="1"/>
  <c r="B3418" i="1"/>
  <c r="C3418" i="1"/>
  <c r="M3418" i="1"/>
  <c r="B3419" i="1"/>
  <c r="C3419" i="1"/>
  <c r="M3419" i="1"/>
  <c r="B3420" i="1"/>
  <c r="C3420" i="1"/>
  <c r="M3420" i="1"/>
  <c r="B3421" i="1"/>
  <c r="C3421" i="1"/>
  <c r="M3421" i="1"/>
  <c r="B3422" i="1"/>
  <c r="C3422" i="1"/>
  <c r="M3422" i="1"/>
  <c r="B3423" i="1"/>
  <c r="C3423" i="1"/>
  <c r="M3423" i="1"/>
  <c r="B3424" i="1"/>
  <c r="C3424" i="1"/>
  <c r="M3424" i="1"/>
  <c r="B3425" i="1"/>
  <c r="C3425" i="1"/>
  <c r="M3425" i="1"/>
  <c r="B3426" i="1"/>
  <c r="C3426" i="1"/>
  <c r="M3426" i="1"/>
  <c r="B3427" i="1"/>
  <c r="C3427" i="1"/>
  <c r="M3427" i="1"/>
  <c r="B3428" i="1"/>
  <c r="C3428" i="1"/>
  <c r="M3428" i="1"/>
  <c r="B3429" i="1"/>
  <c r="C3429" i="1"/>
  <c r="M3429" i="1"/>
  <c r="B3430" i="1"/>
  <c r="C3430" i="1"/>
  <c r="M3430" i="1"/>
  <c r="B3431" i="1"/>
  <c r="C3431" i="1"/>
  <c r="M3431" i="1"/>
  <c r="B3432" i="1"/>
  <c r="C3432" i="1"/>
  <c r="M3432" i="1"/>
  <c r="B3433" i="1"/>
  <c r="C3433" i="1"/>
  <c r="M3433" i="1"/>
  <c r="B3434" i="1"/>
  <c r="C3434" i="1"/>
  <c r="M3434" i="1"/>
  <c r="B3435" i="1"/>
  <c r="C3435" i="1"/>
  <c r="M3435" i="1"/>
  <c r="B3436" i="1"/>
  <c r="C3436" i="1"/>
  <c r="M3436" i="1"/>
  <c r="B3437" i="1"/>
  <c r="C3437" i="1"/>
  <c r="M3437" i="1"/>
  <c r="B3438" i="1"/>
  <c r="C3438" i="1"/>
  <c r="M3438" i="1"/>
  <c r="B3439" i="1"/>
  <c r="C3439" i="1"/>
  <c r="M3439" i="1"/>
  <c r="B3440" i="1"/>
  <c r="C3440" i="1"/>
  <c r="M3440" i="1"/>
  <c r="B3441" i="1"/>
  <c r="C3441" i="1"/>
  <c r="M3441" i="1"/>
  <c r="B3442" i="1"/>
  <c r="C3442" i="1"/>
  <c r="M3442" i="1"/>
  <c r="B3443" i="1"/>
  <c r="C3443" i="1"/>
  <c r="M3443" i="1"/>
  <c r="B3444" i="1"/>
  <c r="C3444" i="1"/>
  <c r="M3444" i="1"/>
  <c r="B3445" i="1"/>
  <c r="C3445" i="1"/>
  <c r="M3445" i="1"/>
  <c r="B3446" i="1"/>
  <c r="C3446" i="1"/>
  <c r="M3446" i="1"/>
  <c r="B3447" i="1"/>
  <c r="C3447" i="1"/>
  <c r="M3447" i="1"/>
  <c r="B3448" i="1"/>
  <c r="C3448" i="1"/>
  <c r="M3448" i="1"/>
  <c r="B3449" i="1"/>
  <c r="C3449" i="1"/>
  <c r="M3449" i="1"/>
  <c r="B3450" i="1"/>
  <c r="C3450" i="1"/>
  <c r="M3450" i="1"/>
  <c r="B3451" i="1"/>
  <c r="C3451" i="1"/>
  <c r="M3451" i="1"/>
  <c r="B3452" i="1"/>
  <c r="C3452" i="1"/>
  <c r="M3452" i="1"/>
  <c r="B3453" i="1"/>
  <c r="C3453" i="1"/>
  <c r="M3453" i="1"/>
  <c r="B3454" i="1"/>
  <c r="C3454" i="1"/>
  <c r="M3454" i="1"/>
  <c r="B3455" i="1"/>
  <c r="C3455" i="1"/>
  <c r="M3455" i="1"/>
  <c r="B3456" i="1"/>
  <c r="C3456" i="1"/>
  <c r="M3456" i="1"/>
  <c r="B3457" i="1"/>
  <c r="C3457" i="1"/>
  <c r="M3457" i="1"/>
  <c r="B3458" i="1"/>
  <c r="C3458" i="1"/>
  <c r="M3458" i="1"/>
  <c r="B3459" i="1"/>
  <c r="C3459" i="1"/>
  <c r="M3459" i="1"/>
  <c r="B3460" i="1"/>
  <c r="C3460" i="1"/>
  <c r="M3460" i="1"/>
  <c r="B3461" i="1"/>
  <c r="C3461" i="1"/>
  <c r="M3461" i="1"/>
  <c r="B3462" i="1"/>
  <c r="C3462" i="1"/>
  <c r="M3462" i="1"/>
  <c r="B3463" i="1"/>
  <c r="C3463" i="1"/>
  <c r="M3463" i="1"/>
  <c r="B3464" i="1"/>
  <c r="C3464" i="1"/>
  <c r="M3464" i="1"/>
  <c r="B3465" i="1"/>
  <c r="C3465" i="1"/>
  <c r="M3465" i="1"/>
  <c r="B3466" i="1"/>
  <c r="C3466" i="1"/>
  <c r="M3466" i="1"/>
  <c r="B3467" i="1"/>
  <c r="C3467" i="1"/>
  <c r="M3467" i="1"/>
  <c r="B3468" i="1"/>
  <c r="C3468" i="1"/>
  <c r="M3468" i="1"/>
  <c r="B3469" i="1"/>
  <c r="C3469" i="1"/>
  <c r="M3469" i="1"/>
  <c r="B3470" i="1"/>
  <c r="C3470" i="1"/>
  <c r="M3470" i="1"/>
  <c r="B3471" i="1"/>
  <c r="C3471" i="1"/>
  <c r="M3471" i="1"/>
  <c r="B3472" i="1"/>
  <c r="C3472" i="1"/>
  <c r="M3472" i="1"/>
  <c r="B3473" i="1"/>
  <c r="C3473" i="1"/>
  <c r="M3473" i="1"/>
  <c r="B3474" i="1"/>
  <c r="C3474" i="1"/>
  <c r="M3474" i="1"/>
  <c r="B3475" i="1"/>
  <c r="C3475" i="1"/>
  <c r="M3475" i="1"/>
  <c r="B3476" i="1"/>
  <c r="C3476" i="1"/>
  <c r="M3476" i="1"/>
  <c r="B3477" i="1"/>
  <c r="C3477" i="1"/>
  <c r="M3477" i="1"/>
  <c r="B3478" i="1"/>
  <c r="C3478" i="1"/>
  <c r="M3478" i="1"/>
  <c r="B3479" i="1"/>
  <c r="C3479" i="1"/>
  <c r="M3479" i="1"/>
  <c r="B3480" i="1"/>
  <c r="C3480" i="1"/>
  <c r="M3480" i="1"/>
  <c r="B3481" i="1"/>
  <c r="C3481" i="1"/>
  <c r="M3481" i="1"/>
  <c r="B3482" i="1"/>
  <c r="C3482" i="1"/>
  <c r="M3482" i="1"/>
  <c r="B3483" i="1"/>
  <c r="C3483" i="1"/>
  <c r="M3483" i="1"/>
  <c r="B3484" i="1"/>
  <c r="C3484" i="1"/>
  <c r="M3484" i="1"/>
  <c r="B3485" i="1"/>
  <c r="C3485" i="1"/>
  <c r="M3485" i="1"/>
  <c r="B3486" i="1"/>
  <c r="C3486" i="1"/>
  <c r="M3486" i="1"/>
  <c r="B3487" i="1"/>
  <c r="C3487" i="1"/>
  <c r="M3487" i="1"/>
  <c r="B3488" i="1"/>
  <c r="C3488" i="1"/>
  <c r="M3488" i="1"/>
  <c r="B3489" i="1"/>
  <c r="C3489" i="1"/>
  <c r="M3489" i="1"/>
  <c r="B3490" i="1"/>
  <c r="C3490" i="1"/>
  <c r="M3490" i="1"/>
  <c r="B3491" i="1"/>
  <c r="C3491" i="1"/>
  <c r="M3491" i="1"/>
  <c r="B3492" i="1"/>
  <c r="C3492" i="1"/>
  <c r="M3492" i="1"/>
  <c r="B3493" i="1"/>
  <c r="C3493" i="1"/>
  <c r="M3493" i="1"/>
  <c r="B3494" i="1"/>
  <c r="C3494" i="1"/>
  <c r="M3494" i="1"/>
  <c r="B3495" i="1"/>
  <c r="C3495" i="1"/>
  <c r="M3495" i="1"/>
  <c r="B3496" i="1"/>
  <c r="C3496" i="1"/>
  <c r="M3496" i="1"/>
  <c r="B3497" i="1"/>
  <c r="C3497" i="1"/>
  <c r="M3497" i="1"/>
  <c r="B3498" i="1"/>
  <c r="C3498" i="1"/>
  <c r="M3498" i="1"/>
  <c r="B3499" i="1"/>
  <c r="C3499" i="1"/>
  <c r="M3499" i="1"/>
  <c r="B3500" i="1"/>
  <c r="C3500" i="1"/>
  <c r="M3500" i="1"/>
  <c r="B3501" i="1"/>
  <c r="C3501" i="1"/>
  <c r="M3501" i="1"/>
  <c r="B3502" i="1"/>
  <c r="C3502" i="1"/>
  <c r="M3502" i="1"/>
  <c r="B3503" i="1"/>
  <c r="C3503" i="1"/>
  <c r="M3503" i="1"/>
  <c r="B3504" i="1"/>
  <c r="C3504" i="1"/>
  <c r="M3504" i="1"/>
  <c r="B3505" i="1"/>
  <c r="C3505" i="1"/>
  <c r="M3505" i="1"/>
  <c r="B3506" i="1"/>
  <c r="C3506" i="1"/>
  <c r="M3506" i="1"/>
  <c r="B3507" i="1"/>
  <c r="C3507" i="1"/>
  <c r="M3507" i="1"/>
  <c r="B3508" i="1"/>
  <c r="C3508" i="1"/>
  <c r="M3508" i="1"/>
  <c r="B3509" i="1"/>
  <c r="C3509" i="1"/>
  <c r="M3509" i="1"/>
  <c r="B3510" i="1"/>
  <c r="C3510" i="1"/>
  <c r="M3510" i="1"/>
  <c r="B3511" i="1"/>
  <c r="C3511" i="1"/>
  <c r="M3511" i="1"/>
  <c r="B3512" i="1"/>
  <c r="C3512" i="1"/>
  <c r="M3512" i="1"/>
  <c r="B3513" i="1"/>
  <c r="C3513" i="1"/>
  <c r="M3513" i="1"/>
  <c r="B3514" i="1"/>
  <c r="C3514" i="1"/>
  <c r="M3514" i="1"/>
  <c r="B3515" i="1"/>
  <c r="C3515" i="1"/>
  <c r="M3515" i="1"/>
  <c r="B3516" i="1"/>
  <c r="C3516" i="1"/>
  <c r="M3516" i="1"/>
  <c r="B3517" i="1"/>
  <c r="C3517" i="1"/>
  <c r="M3517" i="1"/>
  <c r="B3518" i="1"/>
  <c r="C3518" i="1"/>
  <c r="M3518" i="1"/>
  <c r="B3519" i="1"/>
  <c r="C3519" i="1"/>
  <c r="M3519" i="1"/>
  <c r="B3520" i="1"/>
  <c r="C3520" i="1"/>
  <c r="M3520" i="1"/>
  <c r="B3521" i="1"/>
  <c r="C3521" i="1"/>
  <c r="M3521" i="1"/>
  <c r="B3522" i="1"/>
  <c r="C3522" i="1"/>
  <c r="M3522" i="1"/>
  <c r="B3523" i="1"/>
  <c r="C3523" i="1"/>
  <c r="M3523" i="1"/>
  <c r="B3524" i="1"/>
  <c r="C3524" i="1"/>
  <c r="M3524" i="1"/>
  <c r="B3525" i="1"/>
  <c r="C3525" i="1"/>
  <c r="M3525" i="1"/>
  <c r="B3526" i="1"/>
  <c r="C3526" i="1"/>
  <c r="M3526" i="1"/>
  <c r="B3527" i="1"/>
  <c r="C3527" i="1"/>
  <c r="M3527" i="1"/>
  <c r="B3528" i="1"/>
  <c r="C3528" i="1"/>
  <c r="M3528" i="1"/>
  <c r="B3529" i="1"/>
  <c r="C3529" i="1"/>
  <c r="M3529" i="1"/>
  <c r="B3530" i="1"/>
  <c r="C3530" i="1"/>
  <c r="M3530" i="1"/>
  <c r="B3531" i="1"/>
  <c r="C3531" i="1"/>
  <c r="M3531" i="1"/>
  <c r="B3532" i="1"/>
  <c r="C3532" i="1"/>
  <c r="M3532" i="1"/>
  <c r="B3533" i="1"/>
  <c r="C3533" i="1"/>
  <c r="M3533" i="1"/>
  <c r="B3534" i="1"/>
  <c r="C3534" i="1"/>
  <c r="M3534" i="1"/>
  <c r="B3535" i="1"/>
  <c r="C3535" i="1"/>
  <c r="M3535" i="1"/>
  <c r="B3536" i="1"/>
  <c r="C3536" i="1"/>
  <c r="M3536" i="1"/>
  <c r="B3537" i="1"/>
  <c r="C3537" i="1"/>
  <c r="M3537" i="1"/>
  <c r="B3538" i="1"/>
  <c r="C3538" i="1"/>
  <c r="M3538" i="1"/>
  <c r="B3539" i="1"/>
  <c r="C3539" i="1"/>
  <c r="M3539" i="1"/>
  <c r="B3540" i="1"/>
  <c r="C3540" i="1"/>
  <c r="M3540" i="1"/>
  <c r="B3541" i="1"/>
  <c r="C3541" i="1"/>
  <c r="M3541" i="1"/>
  <c r="B3542" i="1"/>
  <c r="C3542" i="1"/>
  <c r="M3542" i="1"/>
  <c r="B3543" i="1"/>
  <c r="C3543" i="1"/>
  <c r="M3543" i="1"/>
  <c r="B3544" i="1"/>
  <c r="C3544" i="1"/>
  <c r="M3544" i="1"/>
  <c r="B3545" i="1"/>
  <c r="C3545" i="1"/>
  <c r="M3545" i="1"/>
  <c r="B3546" i="1"/>
  <c r="C3546" i="1"/>
  <c r="M3546" i="1"/>
  <c r="B3547" i="1"/>
  <c r="C3547" i="1"/>
  <c r="M3547" i="1"/>
  <c r="B3548" i="1"/>
  <c r="C3548" i="1"/>
  <c r="M3548" i="1"/>
  <c r="B3549" i="1"/>
  <c r="C3549" i="1"/>
  <c r="M3549" i="1"/>
  <c r="B3550" i="1"/>
  <c r="C3550" i="1"/>
  <c r="M3550" i="1"/>
  <c r="B3551" i="1"/>
  <c r="C3551" i="1"/>
  <c r="M3551" i="1"/>
  <c r="B3552" i="1"/>
  <c r="C3552" i="1"/>
  <c r="M3552" i="1"/>
  <c r="B3553" i="1"/>
  <c r="C3553" i="1"/>
  <c r="M3553" i="1"/>
  <c r="B3554" i="1"/>
  <c r="C3554" i="1"/>
  <c r="M3554" i="1"/>
  <c r="B3555" i="1"/>
  <c r="C3555" i="1"/>
  <c r="M3555" i="1"/>
  <c r="B3556" i="1"/>
  <c r="C3556" i="1"/>
  <c r="M3556" i="1"/>
  <c r="B3557" i="1"/>
  <c r="C3557" i="1"/>
  <c r="M3557" i="1"/>
  <c r="B3558" i="1"/>
  <c r="C3558" i="1"/>
  <c r="M3558" i="1"/>
  <c r="B3559" i="1"/>
  <c r="C3559" i="1"/>
  <c r="M3559" i="1"/>
  <c r="B3560" i="1"/>
  <c r="C3560" i="1"/>
  <c r="M3560" i="1"/>
  <c r="B3561" i="1"/>
  <c r="C3561" i="1"/>
  <c r="M3561" i="1"/>
  <c r="B3562" i="1"/>
  <c r="C3562" i="1"/>
  <c r="M3562" i="1"/>
  <c r="B3563" i="1"/>
  <c r="C3563" i="1"/>
  <c r="M3563" i="1"/>
  <c r="B3564" i="1"/>
  <c r="C3564" i="1"/>
  <c r="M3564" i="1"/>
  <c r="B3565" i="1"/>
  <c r="C3565" i="1"/>
  <c r="M3565" i="1"/>
  <c r="B3566" i="1"/>
  <c r="C3566" i="1"/>
  <c r="M3566" i="1"/>
  <c r="B3567" i="1"/>
  <c r="C3567" i="1"/>
  <c r="M3567" i="1"/>
  <c r="B3568" i="1"/>
  <c r="C3568" i="1"/>
  <c r="M3568" i="1"/>
  <c r="B3569" i="1"/>
  <c r="C3569" i="1"/>
  <c r="M3569" i="1"/>
  <c r="B3570" i="1"/>
  <c r="C3570" i="1"/>
  <c r="M3570" i="1"/>
  <c r="B3571" i="1"/>
  <c r="C3571" i="1"/>
  <c r="M3571" i="1"/>
  <c r="B3572" i="1"/>
  <c r="C3572" i="1"/>
  <c r="M3572" i="1"/>
  <c r="B3573" i="1"/>
  <c r="C3573" i="1"/>
  <c r="M3573" i="1"/>
  <c r="B3574" i="1"/>
  <c r="C3574" i="1"/>
  <c r="M3574" i="1"/>
  <c r="B3575" i="1"/>
  <c r="C3575" i="1"/>
  <c r="M3575" i="1"/>
  <c r="B3576" i="1"/>
  <c r="C3576" i="1"/>
  <c r="M3576" i="1"/>
  <c r="B3577" i="1"/>
  <c r="C3577" i="1"/>
  <c r="M3577" i="1"/>
  <c r="B3578" i="1"/>
  <c r="C3578" i="1"/>
  <c r="M3578" i="1"/>
  <c r="B3579" i="1"/>
  <c r="C3579" i="1"/>
  <c r="M3579" i="1"/>
  <c r="B3580" i="1"/>
  <c r="C3580" i="1"/>
  <c r="M3580" i="1"/>
  <c r="B3581" i="1"/>
  <c r="C3581" i="1"/>
  <c r="M3581" i="1"/>
  <c r="B3582" i="1"/>
  <c r="C3582" i="1"/>
  <c r="M3582" i="1"/>
  <c r="B3583" i="1"/>
  <c r="C3583" i="1"/>
  <c r="M3583" i="1"/>
  <c r="B3584" i="1"/>
  <c r="C3584" i="1"/>
  <c r="M3584" i="1"/>
  <c r="B3585" i="1"/>
  <c r="C3585" i="1"/>
  <c r="M3585" i="1"/>
  <c r="B3586" i="1"/>
  <c r="C3586" i="1"/>
  <c r="M3586" i="1"/>
  <c r="B3587" i="1"/>
  <c r="C3587" i="1"/>
  <c r="M3587" i="1"/>
  <c r="B3588" i="1"/>
  <c r="C3588" i="1"/>
  <c r="M3588" i="1"/>
  <c r="B3589" i="1"/>
  <c r="C3589" i="1"/>
  <c r="M3589" i="1"/>
  <c r="B3590" i="1"/>
  <c r="C3590" i="1"/>
  <c r="M3590" i="1"/>
  <c r="B3591" i="1"/>
  <c r="C3591" i="1"/>
  <c r="M3591" i="1"/>
  <c r="B3592" i="1"/>
  <c r="C3592" i="1"/>
  <c r="M3592" i="1"/>
  <c r="B3593" i="1"/>
  <c r="C3593" i="1"/>
  <c r="M3593" i="1"/>
  <c r="B3594" i="1"/>
  <c r="C3594" i="1"/>
  <c r="M3594" i="1"/>
  <c r="B3595" i="1"/>
  <c r="C3595" i="1"/>
  <c r="M3595" i="1"/>
  <c r="B3596" i="1"/>
  <c r="C3596" i="1"/>
  <c r="M3596" i="1"/>
  <c r="B3597" i="1"/>
  <c r="C3597" i="1"/>
  <c r="M3597" i="1"/>
  <c r="B3598" i="1"/>
  <c r="C3598" i="1"/>
  <c r="M3598" i="1"/>
  <c r="B3599" i="1"/>
  <c r="C3599" i="1"/>
  <c r="M3599" i="1"/>
  <c r="B3600" i="1"/>
  <c r="C3600" i="1"/>
  <c r="M3600" i="1"/>
  <c r="B3601" i="1"/>
  <c r="C3601" i="1"/>
  <c r="M3601" i="1"/>
  <c r="B3602" i="1"/>
  <c r="C3602" i="1"/>
  <c r="M3602" i="1"/>
  <c r="B3603" i="1"/>
  <c r="C3603" i="1"/>
  <c r="M3603" i="1"/>
  <c r="B3604" i="1"/>
  <c r="C3604" i="1"/>
  <c r="M3604" i="1"/>
  <c r="B3605" i="1"/>
  <c r="C3605" i="1"/>
  <c r="M3605" i="1"/>
  <c r="B3606" i="1"/>
  <c r="C3606" i="1"/>
  <c r="M3606" i="1"/>
  <c r="B3607" i="1"/>
  <c r="C3607" i="1"/>
  <c r="M3607" i="1"/>
  <c r="B3608" i="1"/>
  <c r="C3608" i="1"/>
  <c r="M3608" i="1"/>
  <c r="B3609" i="1"/>
  <c r="C3609" i="1"/>
  <c r="M3609" i="1"/>
  <c r="B3610" i="1"/>
  <c r="C3610" i="1"/>
  <c r="M3610" i="1"/>
  <c r="B3611" i="1"/>
  <c r="C3611" i="1"/>
  <c r="M3611" i="1"/>
  <c r="B3612" i="1"/>
  <c r="C3612" i="1"/>
  <c r="M3612" i="1"/>
  <c r="B3613" i="1"/>
  <c r="C3613" i="1"/>
  <c r="M3613" i="1"/>
  <c r="B3614" i="1"/>
  <c r="C3614" i="1"/>
  <c r="M3614" i="1"/>
  <c r="B3615" i="1"/>
  <c r="C3615" i="1"/>
  <c r="M3615" i="1"/>
  <c r="B3616" i="1"/>
  <c r="C3616" i="1"/>
  <c r="M3616" i="1"/>
  <c r="B3617" i="1"/>
  <c r="C3617" i="1"/>
  <c r="M3617" i="1"/>
  <c r="B3618" i="1"/>
  <c r="C3618" i="1"/>
  <c r="M3618" i="1"/>
  <c r="B3619" i="1"/>
  <c r="C3619" i="1"/>
  <c r="M3619" i="1"/>
  <c r="B3620" i="1"/>
  <c r="C3620" i="1"/>
  <c r="M3620" i="1"/>
  <c r="B3621" i="1"/>
  <c r="C3621" i="1"/>
  <c r="M3621" i="1"/>
  <c r="B3622" i="1"/>
  <c r="C3622" i="1"/>
  <c r="M3622" i="1"/>
  <c r="B3623" i="1"/>
  <c r="C3623" i="1"/>
  <c r="M3623" i="1"/>
  <c r="B3624" i="1"/>
  <c r="C3624" i="1"/>
  <c r="M3624" i="1"/>
  <c r="B3625" i="1"/>
  <c r="C3625" i="1"/>
  <c r="M3625" i="1"/>
  <c r="B3626" i="1"/>
  <c r="C3626" i="1"/>
  <c r="M3626" i="1"/>
  <c r="B3627" i="1"/>
  <c r="C3627" i="1"/>
  <c r="M3627" i="1"/>
  <c r="B3628" i="1"/>
  <c r="C3628" i="1"/>
  <c r="M3628" i="1"/>
  <c r="B3629" i="1"/>
  <c r="C3629" i="1"/>
  <c r="M3629" i="1"/>
  <c r="B3630" i="1"/>
  <c r="C3630" i="1"/>
  <c r="M3630" i="1"/>
  <c r="B3631" i="1"/>
  <c r="C3631" i="1"/>
  <c r="M3631" i="1"/>
  <c r="B3632" i="1"/>
  <c r="C3632" i="1"/>
  <c r="M3632" i="1"/>
  <c r="B3633" i="1"/>
  <c r="C3633" i="1"/>
  <c r="M3633" i="1"/>
  <c r="B3634" i="1"/>
  <c r="C3634" i="1"/>
  <c r="M3634" i="1"/>
  <c r="B3635" i="1"/>
  <c r="C3635" i="1"/>
  <c r="M3635" i="1"/>
  <c r="B3636" i="1"/>
  <c r="C3636" i="1"/>
  <c r="M3636" i="1"/>
  <c r="B3637" i="1"/>
  <c r="C3637" i="1"/>
  <c r="M3637" i="1"/>
  <c r="B3638" i="1"/>
  <c r="C3638" i="1"/>
  <c r="M3638" i="1"/>
  <c r="B3639" i="1"/>
  <c r="C3639" i="1"/>
  <c r="M3639" i="1"/>
  <c r="B3640" i="1"/>
  <c r="C3640" i="1"/>
  <c r="M3640" i="1"/>
  <c r="B3641" i="1"/>
  <c r="C3641" i="1"/>
  <c r="M3641" i="1"/>
  <c r="B3642" i="1"/>
  <c r="C3642" i="1"/>
  <c r="M3642" i="1"/>
  <c r="B3643" i="1"/>
  <c r="C3643" i="1"/>
  <c r="M3643" i="1"/>
  <c r="B3644" i="1"/>
  <c r="C3644" i="1"/>
  <c r="M3644" i="1"/>
  <c r="B3645" i="1"/>
  <c r="C3645" i="1"/>
  <c r="M3645" i="1"/>
  <c r="B3646" i="1"/>
  <c r="C3646" i="1"/>
  <c r="M3646" i="1"/>
  <c r="B3647" i="1"/>
  <c r="C3647" i="1"/>
  <c r="M3647" i="1"/>
  <c r="B3648" i="1"/>
  <c r="C3648" i="1"/>
  <c r="M3648" i="1"/>
  <c r="B3649" i="1"/>
  <c r="C3649" i="1"/>
  <c r="M3649" i="1"/>
  <c r="B3650" i="1"/>
  <c r="C3650" i="1"/>
  <c r="M3650" i="1"/>
  <c r="B3651" i="1"/>
  <c r="C3651" i="1"/>
  <c r="M3651" i="1"/>
  <c r="B3652" i="1"/>
  <c r="C3652" i="1"/>
  <c r="M3652" i="1"/>
  <c r="B3653" i="1"/>
  <c r="C3653" i="1"/>
  <c r="M3653" i="1"/>
  <c r="B3654" i="1"/>
  <c r="C3654" i="1"/>
  <c r="M3654" i="1"/>
  <c r="B3655" i="1"/>
  <c r="C3655" i="1"/>
  <c r="M3655" i="1"/>
  <c r="B3656" i="1"/>
  <c r="C3656" i="1"/>
  <c r="M3656" i="1"/>
  <c r="B3657" i="1"/>
  <c r="C3657" i="1"/>
  <c r="M3657" i="1"/>
  <c r="B3658" i="1"/>
  <c r="C3658" i="1"/>
  <c r="M3658" i="1"/>
  <c r="B3659" i="1"/>
  <c r="C3659" i="1"/>
  <c r="M3659" i="1"/>
  <c r="B3660" i="1"/>
  <c r="C3660" i="1"/>
  <c r="M3660" i="1"/>
  <c r="B3661" i="1"/>
  <c r="C3661" i="1"/>
  <c r="M3661" i="1"/>
  <c r="B3662" i="1"/>
  <c r="C3662" i="1"/>
  <c r="M3662" i="1"/>
  <c r="B3663" i="1"/>
  <c r="C3663" i="1"/>
  <c r="M3663" i="1"/>
  <c r="B3664" i="1"/>
  <c r="C3664" i="1"/>
  <c r="M3664" i="1"/>
  <c r="B3665" i="1"/>
  <c r="C3665" i="1"/>
  <c r="M3665" i="1"/>
  <c r="B3666" i="1"/>
  <c r="C3666" i="1"/>
  <c r="M3666" i="1"/>
  <c r="B3667" i="1"/>
  <c r="C3667" i="1"/>
  <c r="M3667" i="1"/>
  <c r="B3668" i="1"/>
  <c r="C3668" i="1"/>
  <c r="M3668" i="1"/>
  <c r="B3669" i="1"/>
  <c r="C3669" i="1"/>
  <c r="M3669" i="1"/>
  <c r="B3670" i="1"/>
  <c r="C3670" i="1"/>
  <c r="M3670" i="1"/>
  <c r="B3671" i="1"/>
  <c r="C3671" i="1"/>
  <c r="M3671" i="1"/>
  <c r="B3672" i="1"/>
  <c r="C3672" i="1"/>
  <c r="M3672" i="1"/>
  <c r="B3673" i="1"/>
  <c r="C3673" i="1"/>
  <c r="M3673" i="1"/>
  <c r="B3674" i="1"/>
  <c r="C3674" i="1"/>
  <c r="M3674" i="1"/>
  <c r="B3675" i="1"/>
  <c r="C3675" i="1"/>
  <c r="M3675" i="1"/>
  <c r="B3676" i="1"/>
  <c r="C3676" i="1"/>
  <c r="M3676" i="1"/>
  <c r="B3677" i="1"/>
  <c r="C3677" i="1"/>
  <c r="M3677" i="1"/>
  <c r="B3678" i="1"/>
  <c r="C3678" i="1"/>
  <c r="M3678" i="1"/>
  <c r="B3679" i="1"/>
  <c r="C3679" i="1"/>
  <c r="M3679" i="1"/>
  <c r="B3680" i="1"/>
  <c r="C3680" i="1"/>
  <c r="M3680" i="1"/>
  <c r="B3681" i="1"/>
  <c r="C3681" i="1"/>
  <c r="M3681" i="1"/>
  <c r="B3682" i="1"/>
  <c r="C3682" i="1"/>
  <c r="M3682" i="1"/>
  <c r="B3683" i="1"/>
  <c r="C3683" i="1"/>
  <c r="M3683" i="1"/>
  <c r="B3684" i="1"/>
  <c r="C3684" i="1"/>
  <c r="M3684" i="1"/>
  <c r="B3685" i="1"/>
  <c r="C3685" i="1"/>
  <c r="M3685" i="1"/>
  <c r="B3686" i="1"/>
  <c r="C3686" i="1"/>
  <c r="M3686" i="1"/>
  <c r="B3687" i="1"/>
  <c r="C3687" i="1"/>
  <c r="M3687" i="1"/>
  <c r="B3688" i="1"/>
  <c r="C3688" i="1"/>
  <c r="M3688" i="1"/>
  <c r="B3689" i="1"/>
  <c r="C3689" i="1"/>
  <c r="M3689" i="1"/>
  <c r="B3690" i="1"/>
  <c r="C3690" i="1"/>
  <c r="M3690" i="1"/>
  <c r="B3691" i="1"/>
  <c r="C3691" i="1"/>
  <c r="M3691" i="1"/>
  <c r="B3692" i="1"/>
  <c r="C3692" i="1"/>
  <c r="M3692" i="1"/>
  <c r="B3693" i="1"/>
  <c r="C3693" i="1"/>
  <c r="M3693" i="1"/>
  <c r="B3694" i="1"/>
  <c r="C3694" i="1"/>
  <c r="M3694" i="1"/>
  <c r="B3695" i="1"/>
  <c r="C3695" i="1"/>
  <c r="M3695" i="1"/>
  <c r="B3696" i="1"/>
  <c r="C3696" i="1"/>
  <c r="M3696" i="1"/>
  <c r="B3697" i="1"/>
  <c r="C3697" i="1"/>
  <c r="M3697" i="1"/>
  <c r="B3698" i="1"/>
  <c r="C3698" i="1"/>
  <c r="M3698" i="1"/>
  <c r="B3699" i="1"/>
  <c r="C3699" i="1"/>
  <c r="M3699" i="1"/>
  <c r="B3700" i="1"/>
  <c r="C3700" i="1"/>
  <c r="M3700" i="1"/>
  <c r="B3701" i="1"/>
  <c r="C3701" i="1"/>
  <c r="M3701" i="1"/>
  <c r="B3702" i="1"/>
  <c r="C3702" i="1"/>
  <c r="M3702" i="1"/>
  <c r="B3703" i="1"/>
  <c r="C3703" i="1"/>
  <c r="M3703" i="1"/>
  <c r="B3704" i="1"/>
  <c r="C3704" i="1"/>
  <c r="M3704" i="1"/>
  <c r="B3705" i="1"/>
  <c r="C3705" i="1"/>
  <c r="M3705" i="1"/>
  <c r="B3706" i="1"/>
  <c r="C3706" i="1"/>
  <c r="M3706" i="1"/>
  <c r="B3707" i="1"/>
  <c r="C3707" i="1"/>
  <c r="M3707" i="1"/>
  <c r="B3708" i="1"/>
  <c r="C3708" i="1"/>
  <c r="M3708" i="1"/>
  <c r="B3709" i="1"/>
  <c r="C3709" i="1"/>
  <c r="M3709" i="1"/>
  <c r="B3710" i="1"/>
  <c r="C3710" i="1"/>
  <c r="M3710" i="1"/>
  <c r="B3711" i="1"/>
  <c r="C3711" i="1"/>
  <c r="M3711" i="1"/>
  <c r="B3712" i="1"/>
  <c r="C3712" i="1"/>
  <c r="M3712" i="1"/>
  <c r="B3713" i="1"/>
  <c r="C3713" i="1"/>
  <c r="M3713" i="1"/>
  <c r="B3714" i="1"/>
  <c r="C3714" i="1"/>
  <c r="M3714" i="1"/>
  <c r="B3715" i="1"/>
  <c r="C3715" i="1"/>
  <c r="M3715" i="1"/>
  <c r="B3716" i="1"/>
  <c r="C3716" i="1"/>
  <c r="M3716" i="1"/>
  <c r="B3717" i="1"/>
  <c r="C3717" i="1"/>
  <c r="M3717" i="1"/>
  <c r="B3718" i="1"/>
  <c r="C3718" i="1"/>
  <c r="M3718" i="1"/>
  <c r="B3719" i="1"/>
  <c r="C3719" i="1"/>
  <c r="M3719" i="1"/>
  <c r="B3720" i="1"/>
  <c r="C3720" i="1"/>
  <c r="M3720" i="1"/>
  <c r="B3721" i="1"/>
  <c r="C3721" i="1"/>
  <c r="M3721" i="1"/>
  <c r="B3722" i="1"/>
  <c r="C3722" i="1"/>
  <c r="M3722" i="1"/>
  <c r="B3723" i="1"/>
  <c r="C3723" i="1"/>
  <c r="M3723" i="1"/>
  <c r="B3724" i="1"/>
  <c r="C3724" i="1"/>
  <c r="M3724" i="1"/>
  <c r="B3725" i="1"/>
  <c r="C3725" i="1"/>
  <c r="M3725" i="1"/>
  <c r="B3726" i="1"/>
  <c r="C3726" i="1"/>
  <c r="M3726" i="1"/>
  <c r="B3727" i="1"/>
  <c r="C3727" i="1"/>
  <c r="M3727" i="1"/>
  <c r="B3728" i="1"/>
  <c r="C3728" i="1"/>
  <c r="M3728" i="1"/>
  <c r="B3729" i="1"/>
  <c r="C3729" i="1"/>
  <c r="M3729" i="1"/>
  <c r="B3730" i="1"/>
  <c r="C3730" i="1"/>
  <c r="M3730" i="1"/>
  <c r="B3731" i="1"/>
  <c r="C3731" i="1"/>
  <c r="M3731" i="1"/>
  <c r="B3732" i="1"/>
  <c r="C3732" i="1"/>
  <c r="M3732" i="1"/>
  <c r="B3733" i="1"/>
  <c r="C3733" i="1"/>
  <c r="M3733" i="1"/>
  <c r="B3734" i="1"/>
  <c r="C3734" i="1"/>
  <c r="M3734" i="1"/>
  <c r="B3735" i="1"/>
  <c r="C3735" i="1"/>
  <c r="M3735" i="1"/>
  <c r="B3736" i="1"/>
  <c r="C3736" i="1"/>
  <c r="M3736" i="1"/>
  <c r="B3737" i="1"/>
  <c r="C3737" i="1"/>
  <c r="M3737" i="1"/>
  <c r="B3738" i="1"/>
  <c r="C3738" i="1"/>
  <c r="M3738" i="1"/>
  <c r="B3739" i="1"/>
  <c r="C3739" i="1"/>
  <c r="M3739" i="1"/>
  <c r="B3740" i="1"/>
  <c r="C3740" i="1"/>
  <c r="M3740" i="1"/>
  <c r="B3741" i="1"/>
  <c r="C3741" i="1"/>
  <c r="M3741" i="1"/>
  <c r="B3742" i="1"/>
  <c r="C3742" i="1"/>
  <c r="M3742" i="1"/>
  <c r="B3743" i="1"/>
  <c r="C3743" i="1"/>
  <c r="M3743" i="1"/>
  <c r="B3744" i="1"/>
  <c r="C3744" i="1"/>
  <c r="M3744" i="1"/>
  <c r="B3745" i="1"/>
  <c r="C3745" i="1"/>
  <c r="M3745" i="1"/>
  <c r="B3746" i="1"/>
  <c r="C3746" i="1"/>
  <c r="M3746" i="1"/>
  <c r="B3747" i="1"/>
  <c r="C3747" i="1"/>
  <c r="M3747" i="1"/>
  <c r="B3748" i="1"/>
  <c r="C3748" i="1"/>
  <c r="M3748" i="1"/>
  <c r="B3749" i="1"/>
  <c r="C3749" i="1"/>
  <c r="M3749" i="1"/>
  <c r="B3750" i="1"/>
  <c r="C3750" i="1"/>
  <c r="M3750" i="1"/>
  <c r="B3751" i="1"/>
  <c r="C3751" i="1"/>
  <c r="M3751" i="1"/>
  <c r="B3752" i="1"/>
  <c r="C3752" i="1"/>
  <c r="M3752" i="1"/>
  <c r="B3753" i="1"/>
  <c r="C3753" i="1"/>
  <c r="M3753" i="1"/>
  <c r="B3754" i="1"/>
  <c r="C3754" i="1"/>
  <c r="M3754" i="1"/>
  <c r="B3755" i="1"/>
  <c r="C3755" i="1"/>
  <c r="M3755" i="1"/>
  <c r="B3756" i="1"/>
  <c r="C3756" i="1"/>
  <c r="M3756" i="1"/>
  <c r="B3757" i="1"/>
  <c r="C3757" i="1"/>
  <c r="M3757" i="1"/>
  <c r="B3758" i="1"/>
  <c r="C3758" i="1"/>
  <c r="M3758" i="1"/>
  <c r="B3759" i="1"/>
  <c r="C3759" i="1"/>
  <c r="M3759" i="1"/>
  <c r="B3760" i="1"/>
  <c r="C3760" i="1"/>
  <c r="M3760" i="1"/>
  <c r="B3761" i="1"/>
  <c r="C3761" i="1"/>
  <c r="M3761" i="1"/>
  <c r="B3762" i="1"/>
  <c r="C3762" i="1"/>
  <c r="M3762" i="1"/>
  <c r="B3763" i="1"/>
  <c r="C3763" i="1"/>
  <c r="M3763" i="1"/>
  <c r="B3764" i="1"/>
  <c r="C3764" i="1"/>
  <c r="M3764" i="1"/>
  <c r="B3765" i="1"/>
  <c r="C3765" i="1"/>
  <c r="M3765" i="1"/>
  <c r="B3766" i="1"/>
  <c r="C3766" i="1"/>
  <c r="M3766" i="1"/>
  <c r="B3767" i="1"/>
  <c r="C3767" i="1"/>
  <c r="M3767" i="1"/>
  <c r="B3768" i="1"/>
  <c r="C3768" i="1"/>
  <c r="M3768" i="1"/>
  <c r="B3769" i="1"/>
  <c r="C3769" i="1"/>
  <c r="M3769" i="1"/>
  <c r="B3770" i="1"/>
  <c r="C3770" i="1"/>
  <c r="M3770" i="1"/>
  <c r="B3771" i="1"/>
  <c r="C3771" i="1"/>
  <c r="M3771" i="1"/>
  <c r="B3772" i="1"/>
  <c r="C3772" i="1"/>
  <c r="M3772" i="1"/>
  <c r="B3773" i="1"/>
  <c r="C3773" i="1"/>
  <c r="M3773" i="1"/>
  <c r="B3774" i="1"/>
  <c r="C3774" i="1"/>
  <c r="M3774" i="1"/>
  <c r="B3775" i="1"/>
  <c r="C3775" i="1"/>
  <c r="M3775" i="1"/>
  <c r="B3776" i="1"/>
  <c r="C3776" i="1"/>
  <c r="M3776" i="1"/>
  <c r="B3777" i="1"/>
  <c r="C3777" i="1"/>
  <c r="M3777" i="1"/>
  <c r="B3778" i="1"/>
  <c r="C3778" i="1"/>
  <c r="M3778" i="1"/>
  <c r="B3779" i="1"/>
  <c r="C3779" i="1"/>
  <c r="M3779" i="1"/>
  <c r="B3780" i="1"/>
  <c r="C3780" i="1"/>
  <c r="M3780" i="1"/>
  <c r="B3781" i="1"/>
  <c r="C3781" i="1"/>
  <c r="M3781" i="1"/>
  <c r="B3782" i="1"/>
  <c r="C3782" i="1"/>
  <c r="M3782" i="1"/>
  <c r="B3783" i="1"/>
  <c r="C3783" i="1"/>
  <c r="M3783" i="1"/>
  <c r="B3784" i="1"/>
  <c r="C3784" i="1"/>
  <c r="M3784" i="1"/>
  <c r="B3785" i="1"/>
  <c r="C3785" i="1"/>
  <c r="M3785" i="1"/>
  <c r="B3786" i="1"/>
  <c r="C3786" i="1"/>
  <c r="M3786" i="1"/>
  <c r="B3787" i="1"/>
  <c r="C3787" i="1"/>
  <c r="M3787" i="1"/>
  <c r="B3788" i="1"/>
  <c r="C3788" i="1"/>
  <c r="M3788" i="1"/>
  <c r="B3789" i="1"/>
  <c r="C3789" i="1"/>
  <c r="M3789" i="1"/>
  <c r="B3790" i="1"/>
  <c r="C3790" i="1"/>
  <c r="M3790" i="1"/>
  <c r="B3791" i="1"/>
  <c r="C3791" i="1"/>
  <c r="M3791" i="1"/>
  <c r="B3792" i="1"/>
  <c r="C3792" i="1"/>
  <c r="M3792" i="1"/>
  <c r="B3793" i="1"/>
  <c r="C3793" i="1"/>
  <c r="M3793" i="1"/>
  <c r="B3794" i="1"/>
  <c r="C3794" i="1"/>
  <c r="M3794" i="1"/>
  <c r="B3795" i="1"/>
  <c r="C3795" i="1"/>
  <c r="M3795" i="1"/>
  <c r="B3796" i="1"/>
  <c r="C3796" i="1"/>
  <c r="M3796" i="1"/>
  <c r="B3797" i="1"/>
  <c r="C3797" i="1"/>
  <c r="M3797" i="1"/>
  <c r="B3798" i="1"/>
  <c r="C3798" i="1"/>
  <c r="M3798" i="1"/>
  <c r="B3799" i="1"/>
  <c r="C3799" i="1"/>
  <c r="M3799" i="1"/>
  <c r="B3800" i="1"/>
  <c r="C3800" i="1"/>
  <c r="M3800" i="1"/>
  <c r="B3801" i="1"/>
  <c r="C3801" i="1"/>
  <c r="M3801" i="1"/>
  <c r="B3802" i="1"/>
  <c r="C3802" i="1"/>
  <c r="M3802" i="1"/>
  <c r="B3803" i="1"/>
  <c r="C3803" i="1"/>
  <c r="M3803" i="1"/>
  <c r="B3804" i="1"/>
  <c r="C3804" i="1"/>
  <c r="M3804" i="1"/>
  <c r="B3805" i="1"/>
  <c r="C3805" i="1"/>
  <c r="M3805" i="1"/>
  <c r="B3806" i="1"/>
  <c r="C3806" i="1"/>
  <c r="M3806" i="1"/>
  <c r="B3807" i="1"/>
  <c r="C3807" i="1"/>
  <c r="M3807" i="1"/>
  <c r="B3808" i="1"/>
  <c r="C3808" i="1"/>
  <c r="M3808" i="1"/>
  <c r="B3809" i="1"/>
  <c r="C3809" i="1"/>
  <c r="M3809" i="1"/>
  <c r="B3810" i="1"/>
  <c r="C3810" i="1"/>
  <c r="M3810" i="1"/>
  <c r="B3811" i="1"/>
  <c r="C3811" i="1"/>
  <c r="M3811" i="1"/>
  <c r="B3812" i="1"/>
  <c r="C3812" i="1"/>
  <c r="M3812" i="1"/>
  <c r="B3813" i="1"/>
  <c r="C3813" i="1"/>
  <c r="M3813" i="1"/>
  <c r="B3814" i="1"/>
  <c r="C3814" i="1"/>
  <c r="M3814" i="1"/>
  <c r="B3815" i="1"/>
  <c r="C3815" i="1"/>
  <c r="M3815" i="1"/>
  <c r="B3816" i="1"/>
  <c r="C3816" i="1"/>
  <c r="M3816" i="1"/>
  <c r="B3817" i="1"/>
  <c r="C3817" i="1"/>
  <c r="M3817" i="1"/>
  <c r="B3818" i="1"/>
  <c r="C3818" i="1"/>
  <c r="M3818" i="1"/>
  <c r="B3819" i="1"/>
  <c r="C3819" i="1"/>
  <c r="M3819" i="1"/>
  <c r="B3820" i="1"/>
  <c r="C3820" i="1"/>
  <c r="M3820" i="1"/>
  <c r="B3821" i="1"/>
  <c r="C3821" i="1"/>
  <c r="M3821" i="1"/>
  <c r="B3822" i="1"/>
  <c r="C3822" i="1"/>
  <c r="M3822" i="1"/>
  <c r="B3823" i="1"/>
  <c r="C3823" i="1"/>
  <c r="M3823" i="1"/>
  <c r="B3824" i="1"/>
  <c r="C3824" i="1"/>
  <c r="M3824" i="1"/>
  <c r="B3825" i="1"/>
  <c r="C3825" i="1"/>
  <c r="M3825" i="1"/>
  <c r="B3826" i="1"/>
  <c r="C3826" i="1"/>
  <c r="M3826" i="1"/>
  <c r="B3827" i="1"/>
  <c r="C3827" i="1"/>
  <c r="M3827" i="1"/>
  <c r="B3828" i="1"/>
  <c r="C3828" i="1"/>
  <c r="M3828" i="1"/>
  <c r="B3829" i="1"/>
  <c r="C3829" i="1"/>
  <c r="M3829" i="1"/>
  <c r="B3830" i="1"/>
  <c r="C3830" i="1"/>
  <c r="M3830" i="1"/>
  <c r="B3831" i="1"/>
  <c r="C3831" i="1"/>
  <c r="M3831" i="1"/>
  <c r="B3832" i="1"/>
  <c r="C3832" i="1"/>
  <c r="M3832" i="1"/>
  <c r="B3833" i="1"/>
  <c r="C3833" i="1"/>
  <c r="M3833" i="1"/>
  <c r="B3834" i="1"/>
  <c r="C3834" i="1"/>
  <c r="M3834" i="1"/>
  <c r="B3835" i="1"/>
  <c r="C3835" i="1"/>
  <c r="M3835" i="1"/>
  <c r="B3836" i="1"/>
  <c r="C3836" i="1"/>
  <c r="M3836" i="1"/>
  <c r="B3837" i="1"/>
  <c r="C3837" i="1"/>
  <c r="M3837" i="1"/>
  <c r="B3838" i="1"/>
  <c r="C3838" i="1"/>
  <c r="M3838" i="1"/>
  <c r="B3839" i="1"/>
  <c r="C3839" i="1"/>
  <c r="M3839" i="1"/>
  <c r="B3840" i="1"/>
  <c r="C3840" i="1"/>
  <c r="M3840" i="1"/>
  <c r="B3841" i="1"/>
  <c r="C3841" i="1"/>
  <c r="M3841" i="1"/>
  <c r="B3842" i="1"/>
  <c r="C3842" i="1"/>
  <c r="M3842" i="1"/>
  <c r="B3843" i="1"/>
  <c r="C3843" i="1"/>
  <c r="M3843" i="1"/>
  <c r="B3844" i="1"/>
  <c r="C3844" i="1"/>
  <c r="M3844" i="1"/>
  <c r="B3845" i="1"/>
  <c r="C3845" i="1"/>
  <c r="M3845" i="1"/>
  <c r="B3846" i="1"/>
  <c r="C3846" i="1"/>
  <c r="M3846" i="1"/>
  <c r="B3847" i="1"/>
  <c r="C3847" i="1"/>
  <c r="M3847" i="1"/>
  <c r="B3848" i="1"/>
  <c r="C3848" i="1"/>
  <c r="M3848" i="1"/>
  <c r="B3849" i="1"/>
  <c r="C3849" i="1"/>
  <c r="M3849" i="1"/>
  <c r="B3850" i="1"/>
  <c r="C3850" i="1"/>
  <c r="M3850" i="1"/>
  <c r="B3851" i="1"/>
  <c r="C3851" i="1"/>
  <c r="M3851" i="1"/>
  <c r="B3852" i="1"/>
  <c r="C3852" i="1"/>
  <c r="M3852" i="1"/>
  <c r="B3853" i="1"/>
  <c r="C3853" i="1"/>
  <c r="M3853" i="1"/>
  <c r="B3854" i="1"/>
  <c r="C3854" i="1"/>
  <c r="M3854" i="1"/>
  <c r="B3855" i="1"/>
  <c r="C3855" i="1"/>
  <c r="M3855" i="1"/>
  <c r="B3856" i="1"/>
  <c r="C3856" i="1"/>
  <c r="M3856" i="1"/>
  <c r="B3857" i="1"/>
  <c r="C3857" i="1"/>
  <c r="M3857" i="1"/>
  <c r="B3858" i="1"/>
  <c r="C3858" i="1"/>
  <c r="M3858" i="1"/>
  <c r="B3859" i="1"/>
  <c r="C3859" i="1"/>
  <c r="M3859" i="1"/>
  <c r="B3860" i="1"/>
  <c r="C3860" i="1"/>
  <c r="M3860" i="1"/>
  <c r="B3861" i="1"/>
  <c r="C3861" i="1"/>
  <c r="M3861" i="1"/>
  <c r="B3862" i="1"/>
  <c r="C3862" i="1"/>
  <c r="M3862" i="1"/>
  <c r="B3863" i="1"/>
  <c r="C3863" i="1"/>
  <c r="M3863" i="1"/>
  <c r="B3864" i="1"/>
  <c r="C3864" i="1"/>
  <c r="M3864" i="1"/>
  <c r="B3865" i="1"/>
  <c r="C3865" i="1"/>
  <c r="M3865" i="1"/>
  <c r="B3866" i="1"/>
  <c r="C3866" i="1"/>
  <c r="M3866" i="1"/>
  <c r="B3867" i="1"/>
  <c r="C3867" i="1"/>
  <c r="M3867" i="1"/>
  <c r="B3868" i="1"/>
  <c r="C3868" i="1"/>
  <c r="M3868" i="1"/>
  <c r="B3869" i="1"/>
  <c r="C3869" i="1"/>
  <c r="M3869" i="1"/>
  <c r="B3870" i="1"/>
  <c r="C3870" i="1"/>
  <c r="M3870" i="1"/>
  <c r="B3871" i="1"/>
  <c r="C3871" i="1"/>
  <c r="M3871" i="1"/>
  <c r="B3872" i="1"/>
  <c r="C3872" i="1"/>
  <c r="M3872" i="1"/>
  <c r="B3873" i="1"/>
  <c r="C3873" i="1"/>
  <c r="M3873" i="1"/>
  <c r="B3874" i="1"/>
  <c r="C3874" i="1"/>
  <c r="M3874" i="1"/>
  <c r="B3875" i="1"/>
  <c r="C3875" i="1"/>
  <c r="M3875" i="1"/>
  <c r="B3876" i="1"/>
  <c r="C3876" i="1"/>
  <c r="M3876" i="1"/>
  <c r="B3877" i="1"/>
  <c r="C3877" i="1"/>
  <c r="M3877" i="1"/>
  <c r="B3878" i="1"/>
  <c r="C3878" i="1"/>
  <c r="M3878" i="1"/>
  <c r="B3879" i="1"/>
  <c r="C3879" i="1"/>
  <c r="M3879" i="1"/>
  <c r="B3880" i="1"/>
  <c r="C3880" i="1"/>
  <c r="M3880" i="1"/>
  <c r="B3881" i="1"/>
  <c r="C3881" i="1"/>
  <c r="M3881" i="1"/>
  <c r="B3882" i="1"/>
  <c r="C3882" i="1"/>
  <c r="M3882" i="1"/>
  <c r="B3883" i="1"/>
  <c r="C3883" i="1"/>
  <c r="M3883" i="1"/>
  <c r="B3884" i="1"/>
  <c r="C3884" i="1"/>
  <c r="M3884" i="1"/>
  <c r="B3885" i="1"/>
  <c r="C3885" i="1"/>
  <c r="M3885" i="1"/>
  <c r="B3886" i="1"/>
  <c r="C3886" i="1"/>
  <c r="M3886" i="1"/>
  <c r="B3887" i="1"/>
  <c r="C3887" i="1"/>
  <c r="M3887" i="1"/>
  <c r="B3888" i="1"/>
  <c r="C3888" i="1"/>
  <c r="M3888" i="1"/>
  <c r="B3889" i="1"/>
  <c r="C3889" i="1"/>
  <c r="M3889" i="1"/>
  <c r="B3890" i="1"/>
  <c r="C3890" i="1"/>
  <c r="M3890" i="1"/>
  <c r="B3891" i="1"/>
  <c r="C3891" i="1"/>
  <c r="M3891" i="1"/>
  <c r="B3892" i="1"/>
  <c r="C3892" i="1"/>
  <c r="M3892" i="1"/>
  <c r="B3893" i="1"/>
  <c r="C3893" i="1"/>
  <c r="M3893" i="1"/>
  <c r="B3894" i="1"/>
  <c r="C3894" i="1"/>
  <c r="M3894" i="1"/>
  <c r="B3895" i="1"/>
  <c r="C3895" i="1"/>
  <c r="M3895" i="1"/>
  <c r="B3896" i="1"/>
  <c r="C3896" i="1"/>
  <c r="M3896" i="1"/>
  <c r="B3897" i="1"/>
  <c r="C3897" i="1"/>
  <c r="M3897" i="1"/>
  <c r="B3898" i="1"/>
  <c r="C3898" i="1"/>
  <c r="M3898" i="1"/>
  <c r="B3899" i="1"/>
  <c r="C3899" i="1"/>
  <c r="M3899" i="1"/>
  <c r="B3900" i="1"/>
  <c r="C3900" i="1"/>
  <c r="M3900" i="1"/>
  <c r="B3901" i="1"/>
  <c r="C3901" i="1"/>
  <c r="M3901" i="1"/>
  <c r="B3902" i="1"/>
  <c r="C3902" i="1"/>
  <c r="M3902" i="1"/>
  <c r="B3903" i="1"/>
  <c r="C3903" i="1"/>
  <c r="M3903" i="1"/>
  <c r="B3904" i="1"/>
  <c r="C3904" i="1"/>
  <c r="M3904" i="1"/>
  <c r="B3905" i="1"/>
  <c r="C3905" i="1"/>
  <c r="M3905" i="1"/>
  <c r="B3906" i="1"/>
  <c r="C3906" i="1"/>
  <c r="M3906" i="1"/>
  <c r="B3907" i="1"/>
  <c r="C3907" i="1"/>
  <c r="M3907" i="1"/>
  <c r="B3908" i="1"/>
  <c r="C3908" i="1"/>
  <c r="M3908" i="1"/>
  <c r="B3909" i="1"/>
  <c r="C3909" i="1"/>
  <c r="M3909" i="1"/>
  <c r="B3910" i="1"/>
  <c r="C3910" i="1"/>
  <c r="M3910" i="1"/>
  <c r="B3911" i="1"/>
  <c r="C3911" i="1"/>
  <c r="M3911" i="1"/>
  <c r="B3912" i="1"/>
  <c r="C3912" i="1"/>
  <c r="M3912" i="1"/>
  <c r="B3913" i="1"/>
  <c r="C3913" i="1"/>
  <c r="M3913" i="1"/>
  <c r="B3914" i="1"/>
  <c r="C3914" i="1"/>
  <c r="M3914" i="1"/>
  <c r="B3915" i="1"/>
  <c r="C3915" i="1"/>
  <c r="M3915" i="1"/>
  <c r="B3916" i="1"/>
  <c r="C3916" i="1"/>
  <c r="M3916" i="1"/>
  <c r="B3917" i="1"/>
  <c r="C3917" i="1"/>
  <c r="M3917" i="1"/>
  <c r="B3918" i="1"/>
  <c r="C3918" i="1"/>
  <c r="M3918" i="1"/>
  <c r="B3919" i="1"/>
  <c r="C3919" i="1"/>
  <c r="M3919" i="1"/>
  <c r="B3920" i="1"/>
  <c r="C3920" i="1"/>
  <c r="M3920" i="1"/>
  <c r="B3921" i="1"/>
  <c r="C3921" i="1"/>
  <c r="M3921" i="1"/>
  <c r="B3922" i="1"/>
  <c r="C3922" i="1"/>
  <c r="M3922" i="1"/>
  <c r="B3923" i="1"/>
  <c r="C3923" i="1"/>
  <c r="M3923" i="1"/>
  <c r="B3924" i="1"/>
  <c r="C3924" i="1"/>
  <c r="M3924" i="1"/>
  <c r="B3925" i="1"/>
  <c r="C3925" i="1"/>
  <c r="M3925" i="1"/>
  <c r="B3926" i="1"/>
  <c r="C3926" i="1"/>
  <c r="M3926" i="1"/>
  <c r="B3927" i="1"/>
  <c r="C3927" i="1"/>
  <c r="M3927" i="1"/>
  <c r="B3928" i="1"/>
  <c r="C3928" i="1"/>
  <c r="M3928" i="1"/>
  <c r="B3929" i="1"/>
  <c r="C3929" i="1"/>
  <c r="M3929" i="1"/>
  <c r="B3930" i="1"/>
  <c r="C3930" i="1"/>
  <c r="M3930" i="1"/>
  <c r="B3931" i="1"/>
  <c r="C3931" i="1"/>
  <c r="M3931" i="1"/>
  <c r="B3932" i="1"/>
  <c r="C3932" i="1"/>
  <c r="M3932" i="1"/>
  <c r="B3933" i="1"/>
  <c r="C3933" i="1"/>
  <c r="M3933" i="1"/>
  <c r="B3934" i="1"/>
  <c r="C3934" i="1"/>
  <c r="M3934" i="1"/>
  <c r="B3935" i="1"/>
  <c r="C3935" i="1"/>
  <c r="M3935" i="1"/>
  <c r="B3936" i="1"/>
  <c r="C3936" i="1"/>
  <c r="M3936" i="1"/>
  <c r="B3937" i="1"/>
  <c r="C3937" i="1"/>
  <c r="M3937" i="1"/>
  <c r="B3938" i="1"/>
  <c r="C3938" i="1"/>
  <c r="M3938" i="1"/>
  <c r="B3939" i="1"/>
  <c r="C3939" i="1"/>
  <c r="M3939" i="1"/>
  <c r="B3940" i="1"/>
  <c r="C3940" i="1"/>
  <c r="M3940" i="1"/>
  <c r="B3941" i="1"/>
  <c r="C3941" i="1"/>
  <c r="M3941" i="1"/>
  <c r="B3942" i="1"/>
  <c r="C3942" i="1"/>
  <c r="M3942" i="1"/>
  <c r="B3943" i="1"/>
  <c r="C3943" i="1"/>
  <c r="M3943" i="1"/>
  <c r="B3944" i="1"/>
  <c r="C3944" i="1"/>
  <c r="M3944" i="1"/>
  <c r="B3945" i="1"/>
  <c r="C3945" i="1"/>
  <c r="M3945" i="1"/>
  <c r="B3946" i="1"/>
  <c r="C3946" i="1"/>
  <c r="M3946" i="1"/>
  <c r="B3947" i="1"/>
  <c r="C3947" i="1"/>
  <c r="M3947" i="1"/>
  <c r="B3948" i="1"/>
  <c r="C3948" i="1"/>
  <c r="M3948" i="1"/>
  <c r="B3949" i="1"/>
  <c r="C3949" i="1"/>
  <c r="M3949" i="1"/>
  <c r="B3950" i="1"/>
  <c r="C3950" i="1"/>
  <c r="M3950" i="1"/>
  <c r="B3951" i="1"/>
  <c r="C3951" i="1"/>
  <c r="M3951" i="1"/>
  <c r="B3952" i="1"/>
  <c r="C3952" i="1"/>
  <c r="M3952" i="1"/>
  <c r="B3953" i="1"/>
  <c r="C3953" i="1"/>
  <c r="M3953" i="1"/>
  <c r="B3954" i="1"/>
  <c r="C3954" i="1"/>
  <c r="M3954" i="1"/>
  <c r="B3955" i="1"/>
  <c r="C3955" i="1"/>
  <c r="M3955" i="1"/>
  <c r="B3956" i="1"/>
  <c r="C3956" i="1"/>
  <c r="M3956" i="1"/>
  <c r="B3957" i="1"/>
  <c r="C3957" i="1"/>
  <c r="M3957" i="1"/>
  <c r="B3958" i="1"/>
  <c r="C3958" i="1"/>
  <c r="M3958" i="1"/>
  <c r="B3959" i="1"/>
  <c r="C3959" i="1"/>
  <c r="M3959" i="1"/>
  <c r="B3960" i="1"/>
  <c r="C3960" i="1"/>
  <c r="M3960" i="1"/>
  <c r="B3961" i="1"/>
  <c r="C3961" i="1"/>
  <c r="M3961" i="1"/>
  <c r="B3962" i="1"/>
  <c r="C3962" i="1"/>
  <c r="M3962" i="1"/>
  <c r="B3963" i="1"/>
  <c r="C3963" i="1"/>
  <c r="M3963" i="1"/>
  <c r="B3964" i="1"/>
  <c r="C3964" i="1"/>
  <c r="M3964" i="1"/>
  <c r="B3965" i="1"/>
  <c r="C3965" i="1"/>
  <c r="M3965" i="1"/>
  <c r="B3966" i="1"/>
  <c r="C3966" i="1"/>
  <c r="M3966" i="1"/>
  <c r="B3967" i="1"/>
  <c r="C3967" i="1"/>
  <c r="M3967" i="1"/>
  <c r="B3968" i="1"/>
  <c r="C3968" i="1"/>
  <c r="M3968" i="1"/>
  <c r="B3969" i="1"/>
  <c r="C3969" i="1"/>
  <c r="M3969" i="1"/>
  <c r="B3970" i="1"/>
  <c r="C3970" i="1"/>
  <c r="M3970" i="1"/>
  <c r="B3971" i="1"/>
  <c r="C3971" i="1"/>
  <c r="M3971" i="1"/>
  <c r="B3972" i="1"/>
  <c r="C3972" i="1"/>
  <c r="M3972" i="1"/>
  <c r="B3973" i="1"/>
  <c r="C3973" i="1"/>
  <c r="M3973" i="1"/>
  <c r="B3974" i="1"/>
  <c r="C3974" i="1"/>
  <c r="M3974" i="1"/>
  <c r="B3975" i="1"/>
  <c r="C3975" i="1"/>
  <c r="M3975" i="1"/>
  <c r="B3976" i="1"/>
  <c r="C3976" i="1"/>
  <c r="M3976" i="1"/>
  <c r="B3977" i="1"/>
  <c r="C3977" i="1"/>
  <c r="M3977" i="1"/>
  <c r="B3978" i="1"/>
  <c r="C3978" i="1"/>
  <c r="M3978" i="1"/>
  <c r="B3979" i="1"/>
  <c r="C3979" i="1"/>
  <c r="M3979" i="1"/>
  <c r="B3980" i="1"/>
  <c r="C3980" i="1"/>
  <c r="M3980" i="1"/>
  <c r="B3981" i="1"/>
  <c r="C3981" i="1"/>
  <c r="M3981" i="1"/>
  <c r="B3982" i="1"/>
  <c r="C3982" i="1"/>
  <c r="M3982" i="1"/>
  <c r="B3983" i="1"/>
  <c r="C3983" i="1"/>
  <c r="M3983" i="1"/>
  <c r="B3984" i="1"/>
  <c r="C3984" i="1"/>
  <c r="M3984" i="1"/>
  <c r="B3985" i="1"/>
  <c r="C3985" i="1"/>
  <c r="M3985" i="1"/>
  <c r="B3986" i="1"/>
  <c r="C3986" i="1"/>
  <c r="M3986" i="1"/>
  <c r="B3987" i="1"/>
  <c r="C3987" i="1"/>
  <c r="M3987" i="1"/>
  <c r="B3988" i="1"/>
  <c r="C3988" i="1"/>
  <c r="M3988" i="1"/>
  <c r="B3989" i="1"/>
  <c r="C3989" i="1"/>
  <c r="M3989" i="1"/>
  <c r="B3990" i="1"/>
  <c r="C3990" i="1"/>
  <c r="M3990" i="1"/>
  <c r="B3991" i="1"/>
  <c r="C3991" i="1"/>
  <c r="M3991" i="1"/>
  <c r="B3992" i="1"/>
  <c r="C3992" i="1"/>
  <c r="M3992" i="1"/>
  <c r="B3993" i="1"/>
  <c r="C3993" i="1"/>
  <c r="M3993" i="1"/>
  <c r="B3994" i="1"/>
  <c r="C3994" i="1"/>
  <c r="M3994" i="1"/>
  <c r="B3995" i="1"/>
  <c r="C3995" i="1"/>
  <c r="M3995" i="1"/>
  <c r="B3996" i="1"/>
  <c r="C3996" i="1"/>
  <c r="M3996" i="1"/>
  <c r="B3997" i="1"/>
  <c r="C3997" i="1"/>
  <c r="M3997" i="1"/>
  <c r="B3998" i="1"/>
  <c r="C3998" i="1"/>
  <c r="M3998" i="1"/>
  <c r="B3999" i="1"/>
  <c r="C3999" i="1"/>
  <c r="M3999" i="1"/>
  <c r="B4000" i="1"/>
  <c r="C4000" i="1"/>
  <c r="M4000" i="1"/>
  <c r="B4001" i="1"/>
  <c r="C4001" i="1"/>
  <c r="M4001" i="1"/>
  <c r="B4002" i="1"/>
  <c r="C4002" i="1"/>
  <c r="M4002" i="1"/>
  <c r="B4003" i="1"/>
  <c r="C4003" i="1"/>
  <c r="M4003" i="1"/>
  <c r="B4004" i="1"/>
  <c r="C4004" i="1"/>
  <c r="M4004" i="1"/>
  <c r="B4005" i="1"/>
  <c r="C4005" i="1"/>
  <c r="M4005" i="1"/>
  <c r="B4006" i="1"/>
  <c r="C4006" i="1"/>
  <c r="M4006" i="1"/>
  <c r="B4007" i="1"/>
  <c r="C4007" i="1"/>
  <c r="M4007" i="1"/>
  <c r="B4008" i="1"/>
  <c r="C4008" i="1"/>
  <c r="M4008" i="1"/>
  <c r="B4009" i="1"/>
  <c r="C4009" i="1"/>
  <c r="M4009" i="1"/>
  <c r="B4010" i="1"/>
  <c r="C4010" i="1"/>
  <c r="M4010" i="1"/>
  <c r="B4011" i="1"/>
  <c r="C4011" i="1"/>
  <c r="M4011" i="1"/>
  <c r="B4012" i="1"/>
  <c r="C4012" i="1"/>
  <c r="M4012" i="1"/>
  <c r="B4013" i="1"/>
  <c r="C4013" i="1"/>
  <c r="M4013" i="1"/>
  <c r="B4014" i="1"/>
  <c r="C4014" i="1"/>
  <c r="M4014" i="1"/>
  <c r="B4015" i="1"/>
  <c r="C4015" i="1"/>
  <c r="M4015" i="1"/>
  <c r="B4016" i="1"/>
  <c r="C4016" i="1"/>
  <c r="M4016" i="1"/>
  <c r="B4017" i="1"/>
  <c r="C4017" i="1"/>
  <c r="M4017" i="1"/>
  <c r="B4018" i="1"/>
  <c r="C4018" i="1"/>
  <c r="M4018" i="1"/>
  <c r="B4019" i="1"/>
  <c r="C4019" i="1"/>
  <c r="M4019" i="1"/>
  <c r="B4020" i="1"/>
  <c r="C4020" i="1"/>
  <c r="M4020" i="1"/>
  <c r="B4021" i="1"/>
  <c r="C4021" i="1"/>
  <c r="M4021" i="1"/>
  <c r="B4022" i="1"/>
  <c r="C4022" i="1"/>
  <c r="M4022" i="1"/>
  <c r="B4023" i="1"/>
  <c r="C4023" i="1"/>
  <c r="M4023" i="1"/>
  <c r="B4024" i="1"/>
  <c r="C4024" i="1"/>
  <c r="M4024" i="1"/>
  <c r="B4025" i="1"/>
  <c r="C4025" i="1"/>
  <c r="M4025" i="1"/>
  <c r="B4026" i="1"/>
  <c r="C4026" i="1"/>
  <c r="M4026" i="1"/>
  <c r="B4027" i="1"/>
  <c r="C4027" i="1"/>
  <c r="M4027" i="1"/>
  <c r="B4028" i="1"/>
  <c r="C4028" i="1"/>
  <c r="M4028" i="1"/>
  <c r="B4029" i="1"/>
  <c r="C4029" i="1"/>
  <c r="M4029" i="1"/>
  <c r="B4030" i="1"/>
  <c r="C4030" i="1"/>
  <c r="M4030" i="1"/>
  <c r="B4031" i="1"/>
  <c r="C4031" i="1"/>
  <c r="M4031" i="1"/>
  <c r="B4032" i="1"/>
  <c r="C4032" i="1"/>
  <c r="M4032" i="1"/>
  <c r="B4033" i="1"/>
  <c r="C4033" i="1"/>
  <c r="M4033" i="1"/>
  <c r="B4034" i="1"/>
  <c r="C4034" i="1"/>
  <c r="M4034" i="1"/>
  <c r="B4035" i="1"/>
  <c r="C4035" i="1"/>
  <c r="M4035" i="1"/>
  <c r="B4036" i="1"/>
  <c r="C4036" i="1"/>
  <c r="M4036" i="1"/>
  <c r="B4037" i="1"/>
  <c r="C4037" i="1"/>
  <c r="M4037" i="1"/>
  <c r="B4038" i="1"/>
  <c r="C4038" i="1"/>
  <c r="M4038" i="1"/>
  <c r="B4039" i="1"/>
  <c r="C4039" i="1"/>
  <c r="M4039" i="1"/>
  <c r="B4040" i="1"/>
  <c r="C4040" i="1"/>
  <c r="M4040" i="1"/>
  <c r="B4041" i="1"/>
  <c r="C4041" i="1"/>
  <c r="M4041" i="1"/>
  <c r="B4042" i="1"/>
  <c r="C4042" i="1"/>
  <c r="M4042" i="1"/>
  <c r="B4043" i="1"/>
  <c r="C4043" i="1"/>
  <c r="M4043" i="1"/>
  <c r="B4044" i="1"/>
  <c r="C4044" i="1"/>
  <c r="M4044" i="1"/>
  <c r="B4045" i="1"/>
  <c r="C4045" i="1"/>
  <c r="M4045" i="1"/>
  <c r="B4046" i="1"/>
  <c r="C4046" i="1"/>
  <c r="M4046" i="1"/>
  <c r="B4047" i="1"/>
  <c r="C4047" i="1"/>
  <c r="M4047" i="1"/>
  <c r="B4048" i="1"/>
  <c r="C4048" i="1"/>
  <c r="M4048" i="1"/>
  <c r="B4049" i="1"/>
  <c r="C4049" i="1"/>
  <c r="M4049" i="1"/>
  <c r="B4050" i="1"/>
  <c r="C4050" i="1"/>
  <c r="M4050" i="1"/>
  <c r="B4051" i="1"/>
  <c r="C4051" i="1"/>
  <c r="M4051" i="1"/>
  <c r="B4052" i="1"/>
  <c r="C4052" i="1"/>
  <c r="M4052" i="1"/>
  <c r="B4053" i="1"/>
  <c r="C4053" i="1"/>
  <c r="M4053" i="1"/>
  <c r="B4054" i="1"/>
  <c r="C4054" i="1"/>
  <c r="M4054" i="1"/>
  <c r="B4055" i="1"/>
  <c r="C4055" i="1"/>
  <c r="M4055" i="1"/>
  <c r="B4056" i="1"/>
  <c r="C4056" i="1"/>
  <c r="M4056" i="1"/>
  <c r="B4057" i="1"/>
  <c r="C4057" i="1"/>
  <c r="M4057" i="1"/>
  <c r="B4058" i="1"/>
  <c r="C4058" i="1"/>
  <c r="M4058" i="1"/>
  <c r="B4059" i="1"/>
  <c r="C4059" i="1"/>
  <c r="M4059" i="1"/>
  <c r="B4060" i="1"/>
  <c r="C4060" i="1"/>
  <c r="M4060" i="1"/>
  <c r="B4061" i="1"/>
  <c r="C4061" i="1"/>
  <c r="M4061" i="1"/>
  <c r="B4062" i="1"/>
  <c r="C4062" i="1"/>
  <c r="M4062" i="1"/>
  <c r="B4063" i="1"/>
  <c r="C4063" i="1"/>
  <c r="M4063" i="1"/>
  <c r="B4064" i="1"/>
  <c r="C4064" i="1"/>
  <c r="M4064" i="1"/>
  <c r="B4065" i="1"/>
  <c r="C4065" i="1"/>
  <c r="M4065" i="1"/>
  <c r="B4066" i="1"/>
  <c r="C4066" i="1"/>
  <c r="M4066" i="1"/>
  <c r="B4067" i="1"/>
  <c r="C4067" i="1"/>
  <c r="M4067" i="1"/>
  <c r="B4068" i="1"/>
  <c r="C4068" i="1"/>
  <c r="M4068" i="1"/>
  <c r="B4069" i="1"/>
  <c r="C4069" i="1"/>
  <c r="M4069" i="1"/>
  <c r="B4070" i="1"/>
  <c r="C4070" i="1"/>
  <c r="M4070" i="1"/>
  <c r="B4071" i="1"/>
  <c r="C4071" i="1"/>
  <c r="M4071" i="1"/>
  <c r="B4072" i="1"/>
  <c r="C4072" i="1"/>
  <c r="M4072" i="1"/>
  <c r="B4073" i="1"/>
  <c r="C4073" i="1"/>
  <c r="M4073" i="1"/>
  <c r="B4074" i="1"/>
  <c r="C4074" i="1"/>
  <c r="M4074" i="1"/>
  <c r="B4075" i="1"/>
  <c r="C4075" i="1"/>
  <c r="M4075" i="1"/>
  <c r="B4076" i="1"/>
  <c r="C4076" i="1"/>
  <c r="M4076" i="1"/>
  <c r="B4077" i="1"/>
  <c r="C4077" i="1"/>
  <c r="M4077" i="1"/>
  <c r="B4078" i="1"/>
  <c r="C4078" i="1"/>
  <c r="M4078" i="1"/>
  <c r="B4079" i="1"/>
  <c r="C4079" i="1"/>
  <c r="M4079" i="1"/>
  <c r="B4080" i="1"/>
  <c r="C4080" i="1"/>
  <c r="M4080" i="1"/>
  <c r="B4081" i="1"/>
  <c r="C4081" i="1"/>
  <c r="M4081" i="1"/>
  <c r="B4082" i="1"/>
  <c r="C4082" i="1"/>
  <c r="M4082" i="1"/>
  <c r="B4083" i="1"/>
  <c r="C4083" i="1"/>
  <c r="M4083" i="1"/>
  <c r="B4084" i="1"/>
  <c r="C4084" i="1"/>
  <c r="M4084" i="1"/>
  <c r="B4085" i="1"/>
  <c r="C4085" i="1"/>
  <c r="M4085" i="1"/>
  <c r="B4086" i="1"/>
  <c r="C4086" i="1"/>
  <c r="M4086" i="1"/>
  <c r="B4087" i="1"/>
  <c r="C4087" i="1"/>
  <c r="M4087" i="1"/>
  <c r="B4088" i="1"/>
  <c r="C4088" i="1"/>
  <c r="M4088" i="1"/>
  <c r="B4089" i="1"/>
  <c r="C4089" i="1"/>
  <c r="M4089" i="1"/>
  <c r="B4090" i="1"/>
  <c r="C4090" i="1"/>
  <c r="M4090" i="1"/>
  <c r="B4091" i="1"/>
  <c r="C4091" i="1"/>
  <c r="M4091" i="1"/>
  <c r="B4092" i="1"/>
  <c r="C4092" i="1"/>
  <c r="M4092" i="1"/>
  <c r="B4093" i="1"/>
  <c r="C4093" i="1"/>
  <c r="M4093" i="1"/>
  <c r="B4094" i="1"/>
  <c r="C4094" i="1"/>
  <c r="M4094" i="1"/>
  <c r="B4095" i="1"/>
  <c r="C4095" i="1"/>
  <c r="M4095" i="1"/>
  <c r="B4096" i="1"/>
  <c r="C4096" i="1"/>
  <c r="M4096" i="1"/>
  <c r="B4097" i="1"/>
  <c r="C4097" i="1"/>
  <c r="M4097" i="1"/>
  <c r="B4098" i="1"/>
  <c r="C4098" i="1"/>
  <c r="M4098" i="1"/>
  <c r="B4099" i="1"/>
  <c r="C4099" i="1"/>
  <c r="M4099" i="1"/>
  <c r="B4100" i="1"/>
  <c r="C4100" i="1"/>
  <c r="M4100" i="1"/>
  <c r="B4101" i="1"/>
  <c r="C4101" i="1"/>
  <c r="M4101" i="1"/>
  <c r="B4102" i="1"/>
  <c r="C4102" i="1"/>
  <c r="M4102" i="1"/>
  <c r="B4103" i="1"/>
  <c r="C4103" i="1"/>
  <c r="M4103" i="1"/>
  <c r="B4104" i="1"/>
  <c r="C4104" i="1"/>
  <c r="M4104" i="1"/>
  <c r="B4105" i="1"/>
  <c r="C4105" i="1"/>
  <c r="M4105" i="1"/>
  <c r="B4106" i="1"/>
  <c r="C4106" i="1"/>
  <c r="M4106" i="1"/>
  <c r="B4107" i="1"/>
  <c r="C4107" i="1"/>
  <c r="M4107" i="1"/>
  <c r="B4108" i="1"/>
  <c r="C4108" i="1"/>
  <c r="M4108" i="1"/>
  <c r="B4109" i="1"/>
  <c r="C4109" i="1"/>
  <c r="M4109" i="1"/>
  <c r="B4110" i="1"/>
  <c r="C4110" i="1"/>
  <c r="M4110" i="1"/>
  <c r="B4111" i="1"/>
  <c r="C4111" i="1"/>
  <c r="M4111" i="1"/>
  <c r="B4112" i="1"/>
  <c r="C4112" i="1"/>
  <c r="M4112" i="1"/>
  <c r="B4113" i="1"/>
  <c r="C4113" i="1"/>
  <c r="M4113" i="1"/>
  <c r="B4114" i="1"/>
  <c r="C4114" i="1"/>
  <c r="M4114" i="1"/>
  <c r="B4115" i="1"/>
  <c r="C4115" i="1"/>
  <c r="M4115" i="1"/>
  <c r="B4116" i="1"/>
  <c r="C4116" i="1"/>
  <c r="M4116" i="1"/>
  <c r="B4117" i="1"/>
  <c r="C4117" i="1"/>
  <c r="M4117" i="1"/>
  <c r="B4118" i="1"/>
  <c r="C4118" i="1"/>
  <c r="M4118" i="1"/>
  <c r="B4119" i="1"/>
  <c r="C4119" i="1"/>
  <c r="M4119" i="1"/>
  <c r="B4120" i="1"/>
  <c r="C4120" i="1"/>
  <c r="M4120" i="1"/>
  <c r="B4121" i="1"/>
  <c r="C4121" i="1"/>
  <c r="M4121" i="1"/>
  <c r="B4122" i="1"/>
  <c r="C4122" i="1"/>
  <c r="M4122" i="1"/>
  <c r="B4123" i="1"/>
  <c r="C4123" i="1"/>
  <c r="M4123" i="1"/>
  <c r="B4124" i="1"/>
  <c r="C4124" i="1"/>
  <c r="M4124" i="1"/>
  <c r="B4125" i="1"/>
  <c r="C4125" i="1"/>
  <c r="M4125" i="1"/>
  <c r="B4126" i="1"/>
  <c r="C4126" i="1"/>
  <c r="M4126" i="1"/>
  <c r="B4127" i="1"/>
  <c r="C4127" i="1"/>
  <c r="M4127" i="1"/>
  <c r="B4128" i="1"/>
  <c r="C4128" i="1"/>
  <c r="M4128" i="1"/>
  <c r="B4129" i="1"/>
  <c r="C4129" i="1"/>
  <c r="M4129" i="1"/>
  <c r="B4130" i="1"/>
  <c r="C4130" i="1"/>
  <c r="M4130" i="1"/>
  <c r="B4131" i="1"/>
  <c r="C4131" i="1"/>
  <c r="M4131" i="1"/>
  <c r="B4132" i="1"/>
  <c r="C4132" i="1"/>
  <c r="M4132" i="1"/>
  <c r="B4133" i="1"/>
  <c r="C4133" i="1"/>
  <c r="M4133" i="1"/>
  <c r="B4134" i="1"/>
  <c r="C4134" i="1"/>
  <c r="M4134" i="1"/>
  <c r="B4135" i="1"/>
  <c r="C4135" i="1"/>
  <c r="M4135" i="1"/>
  <c r="B4136" i="1"/>
  <c r="C4136" i="1"/>
  <c r="M4136" i="1"/>
  <c r="B4137" i="1"/>
  <c r="C4137" i="1"/>
  <c r="M4137" i="1"/>
  <c r="B4138" i="1"/>
  <c r="C4138" i="1"/>
  <c r="M4138" i="1"/>
  <c r="B4139" i="1"/>
  <c r="C4139" i="1"/>
  <c r="M4139" i="1"/>
  <c r="B4140" i="1"/>
  <c r="C4140" i="1"/>
  <c r="M4140" i="1"/>
  <c r="B4141" i="1"/>
  <c r="C4141" i="1"/>
  <c r="M4141" i="1"/>
  <c r="B4142" i="1"/>
  <c r="C4142" i="1"/>
  <c r="M4142" i="1"/>
  <c r="B4143" i="1"/>
  <c r="C4143" i="1"/>
  <c r="M4143" i="1"/>
  <c r="B4144" i="1"/>
  <c r="C4144" i="1"/>
  <c r="M4144" i="1"/>
  <c r="B4145" i="1"/>
  <c r="C4145" i="1"/>
  <c r="M4145" i="1"/>
  <c r="B4146" i="1"/>
  <c r="C4146" i="1"/>
  <c r="M4146" i="1"/>
  <c r="B4147" i="1"/>
  <c r="C4147" i="1"/>
  <c r="M4147" i="1"/>
  <c r="B4148" i="1"/>
  <c r="C4148" i="1"/>
  <c r="M4148" i="1"/>
  <c r="B4149" i="1"/>
  <c r="C4149" i="1"/>
  <c r="M4149" i="1"/>
  <c r="B4150" i="1"/>
  <c r="C4150" i="1"/>
  <c r="M4150" i="1"/>
  <c r="B4151" i="1"/>
  <c r="C4151" i="1"/>
  <c r="M4151" i="1"/>
  <c r="B4152" i="1"/>
  <c r="C4152" i="1"/>
  <c r="M4152" i="1"/>
  <c r="B4153" i="1"/>
  <c r="C4153" i="1"/>
  <c r="M4153" i="1"/>
  <c r="B4154" i="1"/>
  <c r="C4154" i="1"/>
  <c r="M4154" i="1"/>
  <c r="B4155" i="1"/>
  <c r="C4155" i="1"/>
  <c r="M4155" i="1"/>
  <c r="B4156" i="1"/>
  <c r="C4156" i="1"/>
  <c r="M4156" i="1"/>
  <c r="B4157" i="1"/>
  <c r="C4157" i="1"/>
  <c r="M4157" i="1"/>
  <c r="B4158" i="1"/>
  <c r="C4158" i="1"/>
  <c r="M4158" i="1"/>
  <c r="B4159" i="1"/>
  <c r="C4159" i="1"/>
  <c r="M4159" i="1"/>
  <c r="B4160" i="1"/>
  <c r="C4160" i="1"/>
  <c r="M4160" i="1"/>
  <c r="B4161" i="1"/>
  <c r="C4161" i="1"/>
  <c r="M4161" i="1"/>
  <c r="B4162" i="1"/>
  <c r="C4162" i="1"/>
  <c r="M4162" i="1"/>
  <c r="B4163" i="1"/>
  <c r="C4163" i="1"/>
  <c r="M4163" i="1"/>
  <c r="B4164" i="1"/>
  <c r="C4164" i="1"/>
  <c r="M4164" i="1"/>
  <c r="B4165" i="1"/>
  <c r="C4165" i="1"/>
  <c r="M4165" i="1"/>
  <c r="B4166" i="1"/>
  <c r="C4166" i="1"/>
  <c r="M4166" i="1"/>
  <c r="B4167" i="1"/>
  <c r="C4167" i="1"/>
  <c r="M4167" i="1"/>
  <c r="B4168" i="1"/>
  <c r="C4168" i="1"/>
  <c r="M4168" i="1"/>
  <c r="B4169" i="1"/>
  <c r="C4169" i="1"/>
  <c r="M4169" i="1"/>
  <c r="B4170" i="1"/>
  <c r="C4170" i="1"/>
  <c r="M4170" i="1"/>
  <c r="B4171" i="1"/>
  <c r="C4171" i="1"/>
  <c r="M4171" i="1"/>
  <c r="B4172" i="1"/>
  <c r="C4172" i="1"/>
  <c r="M4172" i="1"/>
  <c r="B4173" i="1"/>
  <c r="C4173" i="1"/>
  <c r="M4173" i="1"/>
  <c r="B4174" i="1"/>
  <c r="C4174" i="1"/>
  <c r="M4174" i="1"/>
  <c r="B4175" i="1"/>
  <c r="C4175" i="1"/>
  <c r="M4175" i="1"/>
  <c r="B4176" i="1"/>
  <c r="C4176" i="1"/>
  <c r="M4176" i="1"/>
  <c r="B4177" i="1"/>
  <c r="C4177" i="1"/>
  <c r="M4177" i="1"/>
  <c r="B4178" i="1"/>
  <c r="C4178" i="1"/>
  <c r="M4178" i="1"/>
  <c r="B4179" i="1"/>
  <c r="C4179" i="1"/>
  <c r="M4179" i="1"/>
  <c r="B4180" i="1"/>
  <c r="C4180" i="1"/>
  <c r="M4180" i="1"/>
  <c r="B4181" i="1"/>
  <c r="C4181" i="1"/>
  <c r="M4181" i="1"/>
  <c r="B4182" i="1"/>
  <c r="C4182" i="1"/>
  <c r="M4182" i="1"/>
  <c r="B4183" i="1"/>
  <c r="C4183" i="1"/>
  <c r="M4183" i="1"/>
  <c r="B4184" i="1"/>
  <c r="C4184" i="1"/>
  <c r="M4184" i="1"/>
  <c r="B4185" i="1"/>
  <c r="C4185" i="1"/>
  <c r="M4185" i="1"/>
  <c r="B4186" i="1"/>
  <c r="C4186" i="1"/>
  <c r="M4186" i="1"/>
  <c r="B4187" i="1"/>
  <c r="C4187" i="1"/>
  <c r="M4187" i="1"/>
  <c r="B4188" i="1"/>
  <c r="C4188" i="1"/>
  <c r="M4188" i="1"/>
  <c r="B4189" i="1"/>
  <c r="C4189" i="1"/>
  <c r="M4189" i="1"/>
  <c r="B4190" i="1"/>
  <c r="C4190" i="1"/>
  <c r="M4190" i="1"/>
  <c r="B4191" i="1"/>
  <c r="C4191" i="1"/>
  <c r="M4191" i="1"/>
  <c r="B4192" i="1"/>
  <c r="C4192" i="1"/>
  <c r="M4192" i="1"/>
  <c r="B4193" i="1"/>
  <c r="C4193" i="1"/>
  <c r="M4193" i="1"/>
  <c r="B4194" i="1"/>
  <c r="C4194" i="1"/>
  <c r="M4194" i="1"/>
  <c r="B4195" i="1"/>
  <c r="C4195" i="1"/>
  <c r="M4195" i="1"/>
  <c r="B4196" i="1"/>
  <c r="C4196" i="1"/>
  <c r="M4196" i="1"/>
  <c r="B4197" i="1"/>
  <c r="C4197" i="1"/>
  <c r="M4197" i="1"/>
  <c r="B4198" i="1"/>
  <c r="C4198" i="1"/>
  <c r="M4198" i="1"/>
  <c r="B4199" i="1"/>
  <c r="C4199" i="1"/>
  <c r="M4199" i="1"/>
  <c r="B4200" i="1"/>
  <c r="C4200" i="1"/>
  <c r="M4200" i="1"/>
  <c r="B4201" i="1"/>
  <c r="C4201" i="1"/>
  <c r="M4201" i="1"/>
  <c r="B4202" i="1"/>
  <c r="C4202" i="1"/>
  <c r="M4202" i="1"/>
  <c r="B4203" i="1"/>
  <c r="C4203" i="1"/>
  <c r="M4203" i="1"/>
  <c r="B4204" i="1"/>
  <c r="C4204" i="1"/>
  <c r="M4204" i="1"/>
  <c r="B4205" i="1"/>
  <c r="C4205" i="1"/>
  <c r="M4205" i="1"/>
  <c r="B4206" i="1"/>
  <c r="C4206" i="1"/>
  <c r="M4206" i="1"/>
  <c r="B4207" i="1"/>
  <c r="C4207" i="1"/>
  <c r="M4207" i="1"/>
  <c r="B4208" i="1"/>
  <c r="C4208" i="1"/>
  <c r="M4208" i="1"/>
  <c r="B4209" i="1"/>
  <c r="C4209" i="1"/>
  <c r="M4209" i="1"/>
  <c r="B4210" i="1"/>
  <c r="C4210" i="1"/>
  <c r="M4210" i="1"/>
  <c r="B4211" i="1"/>
  <c r="C4211" i="1"/>
  <c r="M4211" i="1"/>
  <c r="B4212" i="1"/>
  <c r="C4212" i="1"/>
  <c r="M4212" i="1"/>
  <c r="B4213" i="1"/>
  <c r="C4213" i="1"/>
  <c r="M4213" i="1"/>
  <c r="B4214" i="1"/>
  <c r="C4214" i="1"/>
  <c r="M4214" i="1"/>
  <c r="B4215" i="1"/>
  <c r="C4215" i="1"/>
  <c r="M4215" i="1"/>
  <c r="B4216" i="1"/>
  <c r="C4216" i="1"/>
  <c r="M4216" i="1"/>
  <c r="B4217" i="1"/>
  <c r="C4217" i="1"/>
  <c r="M4217" i="1"/>
  <c r="B4218" i="1"/>
  <c r="C4218" i="1"/>
  <c r="M4218" i="1"/>
  <c r="B4219" i="1"/>
  <c r="C4219" i="1"/>
  <c r="M4219" i="1"/>
  <c r="B4220" i="1"/>
  <c r="C4220" i="1"/>
  <c r="M4220" i="1"/>
  <c r="B4221" i="1"/>
  <c r="C4221" i="1"/>
  <c r="M4221" i="1"/>
  <c r="B4222" i="1"/>
  <c r="C4222" i="1"/>
  <c r="M4222" i="1"/>
  <c r="B4223" i="1"/>
  <c r="C4223" i="1"/>
  <c r="M4223" i="1"/>
  <c r="B4224" i="1"/>
  <c r="C4224" i="1"/>
  <c r="M4224" i="1"/>
  <c r="B4225" i="1"/>
  <c r="C4225" i="1"/>
  <c r="M4225" i="1"/>
  <c r="B4226" i="1"/>
  <c r="C4226" i="1"/>
  <c r="M4226" i="1"/>
  <c r="B4227" i="1"/>
  <c r="C4227" i="1"/>
  <c r="M4227" i="1"/>
  <c r="B4228" i="1"/>
  <c r="C4228" i="1"/>
  <c r="M4228" i="1"/>
  <c r="B4229" i="1"/>
  <c r="C4229" i="1"/>
  <c r="M4229" i="1"/>
  <c r="B4230" i="1"/>
  <c r="C4230" i="1"/>
  <c r="M4230" i="1"/>
  <c r="B4231" i="1"/>
  <c r="C4231" i="1"/>
  <c r="M4231" i="1"/>
  <c r="B4232" i="1"/>
  <c r="C4232" i="1"/>
  <c r="M4232" i="1"/>
  <c r="B4233" i="1"/>
  <c r="C4233" i="1"/>
  <c r="M4233" i="1"/>
  <c r="B4234" i="1"/>
  <c r="C4234" i="1"/>
  <c r="M4234" i="1"/>
  <c r="B4235" i="1"/>
  <c r="C4235" i="1"/>
  <c r="M4235" i="1"/>
  <c r="B4236" i="1"/>
  <c r="C4236" i="1"/>
  <c r="M4236" i="1"/>
  <c r="B4237" i="1"/>
  <c r="C4237" i="1"/>
  <c r="M4237" i="1"/>
  <c r="B4238" i="1"/>
  <c r="C4238" i="1"/>
  <c r="M4238" i="1"/>
  <c r="B4239" i="1"/>
  <c r="C4239" i="1"/>
  <c r="M4239" i="1"/>
  <c r="B4240" i="1"/>
  <c r="C4240" i="1"/>
  <c r="M4240" i="1"/>
  <c r="B4241" i="1"/>
  <c r="C4241" i="1"/>
  <c r="M4241" i="1"/>
  <c r="B4242" i="1"/>
  <c r="C4242" i="1"/>
  <c r="M4242" i="1"/>
  <c r="B4243" i="1"/>
  <c r="C4243" i="1"/>
  <c r="M4243" i="1"/>
  <c r="B4244" i="1"/>
  <c r="C4244" i="1"/>
  <c r="M4244" i="1"/>
  <c r="B4245" i="1"/>
  <c r="C4245" i="1"/>
  <c r="M4245" i="1"/>
  <c r="B4246" i="1"/>
  <c r="C4246" i="1"/>
  <c r="M4246" i="1"/>
  <c r="B4247" i="1"/>
  <c r="C4247" i="1"/>
  <c r="M4247" i="1"/>
  <c r="B4248" i="1"/>
  <c r="C4248" i="1"/>
  <c r="M4248" i="1"/>
  <c r="B4249" i="1"/>
  <c r="C4249" i="1"/>
  <c r="M4249" i="1"/>
  <c r="B4250" i="1"/>
  <c r="C4250" i="1"/>
  <c r="M4250" i="1"/>
  <c r="B4251" i="1"/>
  <c r="C4251" i="1"/>
  <c r="M4251" i="1"/>
  <c r="B4252" i="1"/>
  <c r="C4252" i="1"/>
  <c r="M4252" i="1"/>
  <c r="B4253" i="1"/>
  <c r="C4253" i="1"/>
  <c r="M4253" i="1"/>
  <c r="B4254" i="1"/>
  <c r="C4254" i="1"/>
  <c r="M4254" i="1"/>
  <c r="B4255" i="1"/>
  <c r="C4255" i="1"/>
  <c r="M4255" i="1"/>
  <c r="B4256" i="1"/>
  <c r="C4256" i="1"/>
  <c r="M4256" i="1"/>
  <c r="B4257" i="1"/>
  <c r="C4257" i="1"/>
  <c r="M4257" i="1"/>
  <c r="B4258" i="1"/>
  <c r="C4258" i="1"/>
  <c r="M4258" i="1"/>
  <c r="B4259" i="1"/>
  <c r="C4259" i="1"/>
  <c r="M4259" i="1"/>
  <c r="B4260" i="1"/>
  <c r="C4260" i="1"/>
  <c r="M4260" i="1"/>
  <c r="B4261" i="1"/>
  <c r="C4261" i="1"/>
  <c r="M4261" i="1"/>
  <c r="B4262" i="1"/>
  <c r="C4262" i="1"/>
  <c r="M4262" i="1"/>
  <c r="B4263" i="1"/>
  <c r="C4263" i="1"/>
  <c r="M4263" i="1"/>
  <c r="B4264" i="1"/>
  <c r="C4264" i="1"/>
  <c r="M4264" i="1"/>
  <c r="B4265" i="1"/>
  <c r="C4265" i="1"/>
  <c r="M4265" i="1"/>
  <c r="B4266" i="1"/>
  <c r="C4266" i="1"/>
  <c r="M4266" i="1"/>
  <c r="B4267" i="1"/>
  <c r="C4267" i="1"/>
  <c r="M4267" i="1"/>
  <c r="B4268" i="1"/>
  <c r="C4268" i="1"/>
  <c r="M4268" i="1"/>
  <c r="B4269" i="1"/>
  <c r="C4269" i="1"/>
  <c r="M4269" i="1"/>
  <c r="B4270" i="1"/>
  <c r="C4270" i="1"/>
  <c r="M4270" i="1"/>
  <c r="B4271" i="1"/>
  <c r="C4271" i="1"/>
  <c r="M4271" i="1"/>
  <c r="B4272" i="1"/>
  <c r="C4272" i="1"/>
  <c r="M4272" i="1"/>
  <c r="B4273" i="1"/>
  <c r="C4273" i="1"/>
  <c r="M4273" i="1"/>
  <c r="B4274" i="1"/>
  <c r="C4274" i="1"/>
  <c r="M4274" i="1"/>
  <c r="B4275" i="1"/>
  <c r="C4275" i="1"/>
  <c r="M4275" i="1"/>
  <c r="B4276" i="1"/>
  <c r="C4276" i="1"/>
  <c r="M4276" i="1"/>
  <c r="B4277" i="1"/>
  <c r="C4277" i="1"/>
  <c r="M4277" i="1"/>
  <c r="B4278" i="1"/>
  <c r="C4278" i="1"/>
  <c r="M4278" i="1"/>
  <c r="B4279" i="1"/>
  <c r="C4279" i="1"/>
  <c r="M4279" i="1"/>
  <c r="B4280" i="1"/>
  <c r="C4280" i="1"/>
  <c r="M4280" i="1"/>
  <c r="B4281" i="1"/>
  <c r="C4281" i="1"/>
  <c r="M4281" i="1"/>
  <c r="B4282" i="1"/>
  <c r="C4282" i="1"/>
  <c r="M4282" i="1"/>
  <c r="B4283" i="1"/>
  <c r="C4283" i="1"/>
  <c r="M4283" i="1"/>
  <c r="B4284" i="1"/>
  <c r="C4284" i="1"/>
  <c r="M4284" i="1"/>
  <c r="B4285" i="1"/>
  <c r="C4285" i="1"/>
  <c r="M4285" i="1"/>
  <c r="B4286" i="1"/>
  <c r="C4286" i="1"/>
  <c r="M4286" i="1"/>
  <c r="B4287" i="1"/>
  <c r="C4287" i="1"/>
  <c r="M4287" i="1"/>
  <c r="B4288" i="1"/>
  <c r="C4288" i="1"/>
  <c r="M4288" i="1"/>
  <c r="B4289" i="1"/>
  <c r="C4289" i="1"/>
  <c r="M4289" i="1"/>
  <c r="B4290" i="1"/>
  <c r="C4290" i="1"/>
  <c r="M4290" i="1"/>
  <c r="B4291" i="1"/>
  <c r="C4291" i="1"/>
  <c r="M4291" i="1"/>
  <c r="B4292" i="1"/>
  <c r="C4292" i="1"/>
  <c r="M4292" i="1"/>
  <c r="B4293" i="1"/>
  <c r="C4293" i="1"/>
  <c r="M4293" i="1"/>
  <c r="B4294" i="1"/>
  <c r="C4294" i="1"/>
  <c r="M4294" i="1"/>
  <c r="B4295" i="1"/>
  <c r="C4295" i="1"/>
  <c r="M4295" i="1"/>
  <c r="B4296" i="1"/>
  <c r="C4296" i="1"/>
  <c r="M4296" i="1"/>
  <c r="B4297" i="1"/>
  <c r="C4297" i="1"/>
  <c r="M4297" i="1"/>
  <c r="B4298" i="1"/>
  <c r="C4298" i="1"/>
  <c r="M4298" i="1"/>
  <c r="B4299" i="1"/>
  <c r="C4299" i="1"/>
  <c r="M4299" i="1"/>
  <c r="B4300" i="1"/>
  <c r="C4300" i="1"/>
  <c r="M4300" i="1"/>
  <c r="B4301" i="1"/>
  <c r="C4301" i="1"/>
  <c r="M4301" i="1"/>
  <c r="B4302" i="1"/>
  <c r="C4302" i="1"/>
  <c r="M4302" i="1"/>
  <c r="B4303" i="1"/>
  <c r="C4303" i="1"/>
  <c r="M4303" i="1"/>
  <c r="B4304" i="1"/>
  <c r="C4304" i="1"/>
  <c r="M4304" i="1"/>
  <c r="B4305" i="1"/>
  <c r="C4305" i="1"/>
  <c r="M4305" i="1"/>
  <c r="B4306" i="1"/>
  <c r="C4306" i="1"/>
  <c r="M4306" i="1"/>
  <c r="B4307" i="1"/>
  <c r="C4307" i="1"/>
  <c r="M4307" i="1"/>
  <c r="B4308" i="1"/>
  <c r="C4308" i="1"/>
  <c r="M4308" i="1"/>
  <c r="B4309" i="1"/>
  <c r="C4309" i="1"/>
  <c r="M4309" i="1"/>
  <c r="B4310" i="1"/>
  <c r="C4310" i="1"/>
  <c r="M4310" i="1"/>
  <c r="B4311" i="1"/>
  <c r="C4311" i="1"/>
  <c r="M4311" i="1"/>
  <c r="B4312" i="1"/>
  <c r="C4312" i="1"/>
  <c r="M4312" i="1"/>
  <c r="B4313" i="1"/>
  <c r="C4313" i="1"/>
  <c r="M4313" i="1"/>
  <c r="B4314" i="1"/>
  <c r="C4314" i="1"/>
  <c r="M4314" i="1"/>
  <c r="B4315" i="1"/>
  <c r="C4315" i="1"/>
  <c r="M4315" i="1"/>
  <c r="B4316" i="1"/>
  <c r="C4316" i="1"/>
  <c r="M4316" i="1"/>
  <c r="B4317" i="1"/>
  <c r="C4317" i="1"/>
  <c r="M4317" i="1"/>
  <c r="B4318" i="1"/>
  <c r="C4318" i="1"/>
  <c r="M4318" i="1"/>
  <c r="B4319" i="1"/>
  <c r="C4319" i="1"/>
  <c r="M4319" i="1"/>
  <c r="B4320" i="1"/>
  <c r="C4320" i="1"/>
  <c r="M4320" i="1"/>
  <c r="B4321" i="1"/>
  <c r="C4321" i="1"/>
  <c r="M4321" i="1"/>
  <c r="B4322" i="1"/>
  <c r="C4322" i="1"/>
  <c r="M4322" i="1"/>
  <c r="B4323" i="1"/>
  <c r="C4323" i="1"/>
  <c r="M4323" i="1"/>
  <c r="B4324" i="1"/>
  <c r="C4324" i="1"/>
  <c r="M4324" i="1"/>
  <c r="B4325" i="1"/>
  <c r="C4325" i="1"/>
  <c r="M4325" i="1"/>
  <c r="B4326" i="1"/>
  <c r="C4326" i="1"/>
  <c r="M4326" i="1"/>
  <c r="B4327" i="1"/>
  <c r="C4327" i="1"/>
  <c r="M4327" i="1"/>
  <c r="B4328" i="1"/>
  <c r="C4328" i="1"/>
  <c r="M4328" i="1"/>
  <c r="B4329" i="1"/>
  <c r="C4329" i="1"/>
  <c r="M4329" i="1"/>
  <c r="B4330" i="1"/>
  <c r="C4330" i="1"/>
  <c r="M4330" i="1"/>
  <c r="B4331" i="1"/>
  <c r="C4331" i="1"/>
  <c r="M4331" i="1"/>
  <c r="B4332" i="1"/>
  <c r="C4332" i="1"/>
  <c r="M4332" i="1"/>
  <c r="B4333" i="1"/>
  <c r="C4333" i="1"/>
  <c r="M4333" i="1"/>
  <c r="B4334" i="1"/>
  <c r="C4334" i="1"/>
  <c r="M4334" i="1"/>
  <c r="B4335" i="1"/>
  <c r="C4335" i="1"/>
  <c r="M4335" i="1"/>
  <c r="B4336" i="1"/>
  <c r="C4336" i="1"/>
  <c r="M4336" i="1"/>
  <c r="B4337" i="1"/>
  <c r="C4337" i="1"/>
  <c r="M4337" i="1"/>
  <c r="B4338" i="1"/>
  <c r="C4338" i="1"/>
  <c r="M4338" i="1"/>
  <c r="B4339" i="1"/>
  <c r="C4339" i="1"/>
  <c r="M4339" i="1"/>
  <c r="B4340" i="1"/>
  <c r="C4340" i="1"/>
  <c r="M4340" i="1"/>
  <c r="B4341" i="1"/>
  <c r="C4341" i="1"/>
  <c r="M4341" i="1"/>
  <c r="B4342" i="1"/>
  <c r="C4342" i="1"/>
  <c r="M4342" i="1"/>
  <c r="B4343" i="1"/>
  <c r="C4343" i="1"/>
  <c r="M4343" i="1"/>
  <c r="B4344" i="1"/>
  <c r="C4344" i="1"/>
  <c r="M4344" i="1"/>
  <c r="B4345" i="1"/>
  <c r="C4345" i="1"/>
  <c r="M4345" i="1"/>
  <c r="B4346" i="1"/>
  <c r="C4346" i="1"/>
  <c r="M4346" i="1"/>
  <c r="B4347" i="1"/>
  <c r="C4347" i="1"/>
  <c r="M4347" i="1"/>
  <c r="B4348" i="1"/>
  <c r="C4348" i="1"/>
  <c r="M4348" i="1"/>
  <c r="B4349" i="1"/>
  <c r="C4349" i="1"/>
  <c r="M4349" i="1"/>
  <c r="B4350" i="1"/>
  <c r="C4350" i="1"/>
  <c r="M4350" i="1"/>
  <c r="B4351" i="1"/>
  <c r="C4351" i="1"/>
  <c r="M4351" i="1"/>
  <c r="B4352" i="1"/>
  <c r="C4352" i="1"/>
  <c r="M4352" i="1"/>
  <c r="B4353" i="1"/>
  <c r="C4353" i="1"/>
  <c r="M4353" i="1"/>
  <c r="B4354" i="1"/>
  <c r="C4354" i="1"/>
  <c r="M4354" i="1"/>
  <c r="B4355" i="1"/>
  <c r="C4355" i="1"/>
  <c r="M4355" i="1"/>
  <c r="B4356" i="1"/>
  <c r="C4356" i="1"/>
  <c r="M4356" i="1"/>
  <c r="B4357" i="1"/>
  <c r="C4357" i="1"/>
  <c r="M4357" i="1"/>
  <c r="B4358" i="1"/>
  <c r="C4358" i="1"/>
  <c r="M4358" i="1"/>
  <c r="B4359" i="1"/>
  <c r="C4359" i="1"/>
  <c r="M4359" i="1"/>
  <c r="B4360" i="1"/>
  <c r="C4360" i="1"/>
  <c r="M4360" i="1"/>
  <c r="B4361" i="1"/>
  <c r="C4361" i="1"/>
  <c r="M4361" i="1"/>
  <c r="B4362" i="1"/>
  <c r="C4362" i="1"/>
  <c r="M4362" i="1"/>
  <c r="B4363" i="1"/>
  <c r="C4363" i="1"/>
  <c r="M4363" i="1"/>
  <c r="B4364" i="1"/>
  <c r="C4364" i="1"/>
  <c r="M4364" i="1"/>
  <c r="B4365" i="1"/>
  <c r="C4365" i="1"/>
  <c r="M4365" i="1"/>
  <c r="B4366" i="1"/>
  <c r="C4366" i="1"/>
  <c r="M4366" i="1"/>
  <c r="B4367" i="1"/>
  <c r="C4367" i="1"/>
  <c r="M4367" i="1"/>
  <c r="B4368" i="1"/>
  <c r="C4368" i="1"/>
  <c r="M4368" i="1"/>
  <c r="B4369" i="1"/>
  <c r="C4369" i="1"/>
  <c r="M4369" i="1"/>
  <c r="B4370" i="1"/>
  <c r="C4370" i="1"/>
  <c r="M4370" i="1"/>
  <c r="B4371" i="1"/>
  <c r="C4371" i="1"/>
  <c r="M4371" i="1"/>
  <c r="B4372" i="1"/>
  <c r="C4372" i="1"/>
  <c r="M4372" i="1"/>
  <c r="B4373" i="1"/>
  <c r="C4373" i="1"/>
  <c r="M4373" i="1"/>
  <c r="B4374" i="1"/>
  <c r="C4374" i="1"/>
  <c r="M4374" i="1"/>
  <c r="B4375" i="1"/>
  <c r="C4375" i="1"/>
  <c r="M4375" i="1"/>
  <c r="B4376" i="1"/>
  <c r="C4376" i="1"/>
  <c r="M4376" i="1"/>
  <c r="B4377" i="1"/>
  <c r="C4377" i="1"/>
  <c r="M4377" i="1"/>
  <c r="B4378" i="1"/>
  <c r="C4378" i="1"/>
  <c r="M4378" i="1"/>
  <c r="B4379" i="1"/>
  <c r="C4379" i="1"/>
  <c r="M4379" i="1"/>
  <c r="B4380" i="1"/>
  <c r="C4380" i="1"/>
  <c r="M4380" i="1"/>
  <c r="B4381" i="1"/>
  <c r="C4381" i="1"/>
  <c r="M4381" i="1"/>
  <c r="B4382" i="1"/>
  <c r="C4382" i="1"/>
  <c r="M4382" i="1"/>
  <c r="B4383" i="1"/>
  <c r="C4383" i="1"/>
  <c r="M4383" i="1"/>
  <c r="B4384" i="1"/>
  <c r="C4384" i="1"/>
  <c r="M4384" i="1"/>
  <c r="B4385" i="1"/>
  <c r="C4385" i="1"/>
  <c r="M4385" i="1"/>
  <c r="B4386" i="1"/>
  <c r="C4386" i="1"/>
  <c r="M4386" i="1"/>
  <c r="B4387" i="1"/>
  <c r="C4387" i="1"/>
  <c r="M4387" i="1"/>
  <c r="B4388" i="1"/>
  <c r="C4388" i="1"/>
  <c r="M4388" i="1"/>
  <c r="B4389" i="1"/>
  <c r="C4389" i="1"/>
  <c r="M4389" i="1"/>
  <c r="B4390" i="1"/>
  <c r="C4390" i="1"/>
  <c r="M4390" i="1"/>
  <c r="B4391" i="1"/>
  <c r="C4391" i="1"/>
  <c r="M4391" i="1"/>
  <c r="B4392" i="1"/>
  <c r="C4392" i="1"/>
  <c r="M4392" i="1"/>
  <c r="B4393" i="1"/>
  <c r="C4393" i="1"/>
  <c r="M4393" i="1"/>
  <c r="B4394" i="1"/>
  <c r="C4394" i="1"/>
  <c r="M4394" i="1"/>
  <c r="B4395" i="1"/>
  <c r="C4395" i="1"/>
  <c r="M4395" i="1"/>
  <c r="B4396" i="1"/>
  <c r="C4396" i="1"/>
  <c r="M4396" i="1"/>
  <c r="B4397" i="1"/>
  <c r="C4397" i="1"/>
  <c r="M4397" i="1"/>
  <c r="B4398" i="1"/>
  <c r="C4398" i="1"/>
  <c r="M4398" i="1"/>
  <c r="B4399" i="1"/>
  <c r="C4399" i="1"/>
  <c r="M4399" i="1"/>
  <c r="B4400" i="1"/>
  <c r="C4400" i="1"/>
  <c r="M4400" i="1"/>
  <c r="B4401" i="1"/>
  <c r="C4401" i="1"/>
  <c r="M4401" i="1"/>
  <c r="B4402" i="1"/>
  <c r="C4402" i="1"/>
  <c r="M4402" i="1"/>
  <c r="B4403" i="1"/>
  <c r="C4403" i="1"/>
  <c r="M4403" i="1"/>
  <c r="B4404" i="1"/>
  <c r="C4404" i="1"/>
  <c r="M4404" i="1"/>
  <c r="B4405" i="1"/>
  <c r="C4405" i="1"/>
  <c r="M4405" i="1"/>
  <c r="B4406" i="1"/>
  <c r="C4406" i="1"/>
  <c r="M4406" i="1"/>
  <c r="B4407" i="1"/>
  <c r="C4407" i="1"/>
  <c r="M4407" i="1"/>
  <c r="B4408" i="1"/>
  <c r="C4408" i="1"/>
  <c r="M4408" i="1"/>
  <c r="B4409" i="1"/>
  <c r="C4409" i="1"/>
  <c r="M4409" i="1"/>
  <c r="B4410" i="1"/>
  <c r="C4410" i="1"/>
  <c r="M4410" i="1"/>
  <c r="B4411" i="1"/>
  <c r="C4411" i="1"/>
  <c r="M4411" i="1"/>
  <c r="B4412" i="1"/>
  <c r="C4412" i="1"/>
  <c r="M4412" i="1"/>
  <c r="B4413" i="1"/>
  <c r="C4413" i="1"/>
  <c r="M4413" i="1"/>
  <c r="B4414" i="1"/>
  <c r="C4414" i="1"/>
  <c r="M4414" i="1"/>
  <c r="B4415" i="1"/>
  <c r="C4415" i="1"/>
  <c r="M4415" i="1"/>
  <c r="B4416" i="1"/>
  <c r="C4416" i="1"/>
  <c r="M4416" i="1"/>
  <c r="B4417" i="1"/>
  <c r="C4417" i="1"/>
  <c r="M4417" i="1"/>
  <c r="B4418" i="1"/>
  <c r="C4418" i="1"/>
  <c r="M4418" i="1"/>
  <c r="B4419" i="1"/>
  <c r="C4419" i="1"/>
  <c r="M4419" i="1"/>
  <c r="B4420" i="1"/>
  <c r="C4420" i="1"/>
  <c r="M4420" i="1"/>
  <c r="B4421" i="1"/>
  <c r="C4421" i="1"/>
  <c r="M4421" i="1"/>
  <c r="B4422" i="1"/>
  <c r="C4422" i="1"/>
  <c r="M4422" i="1"/>
  <c r="B4423" i="1"/>
  <c r="C4423" i="1"/>
  <c r="M4423" i="1"/>
  <c r="B4424" i="1"/>
  <c r="C4424" i="1"/>
  <c r="M4424" i="1"/>
  <c r="B4425" i="1"/>
  <c r="C4425" i="1"/>
  <c r="M4425" i="1"/>
  <c r="B4426" i="1"/>
  <c r="C4426" i="1"/>
  <c r="M4426" i="1"/>
  <c r="B4427" i="1"/>
  <c r="C4427" i="1"/>
  <c r="M4427" i="1"/>
  <c r="B4428" i="1"/>
  <c r="C4428" i="1"/>
  <c r="M4428" i="1"/>
  <c r="B4429" i="1"/>
  <c r="C4429" i="1"/>
  <c r="M4429" i="1"/>
  <c r="B4430" i="1"/>
  <c r="C4430" i="1"/>
  <c r="M4430" i="1"/>
  <c r="B4431" i="1"/>
  <c r="C4431" i="1"/>
  <c r="M4431" i="1"/>
  <c r="B4432" i="1"/>
  <c r="C4432" i="1"/>
  <c r="M4432" i="1"/>
  <c r="B4433" i="1"/>
  <c r="C4433" i="1"/>
  <c r="M4433" i="1"/>
  <c r="B4434" i="1"/>
  <c r="C4434" i="1"/>
  <c r="M4434" i="1"/>
  <c r="B4435" i="1"/>
  <c r="C4435" i="1"/>
  <c r="M4435" i="1"/>
  <c r="B4436" i="1"/>
  <c r="C4436" i="1"/>
  <c r="M4436" i="1"/>
  <c r="B4437" i="1"/>
  <c r="C4437" i="1"/>
  <c r="M4437" i="1"/>
  <c r="B4438" i="1"/>
  <c r="C4438" i="1"/>
  <c r="M4438" i="1"/>
  <c r="B4439" i="1"/>
  <c r="C4439" i="1"/>
  <c r="M4439" i="1"/>
  <c r="B4440" i="1"/>
  <c r="C4440" i="1"/>
  <c r="M4440" i="1"/>
  <c r="B4441" i="1"/>
  <c r="C4441" i="1"/>
  <c r="M4441" i="1"/>
  <c r="B4442" i="1"/>
  <c r="C4442" i="1"/>
  <c r="M4442" i="1"/>
  <c r="B4443" i="1"/>
  <c r="C4443" i="1"/>
  <c r="M4443" i="1"/>
  <c r="B4444" i="1"/>
  <c r="C4444" i="1"/>
  <c r="M4444" i="1"/>
  <c r="B4445" i="1"/>
  <c r="C4445" i="1"/>
  <c r="M4445" i="1"/>
  <c r="B4446" i="1"/>
  <c r="C4446" i="1"/>
  <c r="M4446" i="1"/>
  <c r="B4447" i="1"/>
  <c r="C4447" i="1"/>
  <c r="M4447" i="1"/>
  <c r="B4448" i="1"/>
  <c r="C4448" i="1"/>
  <c r="M4448" i="1"/>
  <c r="B4449" i="1"/>
  <c r="C4449" i="1"/>
  <c r="M4449" i="1"/>
  <c r="B4450" i="1"/>
  <c r="C4450" i="1"/>
  <c r="M4450" i="1"/>
  <c r="B4451" i="1"/>
  <c r="C4451" i="1"/>
  <c r="M4451" i="1"/>
  <c r="B4452" i="1"/>
  <c r="C4452" i="1"/>
  <c r="M4452" i="1"/>
  <c r="B4453" i="1"/>
  <c r="C4453" i="1"/>
  <c r="M4453" i="1"/>
  <c r="B4454" i="1"/>
  <c r="C4454" i="1"/>
  <c r="M4454" i="1"/>
  <c r="B4455" i="1"/>
  <c r="C4455" i="1"/>
  <c r="M4455" i="1"/>
  <c r="B4456" i="1"/>
  <c r="C4456" i="1"/>
  <c r="M4456" i="1"/>
  <c r="B4457" i="1"/>
  <c r="C4457" i="1"/>
  <c r="M4457" i="1"/>
  <c r="B4458" i="1"/>
  <c r="C4458" i="1"/>
  <c r="M4458" i="1"/>
  <c r="B4459" i="1"/>
  <c r="C4459" i="1"/>
  <c r="M4459" i="1"/>
  <c r="B4460" i="1"/>
  <c r="C4460" i="1"/>
  <c r="M4460" i="1"/>
  <c r="B4461" i="1"/>
  <c r="C4461" i="1"/>
  <c r="M4461" i="1"/>
  <c r="B4462" i="1"/>
  <c r="C4462" i="1"/>
  <c r="M4462" i="1"/>
  <c r="B4463" i="1"/>
  <c r="C4463" i="1"/>
  <c r="M4463" i="1"/>
  <c r="B4464" i="1"/>
  <c r="C4464" i="1"/>
  <c r="M4464" i="1"/>
  <c r="B4465" i="1"/>
  <c r="C4465" i="1"/>
  <c r="M4465" i="1"/>
  <c r="B4466" i="1"/>
  <c r="C4466" i="1"/>
  <c r="M4466" i="1"/>
  <c r="B4467" i="1"/>
  <c r="C4467" i="1"/>
  <c r="M4467" i="1"/>
  <c r="B4468" i="1"/>
  <c r="C4468" i="1"/>
  <c r="M4468" i="1"/>
  <c r="B4469" i="1"/>
  <c r="C4469" i="1"/>
  <c r="M4469" i="1"/>
  <c r="B4470" i="1"/>
  <c r="C4470" i="1"/>
  <c r="M4470" i="1"/>
  <c r="B4471" i="1"/>
  <c r="C4471" i="1"/>
  <c r="M4471" i="1"/>
  <c r="B4472" i="1"/>
  <c r="C4472" i="1"/>
  <c r="M4472" i="1"/>
  <c r="B4473" i="1"/>
  <c r="C4473" i="1"/>
  <c r="M4473" i="1"/>
  <c r="B4474" i="1"/>
  <c r="C4474" i="1"/>
  <c r="M4474" i="1"/>
  <c r="B4475" i="1"/>
  <c r="C4475" i="1"/>
  <c r="M4475" i="1"/>
  <c r="B4476" i="1"/>
  <c r="C4476" i="1"/>
  <c r="M4476" i="1"/>
  <c r="B4477" i="1"/>
  <c r="C4477" i="1"/>
  <c r="M4477" i="1"/>
  <c r="B4478" i="1"/>
  <c r="C4478" i="1"/>
  <c r="M4478" i="1"/>
  <c r="B4479" i="1"/>
  <c r="C4479" i="1"/>
  <c r="M4479" i="1"/>
  <c r="B4480" i="1"/>
  <c r="C4480" i="1"/>
  <c r="M4480" i="1"/>
  <c r="B4481" i="1"/>
  <c r="C4481" i="1"/>
  <c r="M4481" i="1"/>
  <c r="B4482" i="1"/>
  <c r="C4482" i="1"/>
  <c r="M4482" i="1"/>
  <c r="B4483" i="1"/>
  <c r="C4483" i="1"/>
  <c r="M4483" i="1"/>
  <c r="B4484" i="1"/>
  <c r="C4484" i="1"/>
  <c r="M4484" i="1"/>
  <c r="B4485" i="1"/>
  <c r="C4485" i="1"/>
  <c r="M4485" i="1"/>
  <c r="B4486" i="1"/>
  <c r="C4486" i="1"/>
  <c r="M4486" i="1"/>
  <c r="B4487" i="1"/>
  <c r="C4487" i="1"/>
  <c r="M4487" i="1"/>
  <c r="B4488" i="1"/>
  <c r="C4488" i="1"/>
  <c r="M4488" i="1"/>
  <c r="B4489" i="1"/>
  <c r="C4489" i="1"/>
  <c r="M4489" i="1"/>
  <c r="B4490" i="1"/>
  <c r="C4490" i="1"/>
  <c r="M4490" i="1"/>
  <c r="B4491" i="1"/>
  <c r="C4491" i="1"/>
  <c r="M4491" i="1"/>
  <c r="B4492" i="1"/>
  <c r="C4492" i="1"/>
  <c r="M4492" i="1"/>
  <c r="B4493" i="1"/>
  <c r="C4493" i="1"/>
  <c r="M4493" i="1"/>
  <c r="B4494" i="1"/>
  <c r="C4494" i="1"/>
  <c r="M4494" i="1"/>
  <c r="B4495" i="1"/>
  <c r="C4495" i="1"/>
  <c r="M4495" i="1"/>
  <c r="B4496" i="1"/>
  <c r="C4496" i="1"/>
  <c r="M4496" i="1"/>
  <c r="B4497" i="1"/>
  <c r="C4497" i="1"/>
  <c r="M4497" i="1"/>
  <c r="B4498" i="1"/>
  <c r="C4498" i="1"/>
  <c r="M4498" i="1"/>
  <c r="B4499" i="1"/>
  <c r="C4499" i="1"/>
  <c r="M4499" i="1"/>
  <c r="B4500" i="1"/>
  <c r="C4500" i="1"/>
  <c r="M4500" i="1"/>
  <c r="B4501" i="1"/>
  <c r="C4501" i="1"/>
  <c r="M4501" i="1"/>
  <c r="B4502" i="1"/>
  <c r="C4502" i="1"/>
  <c r="M4502" i="1"/>
  <c r="B4503" i="1"/>
  <c r="C4503" i="1"/>
  <c r="M4503" i="1"/>
  <c r="B4504" i="1"/>
  <c r="C4504" i="1"/>
  <c r="M4504" i="1"/>
  <c r="B4505" i="1"/>
  <c r="C4505" i="1"/>
  <c r="M4505" i="1"/>
  <c r="B4506" i="1"/>
  <c r="C4506" i="1"/>
  <c r="M4506" i="1"/>
  <c r="B4507" i="1"/>
  <c r="C4507" i="1"/>
  <c r="M4507" i="1"/>
  <c r="B4508" i="1"/>
  <c r="C4508" i="1"/>
  <c r="M4508" i="1"/>
  <c r="B4509" i="1"/>
  <c r="C4509" i="1"/>
  <c r="M4509" i="1"/>
  <c r="B4510" i="1"/>
  <c r="C4510" i="1"/>
  <c r="M4510" i="1"/>
  <c r="B4511" i="1"/>
  <c r="C4511" i="1"/>
  <c r="M4511" i="1"/>
  <c r="B4512" i="1"/>
  <c r="C4512" i="1"/>
  <c r="M4512" i="1"/>
  <c r="B4513" i="1"/>
  <c r="C4513" i="1"/>
  <c r="M4513" i="1"/>
  <c r="B4514" i="1"/>
  <c r="C4514" i="1"/>
  <c r="M4514" i="1"/>
  <c r="B4515" i="1"/>
  <c r="C4515" i="1"/>
  <c r="M4515" i="1"/>
  <c r="B4516" i="1"/>
  <c r="C4516" i="1"/>
  <c r="M4516" i="1"/>
  <c r="B4517" i="1"/>
  <c r="C4517" i="1"/>
  <c r="M4517" i="1"/>
  <c r="B4518" i="1"/>
  <c r="C4518" i="1"/>
  <c r="M4518" i="1"/>
  <c r="B4519" i="1"/>
  <c r="C4519" i="1"/>
  <c r="M4519" i="1"/>
  <c r="B4520" i="1"/>
  <c r="C4520" i="1"/>
  <c r="M4520" i="1"/>
  <c r="B4521" i="1"/>
  <c r="C4521" i="1"/>
  <c r="M4521" i="1"/>
  <c r="B4522" i="1"/>
  <c r="C4522" i="1"/>
  <c r="M4522" i="1"/>
  <c r="B4523" i="1"/>
  <c r="C4523" i="1"/>
  <c r="M4523" i="1"/>
  <c r="B4524" i="1"/>
  <c r="C4524" i="1"/>
  <c r="M4524" i="1"/>
  <c r="B4525" i="1"/>
  <c r="C4525" i="1"/>
  <c r="M4525" i="1"/>
  <c r="B4526" i="1"/>
  <c r="C4526" i="1"/>
  <c r="M4526" i="1"/>
  <c r="B4527" i="1"/>
  <c r="C4527" i="1"/>
  <c r="M4527" i="1"/>
  <c r="B4528" i="1"/>
  <c r="C4528" i="1"/>
  <c r="M4528" i="1"/>
  <c r="B4529" i="1"/>
  <c r="C4529" i="1"/>
  <c r="M4529" i="1"/>
  <c r="B4530" i="1"/>
  <c r="C4530" i="1"/>
  <c r="M4530" i="1"/>
  <c r="B4531" i="1"/>
  <c r="C4531" i="1"/>
  <c r="M4531" i="1"/>
  <c r="B4532" i="1"/>
  <c r="C4532" i="1"/>
  <c r="M4532" i="1"/>
  <c r="B4533" i="1"/>
  <c r="C4533" i="1"/>
  <c r="M4533" i="1"/>
  <c r="B4534" i="1"/>
  <c r="C4534" i="1"/>
  <c r="M4534" i="1"/>
  <c r="B4535" i="1"/>
  <c r="C4535" i="1"/>
  <c r="M4535" i="1"/>
  <c r="B4536" i="1"/>
  <c r="C4536" i="1"/>
  <c r="M4536" i="1"/>
  <c r="B4537" i="1"/>
  <c r="C4537" i="1"/>
  <c r="M4537" i="1"/>
  <c r="B4538" i="1"/>
  <c r="C4538" i="1"/>
  <c r="M4538" i="1"/>
  <c r="B4539" i="1"/>
  <c r="C4539" i="1"/>
  <c r="M4539" i="1"/>
  <c r="B4540" i="1"/>
  <c r="C4540" i="1"/>
  <c r="M4540" i="1"/>
  <c r="B4541" i="1"/>
  <c r="C4541" i="1"/>
  <c r="M4541" i="1"/>
  <c r="B4542" i="1"/>
  <c r="C4542" i="1"/>
  <c r="M4542" i="1"/>
  <c r="B4543" i="1"/>
  <c r="C4543" i="1"/>
  <c r="M4543" i="1"/>
  <c r="B4544" i="1"/>
  <c r="C4544" i="1"/>
  <c r="M4544" i="1"/>
  <c r="B4545" i="1"/>
  <c r="C4545" i="1"/>
  <c r="M4545" i="1"/>
  <c r="B4546" i="1"/>
  <c r="C4546" i="1"/>
  <c r="M4546" i="1"/>
  <c r="B4547" i="1"/>
  <c r="C4547" i="1"/>
  <c r="M4547" i="1"/>
  <c r="B4548" i="1"/>
  <c r="C4548" i="1"/>
  <c r="M4548" i="1"/>
  <c r="B4549" i="1"/>
  <c r="C4549" i="1"/>
  <c r="M4549" i="1"/>
  <c r="B4550" i="1"/>
  <c r="C4550" i="1"/>
  <c r="M4550" i="1"/>
  <c r="B4551" i="1"/>
  <c r="C4551" i="1"/>
  <c r="M4551" i="1"/>
  <c r="B4552" i="1"/>
  <c r="C4552" i="1"/>
  <c r="M4552" i="1"/>
  <c r="B4553" i="1"/>
  <c r="C4553" i="1"/>
  <c r="M4553" i="1"/>
  <c r="B4554" i="1"/>
  <c r="C4554" i="1"/>
  <c r="M4554" i="1"/>
  <c r="B4555" i="1"/>
  <c r="C4555" i="1"/>
  <c r="M4555" i="1"/>
  <c r="B4556" i="1"/>
  <c r="C4556" i="1"/>
  <c r="M4556" i="1"/>
  <c r="B4557" i="1"/>
  <c r="C4557" i="1"/>
  <c r="M4557" i="1"/>
  <c r="B4558" i="1"/>
  <c r="C4558" i="1"/>
  <c r="M4558" i="1"/>
  <c r="B4559" i="1"/>
  <c r="C4559" i="1"/>
  <c r="M4559" i="1"/>
  <c r="B4560" i="1"/>
  <c r="C4560" i="1"/>
  <c r="M4560" i="1"/>
  <c r="B4561" i="1"/>
  <c r="C4561" i="1"/>
  <c r="M4561" i="1"/>
  <c r="B4562" i="1"/>
  <c r="C4562" i="1"/>
  <c r="M4562" i="1"/>
  <c r="B4563" i="1"/>
  <c r="C4563" i="1"/>
  <c r="M4563" i="1"/>
  <c r="B4564" i="1"/>
  <c r="C4564" i="1"/>
  <c r="M4564" i="1"/>
  <c r="B4565" i="1"/>
  <c r="C4565" i="1"/>
  <c r="M4565" i="1"/>
  <c r="B4566" i="1"/>
  <c r="C4566" i="1"/>
  <c r="M4566" i="1"/>
  <c r="B4567" i="1"/>
  <c r="C4567" i="1"/>
  <c r="M4567" i="1"/>
  <c r="B4568" i="1"/>
  <c r="C4568" i="1"/>
  <c r="M4568" i="1"/>
  <c r="B4569" i="1"/>
  <c r="C4569" i="1"/>
  <c r="M4569" i="1"/>
  <c r="B4570" i="1"/>
  <c r="C4570" i="1"/>
  <c r="M4570" i="1"/>
  <c r="B4571" i="1"/>
  <c r="C4571" i="1"/>
  <c r="M4571" i="1"/>
  <c r="B4572" i="1"/>
  <c r="C4572" i="1"/>
  <c r="M4572" i="1"/>
  <c r="B4573" i="1"/>
  <c r="C4573" i="1"/>
  <c r="M4573" i="1"/>
  <c r="B4574" i="1"/>
  <c r="C4574" i="1"/>
  <c r="M4574" i="1"/>
  <c r="B4575" i="1"/>
  <c r="C4575" i="1"/>
  <c r="M4575" i="1"/>
  <c r="B4576" i="1"/>
  <c r="C4576" i="1"/>
  <c r="M4576" i="1"/>
  <c r="B4577" i="1"/>
  <c r="C4577" i="1"/>
  <c r="M4577" i="1"/>
  <c r="B4578" i="1"/>
  <c r="C4578" i="1"/>
  <c r="M4578" i="1"/>
  <c r="B4579" i="1"/>
  <c r="C4579" i="1"/>
  <c r="M4579" i="1"/>
  <c r="B4580" i="1"/>
  <c r="C4580" i="1"/>
  <c r="M4580" i="1"/>
  <c r="B4581" i="1"/>
  <c r="C4581" i="1"/>
  <c r="M4581" i="1"/>
  <c r="B4582" i="1"/>
  <c r="C4582" i="1"/>
  <c r="M4582" i="1"/>
  <c r="B4583" i="1"/>
  <c r="C4583" i="1"/>
  <c r="M4583" i="1"/>
  <c r="B4584" i="1"/>
  <c r="C4584" i="1"/>
  <c r="M4584" i="1"/>
  <c r="B4585" i="1"/>
  <c r="C4585" i="1"/>
  <c r="M4585" i="1"/>
  <c r="B4586" i="1"/>
  <c r="C4586" i="1"/>
  <c r="M4586" i="1"/>
  <c r="B4587" i="1"/>
  <c r="C4587" i="1"/>
  <c r="M4587" i="1"/>
  <c r="B4588" i="1"/>
  <c r="C4588" i="1"/>
  <c r="M4588" i="1"/>
  <c r="B4589" i="1"/>
  <c r="C4589" i="1"/>
  <c r="M4589" i="1"/>
  <c r="B4590" i="1"/>
  <c r="C4590" i="1"/>
  <c r="M4590" i="1"/>
  <c r="B4591" i="1"/>
  <c r="C4591" i="1"/>
  <c r="M4591" i="1"/>
  <c r="B4592" i="1"/>
  <c r="C4592" i="1"/>
  <c r="M4592" i="1"/>
  <c r="B4593" i="1"/>
  <c r="C4593" i="1"/>
  <c r="M4593" i="1"/>
  <c r="B4594" i="1"/>
  <c r="C4594" i="1"/>
  <c r="M4594" i="1"/>
  <c r="B4595" i="1"/>
  <c r="C4595" i="1"/>
  <c r="M4595" i="1"/>
  <c r="B4596" i="1"/>
  <c r="C4596" i="1"/>
  <c r="M4596" i="1"/>
  <c r="B4597" i="1"/>
  <c r="C4597" i="1"/>
  <c r="M4597" i="1"/>
  <c r="B4598" i="1"/>
  <c r="C4598" i="1"/>
  <c r="M4598" i="1"/>
  <c r="B4599" i="1"/>
  <c r="C4599" i="1"/>
  <c r="M4599" i="1"/>
  <c r="B4600" i="1"/>
  <c r="C4600" i="1"/>
  <c r="M4600" i="1"/>
  <c r="B4601" i="1"/>
  <c r="C4601" i="1"/>
  <c r="M4601" i="1"/>
  <c r="B4602" i="1"/>
  <c r="C4602" i="1"/>
  <c r="M4602" i="1"/>
  <c r="B4603" i="1"/>
  <c r="C4603" i="1"/>
  <c r="M4603" i="1"/>
  <c r="B4604" i="1"/>
  <c r="C4604" i="1"/>
  <c r="M4604" i="1"/>
  <c r="B4605" i="1"/>
  <c r="C4605" i="1"/>
  <c r="M4605" i="1"/>
  <c r="B4606" i="1"/>
  <c r="C4606" i="1"/>
  <c r="M4606" i="1"/>
  <c r="B4607" i="1"/>
  <c r="C4607" i="1"/>
  <c r="M4607" i="1"/>
  <c r="B4608" i="1"/>
  <c r="C4608" i="1"/>
  <c r="M4608" i="1"/>
  <c r="B4609" i="1"/>
  <c r="C4609" i="1"/>
  <c r="M4609" i="1"/>
  <c r="B4610" i="1"/>
  <c r="C4610" i="1"/>
  <c r="M4610" i="1"/>
  <c r="B4611" i="1"/>
  <c r="C4611" i="1"/>
  <c r="M4611" i="1"/>
  <c r="B4612" i="1"/>
  <c r="C4612" i="1"/>
  <c r="M4612" i="1"/>
  <c r="B4613" i="1"/>
  <c r="C4613" i="1"/>
  <c r="M4613" i="1"/>
  <c r="B4614" i="1"/>
  <c r="C4614" i="1"/>
  <c r="M4614" i="1"/>
  <c r="B4615" i="1"/>
  <c r="C4615" i="1"/>
  <c r="M4615" i="1"/>
  <c r="B4616" i="1"/>
  <c r="C4616" i="1"/>
  <c r="M4616" i="1"/>
  <c r="B4617" i="1"/>
  <c r="C4617" i="1"/>
  <c r="M4617" i="1"/>
  <c r="B4618" i="1"/>
  <c r="C4618" i="1"/>
  <c r="M4618" i="1"/>
  <c r="B4619" i="1"/>
  <c r="C4619" i="1"/>
  <c r="M4619" i="1"/>
  <c r="B4620" i="1"/>
  <c r="C4620" i="1"/>
  <c r="M4620" i="1"/>
  <c r="B4621" i="1"/>
  <c r="C4621" i="1"/>
  <c r="M4621" i="1"/>
  <c r="B4622" i="1"/>
  <c r="C4622" i="1"/>
  <c r="M4622" i="1"/>
  <c r="B4623" i="1"/>
  <c r="C4623" i="1"/>
  <c r="M4623" i="1"/>
  <c r="B4624" i="1"/>
  <c r="C4624" i="1"/>
  <c r="M4624" i="1"/>
  <c r="B4625" i="1"/>
  <c r="C4625" i="1"/>
  <c r="M4625" i="1"/>
  <c r="B4626" i="1"/>
  <c r="C4626" i="1"/>
  <c r="M4626" i="1"/>
  <c r="B4627" i="1"/>
  <c r="C4627" i="1"/>
  <c r="M4627" i="1"/>
  <c r="B4628" i="1"/>
  <c r="C4628" i="1"/>
  <c r="M4628" i="1"/>
  <c r="B4629" i="1"/>
  <c r="C4629" i="1"/>
  <c r="M4629" i="1"/>
  <c r="B4630" i="1"/>
  <c r="C4630" i="1"/>
  <c r="M4630" i="1"/>
  <c r="B4631" i="1"/>
  <c r="C4631" i="1"/>
  <c r="M4631" i="1"/>
  <c r="B4632" i="1"/>
  <c r="C4632" i="1"/>
  <c r="M4632" i="1"/>
  <c r="B4633" i="1"/>
  <c r="C4633" i="1"/>
  <c r="M4633" i="1"/>
  <c r="B4634" i="1"/>
  <c r="C4634" i="1"/>
  <c r="M4634" i="1"/>
  <c r="B4635" i="1"/>
  <c r="C4635" i="1"/>
  <c r="M4635" i="1"/>
  <c r="B4636" i="1"/>
  <c r="C4636" i="1"/>
  <c r="M4636" i="1"/>
  <c r="B4637" i="1"/>
  <c r="C4637" i="1"/>
  <c r="M4637" i="1"/>
  <c r="B4638" i="1"/>
  <c r="C4638" i="1"/>
  <c r="M4638" i="1"/>
  <c r="B4639" i="1"/>
  <c r="C4639" i="1"/>
  <c r="M4639" i="1"/>
  <c r="B4640" i="1"/>
  <c r="C4640" i="1"/>
  <c r="M4640" i="1"/>
  <c r="B4641" i="1"/>
  <c r="C4641" i="1"/>
  <c r="M4641" i="1"/>
  <c r="B4642" i="1"/>
  <c r="C4642" i="1"/>
  <c r="M4642" i="1"/>
  <c r="B4643" i="1"/>
  <c r="C4643" i="1"/>
  <c r="M4643" i="1"/>
  <c r="B4644" i="1"/>
  <c r="C4644" i="1"/>
  <c r="M4644" i="1"/>
  <c r="B4645" i="1"/>
  <c r="C4645" i="1"/>
  <c r="M4645" i="1"/>
  <c r="B4646" i="1"/>
  <c r="C4646" i="1"/>
  <c r="M4646" i="1"/>
  <c r="B4647" i="1"/>
  <c r="C4647" i="1"/>
  <c r="M4647" i="1"/>
  <c r="B4648" i="1"/>
  <c r="C4648" i="1"/>
  <c r="M4648" i="1"/>
  <c r="B4649" i="1"/>
  <c r="C4649" i="1"/>
  <c r="M4649" i="1"/>
  <c r="B4650" i="1"/>
  <c r="C4650" i="1"/>
  <c r="M4650" i="1"/>
  <c r="B4651" i="1"/>
  <c r="C4651" i="1"/>
  <c r="M4651" i="1"/>
  <c r="B4652" i="1"/>
  <c r="C4652" i="1"/>
  <c r="M4652" i="1"/>
  <c r="B4653" i="1"/>
  <c r="C4653" i="1"/>
  <c r="M4653" i="1"/>
  <c r="B4654" i="1"/>
  <c r="C4654" i="1"/>
  <c r="M4654" i="1"/>
  <c r="B4655" i="1"/>
  <c r="C4655" i="1"/>
  <c r="M4655" i="1"/>
  <c r="B4656" i="1"/>
  <c r="C4656" i="1"/>
  <c r="M4656" i="1"/>
  <c r="B4657" i="1"/>
  <c r="C4657" i="1"/>
  <c r="M4657" i="1"/>
  <c r="B4658" i="1"/>
  <c r="C4658" i="1"/>
  <c r="M4658" i="1"/>
  <c r="B4659" i="1"/>
  <c r="C4659" i="1"/>
  <c r="M4659" i="1"/>
  <c r="B4660" i="1"/>
  <c r="C4660" i="1"/>
  <c r="M4660" i="1"/>
  <c r="B4661" i="1"/>
  <c r="C4661" i="1"/>
  <c r="M4661" i="1"/>
  <c r="B4662" i="1"/>
  <c r="C4662" i="1"/>
  <c r="M4662" i="1"/>
  <c r="B4663" i="1"/>
  <c r="C4663" i="1"/>
  <c r="M4663" i="1"/>
  <c r="B4664" i="1"/>
  <c r="C4664" i="1"/>
  <c r="M4664" i="1"/>
  <c r="B4665" i="1"/>
  <c r="C4665" i="1"/>
  <c r="M4665" i="1"/>
  <c r="B4666" i="1"/>
  <c r="C4666" i="1"/>
  <c r="M4666" i="1"/>
  <c r="B4667" i="1"/>
  <c r="C4667" i="1"/>
  <c r="M4667" i="1"/>
  <c r="B4668" i="1"/>
  <c r="C4668" i="1"/>
  <c r="M4668" i="1"/>
  <c r="B4669" i="1"/>
  <c r="C4669" i="1"/>
  <c r="M4669" i="1"/>
  <c r="B4670" i="1"/>
  <c r="C4670" i="1"/>
  <c r="M4670" i="1"/>
  <c r="B4671" i="1"/>
  <c r="C4671" i="1"/>
  <c r="M4671" i="1"/>
  <c r="B4672" i="1"/>
  <c r="C4672" i="1"/>
  <c r="M4672" i="1"/>
  <c r="B4673" i="1"/>
  <c r="C4673" i="1"/>
  <c r="M4673" i="1"/>
  <c r="B4674" i="1"/>
  <c r="C4674" i="1"/>
  <c r="M4674" i="1"/>
  <c r="B4675" i="1"/>
  <c r="C4675" i="1"/>
  <c r="M4675" i="1"/>
  <c r="B4676" i="1"/>
  <c r="C4676" i="1"/>
  <c r="M4676" i="1"/>
  <c r="B4677" i="1"/>
  <c r="C4677" i="1"/>
  <c r="M4677" i="1"/>
  <c r="B4678" i="1"/>
  <c r="C4678" i="1"/>
  <c r="M4678" i="1"/>
  <c r="B4679" i="1"/>
  <c r="C4679" i="1"/>
  <c r="M4679" i="1"/>
  <c r="B4680" i="1"/>
  <c r="C4680" i="1"/>
  <c r="M4680" i="1"/>
  <c r="B4681" i="1"/>
  <c r="C4681" i="1"/>
  <c r="M4681" i="1"/>
  <c r="B4682" i="1"/>
  <c r="C4682" i="1"/>
  <c r="M4682" i="1"/>
  <c r="B4683" i="1"/>
  <c r="C4683" i="1"/>
  <c r="M4683" i="1"/>
  <c r="B4684" i="1"/>
  <c r="C4684" i="1"/>
  <c r="M4684" i="1"/>
  <c r="B4685" i="1"/>
  <c r="C4685" i="1"/>
  <c r="M4685" i="1"/>
  <c r="B4686" i="1"/>
  <c r="C4686" i="1"/>
  <c r="M4686" i="1"/>
  <c r="B4687" i="1"/>
  <c r="C4687" i="1"/>
  <c r="M4687" i="1"/>
  <c r="B4688" i="1"/>
  <c r="C4688" i="1"/>
  <c r="M4688" i="1"/>
  <c r="B4689" i="1"/>
  <c r="C4689" i="1"/>
  <c r="M4689" i="1"/>
  <c r="B4690" i="1"/>
  <c r="C4690" i="1"/>
  <c r="M4690" i="1"/>
  <c r="B4691" i="1"/>
  <c r="C4691" i="1"/>
  <c r="M4691" i="1"/>
  <c r="B4692" i="1"/>
  <c r="C4692" i="1"/>
  <c r="M4692" i="1"/>
  <c r="B4693" i="1"/>
  <c r="C4693" i="1"/>
  <c r="M4693" i="1"/>
  <c r="B4694" i="1"/>
  <c r="C4694" i="1"/>
  <c r="M4694" i="1"/>
  <c r="B4695" i="1"/>
  <c r="C4695" i="1"/>
  <c r="M4695" i="1"/>
  <c r="B4696" i="1"/>
  <c r="C4696" i="1"/>
  <c r="M4696" i="1"/>
  <c r="B4697" i="1"/>
  <c r="C4697" i="1"/>
  <c r="M4697" i="1"/>
  <c r="B4698" i="1"/>
  <c r="C4698" i="1"/>
  <c r="M4698" i="1"/>
  <c r="B4699" i="1"/>
  <c r="C4699" i="1"/>
  <c r="M4699" i="1"/>
  <c r="B4700" i="1"/>
  <c r="C4700" i="1"/>
  <c r="M4700" i="1"/>
  <c r="B4701" i="1"/>
  <c r="C4701" i="1"/>
  <c r="M4701" i="1"/>
  <c r="B4702" i="1"/>
  <c r="C4702" i="1"/>
  <c r="M4702" i="1"/>
  <c r="B4703" i="1"/>
  <c r="C4703" i="1"/>
  <c r="M4703" i="1"/>
  <c r="B4704" i="1"/>
  <c r="C4704" i="1"/>
  <c r="M4704" i="1"/>
  <c r="B4705" i="1"/>
  <c r="C4705" i="1"/>
  <c r="M4705" i="1"/>
  <c r="B4706" i="1"/>
  <c r="C4706" i="1"/>
  <c r="M4706" i="1"/>
  <c r="B4707" i="1"/>
  <c r="C4707" i="1"/>
  <c r="M4707" i="1"/>
  <c r="B4708" i="1"/>
  <c r="C4708" i="1"/>
  <c r="M4708" i="1"/>
  <c r="B4709" i="1"/>
  <c r="C4709" i="1"/>
  <c r="M4709" i="1"/>
  <c r="B4710" i="1"/>
  <c r="C4710" i="1"/>
  <c r="M4710" i="1"/>
  <c r="B4711" i="1"/>
  <c r="C4711" i="1"/>
  <c r="M4711" i="1"/>
  <c r="B4712" i="1"/>
  <c r="C4712" i="1"/>
  <c r="M4712" i="1"/>
  <c r="B4713" i="1"/>
  <c r="C4713" i="1"/>
  <c r="M4713" i="1"/>
  <c r="B4714" i="1"/>
  <c r="C4714" i="1"/>
  <c r="M4714" i="1"/>
  <c r="B4715" i="1"/>
  <c r="C4715" i="1"/>
  <c r="M4715" i="1"/>
  <c r="B4716" i="1"/>
  <c r="C4716" i="1"/>
  <c r="M4716" i="1"/>
  <c r="B4717" i="1"/>
  <c r="C4717" i="1"/>
  <c r="M4717" i="1"/>
  <c r="B4718" i="1"/>
  <c r="C4718" i="1"/>
  <c r="M4718" i="1"/>
  <c r="B4719" i="1"/>
  <c r="C4719" i="1"/>
  <c r="M4719" i="1"/>
  <c r="B4720" i="1"/>
  <c r="C4720" i="1"/>
  <c r="M4720" i="1"/>
  <c r="B4721" i="1"/>
  <c r="C4721" i="1"/>
  <c r="M4721" i="1"/>
  <c r="B4722" i="1"/>
  <c r="C4722" i="1"/>
  <c r="M4722" i="1"/>
  <c r="B4723" i="1"/>
  <c r="C4723" i="1"/>
  <c r="M4723" i="1"/>
  <c r="B4724" i="1"/>
  <c r="C4724" i="1"/>
  <c r="M4724" i="1"/>
  <c r="B4725" i="1"/>
  <c r="C4725" i="1"/>
  <c r="M4725" i="1"/>
  <c r="B4726" i="1"/>
  <c r="C4726" i="1"/>
  <c r="M4726" i="1"/>
  <c r="B4727" i="1"/>
  <c r="C4727" i="1"/>
  <c r="M4727" i="1"/>
  <c r="B4728" i="1"/>
  <c r="C4728" i="1"/>
  <c r="M4728" i="1"/>
  <c r="B4729" i="1"/>
  <c r="C4729" i="1"/>
  <c r="M4729" i="1"/>
  <c r="B4730" i="1"/>
  <c r="C4730" i="1"/>
  <c r="M4730" i="1"/>
  <c r="B4731" i="1"/>
  <c r="C4731" i="1"/>
  <c r="M4731" i="1"/>
  <c r="B4732" i="1"/>
  <c r="C4732" i="1"/>
  <c r="M4732" i="1"/>
  <c r="B4733" i="1"/>
  <c r="C4733" i="1"/>
  <c r="M4733" i="1"/>
  <c r="B4734" i="1"/>
  <c r="C4734" i="1"/>
  <c r="M4734" i="1"/>
  <c r="B4735" i="1"/>
  <c r="C4735" i="1"/>
  <c r="M4735" i="1"/>
  <c r="B4736" i="1"/>
  <c r="C4736" i="1"/>
  <c r="M4736" i="1"/>
  <c r="B4737" i="1"/>
  <c r="C4737" i="1"/>
  <c r="M4737" i="1"/>
  <c r="B4738" i="1"/>
  <c r="C4738" i="1"/>
  <c r="M4738" i="1"/>
  <c r="B4739" i="1"/>
  <c r="C4739" i="1"/>
  <c r="M4739" i="1"/>
  <c r="B4740" i="1"/>
  <c r="C4740" i="1"/>
  <c r="M4740" i="1"/>
  <c r="B4741" i="1"/>
  <c r="C4741" i="1"/>
  <c r="M4741" i="1"/>
  <c r="B4742" i="1"/>
  <c r="C4742" i="1"/>
  <c r="M4742" i="1"/>
  <c r="B4743" i="1"/>
  <c r="C4743" i="1"/>
  <c r="M4743" i="1"/>
  <c r="B4744" i="1"/>
  <c r="C4744" i="1"/>
  <c r="M4744" i="1"/>
  <c r="B4745" i="1"/>
  <c r="C4745" i="1"/>
  <c r="M4745" i="1"/>
  <c r="B4746" i="1"/>
  <c r="C4746" i="1"/>
  <c r="M4746" i="1"/>
  <c r="B4747" i="1"/>
  <c r="C4747" i="1"/>
  <c r="M4747" i="1"/>
  <c r="B4748" i="1"/>
  <c r="C4748" i="1"/>
  <c r="M4748" i="1"/>
  <c r="B4749" i="1"/>
  <c r="C4749" i="1"/>
  <c r="M4749" i="1"/>
  <c r="B4750" i="1"/>
  <c r="C4750" i="1"/>
  <c r="M4750" i="1"/>
  <c r="B4751" i="1"/>
  <c r="C4751" i="1"/>
  <c r="M4751" i="1"/>
  <c r="B4752" i="1"/>
  <c r="C4752" i="1"/>
  <c r="M4752" i="1"/>
  <c r="B4753" i="1"/>
  <c r="C4753" i="1"/>
  <c r="M4753" i="1"/>
  <c r="B4754" i="1"/>
  <c r="C4754" i="1"/>
  <c r="M4754" i="1"/>
  <c r="B4755" i="1"/>
  <c r="C4755" i="1"/>
  <c r="M4755" i="1"/>
  <c r="B4756" i="1"/>
  <c r="C4756" i="1"/>
  <c r="M4756" i="1"/>
  <c r="B4757" i="1"/>
  <c r="C4757" i="1"/>
  <c r="M4757" i="1"/>
  <c r="B4758" i="1"/>
  <c r="C4758" i="1"/>
  <c r="M4758" i="1"/>
  <c r="B4759" i="1"/>
  <c r="C4759" i="1"/>
  <c r="M4759" i="1"/>
  <c r="B4760" i="1"/>
  <c r="C4760" i="1"/>
  <c r="M4760" i="1"/>
  <c r="B4761" i="1"/>
  <c r="C4761" i="1"/>
  <c r="M4761" i="1"/>
  <c r="B4762" i="1"/>
  <c r="C4762" i="1"/>
  <c r="M4762" i="1"/>
  <c r="B4763" i="1"/>
  <c r="C4763" i="1"/>
  <c r="M4763" i="1"/>
  <c r="B4764" i="1"/>
  <c r="C4764" i="1"/>
  <c r="M4764" i="1"/>
  <c r="B4765" i="1"/>
  <c r="C4765" i="1"/>
  <c r="M4765" i="1"/>
  <c r="B4766" i="1"/>
  <c r="C4766" i="1"/>
  <c r="M4766" i="1"/>
  <c r="B4767" i="1"/>
  <c r="C4767" i="1"/>
  <c r="M4767" i="1"/>
  <c r="B4768" i="1"/>
  <c r="C4768" i="1"/>
  <c r="M4768" i="1"/>
  <c r="B4769" i="1"/>
  <c r="C4769" i="1"/>
  <c r="M4769" i="1"/>
  <c r="B4770" i="1"/>
  <c r="C4770" i="1"/>
  <c r="M4770" i="1"/>
  <c r="B4771" i="1"/>
  <c r="C4771" i="1"/>
  <c r="M4771" i="1"/>
  <c r="B4772" i="1"/>
  <c r="C4772" i="1"/>
  <c r="M4772" i="1"/>
  <c r="B4773" i="1"/>
  <c r="C4773" i="1"/>
  <c r="M4773" i="1"/>
  <c r="B4774" i="1"/>
  <c r="C4774" i="1"/>
  <c r="M4774" i="1"/>
  <c r="B4775" i="1"/>
  <c r="C4775" i="1"/>
  <c r="M4775" i="1"/>
  <c r="B4776" i="1"/>
  <c r="C4776" i="1"/>
  <c r="M4776" i="1"/>
  <c r="B4777" i="1"/>
  <c r="C4777" i="1"/>
  <c r="M4777" i="1"/>
  <c r="B4778" i="1"/>
  <c r="C4778" i="1"/>
  <c r="M4778" i="1"/>
  <c r="B4779" i="1"/>
  <c r="C4779" i="1"/>
  <c r="M4779" i="1"/>
  <c r="B4780" i="1"/>
  <c r="C4780" i="1"/>
  <c r="M4780" i="1"/>
  <c r="B4781" i="1"/>
  <c r="C4781" i="1"/>
  <c r="M4781" i="1"/>
  <c r="B4782" i="1"/>
  <c r="C4782" i="1"/>
  <c r="M4782" i="1"/>
  <c r="B4783" i="1"/>
  <c r="C4783" i="1"/>
  <c r="M4783" i="1"/>
  <c r="B4784" i="1"/>
  <c r="C4784" i="1"/>
  <c r="M4784" i="1"/>
  <c r="B4785" i="1"/>
  <c r="C4785" i="1"/>
  <c r="M4785" i="1"/>
  <c r="B4786" i="1"/>
  <c r="C4786" i="1"/>
  <c r="M4786" i="1"/>
  <c r="B4787" i="1"/>
  <c r="C4787" i="1"/>
  <c r="M4787" i="1"/>
  <c r="B4788" i="1"/>
  <c r="C4788" i="1"/>
  <c r="M4788" i="1"/>
  <c r="B4789" i="1"/>
  <c r="C4789" i="1"/>
  <c r="M4789" i="1"/>
  <c r="B4790" i="1"/>
  <c r="C4790" i="1"/>
  <c r="M4790" i="1"/>
  <c r="B4791" i="1"/>
  <c r="C4791" i="1"/>
  <c r="M4791" i="1"/>
  <c r="B4792" i="1"/>
  <c r="C4792" i="1"/>
  <c r="M4792" i="1"/>
  <c r="B4793" i="1"/>
  <c r="C4793" i="1"/>
  <c r="M4793" i="1"/>
  <c r="B4794" i="1"/>
  <c r="C4794" i="1"/>
  <c r="M4794" i="1"/>
  <c r="B4795" i="1"/>
  <c r="C4795" i="1"/>
  <c r="M4795" i="1"/>
  <c r="B4796" i="1"/>
  <c r="C4796" i="1"/>
  <c r="M4796" i="1"/>
  <c r="B4797" i="1"/>
  <c r="C4797" i="1"/>
  <c r="M4797" i="1"/>
  <c r="B4798" i="1"/>
  <c r="C4798" i="1"/>
  <c r="M4798" i="1"/>
  <c r="B4799" i="1"/>
  <c r="C4799" i="1"/>
  <c r="M4799" i="1"/>
  <c r="B4800" i="1"/>
  <c r="C4800" i="1"/>
  <c r="M4800" i="1"/>
  <c r="B4801" i="1"/>
  <c r="C4801" i="1"/>
  <c r="M4801" i="1"/>
  <c r="B4802" i="1"/>
  <c r="C4802" i="1"/>
  <c r="M4802" i="1"/>
  <c r="B4803" i="1"/>
  <c r="C4803" i="1"/>
  <c r="M4803" i="1"/>
  <c r="B4804" i="1"/>
  <c r="C4804" i="1"/>
  <c r="M4804" i="1"/>
  <c r="B4805" i="1"/>
  <c r="C4805" i="1"/>
  <c r="M4805" i="1"/>
  <c r="B4806" i="1"/>
  <c r="C4806" i="1"/>
  <c r="M4806" i="1"/>
  <c r="B4807" i="1"/>
  <c r="C4807" i="1"/>
  <c r="M4807" i="1"/>
  <c r="B4808" i="1"/>
  <c r="C4808" i="1"/>
  <c r="M4808" i="1"/>
  <c r="B4809" i="1"/>
  <c r="C4809" i="1"/>
  <c r="M4809" i="1"/>
  <c r="B4810" i="1"/>
  <c r="C4810" i="1"/>
  <c r="M4810" i="1"/>
  <c r="B4811" i="1"/>
  <c r="C4811" i="1"/>
  <c r="M4811" i="1"/>
  <c r="B4812" i="1"/>
  <c r="C4812" i="1"/>
  <c r="M4812" i="1"/>
  <c r="B4813" i="1"/>
  <c r="C4813" i="1"/>
  <c r="M4813" i="1"/>
  <c r="B4814" i="1"/>
  <c r="C4814" i="1"/>
  <c r="M4814" i="1"/>
  <c r="B4815" i="1"/>
  <c r="C4815" i="1"/>
  <c r="M4815" i="1"/>
  <c r="B4816" i="1"/>
  <c r="C4816" i="1"/>
  <c r="M4816" i="1"/>
  <c r="B4817" i="1"/>
  <c r="C4817" i="1"/>
  <c r="M4817" i="1"/>
  <c r="B4818" i="1"/>
  <c r="C4818" i="1"/>
  <c r="M4818" i="1"/>
  <c r="B4819" i="1"/>
  <c r="C4819" i="1"/>
  <c r="M4819" i="1"/>
  <c r="B4820" i="1"/>
  <c r="C4820" i="1"/>
  <c r="M4820" i="1"/>
  <c r="B4821" i="1"/>
  <c r="C4821" i="1"/>
  <c r="M4821" i="1"/>
  <c r="B4822" i="1"/>
  <c r="C4822" i="1"/>
  <c r="M4822" i="1"/>
  <c r="B4823" i="1"/>
  <c r="C4823" i="1"/>
  <c r="M4823" i="1"/>
  <c r="B4824" i="1"/>
  <c r="C4824" i="1"/>
  <c r="M4824" i="1"/>
  <c r="B4825" i="1"/>
  <c r="C4825" i="1"/>
  <c r="M4825" i="1"/>
  <c r="B4826" i="1"/>
  <c r="C4826" i="1"/>
  <c r="M4826" i="1"/>
  <c r="B4827" i="1"/>
  <c r="C4827" i="1"/>
  <c r="M4827" i="1"/>
  <c r="B4828" i="1"/>
  <c r="C4828" i="1"/>
  <c r="M4828" i="1"/>
  <c r="B4829" i="1"/>
  <c r="C4829" i="1"/>
  <c r="M4829" i="1"/>
  <c r="B4830" i="1"/>
  <c r="C4830" i="1"/>
  <c r="M4830" i="1"/>
  <c r="B4831" i="1"/>
  <c r="C4831" i="1"/>
  <c r="M4831" i="1"/>
  <c r="B4832" i="1"/>
  <c r="C4832" i="1"/>
  <c r="M4832" i="1"/>
  <c r="B4833" i="1"/>
  <c r="C4833" i="1"/>
  <c r="M4833" i="1"/>
  <c r="B4834" i="1"/>
  <c r="C4834" i="1"/>
  <c r="M4834" i="1"/>
  <c r="B4835" i="1"/>
  <c r="C4835" i="1"/>
  <c r="M4835" i="1"/>
  <c r="B4836" i="1"/>
  <c r="C4836" i="1"/>
  <c r="M4836" i="1"/>
  <c r="B4837" i="1"/>
  <c r="C4837" i="1"/>
  <c r="M4837" i="1"/>
  <c r="B4838" i="1"/>
  <c r="C4838" i="1"/>
  <c r="M4838" i="1"/>
  <c r="B4839" i="1"/>
  <c r="C4839" i="1"/>
  <c r="M4839" i="1"/>
  <c r="B4840" i="1"/>
  <c r="C4840" i="1"/>
  <c r="M4840" i="1"/>
  <c r="B4841" i="1"/>
  <c r="C4841" i="1"/>
  <c r="M4841" i="1"/>
  <c r="B4842" i="1"/>
  <c r="C4842" i="1"/>
  <c r="M4842" i="1"/>
  <c r="B4843" i="1"/>
  <c r="C4843" i="1"/>
  <c r="M4843" i="1"/>
  <c r="B4844" i="1"/>
  <c r="C4844" i="1"/>
  <c r="M4844" i="1"/>
  <c r="B4845" i="1"/>
  <c r="C4845" i="1"/>
  <c r="M4845" i="1"/>
  <c r="B4846" i="1"/>
  <c r="C4846" i="1"/>
  <c r="M4846" i="1"/>
  <c r="B4847" i="1"/>
  <c r="C4847" i="1"/>
  <c r="M4847" i="1"/>
  <c r="B4848" i="1"/>
  <c r="C4848" i="1"/>
  <c r="M4848" i="1"/>
  <c r="B4849" i="1"/>
  <c r="C4849" i="1"/>
  <c r="M4849" i="1"/>
  <c r="B4850" i="1"/>
  <c r="C4850" i="1"/>
  <c r="M4850" i="1"/>
  <c r="B4851" i="1"/>
  <c r="C4851" i="1"/>
  <c r="M4851" i="1"/>
  <c r="B4852" i="1"/>
  <c r="C4852" i="1"/>
  <c r="M4852" i="1"/>
  <c r="B4853" i="1"/>
  <c r="C4853" i="1"/>
  <c r="M4853" i="1"/>
  <c r="B4854" i="1"/>
  <c r="C4854" i="1"/>
  <c r="M4854" i="1"/>
  <c r="B4855" i="1"/>
  <c r="C4855" i="1"/>
  <c r="M4855" i="1"/>
  <c r="B4856" i="1"/>
  <c r="C4856" i="1"/>
  <c r="M4856" i="1"/>
  <c r="B4857" i="1"/>
  <c r="C4857" i="1"/>
  <c r="M4857" i="1"/>
  <c r="B4858" i="1"/>
  <c r="C4858" i="1"/>
  <c r="M4858" i="1"/>
  <c r="B4859" i="1"/>
  <c r="C4859" i="1"/>
  <c r="M4859" i="1"/>
  <c r="B4860" i="1"/>
  <c r="C4860" i="1"/>
  <c r="M4860" i="1"/>
  <c r="B4861" i="1"/>
  <c r="C4861" i="1"/>
  <c r="M4861" i="1"/>
  <c r="B4862" i="1"/>
  <c r="C4862" i="1"/>
  <c r="M4862" i="1"/>
  <c r="B4863" i="1"/>
  <c r="C4863" i="1"/>
  <c r="M4863" i="1"/>
  <c r="B4864" i="1"/>
  <c r="C4864" i="1"/>
  <c r="M4864" i="1"/>
  <c r="B4865" i="1"/>
  <c r="C4865" i="1"/>
  <c r="M4865" i="1"/>
  <c r="B4866" i="1"/>
  <c r="C4866" i="1"/>
  <c r="M4866" i="1"/>
  <c r="B4867" i="1"/>
  <c r="C4867" i="1"/>
  <c r="M4867" i="1"/>
  <c r="B4868" i="1"/>
  <c r="C4868" i="1"/>
  <c r="M4868" i="1"/>
  <c r="B4869" i="1"/>
  <c r="C4869" i="1"/>
  <c r="M4869" i="1"/>
  <c r="B4870" i="1"/>
  <c r="C4870" i="1"/>
  <c r="M4870" i="1"/>
  <c r="B4871" i="1"/>
  <c r="C4871" i="1"/>
  <c r="M4871" i="1"/>
  <c r="B4872" i="1"/>
  <c r="C4872" i="1"/>
  <c r="M4872" i="1"/>
  <c r="B4873" i="1"/>
  <c r="C4873" i="1"/>
  <c r="M4873" i="1"/>
  <c r="B4874" i="1"/>
  <c r="C4874" i="1"/>
  <c r="M4874" i="1"/>
  <c r="B4875" i="1"/>
  <c r="C4875" i="1"/>
  <c r="M4875" i="1"/>
  <c r="B4876" i="1"/>
  <c r="C4876" i="1"/>
  <c r="M4876" i="1"/>
  <c r="B4877" i="1"/>
  <c r="C4877" i="1"/>
  <c r="M4877" i="1"/>
  <c r="B4878" i="1"/>
  <c r="C4878" i="1"/>
  <c r="M4878" i="1"/>
  <c r="B4879" i="1"/>
  <c r="C4879" i="1"/>
  <c r="M4879" i="1"/>
  <c r="B4880" i="1"/>
  <c r="C4880" i="1"/>
  <c r="M4880" i="1"/>
  <c r="B4881" i="1"/>
  <c r="C4881" i="1"/>
  <c r="M4881" i="1"/>
  <c r="B4882" i="1"/>
  <c r="C4882" i="1"/>
  <c r="M4882" i="1"/>
  <c r="B4883" i="1"/>
  <c r="C4883" i="1"/>
  <c r="M4883" i="1"/>
  <c r="B4884" i="1"/>
  <c r="C4884" i="1"/>
  <c r="M4884" i="1"/>
  <c r="B4885" i="1"/>
  <c r="C4885" i="1"/>
  <c r="M4885" i="1"/>
  <c r="B4886" i="1"/>
  <c r="C4886" i="1"/>
  <c r="M4886" i="1"/>
  <c r="B4887" i="1"/>
  <c r="C4887" i="1"/>
  <c r="M4887" i="1"/>
  <c r="B4888" i="1"/>
  <c r="C4888" i="1"/>
  <c r="M4888" i="1"/>
  <c r="B4889" i="1"/>
  <c r="C4889" i="1"/>
  <c r="M4889" i="1"/>
  <c r="B4890" i="1"/>
  <c r="C4890" i="1"/>
  <c r="M4890" i="1"/>
  <c r="B4891" i="1"/>
  <c r="C4891" i="1"/>
  <c r="M4891" i="1"/>
  <c r="B4892" i="1"/>
  <c r="C4892" i="1"/>
  <c r="M4892" i="1"/>
  <c r="B4893" i="1"/>
  <c r="C4893" i="1"/>
  <c r="M4893" i="1"/>
  <c r="B4894" i="1"/>
  <c r="C4894" i="1"/>
  <c r="M4894" i="1"/>
  <c r="B4895" i="1"/>
  <c r="C4895" i="1"/>
  <c r="M4895" i="1"/>
  <c r="B4896" i="1"/>
  <c r="C4896" i="1"/>
  <c r="M4896" i="1"/>
  <c r="B4897" i="1"/>
  <c r="C4897" i="1"/>
  <c r="M4897" i="1"/>
  <c r="B4898" i="1"/>
  <c r="C4898" i="1"/>
  <c r="M4898" i="1"/>
  <c r="B4899" i="1"/>
  <c r="C4899" i="1"/>
  <c r="M4899" i="1"/>
  <c r="B4900" i="1"/>
  <c r="C4900" i="1"/>
  <c r="M4900" i="1"/>
  <c r="B4901" i="1"/>
  <c r="C4901" i="1"/>
  <c r="M4901" i="1"/>
  <c r="B4902" i="1"/>
  <c r="C4902" i="1"/>
  <c r="M4902" i="1"/>
  <c r="B4903" i="1"/>
  <c r="C4903" i="1"/>
  <c r="M4903" i="1"/>
  <c r="B4904" i="1"/>
  <c r="C4904" i="1"/>
  <c r="M4904" i="1"/>
  <c r="B4905" i="1"/>
  <c r="C4905" i="1"/>
  <c r="M4905" i="1"/>
  <c r="B4906" i="1"/>
  <c r="C4906" i="1"/>
  <c r="M4906" i="1"/>
  <c r="B4907" i="1"/>
  <c r="C4907" i="1"/>
  <c r="M4907" i="1"/>
  <c r="B4908" i="1"/>
  <c r="C4908" i="1"/>
  <c r="M4908" i="1"/>
  <c r="B4909" i="1"/>
  <c r="C4909" i="1"/>
  <c r="M4909" i="1"/>
  <c r="B4910" i="1"/>
  <c r="C4910" i="1"/>
  <c r="M4910" i="1"/>
  <c r="B4911" i="1"/>
  <c r="C4911" i="1"/>
  <c r="M4911" i="1"/>
  <c r="B4912" i="1"/>
  <c r="C4912" i="1"/>
  <c r="M4912" i="1"/>
  <c r="B4913" i="1"/>
  <c r="C4913" i="1"/>
  <c r="M4913" i="1"/>
  <c r="B4914" i="1"/>
  <c r="C4914" i="1"/>
  <c r="M4914" i="1"/>
  <c r="B4915" i="1"/>
  <c r="C4915" i="1"/>
  <c r="M4915" i="1"/>
  <c r="B4916" i="1"/>
  <c r="C4916" i="1"/>
  <c r="M4916" i="1"/>
  <c r="B4917" i="1"/>
  <c r="C4917" i="1"/>
  <c r="M4917" i="1"/>
  <c r="B4918" i="1"/>
  <c r="C4918" i="1"/>
  <c r="M4918" i="1"/>
  <c r="B4919" i="1"/>
  <c r="C4919" i="1"/>
  <c r="M4919" i="1"/>
  <c r="B4920" i="1"/>
  <c r="C4920" i="1"/>
  <c r="M4920" i="1"/>
  <c r="B4921" i="1"/>
  <c r="C4921" i="1"/>
  <c r="M4921" i="1"/>
  <c r="B4922" i="1"/>
  <c r="C4922" i="1"/>
  <c r="M4922" i="1"/>
  <c r="B4923" i="1"/>
  <c r="C4923" i="1"/>
  <c r="M4923" i="1"/>
  <c r="B4924" i="1"/>
  <c r="C4924" i="1"/>
  <c r="M4924" i="1"/>
  <c r="B4925" i="1"/>
  <c r="C4925" i="1"/>
  <c r="M4925" i="1"/>
  <c r="B4926" i="1"/>
  <c r="C4926" i="1"/>
  <c r="M4926" i="1"/>
  <c r="B4927" i="1"/>
  <c r="C4927" i="1"/>
  <c r="M4927" i="1"/>
  <c r="B4928" i="1"/>
  <c r="C4928" i="1"/>
  <c r="M4928" i="1"/>
  <c r="B4929" i="1"/>
  <c r="C4929" i="1"/>
  <c r="M4929" i="1"/>
  <c r="B4930" i="1"/>
  <c r="C4930" i="1"/>
  <c r="M4930" i="1"/>
  <c r="B4931" i="1"/>
  <c r="C4931" i="1"/>
  <c r="M4931" i="1"/>
  <c r="B4932" i="1"/>
  <c r="C4932" i="1"/>
  <c r="M4932" i="1"/>
  <c r="B4933" i="1"/>
  <c r="C4933" i="1"/>
  <c r="M4933" i="1"/>
  <c r="B4934" i="1"/>
  <c r="C4934" i="1"/>
  <c r="M4934" i="1"/>
  <c r="B4935" i="1"/>
  <c r="C4935" i="1"/>
  <c r="M4935" i="1"/>
  <c r="B4936" i="1"/>
  <c r="C4936" i="1"/>
  <c r="M4936" i="1"/>
  <c r="B4937" i="1"/>
  <c r="C4937" i="1"/>
  <c r="M4937" i="1"/>
  <c r="B4938" i="1"/>
  <c r="C4938" i="1"/>
  <c r="M4938" i="1"/>
  <c r="B4939" i="1"/>
  <c r="C4939" i="1"/>
  <c r="M4939" i="1"/>
  <c r="B4940" i="1"/>
  <c r="C4940" i="1"/>
  <c r="M4940" i="1"/>
  <c r="B4941" i="1"/>
  <c r="C4941" i="1"/>
  <c r="M4941" i="1"/>
  <c r="B4942" i="1"/>
  <c r="C4942" i="1"/>
  <c r="M4942" i="1"/>
  <c r="B4943" i="1"/>
  <c r="C4943" i="1"/>
  <c r="M4943" i="1"/>
  <c r="B4944" i="1"/>
  <c r="C4944" i="1"/>
  <c r="M4944" i="1"/>
  <c r="B4945" i="1"/>
  <c r="C4945" i="1"/>
  <c r="M4945" i="1"/>
  <c r="B4946" i="1"/>
  <c r="C4946" i="1"/>
  <c r="M4946" i="1"/>
  <c r="B4947" i="1"/>
  <c r="C4947" i="1"/>
  <c r="M4947" i="1"/>
  <c r="B4948" i="1"/>
  <c r="C4948" i="1"/>
  <c r="M4948" i="1"/>
  <c r="B4949" i="1"/>
  <c r="C4949" i="1"/>
  <c r="M4949" i="1"/>
  <c r="B4950" i="1"/>
  <c r="C4950" i="1"/>
  <c r="M4950" i="1"/>
  <c r="B4951" i="1"/>
  <c r="C4951" i="1"/>
  <c r="M4951" i="1"/>
  <c r="B4952" i="1"/>
  <c r="C4952" i="1"/>
  <c r="M4952" i="1"/>
  <c r="B4953" i="1"/>
  <c r="C4953" i="1"/>
  <c r="M4953" i="1"/>
  <c r="B4954" i="1"/>
  <c r="C4954" i="1"/>
  <c r="M4954" i="1"/>
  <c r="B4955" i="1"/>
  <c r="C4955" i="1"/>
  <c r="M4955" i="1"/>
  <c r="B4956" i="1"/>
  <c r="C4956" i="1"/>
  <c r="M4956" i="1"/>
  <c r="B4957" i="1"/>
  <c r="C4957" i="1"/>
  <c r="M4957" i="1"/>
  <c r="B4958" i="1"/>
  <c r="C4958" i="1"/>
  <c r="M4958" i="1"/>
  <c r="B4959" i="1"/>
  <c r="C4959" i="1"/>
  <c r="M4959" i="1"/>
  <c r="B4960" i="1"/>
  <c r="C4960" i="1"/>
  <c r="M4960" i="1"/>
  <c r="B4961" i="1"/>
  <c r="C4961" i="1"/>
  <c r="M4961" i="1"/>
  <c r="B4962" i="1"/>
  <c r="C4962" i="1"/>
  <c r="M4962" i="1"/>
  <c r="B4963" i="1"/>
  <c r="C4963" i="1"/>
  <c r="M4963" i="1"/>
  <c r="B4964" i="1"/>
  <c r="C4964" i="1"/>
  <c r="M4964" i="1"/>
  <c r="B4965" i="1"/>
  <c r="C4965" i="1"/>
  <c r="M4965" i="1"/>
  <c r="B4966" i="1"/>
  <c r="C4966" i="1"/>
  <c r="M4966" i="1"/>
  <c r="B4967" i="1"/>
  <c r="C4967" i="1"/>
  <c r="M4967" i="1"/>
  <c r="B4968" i="1"/>
  <c r="C4968" i="1"/>
  <c r="M4968" i="1"/>
  <c r="B4969" i="1"/>
  <c r="C4969" i="1"/>
  <c r="M4969" i="1"/>
  <c r="B4970" i="1"/>
  <c r="C4970" i="1"/>
  <c r="M4970" i="1"/>
  <c r="B4971" i="1"/>
  <c r="C4971" i="1"/>
  <c r="M4971" i="1"/>
  <c r="B4972" i="1"/>
  <c r="C4972" i="1"/>
  <c r="M4972" i="1"/>
  <c r="B4973" i="1"/>
  <c r="C4973" i="1"/>
  <c r="M4973" i="1"/>
  <c r="B4974" i="1"/>
  <c r="C4974" i="1"/>
  <c r="M4974" i="1"/>
  <c r="B4975" i="1"/>
  <c r="C4975" i="1"/>
  <c r="M4975" i="1"/>
  <c r="B4976" i="1"/>
  <c r="C4976" i="1"/>
  <c r="M4976" i="1"/>
  <c r="B4977" i="1"/>
  <c r="C4977" i="1"/>
  <c r="M4977" i="1"/>
  <c r="B4978" i="1"/>
  <c r="C4978" i="1"/>
  <c r="M4978" i="1"/>
  <c r="B4979" i="1"/>
  <c r="C4979" i="1"/>
  <c r="M4979" i="1"/>
  <c r="B4980" i="1"/>
  <c r="C4980" i="1"/>
  <c r="M4980" i="1"/>
  <c r="B4981" i="1"/>
  <c r="C4981" i="1"/>
  <c r="M4981" i="1"/>
  <c r="B4982" i="1"/>
  <c r="C4982" i="1"/>
  <c r="M4982" i="1"/>
  <c r="B4983" i="1"/>
  <c r="C4983" i="1"/>
  <c r="M4983" i="1"/>
  <c r="B4984" i="1"/>
  <c r="C4984" i="1"/>
  <c r="M4984" i="1"/>
  <c r="B4985" i="1"/>
  <c r="C4985" i="1"/>
  <c r="M4985" i="1"/>
  <c r="B4986" i="1"/>
  <c r="C4986" i="1"/>
  <c r="M4986" i="1"/>
  <c r="B4987" i="1"/>
  <c r="C4987" i="1"/>
  <c r="M4987" i="1"/>
  <c r="B4988" i="1"/>
  <c r="C4988" i="1"/>
  <c r="M4988" i="1"/>
  <c r="B4989" i="1"/>
  <c r="C4989" i="1"/>
  <c r="M4989" i="1"/>
  <c r="B4990" i="1"/>
  <c r="C4990" i="1"/>
  <c r="M4990" i="1"/>
  <c r="B4991" i="1"/>
  <c r="C4991" i="1"/>
  <c r="M4991" i="1"/>
  <c r="B4992" i="1"/>
  <c r="C4992" i="1"/>
  <c r="M4992" i="1"/>
  <c r="B4993" i="1"/>
  <c r="C4993" i="1"/>
  <c r="M4993" i="1"/>
  <c r="B4994" i="1"/>
  <c r="C4994" i="1"/>
  <c r="M4994" i="1"/>
  <c r="B4995" i="1"/>
  <c r="C4995" i="1"/>
  <c r="M4995" i="1"/>
  <c r="B4996" i="1"/>
  <c r="C4996" i="1"/>
  <c r="M4996" i="1"/>
  <c r="B4997" i="1"/>
  <c r="C4997" i="1"/>
  <c r="M4997" i="1"/>
  <c r="B4998" i="1"/>
  <c r="C4998" i="1"/>
  <c r="M4998" i="1"/>
  <c r="B4999" i="1"/>
  <c r="C4999" i="1"/>
  <c r="M4999" i="1"/>
  <c r="B5000" i="1"/>
  <c r="C5000" i="1"/>
  <c r="M5000" i="1"/>
  <c r="B5001" i="1"/>
  <c r="C5001" i="1"/>
  <c r="M5001" i="1"/>
  <c r="B5002" i="1"/>
  <c r="C5002" i="1"/>
  <c r="M5002" i="1"/>
  <c r="B5003" i="1"/>
  <c r="C5003" i="1"/>
  <c r="M5003" i="1"/>
  <c r="B5004" i="1"/>
  <c r="C5004" i="1"/>
  <c r="M5004" i="1"/>
  <c r="B5005" i="1"/>
  <c r="C5005" i="1"/>
  <c r="M5005" i="1"/>
  <c r="B5006" i="1"/>
  <c r="C5006" i="1"/>
  <c r="M5006" i="1"/>
  <c r="B5007" i="1"/>
  <c r="C5007" i="1"/>
  <c r="M5007" i="1"/>
  <c r="B5008" i="1"/>
  <c r="C5008" i="1"/>
  <c r="M5008" i="1"/>
  <c r="B5009" i="1"/>
  <c r="C5009" i="1"/>
  <c r="M5009" i="1"/>
  <c r="B5010" i="1"/>
  <c r="C5010" i="1"/>
  <c r="M5010" i="1"/>
  <c r="B5011" i="1"/>
  <c r="C5011" i="1"/>
  <c r="M5011" i="1"/>
  <c r="B5012" i="1"/>
  <c r="C5012" i="1"/>
  <c r="M5012" i="1"/>
  <c r="B5013" i="1"/>
  <c r="C5013" i="1"/>
  <c r="M5013" i="1"/>
  <c r="B5014" i="1"/>
  <c r="C5014" i="1"/>
  <c r="M5014" i="1"/>
  <c r="B5015" i="1"/>
  <c r="C5015" i="1"/>
  <c r="M5015" i="1"/>
  <c r="B5016" i="1"/>
  <c r="C5016" i="1"/>
  <c r="M5016" i="1"/>
  <c r="B5017" i="1"/>
  <c r="C5017" i="1"/>
  <c r="M5017" i="1"/>
  <c r="B5018" i="1"/>
  <c r="C5018" i="1"/>
  <c r="M5018" i="1"/>
  <c r="B5019" i="1"/>
  <c r="C5019" i="1"/>
  <c r="M5019" i="1"/>
  <c r="B5020" i="1"/>
  <c r="C5020" i="1"/>
  <c r="M5020" i="1"/>
  <c r="B5021" i="1"/>
  <c r="C5021" i="1"/>
  <c r="M5021" i="1"/>
  <c r="B5022" i="1"/>
  <c r="C5022" i="1"/>
  <c r="M5022" i="1"/>
  <c r="B5023" i="1"/>
  <c r="C5023" i="1"/>
  <c r="M5023" i="1"/>
  <c r="B5024" i="1"/>
  <c r="C5024" i="1"/>
  <c r="M5024" i="1"/>
  <c r="B5025" i="1"/>
  <c r="C5025" i="1"/>
  <c r="M5025" i="1"/>
  <c r="B5026" i="1"/>
  <c r="C5026" i="1"/>
  <c r="M5026" i="1"/>
  <c r="B5027" i="1"/>
  <c r="C5027" i="1"/>
  <c r="M5027" i="1"/>
  <c r="B5028" i="1"/>
  <c r="C5028" i="1"/>
  <c r="M5028" i="1"/>
  <c r="B5029" i="1"/>
  <c r="C5029" i="1"/>
  <c r="M5029" i="1"/>
  <c r="B5030" i="1"/>
  <c r="C5030" i="1"/>
  <c r="M5030" i="1"/>
  <c r="B5031" i="1"/>
  <c r="C5031" i="1"/>
  <c r="M5031" i="1"/>
  <c r="B5032" i="1"/>
  <c r="C5032" i="1"/>
  <c r="M5032" i="1"/>
  <c r="B5033" i="1"/>
  <c r="C5033" i="1"/>
  <c r="M5033" i="1"/>
  <c r="B5034" i="1"/>
  <c r="C5034" i="1"/>
  <c r="M5034" i="1"/>
  <c r="B5035" i="1"/>
  <c r="C5035" i="1"/>
  <c r="M5035" i="1"/>
  <c r="B5036" i="1"/>
  <c r="C5036" i="1"/>
  <c r="M5036" i="1"/>
  <c r="B5037" i="1"/>
  <c r="C5037" i="1"/>
  <c r="M5037" i="1"/>
  <c r="B5038" i="1"/>
  <c r="C5038" i="1"/>
  <c r="M5038" i="1"/>
  <c r="B5039" i="1"/>
  <c r="C5039" i="1"/>
  <c r="M5039" i="1"/>
  <c r="B5040" i="1"/>
  <c r="C5040" i="1"/>
  <c r="M5040" i="1"/>
  <c r="B5041" i="1"/>
  <c r="C5041" i="1"/>
  <c r="M5041" i="1"/>
  <c r="B5042" i="1"/>
  <c r="C5042" i="1"/>
  <c r="M5042" i="1"/>
  <c r="B5043" i="1"/>
  <c r="C5043" i="1"/>
  <c r="M5043" i="1"/>
  <c r="B5044" i="1"/>
  <c r="C5044" i="1"/>
  <c r="M5044" i="1"/>
  <c r="B5045" i="1"/>
  <c r="C5045" i="1"/>
  <c r="M5045" i="1"/>
  <c r="B5046" i="1"/>
  <c r="C5046" i="1"/>
  <c r="M5046" i="1"/>
  <c r="B5047" i="1"/>
  <c r="C5047" i="1"/>
  <c r="M5047" i="1"/>
  <c r="B5048" i="1"/>
  <c r="C5048" i="1"/>
  <c r="M5048" i="1"/>
  <c r="B5049" i="1"/>
  <c r="C5049" i="1"/>
  <c r="M5049" i="1"/>
  <c r="B5050" i="1"/>
  <c r="C5050" i="1"/>
  <c r="M5050" i="1"/>
  <c r="B5051" i="1"/>
  <c r="C5051" i="1"/>
  <c r="M5051" i="1"/>
  <c r="B5052" i="1"/>
  <c r="C5052" i="1"/>
  <c r="M5052" i="1"/>
  <c r="B5053" i="1"/>
  <c r="C5053" i="1"/>
  <c r="M5053" i="1"/>
  <c r="B5054" i="1"/>
  <c r="C5054" i="1"/>
  <c r="M5054" i="1"/>
  <c r="B5055" i="1"/>
  <c r="C5055" i="1"/>
  <c r="M5055" i="1"/>
  <c r="B5056" i="1"/>
  <c r="C5056" i="1"/>
  <c r="M5056" i="1"/>
  <c r="B5057" i="1"/>
  <c r="C5057" i="1"/>
  <c r="M5057" i="1"/>
  <c r="B5058" i="1"/>
  <c r="C5058" i="1"/>
  <c r="M5058" i="1"/>
  <c r="B5059" i="1"/>
  <c r="C5059" i="1"/>
  <c r="M5059" i="1"/>
  <c r="B5060" i="1"/>
  <c r="C5060" i="1"/>
  <c r="M5060" i="1"/>
  <c r="B5061" i="1"/>
  <c r="C5061" i="1"/>
  <c r="M5061" i="1"/>
  <c r="B5062" i="1"/>
  <c r="C5062" i="1"/>
  <c r="M5062" i="1"/>
  <c r="B5063" i="1"/>
  <c r="C5063" i="1"/>
  <c r="M5063" i="1"/>
  <c r="B5064" i="1"/>
  <c r="C5064" i="1"/>
  <c r="M5064" i="1"/>
  <c r="B5065" i="1"/>
  <c r="C5065" i="1"/>
  <c r="M5065" i="1"/>
  <c r="B5066" i="1"/>
  <c r="C5066" i="1"/>
  <c r="M5066" i="1"/>
  <c r="B5067" i="1"/>
  <c r="C5067" i="1"/>
  <c r="M5067" i="1"/>
  <c r="B5068" i="1"/>
  <c r="C5068" i="1"/>
  <c r="M5068" i="1"/>
  <c r="B5069" i="1"/>
  <c r="C5069" i="1"/>
  <c r="M5069" i="1"/>
  <c r="B5070" i="1"/>
  <c r="C5070" i="1"/>
  <c r="M5070" i="1"/>
  <c r="B5071" i="1"/>
  <c r="C5071" i="1"/>
  <c r="M5071" i="1"/>
  <c r="B5072" i="1"/>
  <c r="C5072" i="1"/>
  <c r="M5072" i="1"/>
  <c r="B5073" i="1"/>
  <c r="C5073" i="1"/>
  <c r="M5073" i="1"/>
  <c r="B5074" i="1"/>
  <c r="C5074" i="1"/>
  <c r="M5074" i="1"/>
  <c r="B5075" i="1"/>
  <c r="C5075" i="1"/>
  <c r="M5075" i="1"/>
  <c r="B5076" i="1"/>
  <c r="C5076" i="1"/>
  <c r="M5076" i="1"/>
  <c r="B5077" i="1"/>
  <c r="C5077" i="1"/>
  <c r="M5077" i="1"/>
  <c r="B5078" i="1"/>
  <c r="C5078" i="1"/>
  <c r="M5078" i="1"/>
  <c r="B5079" i="1"/>
  <c r="C5079" i="1"/>
  <c r="M5079" i="1"/>
  <c r="B5080" i="1"/>
  <c r="C5080" i="1"/>
  <c r="M5080" i="1"/>
  <c r="B5081" i="1"/>
  <c r="C5081" i="1"/>
  <c r="M5081" i="1"/>
  <c r="B5082" i="1"/>
  <c r="C5082" i="1"/>
  <c r="M5082" i="1"/>
  <c r="B5083" i="1"/>
  <c r="C5083" i="1"/>
  <c r="M5083" i="1"/>
  <c r="B5084" i="1"/>
  <c r="C5084" i="1"/>
  <c r="M5084" i="1"/>
  <c r="B5085" i="1"/>
  <c r="C5085" i="1"/>
  <c r="M5085" i="1"/>
  <c r="B5086" i="1"/>
  <c r="C5086" i="1"/>
  <c r="M5086" i="1"/>
  <c r="B5087" i="1"/>
  <c r="C5087" i="1"/>
  <c r="M5087" i="1"/>
  <c r="B5088" i="1"/>
  <c r="C5088" i="1"/>
  <c r="M5088" i="1"/>
  <c r="B5089" i="1"/>
  <c r="C5089" i="1"/>
  <c r="M5089" i="1"/>
  <c r="B5090" i="1"/>
  <c r="C5090" i="1"/>
  <c r="M5090" i="1"/>
  <c r="B5091" i="1"/>
  <c r="C5091" i="1"/>
  <c r="M5091" i="1"/>
  <c r="B5092" i="1"/>
  <c r="C5092" i="1"/>
  <c r="M5092" i="1"/>
  <c r="B5093" i="1"/>
  <c r="C5093" i="1"/>
  <c r="M5093" i="1"/>
  <c r="B5094" i="1"/>
  <c r="C5094" i="1"/>
  <c r="M5094" i="1"/>
  <c r="B5095" i="1"/>
  <c r="C5095" i="1"/>
  <c r="M5095" i="1"/>
  <c r="B5096" i="1"/>
  <c r="C5096" i="1"/>
  <c r="M5096" i="1"/>
  <c r="B5097" i="1"/>
  <c r="C5097" i="1"/>
  <c r="M5097" i="1"/>
  <c r="B5098" i="1"/>
  <c r="C5098" i="1"/>
  <c r="M5098" i="1"/>
  <c r="B5099" i="1"/>
  <c r="C5099" i="1"/>
  <c r="M5099" i="1"/>
  <c r="B5100" i="1"/>
  <c r="C5100" i="1"/>
  <c r="M5100" i="1"/>
  <c r="B5101" i="1"/>
  <c r="C5101" i="1"/>
  <c r="M5101" i="1"/>
  <c r="B5102" i="1"/>
  <c r="C5102" i="1"/>
  <c r="M5102" i="1"/>
  <c r="B5103" i="1"/>
  <c r="C5103" i="1"/>
  <c r="M5103" i="1"/>
  <c r="B5104" i="1"/>
  <c r="C5104" i="1"/>
  <c r="M5104" i="1"/>
  <c r="B5105" i="1"/>
  <c r="C5105" i="1"/>
  <c r="M5105" i="1"/>
  <c r="B5106" i="1"/>
  <c r="C5106" i="1"/>
  <c r="M5106" i="1"/>
  <c r="B5107" i="1"/>
  <c r="C5107" i="1"/>
  <c r="M5107" i="1"/>
  <c r="B5108" i="1"/>
  <c r="C5108" i="1"/>
  <c r="M5108" i="1"/>
  <c r="B5109" i="1"/>
  <c r="C5109" i="1"/>
  <c r="M5109" i="1"/>
  <c r="B5110" i="1"/>
  <c r="C5110" i="1"/>
  <c r="M5110" i="1"/>
  <c r="B5111" i="1"/>
  <c r="C5111" i="1"/>
  <c r="M5111" i="1"/>
  <c r="B5112" i="1"/>
  <c r="C5112" i="1"/>
  <c r="M5112" i="1"/>
  <c r="B5113" i="1"/>
  <c r="C5113" i="1"/>
  <c r="M5113" i="1"/>
  <c r="B5114" i="1"/>
  <c r="C5114" i="1"/>
  <c r="M5114" i="1"/>
  <c r="B5115" i="1"/>
  <c r="C5115" i="1"/>
  <c r="M5115" i="1"/>
  <c r="B5116" i="1"/>
  <c r="C5116" i="1"/>
  <c r="M5116" i="1"/>
  <c r="B5117" i="1"/>
  <c r="C5117" i="1"/>
  <c r="M5117" i="1"/>
  <c r="B5118" i="1"/>
  <c r="C5118" i="1"/>
  <c r="M5118" i="1"/>
  <c r="B5119" i="1"/>
  <c r="C5119" i="1"/>
  <c r="M5119" i="1"/>
  <c r="B5120" i="1"/>
  <c r="C5120" i="1"/>
  <c r="M5120" i="1"/>
  <c r="B5121" i="1"/>
  <c r="C5121" i="1"/>
  <c r="M5121" i="1"/>
  <c r="B5122" i="1"/>
  <c r="C5122" i="1"/>
  <c r="M5122" i="1"/>
  <c r="B5123" i="1"/>
  <c r="C5123" i="1"/>
  <c r="M5123" i="1"/>
  <c r="B5124" i="1"/>
  <c r="C5124" i="1"/>
  <c r="M5124" i="1"/>
  <c r="B5125" i="1"/>
  <c r="C5125" i="1"/>
  <c r="M5125" i="1"/>
  <c r="B5126" i="1"/>
  <c r="C5126" i="1"/>
  <c r="M5126" i="1"/>
  <c r="B5127" i="1"/>
  <c r="C5127" i="1"/>
  <c r="M5127" i="1"/>
  <c r="B5128" i="1"/>
  <c r="C5128" i="1"/>
  <c r="M5128" i="1"/>
  <c r="B5129" i="1"/>
  <c r="C5129" i="1"/>
  <c r="M5129" i="1"/>
  <c r="B5130" i="1"/>
  <c r="C5130" i="1"/>
  <c r="M5130" i="1"/>
  <c r="B5131" i="1"/>
  <c r="C5131" i="1"/>
  <c r="M5131" i="1"/>
  <c r="B5132" i="1"/>
  <c r="C5132" i="1"/>
  <c r="M5132" i="1"/>
  <c r="B5133" i="1"/>
  <c r="C5133" i="1"/>
  <c r="M5133" i="1"/>
  <c r="B5134" i="1"/>
  <c r="C5134" i="1"/>
  <c r="M5134" i="1"/>
  <c r="B5135" i="1"/>
  <c r="C5135" i="1"/>
  <c r="M5135" i="1"/>
  <c r="B5136" i="1"/>
  <c r="C5136" i="1"/>
  <c r="M5136" i="1"/>
  <c r="B5137" i="1"/>
  <c r="C5137" i="1"/>
  <c r="M5137" i="1"/>
  <c r="B5138" i="1"/>
  <c r="C5138" i="1"/>
  <c r="M5138" i="1"/>
  <c r="B5139" i="1"/>
  <c r="C5139" i="1"/>
  <c r="M5139" i="1"/>
  <c r="B5140" i="1"/>
  <c r="C5140" i="1"/>
  <c r="M5140" i="1"/>
  <c r="B5141" i="1"/>
  <c r="C5141" i="1"/>
  <c r="M5141" i="1"/>
  <c r="B5142" i="1"/>
  <c r="C5142" i="1"/>
  <c r="M5142" i="1"/>
  <c r="B5143" i="1"/>
  <c r="C5143" i="1"/>
  <c r="M5143" i="1"/>
  <c r="B5144" i="1"/>
  <c r="C5144" i="1"/>
  <c r="M5144" i="1"/>
  <c r="B5145" i="1"/>
  <c r="C5145" i="1"/>
  <c r="M5145" i="1"/>
  <c r="B5146" i="1"/>
  <c r="C5146" i="1"/>
  <c r="M5146" i="1"/>
  <c r="B5147" i="1"/>
  <c r="C5147" i="1"/>
  <c r="M5147" i="1"/>
  <c r="B5148" i="1"/>
  <c r="C5148" i="1"/>
  <c r="M5148" i="1"/>
  <c r="B5149" i="1"/>
  <c r="C5149" i="1"/>
  <c r="M5149" i="1"/>
  <c r="B5150" i="1"/>
  <c r="C5150" i="1"/>
  <c r="M5150" i="1"/>
  <c r="B5151" i="1"/>
  <c r="C5151" i="1"/>
  <c r="M5151" i="1"/>
  <c r="B5152" i="1"/>
  <c r="C5152" i="1"/>
  <c r="M5152" i="1"/>
  <c r="B5153" i="1"/>
  <c r="C5153" i="1"/>
  <c r="M5153" i="1"/>
  <c r="B5154" i="1"/>
  <c r="C5154" i="1"/>
  <c r="M5154" i="1"/>
  <c r="B5155" i="1"/>
  <c r="C5155" i="1"/>
  <c r="M5155" i="1"/>
  <c r="B5156" i="1"/>
  <c r="C5156" i="1"/>
  <c r="M5156" i="1"/>
  <c r="B5157" i="1"/>
  <c r="C5157" i="1"/>
  <c r="M5157" i="1"/>
  <c r="B5158" i="1"/>
  <c r="C5158" i="1"/>
  <c r="M5158" i="1"/>
  <c r="B5159" i="1"/>
  <c r="C5159" i="1"/>
  <c r="M5159" i="1"/>
  <c r="B5160" i="1"/>
  <c r="C5160" i="1"/>
  <c r="M5160" i="1"/>
  <c r="B5161" i="1"/>
  <c r="C5161" i="1"/>
  <c r="M5161" i="1"/>
  <c r="B5162" i="1"/>
  <c r="C5162" i="1"/>
  <c r="M5162" i="1"/>
  <c r="B5163" i="1"/>
  <c r="C5163" i="1"/>
  <c r="M5163" i="1"/>
  <c r="B5164" i="1"/>
  <c r="C5164" i="1"/>
  <c r="M5164" i="1"/>
  <c r="B5165" i="1"/>
  <c r="C5165" i="1"/>
  <c r="M5165" i="1"/>
  <c r="B5166" i="1"/>
  <c r="C5166" i="1"/>
  <c r="M5166" i="1"/>
  <c r="B5167" i="1"/>
  <c r="C5167" i="1"/>
  <c r="M5167" i="1"/>
  <c r="B5168" i="1"/>
  <c r="C5168" i="1"/>
  <c r="M5168" i="1"/>
  <c r="B5169" i="1"/>
  <c r="C5169" i="1"/>
  <c r="M5169" i="1"/>
  <c r="B5170" i="1"/>
  <c r="C5170" i="1"/>
  <c r="M5170" i="1"/>
  <c r="B5171" i="1"/>
  <c r="C5171" i="1"/>
  <c r="M5171" i="1"/>
  <c r="B5172" i="1"/>
  <c r="C5172" i="1"/>
  <c r="M5172" i="1"/>
  <c r="B5173" i="1"/>
  <c r="C5173" i="1"/>
  <c r="M5173" i="1"/>
  <c r="B5174" i="1"/>
  <c r="C5174" i="1"/>
  <c r="M5174" i="1"/>
  <c r="B5175" i="1"/>
  <c r="C5175" i="1"/>
  <c r="M5175" i="1"/>
  <c r="B5176" i="1"/>
  <c r="C5176" i="1"/>
  <c r="M5176" i="1"/>
  <c r="B5177" i="1"/>
  <c r="C5177" i="1"/>
  <c r="M5177" i="1"/>
  <c r="B5178" i="1"/>
  <c r="C5178" i="1"/>
  <c r="M5178" i="1"/>
  <c r="B5179" i="1"/>
  <c r="C5179" i="1"/>
  <c r="M5179" i="1"/>
  <c r="B5180" i="1"/>
  <c r="C5180" i="1"/>
  <c r="M5180" i="1"/>
  <c r="B5181" i="1"/>
  <c r="C5181" i="1"/>
  <c r="M5181" i="1"/>
  <c r="B5182" i="1"/>
  <c r="C5182" i="1"/>
  <c r="M5182" i="1"/>
  <c r="B5183" i="1"/>
  <c r="C5183" i="1"/>
  <c r="M5183" i="1"/>
  <c r="B5184" i="1"/>
  <c r="C5184" i="1"/>
  <c r="M5184" i="1"/>
  <c r="B5185" i="1"/>
  <c r="C5185" i="1"/>
  <c r="M5185" i="1"/>
  <c r="B5186" i="1"/>
  <c r="C5186" i="1"/>
  <c r="M5186" i="1"/>
  <c r="B5187" i="1"/>
  <c r="C5187" i="1"/>
  <c r="M5187" i="1"/>
  <c r="B5188" i="1"/>
  <c r="C5188" i="1"/>
  <c r="M5188" i="1"/>
  <c r="B5189" i="1"/>
  <c r="C5189" i="1"/>
  <c r="M5189" i="1"/>
  <c r="B5190" i="1"/>
  <c r="C5190" i="1"/>
  <c r="M5190" i="1"/>
  <c r="B5191" i="1"/>
  <c r="C5191" i="1"/>
  <c r="M5191" i="1"/>
  <c r="B5192" i="1"/>
  <c r="C5192" i="1"/>
  <c r="M5192" i="1"/>
  <c r="B5193" i="1"/>
  <c r="C5193" i="1"/>
  <c r="M5193" i="1"/>
  <c r="B5194" i="1"/>
  <c r="C5194" i="1"/>
  <c r="M5194" i="1"/>
  <c r="B5195" i="1"/>
  <c r="C5195" i="1"/>
  <c r="M5195" i="1"/>
  <c r="B5196" i="1"/>
  <c r="C5196" i="1"/>
  <c r="M5196" i="1"/>
  <c r="B5197" i="1"/>
  <c r="C5197" i="1"/>
  <c r="M5197" i="1"/>
  <c r="B5198" i="1"/>
  <c r="C5198" i="1"/>
  <c r="M5198" i="1"/>
  <c r="B5199" i="1"/>
  <c r="C5199" i="1"/>
  <c r="M5199" i="1"/>
  <c r="B5200" i="1"/>
  <c r="C5200" i="1"/>
  <c r="M5200" i="1"/>
  <c r="B5201" i="1"/>
  <c r="C5201" i="1"/>
  <c r="M5201" i="1"/>
  <c r="B5202" i="1"/>
  <c r="C5202" i="1"/>
  <c r="M5202" i="1"/>
  <c r="B5203" i="1"/>
  <c r="C5203" i="1"/>
  <c r="M5203" i="1"/>
  <c r="B5204" i="1"/>
  <c r="C5204" i="1"/>
  <c r="M5204" i="1"/>
  <c r="B5205" i="1"/>
  <c r="C5205" i="1"/>
  <c r="M5205" i="1"/>
  <c r="B5206" i="1"/>
  <c r="C5206" i="1"/>
  <c r="M5206" i="1"/>
  <c r="B5207" i="1"/>
  <c r="C5207" i="1"/>
  <c r="M5207" i="1"/>
  <c r="B5208" i="1"/>
  <c r="C5208" i="1"/>
  <c r="M5208" i="1"/>
  <c r="B5209" i="1"/>
  <c r="C5209" i="1"/>
  <c r="M5209" i="1"/>
  <c r="B5210" i="1"/>
  <c r="C5210" i="1"/>
  <c r="M5210" i="1"/>
  <c r="B5211" i="1"/>
  <c r="C5211" i="1"/>
  <c r="M5211" i="1"/>
  <c r="B5212" i="1"/>
  <c r="C5212" i="1"/>
  <c r="M5212" i="1"/>
  <c r="B5213" i="1"/>
  <c r="C5213" i="1"/>
  <c r="M5213" i="1"/>
  <c r="B5214" i="1"/>
  <c r="C5214" i="1"/>
  <c r="M5214" i="1"/>
  <c r="B5215" i="1"/>
  <c r="C5215" i="1"/>
  <c r="M5215" i="1"/>
  <c r="B5216" i="1"/>
  <c r="C5216" i="1"/>
  <c r="M5216" i="1"/>
  <c r="B5217" i="1"/>
  <c r="C5217" i="1"/>
  <c r="M5217" i="1"/>
  <c r="B5218" i="1"/>
  <c r="C5218" i="1"/>
  <c r="M5218" i="1"/>
  <c r="B5219" i="1"/>
  <c r="C5219" i="1"/>
  <c r="M5219" i="1"/>
  <c r="B5220" i="1"/>
  <c r="C5220" i="1"/>
  <c r="M5220" i="1"/>
  <c r="B5221" i="1"/>
  <c r="C5221" i="1"/>
  <c r="M5221" i="1"/>
  <c r="B5222" i="1"/>
  <c r="C5222" i="1"/>
  <c r="M5222" i="1"/>
  <c r="B5223" i="1"/>
  <c r="C5223" i="1"/>
  <c r="M5223" i="1"/>
  <c r="B5224" i="1"/>
  <c r="C5224" i="1"/>
  <c r="M5224" i="1"/>
  <c r="B5225" i="1"/>
  <c r="C5225" i="1"/>
  <c r="M5225" i="1"/>
  <c r="B5226" i="1"/>
  <c r="C5226" i="1"/>
  <c r="M5226" i="1"/>
  <c r="B5227" i="1"/>
  <c r="C5227" i="1"/>
  <c r="M5227" i="1"/>
  <c r="B5228" i="1"/>
  <c r="C5228" i="1"/>
  <c r="M5228" i="1"/>
  <c r="B5229" i="1"/>
  <c r="C5229" i="1"/>
  <c r="M5229" i="1"/>
  <c r="B5230" i="1"/>
  <c r="C5230" i="1"/>
  <c r="M5230" i="1"/>
  <c r="B5231" i="1"/>
  <c r="C5231" i="1"/>
  <c r="M5231" i="1"/>
  <c r="B5232" i="1"/>
  <c r="C5232" i="1"/>
  <c r="M5232" i="1"/>
  <c r="B5233" i="1"/>
  <c r="C5233" i="1"/>
  <c r="M5233" i="1"/>
  <c r="B5234" i="1"/>
  <c r="C5234" i="1"/>
  <c r="M5234" i="1"/>
  <c r="B5235" i="1"/>
  <c r="C5235" i="1"/>
  <c r="M5235" i="1"/>
  <c r="B5236" i="1"/>
  <c r="C5236" i="1"/>
  <c r="M5236" i="1"/>
  <c r="B5237" i="1"/>
  <c r="C5237" i="1"/>
  <c r="M5237" i="1"/>
  <c r="B5238" i="1"/>
  <c r="C5238" i="1"/>
  <c r="M5238" i="1"/>
  <c r="B5239" i="1"/>
  <c r="C5239" i="1"/>
  <c r="M5239" i="1"/>
  <c r="B5240" i="1"/>
  <c r="C5240" i="1"/>
  <c r="M5240" i="1"/>
  <c r="B5241" i="1"/>
  <c r="C5241" i="1"/>
  <c r="M5241" i="1"/>
  <c r="B5242" i="1"/>
  <c r="C5242" i="1"/>
  <c r="M5242" i="1"/>
  <c r="B5243" i="1"/>
  <c r="C5243" i="1"/>
  <c r="M5243" i="1"/>
  <c r="B5244" i="1"/>
  <c r="C5244" i="1"/>
  <c r="M5244" i="1"/>
  <c r="B5245" i="1"/>
  <c r="C5245" i="1"/>
  <c r="M5245" i="1"/>
  <c r="B5246" i="1"/>
  <c r="C5246" i="1"/>
  <c r="M5246" i="1"/>
  <c r="B5247" i="1"/>
  <c r="C5247" i="1"/>
  <c r="M5247" i="1"/>
  <c r="B5248" i="1"/>
  <c r="C5248" i="1"/>
  <c r="M5248" i="1"/>
  <c r="B5249" i="1"/>
  <c r="C5249" i="1"/>
  <c r="M5249" i="1"/>
  <c r="B5250" i="1"/>
  <c r="C5250" i="1"/>
  <c r="M5250" i="1"/>
  <c r="B5251" i="1"/>
  <c r="C5251" i="1"/>
  <c r="M5251" i="1"/>
  <c r="B5252" i="1"/>
  <c r="C5252" i="1"/>
  <c r="M5252" i="1"/>
  <c r="B5253" i="1"/>
  <c r="C5253" i="1"/>
  <c r="M5253" i="1"/>
  <c r="B5254" i="1"/>
  <c r="C5254" i="1"/>
  <c r="M5254" i="1"/>
  <c r="B5255" i="1"/>
  <c r="C5255" i="1"/>
  <c r="M5255" i="1"/>
  <c r="B5256" i="1"/>
  <c r="C5256" i="1"/>
  <c r="M5256" i="1"/>
  <c r="B5257" i="1"/>
  <c r="C5257" i="1"/>
  <c r="M5257" i="1"/>
  <c r="B5258" i="1"/>
  <c r="C5258" i="1"/>
  <c r="M5258" i="1"/>
  <c r="B5259" i="1"/>
  <c r="C5259" i="1"/>
  <c r="M5259" i="1"/>
  <c r="B5260" i="1"/>
  <c r="C5260" i="1"/>
  <c r="M5260" i="1"/>
  <c r="B5261" i="1"/>
  <c r="C5261" i="1"/>
  <c r="M5261" i="1"/>
  <c r="B5262" i="1"/>
  <c r="C5262" i="1"/>
  <c r="M5262" i="1"/>
  <c r="B5263" i="1"/>
  <c r="C5263" i="1"/>
  <c r="M5263" i="1"/>
  <c r="B5264" i="1"/>
  <c r="C5264" i="1"/>
  <c r="M5264" i="1"/>
  <c r="B5265" i="1"/>
  <c r="C5265" i="1"/>
  <c r="M5265" i="1"/>
  <c r="B5266" i="1"/>
  <c r="C5266" i="1"/>
  <c r="M5266" i="1"/>
  <c r="B5267" i="1"/>
  <c r="C5267" i="1"/>
  <c r="M5267" i="1"/>
  <c r="B5268" i="1"/>
  <c r="C5268" i="1"/>
  <c r="M5268" i="1"/>
  <c r="B5269" i="1"/>
  <c r="C5269" i="1"/>
  <c r="M5269" i="1"/>
  <c r="B5270" i="1"/>
  <c r="C5270" i="1"/>
  <c r="M5270" i="1"/>
  <c r="B5271" i="1"/>
  <c r="C5271" i="1"/>
  <c r="M5271" i="1"/>
  <c r="B5272" i="1"/>
  <c r="C5272" i="1"/>
  <c r="M5272" i="1"/>
  <c r="B5273" i="1"/>
  <c r="C5273" i="1"/>
  <c r="M5273" i="1"/>
  <c r="B5274" i="1"/>
  <c r="C5274" i="1"/>
  <c r="M5274" i="1"/>
  <c r="B5275" i="1"/>
  <c r="C5275" i="1"/>
  <c r="M5275" i="1"/>
  <c r="B5276" i="1"/>
  <c r="C5276" i="1"/>
  <c r="M5276" i="1"/>
  <c r="B5277" i="1"/>
  <c r="C5277" i="1"/>
  <c r="M5277" i="1"/>
  <c r="B5278" i="1"/>
  <c r="C5278" i="1"/>
  <c r="M5278" i="1"/>
  <c r="B5279" i="1"/>
  <c r="C5279" i="1"/>
  <c r="M5279" i="1"/>
  <c r="B5280" i="1"/>
  <c r="C5280" i="1"/>
  <c r="M5280" i="1"/>
  <c r="B5281" i="1"/>
  <c r="C5281" i="1"/>
  <c r="M5281" i="1"/>
  <c r="B5282" i="1"/>
  <c r="C5282" i="1"/>
  <c r="M5282" i="1"/>
  <c r="B5283" i="1"/>
  <c r="C5283" i="1"/>
  <c r="M5283" i="1"/>
  <c r="B5284" i="1"/>
  <c r="C5284" i="1"/>
  <c r="M5284" i="1"/>
  <c r="B5285" i="1"/>
  <c r="C5285" i="1"/>
  <c r="M5285" i="1"/>
  <c r="B5286" i="1"/>
  <c r="C5286" i="1"/>
  <c r="M5286" i="1"/>
  <c r="B5287" i="1"/>
  <c r="C5287" i="1"/>
  <c r="M5287" i="1"/>
  <c r="B5288" i="1"/>
  <c r="C5288" i="1"/>
  <c r="M5288" i="1"/>
  <c r="B5289" i="1"/>
  <c r="C5289" i="1"/>
  <c r="M5289" i="1"/>
  <c r="B5290" i="1"/>
  <c r="C5290" i="1"/>
  <c r="M5290" i="1"/>
  <c r="B5291" i="1"/>
  <c r="C5291" i="1"/>
  <c r="M5291" i="1"/>
  <c r="B5292" i="1"/>
  <c r="C5292" i="1"/>
  <c r="M5292" i="1"/>
  <c r="B5293" i="1"/>
  <c r="C5293" i="1"/>
  <c r="M5293" i="1"/>
  <c r="B5294" i="1"/>
  <c r="C5294" i="1"/>
  <c r="M5294" i="1"/>
  <c r="B5295" i="1"/>
  <c r="C5295" i="1"/>
  <c r="M5295" i="1"/>
  <c r="B5296" i="1"/>
  <c r="C5296" i="1"/>
  <c r="M5296" i="1"/>
  <c r="B5297" i="1"/>
  <c r="C5297" i="1"/>
  <c r="M5297" i="1"/>
  <c r="B5298" i="1"/>
  <c r="C5298" i="1"/>
  <c r="M5298" i="1"/>
  <c r="B5299" i="1"/>
  <c r="C5299" i="1"/>
  <c r="M5299" i="1"/>
  <c r="B5300" i="1"/>
  <c r="C5300" i="1"/>
  <c r="M5300" i="1"/>
  <c r="B5301" i="1"/>
  <c r="C5301" i="1"/>
  <c r="M5301" i="1"/>
  <c r="B5302" i="1"/>
  <c r="C5302" i="1"/>
  <c r="M5302" i="1"/>
  <c r="B5303" i="1"/>
  <c r="C5303" i="1"/>
  <c r="M5303" i="1"/>
  <c r="B5304" i="1"/>
  <c r="C5304" i="1"/>
  <c r="M5304" i="1"/>
  <c r="B5305" i="1"/>
  <c r="C5305" i="1"/>
  <c r="M5305" i="1"/>
  <c r="B5306" i="1"/>
  <c r="C5306" i="1"/>
  <c r="M5306" i="1"/>
  <c r="B5307" i="1"/>
  <c r="C5307" i="1"/>
  <c r="M5307" i="1"/>
  <c r="B5308" i="1"/>
  <c r="C5308" i="1"/>
  <c r="M5308" i="1"/>
  <c r="B5309" i="1"/>
  <c r="C5309" i="1"/>
  <c r="M5309" i="1"/>
  <c r="B5310" i="1"/>
  <c r="C5310" i="1"/>
  <c r="M5310" i="1"/>
  <c r="B5311" i="1"/>
  <c r="C5311" i="1"/>
  <c r="M5311" i="1"/>
  <c r="B5312" i="1"/>
  <c r="C5312" i="1"/>
  <c r="M5312" i="1"/>
  <c r="B5313" i="1"/>
  <c r="C5313" i="1"/>
  <c r="M5313" i="1"/>
  <c r="B5314" i="1"/>
  <c r="C5314" i="1"/>
  <c r="M5314" i="1"/>
  <c r="B5315" i="1"/>
  <c r="C5315" i="1"/>
  <c r="M5315" i="1"/>
  <c r="B5316" i="1"/>
  <c r="C5316" i="1"/>
  <c r="M5316" i="1"/>
  <c r="B5317" i="1"/>
  <c r="C5317" i="1"/>
  <c r="M5317" i="1"/>
  <c r="B5318" i="1"/>
  <c r="C5318" i="1"/>
  <c r="M5318" i="1"/>
  <c r="B5319" i="1"/>
  <c r="C5319" i="1"/>
  <c r="M5319" i="1"/>
  <c r="B5320" i="1"/>
  <c r="C5320" i="1"/>
  <c r="M5320" i="1"/>
  <c r="B5321" i="1"/>
  <c r="C5321" i="1"/>
  <c r="M5321" i="1"/>
  <c r="B5322" i="1"/>
  <c r="C5322" i="1"/>
  <c r="M5322" i="1"/>
  <c r="B5323" i="1"/>
  <c r="C5323" i="1"/>
  <c r="M5323" i="1"/>
  <c r="B5324" i="1"/>
  <c r="C5324" i="1"/>
  <c r="M5324" i="1"/>
  <c r="B5325" i="1"/>
  <c r="C5325" i="1"/>
  <c r="M5325" i="1"/>
  <c r="B5326" i="1"/>
  <c r="C5326" i="1"/>
  <c r="M5326" i="1"/>
  <c r="B5327" i="1"/>
  <c r="C5327" i="1"/>
  <c r="M5327" i="1"/>
  <c r="B5328" i="1"/>
  <c r="C5328" i="1"/>
  <c r="M5328" i="1"/>
  <c r="B5329" i="1"/>
  <c r="C5329" i="1"/>
  <c r="M5329" i="1"/>
  <c r="B5330" i="1"/>
  <c r="C5330" i="1"/>
  <c r="M5330" i="1"/>
  <c r="B5331" i="1"/>
  <c r="C5331" i="1"/>
  <c r="M5331" i="1"/>
  <c r="B5332" i="1"/>
  <c r="C5332" i="1"/>
  <c r="M5332" i="1"/>
  <c r="B5333" i="1"/>
  <c r="C5333" i="1"/>
  <c r="M5333" i="1"/>
  <c r="B5334" i="1"/>
  <c r="C5334" i="1"/>
  <c r="M5334" i="1"/>
  <c r="B5335" i="1"/>
  <c r="C5335" i="1"/>
  <c r="M5335" i="1"/>
  <c r="B5336" i="1"/>
  <c r="C5336" i="1"/>
  <c r="M5336" i="1"/>
  <c r="B5337" i="1"/>
  <c r="C5337" i="1"/>
  <c r="M5337" i="1"/>
  <c r="B5338" i="1"/>
  <c r="C5338" i="1"/>
  <c r="M5338" i="1"/>
  <c r="B5339" i="1"/>
  <c r="C5339" i="1"/>
  <c r="M5339" i="1"/>
  <c r="B5340" i="1"/>
  <c r="C5340" i="1"/>
  <c r="M5340" i="1"/>
  <c r="B5341" i="1"/>
  <c r="C5341" i="1"/>
  <c r="M5341" i="1"/>
  <c r="B5342" i="1"/>
  <c r="C5342" i="1"/>
  <c r="M5342" i="1"/>
  <c r="B5343" i="1"/>
  <c r="C5343" i="1"/>
  <c r="M5343" i="1"/>
  <c r="B5344" i="1"/>
  <c r="C5344" i="1"/>
  <c r="M5344" i="1"/>
  <c r="B5345" i="1"/>
  <c r="C5345" i="1"/>
  <c r="M5345" i="1"/>
  <c r="B5346" i="1"/>
  <c r="C5346" i="1"/>
  <c r="M5346" i="1"/>
  <c r="B5347" i="1"/>
  <c r="C5347" i="1"/>
  <c r="M5347" i="1"/>
  <c r="B5348" i="1"/>
  <c r="C5348" i="1"/>
  <c r="M5348" i="1"/>
  <c r="B5349" i="1"/>
  <c r="C5349" i="1"/>
  <c r="M5349" i="1"/>
  <c r="B5350" i="1"/>
  <c r="C5350" i="1"/>
  <c r="M5350" i="1"/>
  <c r="B5351" i="1"/>
  <c r="C5351" i="1"/>
  <c r="M5351" i="1"/>
  <c r="B5352" i="1"/>
  <c r="C5352" i="1"/>
  <c r="M5352" i="1"/>
  <c r="B5353" i="1"/>
  <c r="C5353" i="1"/>
  <c r="M5353" i="1"/>
  <c r="B5354" i="1"/>
  <c r="C5354" i="1"/>
  <c r="M5354" i="1"/>
  <c r="B5355" i="1"/>
  <c r="C5355" i="1"/>
  <c r="M5355" i="1"/>
  <c r="B5356" i="1"/>
  <c r="C5356" i="1"/>
  <c r="M5356" i="1"/>
  <c r="B5357" i="1"/>
  <c r="C5357" i="1"/>
  <c r="M5357" i="1"/>
  <c r="B5358" i="1"/>
  <c r="C5358" i="1"/>
  <c r="M5358" i="1"/>
  <c r="B5359" i="1"/>
  <c r="C5359" i="1"/>
  <c r="M5359" i="1"/>
  <c r="B5360" i="1"/>
  <c r="C5360" i="1"/>
  <c r="M5360" i="1"/>
  <c r="B5361" i="1"/>
  <c r="C5361" i="1"/>
  <c r="M5361" i="1"/>
  <c r="B5362" i="1"/>
  <c r="C5362" i="1"/>
  <c r="M5362" i="1"/>
  <c r="B5363" i="1"/>
  <c r="C5363" i="1"/>
  <c r="M5363" i="1"/>
  <c r="B5364" i="1"/>
  <c r="C5364" i="1"/>
  <c r="M5364" i="1"/>
  <c r="B5365" i="1"/>
  <c r="C5365" i="1"/>
  <c r="M5365" i="1"/>
  <c r="B5366" i="1"/>
  <c r="C5366" i="1"/>
  <c r="M5366" i="1"/>
  <c r="B5367" i="1"/>
  <c r="C5367" i="1"/>
  <c r="M5367" i="1"/>
  <c r="B5368" i="1"/>
  <c r="C5368" i="1"/>
  <c r="M5368" i="1"/>
  <c r="B5369" i="1"/>
  <c r="C5369" i="1"/>
  <c r="M5369" i="1"/>
  <c r="B5370" i="1"/>
  <c r="C5370" i="1"/>
  <c r="M5370" i="1"/>
  <c r="B5371" i="1"/>
  <c r="C5371" i="1"/>
  <c r="M5371" i="1"/>
  <c r="B5372" i="1"/>
  <c r="C5372" i="1"/>
  <c r="M5372" i="1"/>
  <c r="B5373" i="1"/>
  <c r="C5373" i="1"/>
  <c r="M5373" i="1"/>
  <c r="B5374" i="1"/>
  <c r="C5374" i="1"/>
  <c r="M5374" i="1"/>
  <c r="B5375" i="1"/>
  <c r="C5375" i="1"/>
  <c r="M5375" i="1"/>
  <c r="B5376" i="1"/>
  <c r="C5376" i="1"/>
  <c r="M5376" i="1"/>
  <c r="B5377" i="1"/>
  <c r="C5377" i="1"/>
  <c r="M5377" i="1"/>
  <c r="B5378" i="1"/>
  <c r="C5378" i="1"/>
  <c r="M5378" i="1"/>
  <c r="B5379" i="1"/>
  <c r="C5379" i="1"/>
  <c r="M5379" i="1"/>
  <c r="B5380" i="1"/>
  <c r="C5380" i="1"/>
  <c r="M5380" i="1"/>
  <c r="B5381" i="1"/>
  <c r="C5381" i="1"/>
  <c r="M5381" i="1"/>
  <c r="B5382" i="1"/>
  <c r="C5382" i="1"/>
  <c r="M5382" i="1"/>
  <c r="B5383" i="1"/>
  <c r="C5383" i="1"/>
  <c r="M5383" i="1"/>
  <c r="B5384" i="1"/>
  <c r="C5384" i="1"/>
  <c r="M5384" i="1"/>
  <c r="B5385" i="1"/>
  <c r="C5385" i="1"/>
  <c r="M5385" i="1"/>
  <c r="B5386" i="1"/>
  <c r="C5386" i="1"/>
  <c r="M5386" i="1"/>
  <c r="B5387" i="1"/>
  <c r="C5387" i="1"/>
  <c r="M5387" i="1"/>
  <c r="B5388" i="1"/>
  <c r="C5388" i="1"/>
  <c r="M5388" i="1"/>
  <c r="B5389" i="1"/>
  <c r="C5389" i="1"/>
  <c r="M5389" i="1"/>
  <c r="B5390" i="1"/>
  <c r="C5390" i="1"/>
  <c r="M5390" i="1"/>
  <c r="B5391" i="1"/>
  <c r="C5391" i="1"/>
  <c r="M5391" i="1"/>
  <c r="B5392" i="1"/>
  <c r="C5392" i="1"/>
  <c r="M5392" i="1"/>
  <c r="B5393" i="1"/>
  <c r="C5393" i="1"/>
  <c r="M5393" i="1"/>
  <c r="B5394" i="1"/>
  <c r="C5394" i="1"/>
  <c r="M5394" i="1"/>
  <c r="B5395" i="1"/>
  <c r="C5395" i="1"/>
  <c r="M5395" i="1"/>
  <c r="B5396" i="1"/>
  <c r="C5396" i="1"/>
  <c r="M5396" i="1"/>
  <c r="B5397" i="1"/>
  <c r="C5397" i="1"/>
  <c r="M5397" i="1"/>
  <c r="B5398" i="1"/>
  <c r="C5398" i="1"/>
  <c r="M5398" i="1"/>
  <c r="B5399" i="1"/>
  <c r="C5399" i="1"/>
  <c r="M5399" i="1"/>
  <c r="B5400" i="1"/>
  <c r="C5400" i="1"/>
  <c r="M5400" i="1"/>
  <c r="B5401" i="1"/>
  <c r="C5401" i="1"/>
  <c r="M5401" i="1"/>
  <c r="B5402" i="1"/>
  <c r="C5402" i="1"/>
  <c r="M5402" i="1"/>
  <c r="B5403" i="1"/>
  <c r="C5403" i="1"/>
  <c r="M5403" i="1"/>
  <c r="B5404" i="1"/>
  <c r="C5404" i="1"/>
  <c r="M5404" i="1"/>
  <c r="B5405" i="1"/>
  <c r="C5405" i="1"/>
  <c r="M5405" i="1"/>
  <c r="B5406" i="1"/>
  <c r="C5406" i="1"/>
  <c r="M5406" i="1"/>
  <c r="B5407" i="1"/>
  <c r="C5407" i="1"/>
  <c r="M5407" i="1"/>
  <c r="B5408" i="1"/>
  <c r="C5408" i="1"/>
  <c r="M5408" i="1"/>
  <c r="B5409" i="1"/>
  <c r="C5409" i="1"/>
  <c r="M5409" i="1"/>
  <c r="B5410" i="1"/>
  <c r="C5410" i="1"/>
  <c r="M5410" i="1"/>
  <c r="B5411" i="1"/>
  <c r="C5411" i="1"/>
  <c r="M5411" i="1"/>
  <c r="B5412" i="1"/>
  <c r="C5412" i="1"/>
  <c r="M5412" i="1"/>
  <c r="B5413" i="1"/>
  <c r="C5413" i="1"/>
  <c r="M5413" i="1"/>
  <c r="B5414" i="1"/>
  <c r="C5414" i="1"/>
  <c r="M5414" i="1"/>
  <c r="B5415" i="1"/>
  <c r="C5415" i="1"/>
  <c r="M5415" i="1"/>
  <c r="B5416" i="1"/>
  <c r="C5416" i="1"/>
  <c r="M5416" i="1"/>
  <c r="B5417" i="1"/>
  <c r="C5417" i="1"/>
  <c r="M5417" i="1"/>
  <c r="B5418" i="1"/>
  <c r="C5418" i="1"/>
  <c r="M5418" i="1"/>
  <c r="B5419" i="1"/>
  <c r="C5419" i="1"/>
  <c r="M5419" i="1"/>
  <c r="B5420" i="1"/>
  <c r="C5420" i="1"/>
  <c r="M5420" i="1"/>
  <c r="B5421" i="1"/>
  <c r="C5421" i="1"/>
  <c r="M5421" i="1"/>
  <c r="B5422" i="1"/>
  <c r="C5422" i="1"/>
  <c r="M5422" i="1"/>
  <c r="B5423" i="1"/>
  <c r="C5423" i="1"/>
  <c r="M5423" i="1"/>
  <c r="B5424" i="1"/>
  <c r="C5424" i="1"/>
  <c r="M5424" i="1"/>
  <c r="B5425" i="1"/>
  <c r="C5425" i="1"/>
  <c r="M5425" i="1"/>
  <c r="B5426" i="1"/>
  <c r="C5426" i="1"/>
  <c r="M5426" i="1"/>
  <c r="B5427" i="1"/>
  <c r="C5427" i="1"/>
  <c r="M5427" i="1"/>
  <c r="B5428" i="1"/>
  <c r="C5428" i="1"/>
  <c r="M5428" i="1"/>
  <c r="B5429" i="1"/>
  <c r="C5429" i="1"/>
  <c r="M5429" i="1"/>
  <c r="B5430" i="1"/>
  <c r="C5430" i="1"/>
  <c r="M5430" i="1"/>
  <c r="B5431" i="1"/>
  <c r="C5431" i="1"/>
  <c r="M5431" i="1"/>
  <c r="B5432" i="1"/>
  <c r="C5432" i="1"/>
  <c r="M5432" i="1"/>
  <c r="B5433" i="1"/>
  <c r="C5433" i="1"/>
  <c r="M5433" i="1"/>
  <c r="B5434" i="1"/>
  <c r="C5434" i="1"/>
  <c r="M5434" i="1"/>
  <c r="B5435" i="1"/>
  <c r="C5435" i="1"/>
  <c r="M5435" i="1"/>
  <c r="B5436" i="1"/>
  <c r="C5436" i="1"/>
  <c r="M5436" i="1"/>
  <c r="B5437" i="1"/>
  <c r="C5437" i="1"/>
  <c r="M5437" i="1"/>
  <c r="B5438" i="1"/>
  <c r="C5438" i="1"/>
  <c r="M5438" i="1"/>
  <c r="B5439" i="1"/>
  <c r="C5439" i="1"/>
  <c r="M5439" i="1"/>
  <c r="B5440" i="1"/>
  <c r="C5440" i="1"/>
  <c r="M5440" i="1"/>
  <c r="B5441" i="1"/>
  <c r="C5441" i="1"/>
  <c r="M5441" i="1"/>
  <c r="B5442" i="1"/>
  <c r="C5442" i="1"/>
  <c r="M5442" i="1"/>
  <c r="B5443" i="1"/>
  <c r="C5443" i="1"/>
  <c r="M5443" i="1"/>
  <c r="B5444" i="1"/>
  <c r="C5444" i="1"/>
  <c r="M5444" i="1"/>
  <c r="B5445" i="1"/>
  <c r="C5445" i="1"/>
  <c r="M5445" i="1"/>
  <c r="B5446" i="1"/>
  <c r="C5446" i="1"/>
  <c r="M5446" i="1"/>
  <c r="B5447" i="1"/>
  <c r="C5447" i="1"/>
  <c r="M5447" i="1"/>
  <c r="B5448" i="1"/>
  <c r="C5448" i="1"/>
  <c r="M5448" i="1"/>
  <c r="B5449" i="1"/>
  <c r="C5449" i="1"/>
  <c r="M5449" i="1"/>
  <c r="B5450" i="1"/>
  <c r="C5450" i="1"/>
  <c r="M5450" i="1"/>
  <c r="B5451" i="1"/>
  <c r="C5451" i="1"/>
  <c r="M5451" i="1"/>
  <c r="B5452" i="1"/>
  <c r="C5452" i="1"/>
  <c r="M5452" i="1"/>
  <c r="B5453" i="1"/>
  <c r="C5453" i="1"/>
  <c r="M5453" i="1"/>
  <c r="B5454" i="1"/>
  <c r="C5454" i="1"/>
  <c r="M5454" i="1"/>
  <c r="B5455" i="1"/>
  <c r="C5455" i="1"/>
  <c r="M5455" i="1"/>
  <c r="B5456" i="1"/>
  <c r="C5456" i="1"/>
  <c r="M5456" i="1"/>
  <c r="B5457" i="1"/>
  <c r="C5457" i="1"/>
  <c r="M5457" i="1"/>
  <c r="B5458" i="1"/>
  <c r="C5458" i="1"/>
  <c r="M5458" i="1"/>
  <c r="B5459" i="1"/>
  <c r="C5459" i="1"/>
  <c r="M5459" i="1"/>
  <c r="B5460" i="1"/>
  <c r="C5460" i="1"/>
  <c r="M5460" i="1"/>
  <c r="B5461" i="1"/>
  <c r="C5461" i="1"/>
  <c r="M5461" i="1"/>
  <c r="B5462" i="1"/>
  <c r="C5462" i="1"/>
  <c r="M5462" i="1"/>
  <c r="B5463" i="1"/>
  <c r="C5463" i="1"/>
  <c r="M5463" i="1"/>
  <c r="B5464" i="1"/>
  <c r="C5464" i="1"/>
  <c r="M5464" i="1"/>
  <c r="B5465" i="1"/>
  <c r="C5465" i="1"/>
  <c r="M5465" i="1"/>
  <c r="B5466" i="1"/>
  <c r="C5466" i="1"/>
  <c r="M5466" i="1"/>
  <c r="B5467" i="1"/>
  <c r="C5467" i="1"/>
  <c r="M5467" i="1"/>
  <c r="B5468" i="1"/>
  <c r="C5468" i="1"/>
  <c r="M5468" i="1"/>
  <c r="B5469" i="1"/>
  <c r="C5469" i="1"/>
  <c r="M5469" i="1"/>
  <c r="B5470" i="1"/>
  <c r="C5470" i="1"/>
  <c r="M5470" i="1"/>
  <c r="B5471" i="1"/>
  <c r="C5471" i="1"/>
  <c r="M5471" i="1"/>
  <c r="B5472" i="1"/>
  <c r="C5472" i="1"/>
  <c r="M5472" i="1"/>
  <c r="B5473" i="1"/>
  <c r="C5473" i="1"/>
  <c r="M5473" i="1"/>
  <c r="B5474" i="1"/>
  <c r="C5474" i="1"/>
  <c r="M5474" i="1"/>
  <c r="B5475" i="1"/>
  <c r="C5475" i="1"/>
  <c r="M5475" i="1"/>
  <c r="B5476" i="1"/>
  <c r="C5476" i="1"/>
  <c r="M5476" i="1"/>
  <c r="B5477" i="1"/>
  <c r="C5477" i="1"/>
  <c r="M5477" i="1"/>
  <c r="B5478" i="1"/>
  <c r="C5478" i="1"/>
  <c r="M5478" i="1"/>
  <c r="B5479" i="1"/>
  <c r="C5479" i="1"/>
  <c r="M5479" i="1"/>
  <c r="B5480" i="1"/>
  <c r="C5480" i="1"/>
  <c r="M5480" i="1"/>
  <c r="B5481" i="1"/>
  <c r="C5481" i="1"/>
  <c r="M5481" i="1"/>
  <c r="B5482" i="1"/>
  <c r="C5482" i="1"/>
  <c r="M5482" i="1"/>
  <c r="B5483" i="1"/>
  <c r="C5483" i="1"/>
  <c r="M5483" i="1"/>
  <c r="B5484" i="1"/>
  <c r="C5484" i="1"/>
  <c r="M5484" i="1"/>
  <c r="B5485" i="1"/>
  <c r="C5485" i="1"/>
  <c r="M5485" i="1"/>
  <c r="B5486" i="1"/>
  <c r="C5486" i="1"/>
  <c r="M5486" i="1"/>
  <c r="B5487" i="1"/>
  <c r="C5487" i="1"/>
  <c r="M5487" i="1"/>
  <c r="B5488" i="1"/>
  <c r="C5488" i="1"/>
  <c r="M5488" i="1"/>
  <c r="B5489" i="1"/>
  <c r="C5489" i="1"/>
  <c r="M5489" i="1"/>
  <c r="B5490" i="1"/>
  <c r="C5490" i="1"/>
  <c r="M5490" i="1"/>
  <c r="B5491" i="1"/>
  <c r="C5491" i="1"/>
  <c r="M5491" i="1"/>
  <c r="B5492" i="1"/>
  <c r="C5492" i="1"/>
  <c r="M5492" i="1"/>
  <c r="B5493" i="1"/>
  <c r="C5493" i="1"/>
  <c r="M5493" i="1"/>
  <c r="B5494" i="1"/>
  <c r="C5494" i="1"/>
  <c r="M5494" i="1"/>
  <c r="B5495" i="1"/>
  <c r="C5495" i="1"/>
  <c r="M5495" i="1"/>
  <c r="B5496" i="1"/>
  <c r="C5496" i="1"/>
  <c r="M5496" i="1"/>
  <c r="B5497" i="1"/>
  <c r="C5497" i="1"/>
  <c r="M5497" i="1"/>
  <c r="B5498" i="1"/>
  <c r="C5498" i="1"/>
  <c r="M5498" i="1"/>
  <c r="B5499" i="1"/>
  <c r="C5499" i="1"/>
  <c r="M5499" i="1"/>
  <c r="B5500" i="1"/>
  <c r="C5500" i="1"/>
  <c r="M5500" i="1"/>
  <c r="B5501" i="1"/>
  <c r="C5501" i="1"/>
  <c r="M5501" i="1"/>
  <c r="B5502" i="1"/>
  <c r="C5502" i="1"/>
  <c r="M5502" i="1"/>
  <c r="B5503" i="1"/>
  <c r="C5503" i="1"/>
  <c r="M5503" i="1"/>
  <c r="B5504" i="1"/>
  <c r="C5504" i="1"/>
  <c r="M5504" i="1"/>
  <c r="B5505" i="1"/>
  <c r="C5505" i="1"/>
  <c r="M5505" i="1"/>
  <c r="B5506" i="1"/>
  <c r="C5506" i="1"/>
  <c r="M5506" i="1"/>
  <c r="B5507" i="1"/>
  <c r="C5507" i="1"/>
  <c r="M5507" i="1"/>
  <c r="B5508" i="1"/>
  <c r="C5508" i="1"/>
  <c r="M5508" i="1"/>
  <c r="B5509" i="1"/>
  <c r="C5509" i="1"/>
  <c r="M5509" i="1"/>
  <c r="B5510" i="1"/>
  <c r="C5510" i="1"/>
  <c r="M5510" i="1"/>
  <c r="B5511" i="1"/>
  <c r="C5511" i="1"/>
  <c r="M5511" i="1"/>
  <c r="B5512" i="1"/>
  <c r="C5512" i="1"/>
  <c r="M5512" i="1"/>
  <c r="B5513" i="1"/>
  <c r="C5513" i="1"/>
  <c r="M5513" i="1"/>
  <c r="B5514" i="1"/>
  <c r="C5514" i="1"/>
  <c r="M5514" i="1"/>
  <c r="B5515" i="1"/>
  <c r="C5515" i="1"/>
  <c r="M5515" i="1"/>
  <c r="B5516" i="1"/>
  <c r="C5516" i="1"/>
  <c r="M5516" i="1"/>
  <c r="B5517" i="1"/>
  <c r="C5517" i="1"/>
  <c r="M5517" i="1"/>
  <c r="B5518" i="1"/>
  <c r="C5518" i="1"/>
  <c r="M5518" i="1"/>
  <c r="B5519" i="1"/>
  <c r="C5519" i="1"/>
  <c r="M5519" i="1"/>
  <c r="B5520" i="1"/>
  <c r="C5520" i="1"/>
  <c r="M5520" i="1"/>
  <c r="B5521" i="1"/>
  <c r="C5521" i="1"/>
  <c r="M5521" i="1"/>
  <c r="B5522" i="1"/>
  <c r="C5522" i="1"/>
  <c r="M5522" i="1"/>
  <c r="B5523" i="1"/>
  <c r="C5523" i="1"/>
  <c r="M5523" i="1"/>
  <c r="B5524" i="1"/>
  <c r="C5524" i="1"/>
  <c r="M5524" i="1"/>
  <c r="B5525" i="1"/>
  <c r="C5525" i="1"/>
  <c r="M5525" i="1"/>
  <c r="B5526" i="1"/>
  <c r="C5526" i="1"/>
  <c r="M5526" i="1"/>
  <c r="B5527" i="1"/>
  <c r="C5527" i="1"/>
  <c r="M5527" i="1"/>
  <c r="B5528" i="1"/>
  <c r="C5528" i="1"/>
  <c r="M5528" i="1"/>
  <c r="B5529" i="1"/>
  <c r="C5529" i="1"/>
  <c r="M5529" i="1"/>
  <c r="B5530" i="1"/>
  <c r="C5530" i="1"/>
  <c r="M5530" i="1"/>
  <c r="B5531" i="1"/>
  <c r="C5531" i="1"/>
  <c r="M5531" i="1"/>
  <c r="B5532" i="1"/>
  <c r="C5532" i="1"/>
  <c r="M5532" i="1"/>
  <c r="B5533" i="1"/>
  <c r="C5533" i="1"/>
  <c r="M5533" i="1"/>
  <c r="B5534" i="1"/>
  <c r="C5534" i="1"/>
  <c r="M5534" i="1"/>
  <c r="B5535" i="1"/>
  <c r="C5535" i="1"/>
  <c r="M5535" i="1"/>
  <c r="B5536" i="1"/>
  <c r="C5536" i="1"/>
  <c r="M5536" i="1"/>
  <c r="B5537" i="1"/>
  <c r="C5537" i="1"/>
  <c r="M5537" i="1"/>
  <c r="B5538" i="1"/>
  <c r="C5538" i="1"/>
  <c r="M5538" i="1"/>
  <c r="B5539" i="1"/>
  <c r="C5539" i="1"/>
  <c r="M5539" i="1"/>
  <c r="B5540" i="1"/>
  <c r="C5540" i="1"/>
  <c r="M5540" i="1"/>
  <c r="B5541" i="1"/>
  <c r="C5541" i="1"/>
  <c r="M5541" i="1"/>
  <c r="B5542" i="1"/>
  <c r="C5542" i="1"/>
  <c r="M5542" i="1"/>
  <c r="B5543" i="1"/>
  <c r="C5543" i="1"/>
  <c r="M5543" i="1"/>
  <c r="B5544" i="1"/>
  <c r="C5544" i="1"/>
  <c r="M5544" i="1"/>
  <c r="B5545" i="1"/>
  <c r="C5545" i="1"/>
  <c r="M5545" i="1"/>
  <c r="B5546" i="1"/>
  <c r="C5546" i="1"/>
  <c r="M5546" i="1"/>
  <c r="B5547" i="1"/>
  <c r="C5547" i="1"/>
  <c r="M5547" i="1"/>
  <c r="B5548" i="1"/>
  <c r="C5548" i="1"/>
  <c r="M5548" i="1"/>
  <c r="B5549" i="1"/>
  <c r="C5549" i="1"/>
  <c r="M5549" i="1"/>
  <c r="B5550" i="1"/>
  <c r="C5550" i="1"/>
  <c r="M5550" i="1"/>
  <c r="B5551" i="1"/>
  <c r="C5551" i="1"/>
  <c r="M5551" i="1"/>
  <c r="B5552" i="1"/>
  <c r="C5552" i="1"/>
  <c r="M5552" i="1"/>
  <c r="B5553" i="1"/>
  <c r="C5553" i="1"/>
  <c r="M5553" i="1"/>
  <c r="B5554" i="1"/>
  <c r="C5554" i="1"/>
  <c r="M5554" i="1"/>
  <c r="B5555" i="1"/>
  <c r="C5555" i="1"/>
  <c r="M5555" i="1"/>
  <c r="B5556" i="1"/>
  <c r="C5556" i="1"/>
  <c r="M5556" i="1"/>
  <c r="B5557" i="1"/>
  <c r="C5557" i="1"/>
  <c r="M5557" i="1"/>
  <c r="B5558" i="1"/>
  <c r="C5558" i="1"/>
  <c r="M5558" i="1"/>
  <c r="B5559" i="1"/>
  <c r="C5559" i="1"/>
  <c r="M5559" i="1"/>
  <c r="B5560" i="1"/>
  <c r="C5560" i="1"/>
  <c r="M5560" i="1"/>
  <c r="B5561" i="1"/>
  <c r="C5561" i="1"/>
  <c r="M5561" i="1"/>
  <c r="B5562" i="1"/>
  <c r="C5562" i="1"/>
  <c r="M5562" i="1"/>
  <c r="B5563" i="1"/>
  <c r="C5563" i="1"/>
  <c r="M5563" i="1"/>
  <c r="B5564" i="1"/>
  <c r="C5564" i="1"/>
  <c r="M5564" i="1"/>
  <c r="B5565" i="1"/>
  <c r="C5565" i="1"/>
  <c r="M5565" i="1"/>
  <c r="B5566" i="1"/>
  <c r="C5566" i="1"/>
  <c r="M5566" i="1"/>
  <c r="B5567" i="1"/>
  <c r="C5567" i="1"/>
  <c r="M5567" i="1"/>
  <c r="B5568" i="1"/>
  <c r="C5568" i="1"/>
  <c r="M5568" i="1"/>
  <c r="B5569" i="1"/>
  <c r="C5569" i="1"/>
  <c r="M5569" i="1"/>
  <c r="B5570" i="1"/>
  <c r="C5570" i="1"/>
  <c r="M5570" i="1"/>
  <c r="B5571" i="1"/>
  <c r="C5571" i="1"/>
  <c r="M5571" i="1"/>
  <c r="B5572" i="1"/>
  <c r="C5572" i="1"/>
  <c r="M5572" i="1"/>
  <c r="B5573" i="1"/>
  <c r="C5573" i="1"/>
  <c r="M5573" i="1"/>
  <c r="B5574" i="1"/>
  <c r="C5574" i="1"/>
  <c r="M5574" i="1"/>
  <c r="B5575" i="1"/>
  <c r="C5575" i="1"/>
  <c r="M5575" i="1"/>
  <c r="B5576" i="1"/>
  <c r="C5576" i="1"/>
  <c r="M5576" i="1"/>
  <c r="B5577" i="1"/>
  <c r="C5577" i="1"/>
  <c r="M5577" i="1"/>
  <c r="B5578" i="1"/>
  <c r="C5578" i="1"/>
  <c r="M5578" i="1"/>
  <c r="B5579" i="1"/>
  <c r="C5579" i="1"/>
  <c r="M5579" i="1"/>
  <c r="B5580" i="1"/>
  <c r="C5580" i="1"/>
  <c r="M5580" i="1"/>
  <c r="B5581" i="1"/>
  <c r="C5581" i="1"/>
  <c r="M5581" i="1"/>
  <c r="B5582" i="1"/>
  <c r="C5582" i="1"/>
  <c r="M5582" i="1"/>
  <c r="B5583" i="1"/>
  <c r="C5583" i="1"/>
  <c r="M5583" i="1"/>
  <c r="B5584" i="1"/>
  <c r="C5584" i="1"/>
  <c r="M5584" i="1"/>
  <c r="B5585" i="1"/>
  <c r="C5585" i="1"/>
  <c r="M5585" i="1"/>
  <c r="B5586" i="1"/>
  <c r="C5586" i="1"/>
  <c r="M5586" i="1"/>
  <c r="B5587" i="1"/>
  <c r="C5587" i="1"/>
  <c r="M5587" i="1"/>
  <c r="B5588" i="1"/>
  <c r="C5588" i="1"/>
  <c r="M5588" i="1"/>
  <c r="B5589" i="1"/>
  <c r="C5589" i="1"/>
  <c r="M5589" i="1"/>
  <c r="B5590" i="1"/>
  <c r="C5590" i="1"/>
  <c r="M5590" i="1"/>
  <c r="B5591" i="1"/>
  <c r="C5591" i="1"/>
  <c r="M5591" i="1"/>
  <c r="B5592" i="1"/>
  <c r="C5592" i="1"/>
  <c r="M5592" i="1"/>
  <c r="B5593" i="1"/>
  <c r="C5593" i="1"/>
  <c r="M5593" i="1"/>
  <c r="B5594" i="1"/>
  <c r="C5594" i="1"/>
  <c r="M5594" i="1"/>
  <c r="B5595" i="1"/>
  <c r="C5595" i="1"/>
  <c r="M5595" i="1"/>
  <c r="B5596" i="1"/>
  <c r="C5596" i="1"/>
  <c r="M5596" i="1"/>
  <c r="B5597" i="1"/>
  <c r="C5597" i="1"/>
  <c r="M5597" i="1"/>
  <c r="B5598" i="1"/>
  <c r="C5598" i="1"/>
  <c r="M5598" i="1"/>
  <c r="B5599" i="1"/>
  <c r="C5599" i="1"/>
  <c r="M5599" i="1"/>
  <c r="B5600" i="1"/>
  <c r="C5600" i="1"/>
  <c r="M5600" i="1"/>
  <c r="B5601" i="1"/>
  <c r="C5601" i="1"/>
  <c r="M5601" i="1"/>
  <c r="B5602" i="1"/>
  <c r="C5602" i="1"/>
  <c r="M5602" i="1"/>
  <c r="B5603" i="1"/>
  <c r="C5603" i="1"/>
  <c r="M5603" i="1"/>
  <c r="B5604" i="1"/>
  <c r="C5604" i="1"/>
  <c r="M5604" i="1"/>
  <c r="B5605" i="1"/>
  <c r="C5605" i="1"/>
  <c r="M5605" i="1"/>
  <c r="B5606" i="1"/>
  <c r="C5606" i="1"/>
  <c r="M5606" i="1"/>
  <c r="B5607" i="1"/>
  <c r="C5607" i="1"/>
  <c r="M5607" i="1"/>
  <c r="B5608" i="1"/>
  <c r="C5608" i="1"/>
  <c r="M5608" i="1"/>
  <c r="B5609" i="1"/>
  <c r="C5609" i="1"/>
  <c r="M5609" i="1"/>
  <c r="B5610" i="1"/>
  <c r="C5610" i="1"/>
  <c r="M5610" i="1"/>
  <c r="B5611" i="1"/>
  <c r="C5611" i="1"/>
  <c r="M5611" i="1"/>
  <c r="B5612" i="1"/>
  <c r="C5612" i="1"/>
  <c r="M5612" i="1"/>
  <c r="B5613" i="1"/>
  <c r="C5613" i="1"/>
  <c r="M5613" i="1"/>
  <c r="B5614" i="1"/>
  <c r="C5614" i="1"/>
  <c r="M5614" i="1"/>
  <c r="B5615" i="1"/>
  <c r="C5615" i="1"/>
  <c r="M5615" i="1"/>
  <c r="B5616" i="1"/>
  <c r="C5616" i="1"/>
  <c r="M5616" i="1"/>
  <c r="B5617" i="1"/>
  <c r="C5617" i="1"/>
  <c r="M5617" i="1"/>
  <c r="B5618" i="1"/>
  <c r="C5618" i="1"/>
  <c r="M5618" i="1"/>
  <c r="B5619" i="1"/>
  <c r="C5619" i="1"/>
  <c r="M5619" i="1"/>
  <c r="B5620" i="1"/>
  <c r="C5620" i="1"/>
  <c r="M5620" i="1"/>
  <c r="B5621" i="1"/>
  <c r="C5621" i="1"/>
  <c r="M5621" i="1"/>
  <c r="B5622" i="1"/>
  <c r="C5622" i="1"/>
  <c r="M5622" i="1"/>
  <c r="B5623" i="1"/>
  <c r="C5623" i="1"/>
  <c r="M5623" i="1"/>
  <c r="B5624" i="1"/>
  <c r="C5624" i="1"/>
  <c r="M5624" i="1"/>
  <c r="B5625" i="1"/>
  <c r="C5625" i="1"/>
  <c r="M5625" i="1"/>
  <c r="B5626" i="1"/>
  <c r="C5626" i="1"/>
  <c r="M5626" i="1"/>
  <c r="B5627" i="1"/>
  <c r="C5627" i="1"/>
  <c r="M5627" i="1"/>
  <c r="B5628" i="1"/>
  <c r="C5628" i="1"/>
  <c r="M5628" i="1"/>
  <c r="B5629" i="1"/>
  <c r="C5629" i="1"/>
  <c r="M5629" i="1"/>
  <c r="B5630" i="1"/>
  <c r="C5630" i="1"/>
  <c r="M5630" i="1"/>
  <c r="B5631" i="1"/>
  <c r="C5631" i="1"/>
  <c r="M5631" i="1"/>
  <c r="B5632" i="1"/>
  <c r="C5632" i="1"/>
  <c r="M5632" i="1"/>
  <c r="B5633" i="1"/>
  <c r="C5633" i="1"/>
  <c r="M5633" i="1"/>
  <c r="B5634" i="1"/>
  <c r="C5634" i="1"/>
  <c r="M5634" i="1"/>
  <c r="B5635" i="1"/>
  <c r="C5635" i="1"/>
  <c r="M5635" i="1"/>
  <c r="B5636" i="1"/>
  <c r="C5636" i="1"/>
  <c r="M5636" i="1"/>
  <c r="B5637" i="1"/>
  <c r="C5637" i="1"/>
  <c r="M5637" i="1"/>
  <c r="B5638" i="1"/>
  <c r="C5638" i="1"/>
  <c r="M5638" i="1"/>
  <c r="B5639" i="1"/>
  <c r="C5639" i="1"/>
  <c r="M5639" i="1"/>
  <c r="B5640" i="1"/>
  <c r="C5640" i="1"/>
  <c r="M5640" i="1"/>
  <c r="B5641" i="1"/>
  <c r="C5641" i="1"/>
  <c r="M5641" i="1"/>
  <c r="B5642" i="1"/>
  <c r="C5642" i="1"/>
  <c r="M5642" i="1"/>
  <c r="B5643" i="1"/>
  <c r="C5643" i="1"/>
  <c r="M5643" i="1"/>
  <c r="B5644" i="1"/>
  <c r="C5644" i="1"/>
  <c r="M5644" i="1"/>
  <c r="B5645" i="1"/>
  <c r="C5645" i="1"/>
  <c r="M5645" i="1"/>
  <c r="B5646" i="1"/>
  <c r="C5646" i="1"/>
  <c r="M5646" i="1"/>
  <c r="B5647" i="1"/>
  <c r="C5647" i="1"/>
  <c r="M5647" i="1"/>
  <c r="B5648" i="1"/>
  <c r="C5648" i="1"/>
  <c r="M5648" i="1"/>
  <c r="B5649" i="1"/>
  <c r="C5649" i="1"/>
  <c r="M5649" i="1"/>
  <c r="B5650" i="1"/>
  <c r="C5650" i="1"/>
  <c r="M5650" i="1"/>
  <c r="B5651" i="1"/>
  <c r="C5651" i="1"/>
  <c r="M5651" i="1"/>
  <c r="B5652" i="1"/>
  <c r="C5652" i="1"/>
  <c r="M5652" i="1"/>
  <c r="B5653" i="1"/>
  <c r="C5653" i="1"/>
  <c r="M5653" i="1"/>
  <c r="B5654" i="1"/>
  <c r="C5654" i="1"/>
  <c r="M5654" i="1"/>
  <c r="B5655" i="1"/>
  <c r="C5655" i="1"/>
  <c r="M5655" i="1"/>
  <c r="B5656" i="1"/>
  <c r="C5656" i="1"/>
  <c r="M5656" i="1"/>
  <c r="B5657" i="1"/>
  <c r="C5657" i="1"/>
  <c r="M5657" i="1"/>
  <c r="B5658" i="1"/>
  <c r="C5658" i="1"/>
  <c r="M5658" i="1"/>
  <c r="B5659" i="1"/>
  <c r="C5659" i="1"/>
  <c r="M5659" i="1"/>
  <c r="B5660" i="1"/>
  <c r="C5660" i="1"/>
  <c r="M5660" i="1"/>
  <c r="B5661" i="1"/>
  <c r="C5661" i="1"/>
  <c r="M5661" i="1"/>
  <c r="B5662" i="1"/>
  <c r="C5662" i="1"/>
  <c r="M5662" i="1"/>
  <c r="B5663" i="1"/>
  <c r="C5663" i="1"/>
  <c r="M5663" i="1"/>
  <c r="B5664" i="1"/>
  <c r="C5664" i="1"/>
  <c r="M5664" i="1"/>
  <c r="B5665" i="1"/>
  <c r="C5665" i="1"/>
  <c r="M5665" i="1"/>
  <c r="B5666" i="1"/>
  <c r="C5666" i="1"/>
  <c r="M5666" i="1"/>
  <c r="B5667" i="1"/>
  <c r="C5667" i="1"/>
  <c r="M5667" i="1"/>
  <c r="B5668" i="1"/>
  <c r="C5668" i="1"/>
  <c r="M5668" i="1"/>
  <c r="B5669" i="1"/>
  <c r="C5669" i="1"/>
  <c r="M5669" i="1"/>
  <c r="B5670" i="1"/>
  <c r="C5670" i="1"/>
  <c r="M5670" i="1"/>
  <c r="B5671" i="1"/>
  <c r="C5671" i="1"/>
  <c r="M5671" i="1"/>
  <c r="B5672" i="1"/>
  <c r="C5672" i="1"/>
  <c r="M5672" i="1"/>
  <c r="B5673" i="1"/>
  <c r="C5673" i="1"/>
  <c r="M5673" i="1"/>
  <c r="B5674" i="1"/>
  <c r="C5674" i="1"/>
  <c r="M5674" i="1"/>
  <c r="B5675" i="1"/>
  <c r="C5675" i="1"/>
  <c r="M5675" i="1"/>
  <c r="B5676" i="1"/>
  <c r="C5676" i="1"/>
  <c r="M5676" i="1"/>
  <c r="B5677" i="1"/>
  <c r="C5677" i="1"/>
  <c r="M5677" i="1"/>
  <c r="B5678" i="1"/>
  <c r="C5678" i="1"/>
  <c r="M5678" i="1"/>
  <c r="B5679" i="1"/>
  <c r="C5679" i="1"/>
  <c r="M5679" i="1"/>
  <c r="B5680" i="1"/>
  <c r="C5680" i="1"/>
  <c r="M5680" i="1"/>
  <c r="B5681" i="1"/>
  <c r="C5681" i="1"/>
  <c r="M5681" i="1"/>
  <c r="B5682" i="1"/>
  <c r="C5682" i="1"/>
  <c r="M5682" i="1"/>
  <c r="B5683" i="1"/>
  <c r="C5683" i="1"/>
  <c r="M5683" i="1"/>
  <c r="B5684" i="1"/>
  <c r="C5684" i="1"/>
  <c r="M5684" i="1"/>
  <c r="B5685" i="1"/>
  <c r="C5685" i="1"/>
  <c r="M5685" i="1"/>
  <c r="B5686" i="1"/>
  <c r="C5686" i="1"/>
  <c r="M5686" i="1"/>
  <c r="B5687" i="1"/>
  <c r="C5687" i="1"/>
  <c r="M5687" i="1"/>
  <c r="B5688" i="1"/>
  <c r="C5688" i="1"/>
  <c r="M5688" i="1"/>
  <c r="B5689" i="1"/>
  <c r="C5689" i="1"/>
  <c r="M5689" i="1"/>
  <c r="B5690" i="1"/>
  <c r="C5690" i="1"/>
  <c r="M5690" i="1"/>
  <c r="B5691" i="1"/>
  <c r="C5691" i="1"/>
  <c r="M5691" i="1"/>
  <c r="B5692" i="1"/>
  <c r="C5692" i="1"/>
  <c r="M5692" i="1"/>
  <c r="B5693" i="1"/>
  <c r="C5693" i="1"/>
  <c r="M5693" i="1"/>
  <c r="B5694" i="1"/>
  <c r="C5694" i="1"/>
  <c r="M5694" i="1"/>
  <c r="B5695" i="1"/>
  <c r="C5695" i="1"/>
  <c r="M5695" i="1"/>
  <c r="B5696" i="1"/>
  <c r="C5696" i="1"/>
  <c r="M5696" i="1"/>
  <c r="B5697" i="1"/>
  <c r="C5697" i="1"/>
  <c r="M5697" i="1"/>
  <c r="B5698" i="1"/>
  <c r="C5698" i="1"/>
  <c r="M5698" i="1"/>
  <c r="B5699" i="1"/>
  <c r="C5699" i="1"/>
  <c r="M5699" i="1"/>
  <c r="B5700" i="1"/>
  <c r="C5700" i="1"/>
  <c r="M5700" i="1"/>
  <c r="B5701" i="1"/>
  <c r="C5701" i="1"/>
  <c r="M5701" i="1"/>
  <c r="B5702" i="1"/>
  <c r="C5702" i="1"/>
  <c r="M5702" i="1"/>
  <c r="B5703" i="1"/>
  <c r="C5703" i="1"/>
  <c r="M5703" i="1"/>
  <c r="B5704" i="1"/>
  <c r="C5704" i="1"/>
  <c r="M5704" i="1"/>
  <c r="B5705" i="1"/>
  <c r="C5705" i="1"/>
  <c r="M5705" i="1"/>
  <c r="B5706" i="1"/>
  <c r="C5706" i="1"/>
  <c r="M5706" i="1"/>
  <c r="B5707" i="1"/>
  <c r="C5707" i="1"/>
  <c r="M5707" i="1"/>
  <c r="B5708" i="1"/>
  <c r="C5708" i="1"/>
  <c r="M5708" i="1"/>
  <c r="B5709" i="1"/>
  <c r="C5709" i="1"/>
  <c r="M5709" i="1"/>
  <c r="B5710" i="1"/>
  <c r="C5710" i="1"/>
  <c r="M5710" i="1"/>
  <c r="B5711" i="1"/>
  <c r="C5711" i="1"/>
  <c r="M5711" i="1"/>
  <c r="B5712" i="1"/>
  <c r="C5712" i="1"/>
  <c r="M5712" i="1"/>
  <c r="B5713" i="1"/>
  <c r="C5713" i="1"/>
  <c r="M5713" i="1"/>
  <c r="B5714" i="1"/>
  <c r="C5714" i="1"/>
  <c r="M5714" i="1"/>
  <c r="B5715" i="1"/>
  <c r="C5715" i="1"/>
  <c r="M5715" i="1"/>
  <c r="B5716" i="1"/>
  <c r="C5716" i="1"/>
  <c r="M5716" i="1"/>
  <c r="B5717" i="1"/>
  <c r="C5717" i="1"/>
  <c r="M5717" i="1"/>
  <c r="B5718" i="1"/>
  <c r="C5718" i="1"/>
  <c r="M5718" i="1"/>
  <c r="B5719" i="1"/>
  <c r="C5719" i="1"/>
  <c r="M5719" i="1"/>
  <c r="B5720" i="1"/>
  <c r="C5720" i="1"/>
  <c r="M5720" i="1"/>
  <c r="B5721" i="1"/>
  <c r="C5721" i="1"/>
  <c r="M5721" i="1"/>
  <c r="B5722" i="1"/>
  <c r="C5722" i="1"/>
  <c r="M5722" i="1"/>
  <c r="B5723" i="1"/>
  <c r="C5723" i="1"/>
  <c r="M5723" i="1"/>
  <c r="B5724" i="1"/>
  <c r="C5724" i="1"/>
  <c r="M5724" i="1"/>
  <c r="B5725" i="1"/>
  <c r="C5725" i="1"/>
  <c r="M5725" i="1"/>
  <c r="B5726" i="1"/>
  <c r="C5726" i="1"/>
  <c r="M5726" i="1"/>
  <c r="B5727" i="1"/>
  <c r="C5727" i="1"/>
  <c r="M5727" i="1"/>
  <c r="B5728" i="1"/>
  <c r="C5728" i="1"/>
  <c r="M5728" i="1"/>
  <c r="B5729" i="1"/>
  <c r="C5729" i="1"/>
  <c r="M5729" i="1"/>
  <c r="B5730" i="1"/>
  <c r="C5730" i="1"/>
  <c r="M5730" i="1"/>
  <c r="B5731" i="1"/>
  <c r="C5731" i="1"/>
  <c r="M5731" i="1"/>
  <c r="B5732" i="1"/>
  <c r="C5732" i="1"/>
  <c r="M5732" i="1"/>
  <c r="B5733" i="1"/>
  <c r="C5733" i="1"/>
  <c r="M5733" i="1"/>
  <c r="B5734" i="1"/>
  <c r="C5734" i="1"/>
  <c r="M5734" i="1"/>
  <c r="B5735" i="1"/>
  <c r="C5735" i="1"/>
  <c r="M5735" i="1"/>
  <c r="B5736" i="1"/>
  <c r="C5736" i="1"/>
  <c r="M5736" i="1"/>
  <c r="B5737" i="1"/>
  <c r="C5737" i="1"/>
  <c r="M5737" i="1"/>
  <c r="B5738" i="1"/>
  <c r="C5738" i="1"/>
  <c r="M5738" i="1"/>
  <c r="B5739" i="1"/>
  <c r="C5739" i="1"/>
  <c r="M5739" i="1"/>
  <c r="B5740" i="1"/>
  <c r="C5740" i="1"/>
  <c r="M5740" i="1"/>
  <c r="B5741" i="1"/>
  <c r="C5741" i="1"/>
  <c r="M5741" i="1"/>
  <c r="B5742" i="1"/>
  <c r="C5742" i="1"/>
  <c r="M5742" i="1"/>
  <c r="B5743" i="1"/>
  <c r="C5743" i="1"/>
  <c r="M5743" i="1"/>
  <c r="B5744" i="1"/>
  <c r="C5744" i="1"/>
  <c r="M5744" i="1"/>
  <c r="B5745" i="1"/>
  <c r="C5745" i="1"/>
  <c r="M5745" i="1"/>
  <c r="B5746" i="1"/>
  <c r="C5746" i="1"/>
  <c r="M5746" i="1"/>
  <c r="B5747" i="1"/>
  <c r="C5747" i="1"/>
  <c r="M5747" i="1"/>
  <c r="B5748" i="1"/>
  <c r="C5748" i="1"/>
  <c r="M5748" i="1"/>
  <c r="B5749" i="1"/>
  <c r="C5749" i="1"/>
  <c r="M5749" i="1"/>
  <c r="B5750" i="1"/>
  <c r="C5750" i="1"/>
  <c r="M5750" i="1"/>
  <c r="B5751" i="1"/>
  <c r="C5751" i="1"/>
  <c r="M5751" i="1"/>
  <c r="B5752" i="1"/>
  <c r="C5752" i="1"/>
  <c r="M5752" i="1"/>
  <c r="B5753" i="1"/>
  <c r="C5753" i="1"/>
  <c r="M5753" i="1"/>
  <c r="B5754" i="1"/>
  <c r="C5754" i="1"/>
  <c r="M5754" i="1"/>
  <c r="B5755" i="1"/>
  <c r="C5755" i="1"/>
  <c r="M5755" i="1"/>
  <c r="B5756" i="1"/>
  <c r="C5756" i="1"/>
  <c r="M5756" i="1"/>
  <c r="B5757" i="1"/>
  <c r="C5757" i="1"/>
  <c r="M5757" i="1"/>
  <c r="B5758" i="1"/>
  <c r="C5758" i="1"/>
  <c r="M5758" i="1"/>
  <c r="B5759" i="1"/>
  <c r="C5759" i="1"/>
  <c r="M5759" i="1"/>
  <c r="B5760" i="1"/>
  <c r="C5760" i="1"/>
  <c r="M5760" i="1"/>
  <c r="B5761" i="1"/>
  <c r="C5761" i="1"/>
  <c r="M5761" i="1"/>
  <c r="B5762" i="1"/>
  <c r="C5762" i="1"/>
  <c r="M5762" i="1"/>
  <c r="B5763" i="1"/>
  <c r="C5763" i="1"/>
  <c r="M5763" i="1"/>
  <c r="B5764" i="1"/>
  <c r="C5764" i="1"/>
  <c r="M5764" i="1"/>
  <c r="B5765" i="1"/>
  <c r="C5765" i="1"/>
  <c r="M5765" i="1"/>
  <c r="B5766" i="1"/>
  <c r="C5766" i="1"/>
  <c r="M5766" i="1"/>
  <c r="B5767" i="1"/>
  <c r="C5767" i="1"/>
  <c r="M5767" i="1"/>
  <c r="B5768" i="1"/>
  <c r="C5768" i="1"/>
  <c r="M5768" i="1"/>
  <c r="B5769" i="1"/>
  <c r="C5769" i="1"/>
  <c r="M5769" i="1"/>
  <c r="B5770" i="1"/>
  <c r="C5770" i="1"/>
  <c r="M5770" i="1"/>
  <c r="B5771" i="1"/>
  <c r="C5771" i="1"/>
  <c r="M5771" i="1"/>
  <c r="B5772" i="1"/>
  <c r="C5772" i="1"/>
  <c r="M5772" i="1"/>
  <c r="B5773" i="1"/>
  <c r="C5773" i="1"/>
  <c r="M5773" i="1"/>
  <c r="B5774" i="1"/>
  <c r="C5774" i="1"/>
  <c r="M5774" i="1"/>
  <c r="B5775" i="1"/>
  <c r="C5775" i="1"/>
  <c r="M5775" i="1"/>
  <c r="B5776" i="1"/>
  <c r="C5776" i="1"/>
  <c r="M5776" i="1"/>
  <c r="B5777" i="1"/>
  <c r="C5777" i="1"/>
  <c r="M5777" i="1"/>
  <c r="B5778" i="1"/>
  <c r="C5778" i="1"/>
  <c r="M5778" i="1"/>
  <c r="B5779" i="1"/>
  <c r="C5779" i="1"/>
  <c r="M5779" i="1"/>
  <c r="B5780" i="1"/>
  <c r="C5780" i="1"/>
  <c r="M5780" i="1"/>
  <c r="B5781" i="1"/>
  <c r="C5781" i="1"/>
  <c r="M5781" i="1"/>
  <c r="B5782" i="1"/>
  <c r="C5782" i="1"/>
  <c r="M5782" i="1"/>
  <c r="B5783" i="1"/>
  <c r="C5783" i="1"/>
  <c r="M5783" i="1"/>
  <c r="B5784" i="1"/>
  <c r="C5784" i="1"/>
  <c r="M5784" i="1"/>
  <c r="B5785" i="1"/>
  <c r="C5785" i="1"/>
  <c r="M5785" i="1"/>
  <c r="B5786" i="1"/>
  <c r="C5786" i="1"/>
  <c r="M5786" i="1"/>
  <c r="B5787" i="1"/>
  <c r="C5787" i="1"/>
  <c r="M5787" i="1"/>
  <c r="B5788" i="1"/>
  <c r="C5788" i="1"/>
  <c r="M5788" i="1"/>
  <c r="B5789" i="1"/>
  <c r="C5789" i="1"/>
  <c r="M5789" i="1"/>
  <c r="B5790" i="1"/>
  <c r="C5790" i="1"/>
  <c r="M5790" i="1"/>
  <c r="B5791" i="1"/>
  <c r="C5791" i="1"/>
  <c r="M5791" i="1"/>
  <c r="B5792" i="1"/>
  <c r="C5792" i="1"/>
  <c r="M5792" i="1"/>
  <c r="B5793" i="1"/>
  <c r="C5793" i="1"/>
  <c r="M5793" i="1"/>
  <c r="B5794" i="1"/>
  <c r="C5794" i="1"/>
  <c r="M5794" i="1"/>
  <c r="B5795" i="1"/>
  <c r="C5795" i="1"/>
  <c r="M5795" i="1"/>
  <c r="B5796" i="1"/>
  <c r="C5796" i="1"/>
  <c r="M5796" i="1"/>
  <c r="B5797" i="1"/>
  <c r="C5797" i="1"/>
  <c r="M5797" i="1"/>
  <c r="B5798" i="1"/>
  <c r="C5798" i="1"/>
  <c r="M5798" i="1"/>
  <c r="B5799" i="1"/>
  <c r="C5799" i="1"/>
  <c r="M5799" i="1"/>
  <c r="B5800" i="1"/>
  <c r="C5800" i="1"/>
  <c r="M5800" i="1"/>
  <c r="B5801" i="1"/>
  <c r="C5801" i="1"/>
  <c r="M5801" i="1"/>
  <c r="B5802" i="1"/>
  <c r="C5802" i="1"/>
  <c r="M5802" i="1"/>
  <c r="B5803" i="1"/>
  <c r="C5803" i="1"/>
  <c r="M5803" i="1"/>
  <c r="B5804" i="1"/>
  <c r="C5804" i="1"/>
  <c r="M5804" i="1"/>
  <c r="B5805" i="1"/>
  <c r="C5805" i="1"/>
  <c r="M5805" i="1"/>
  <c r="B5806" i="1"/>
  <c r="C5806" i="1"/>
  <c r="M5806" i="1"/>
  <c r="B5807" i="1"/>
  <c r="C5807" i="1"/>
  <c r="M5807" i="1"/>
  <c r="B5808" i="1"/>
  <c r="C5808" i="1"/>
  <c r="M5808" i="1"/>
  <c r="B5809" i="1"/>
  <c r="C5809" i="1"/>
  <c r="M5809" i="1"/>
  <c r="B5810" i="1"/>
  <c r="C5810" i="1"/>
  <c r="M5810" i="1"/>
  <c r="B5811" i="1"/>
  <c r="C5811" i="1"/>
  <c r="M5811" i="1"/>
  <c r="B5812" i="1"/>
  <c r="C5812" i="1"/>
  <c r="M5812" i="1"/>
  <c r="B5813" i="1"/>
  <c r="C5813" i="1"/>
  <c r="M5813" i="1"/>
  <c r="B5814" i="1"/>
  <c r="C5814" i="1"/>
  <c r="M5814" i="1"/>
  <c r="B5815" i="1"/>
  <c r="C5815" i="1"/>
  <c r="M5815" i="1"/>
  <c r="B5816" i="1"/>
  <c r="C5816" i="1"/>
  <c r="M5816" i="1"/>
  <c r="B5817" i="1"/>
  <c r="C5817" i="1"/>
  <c r="M5817" i="1"/>
  <c r="B5818" i="1"/>
  <c r="C5818" i="1"/>
  <c r="M5818" i="1"/>
  <c r="B5819" i="1"/>
  <c r="C5819" i="1"/>
  <c r="M5819" i="1"/>
  <c r="B5820" i="1"/>
  <c r="C5820" i="1"/>
  <c r="M5820" i="1"/>
  <c r="B5821" i="1"/>
  <c r="C5821" i="1"/>
  <c r="M5821" i="1"/>
  <c r="B5822" i="1"/>
  <c r="C5822" i="1"/>
  <c r="M5822" i="1"/>
  <c r="B5823" i="1"/>
  <c r="C5823" i="1"/>
  <c r="M5823" i="1"/>
  <c r="B5824" i="1"/>
  <c r="C5824" i="1"/>
  <c r="M5824" i="1"/>
  <c r="B5825" i="1"/>
  <c r="C5825" i="1"/>
  <c r="M5825" i="1"/>
  <c r="B5826" i="1"/>
  <c r="C5826" i="1"/>
  <c r="M5826" i="1"/>
  <c r="B5827" i="1"/>
  <c r="C5827" i="1"/>
  <c r="M5827" i="1"/>
  <c r="B5828" i="1"/>
  <c r="C5828" i="1"/>
  <c r="M5828" i="1"/>
  <c r="B5829" i="1"/>
  <c r="C5829" i="1"/>
  <c r="M5829" i="1"/>
  <c r="B5830" i="1"/>
  <c r="C5830" i="1"/>
  <c r="M5830" i="1"/>
  <c r="B5831" i="1"/>
  <c r="C5831" i="1"/>
  <c r="M5831" i="1"/>
  <c r="B5832" i="1"/>
  <c r="C5832" i="1"/>
  <c r="M5832" i="1"/>
  <c r="B5833" i="1"/>
  <c r="C5833" i="1"/>
  <c r="M5833" i="1"/>
  <c r="B5834" i="1"/>
  <c r="C5834" i="1"/>
  <c r="M5834" i="1"/>
  <c r="B5835" i="1"/>
  <c r="C5835" i="1"/>
  <c r="M5835" i="1"/>
  <c r="B5836" i="1"/>
  <c r="C5836" i="1"/>
  <c r="M5836" i="1"/>
  <c r="B5837" i="1"/>
  <c r="C5837" i="1"/>
  <c r="M5837" i="1"/>
  <c r="B5838" i="1"/>
  <c r="C5838" i="1"/>
  <c r="M5838" i="1"/>
  <c r="B5839" i="1"/>
  <c r="C5839" i="1"/>
  <c r="M5839" i="1"/>
  <c r="B5840" i="1"/>
  <c r="C5840" i="1"/>
  <c r="M5840" i="1"/>
  <c r="B5841" i="1"/>
  <c r="C5841" i="1"/>
  <c r="M5841" i="1"/>
  <c r="B5842" i="1"/>
  <c r="C5842" i="1"/>
  <c r="M5842" i="1"/>
  <c r="B5843" i="1"/>
  <c r="C5843" i="1"/>
  <c r="M5843" i="1"/>
  <c r="B5844" i="1"/>
  <c r="C5844" i="1"/>
  <c r="M5844" i="1"/>
  <c r="B5845" i="1"/>
  <c r="C5845" i="1"/>
  <c r="M5845" i="1"/>
  <c r="B5846" i="1"/>
  <c r="C5846" i="1"/>
  <c r="M5846" i="1"/>
  <c r="B5847" i="1"/>
  <c r="C5847" i="1"/>
  <c r="M5847" i="1"/>
  <c r="B5848" i="1"/>
  <c r="C5848" i="1"/>
  <c r="M5848" i="1"/>
  <c r="B5849" i="1"/>
  <c r="C5849" i="1"/>
  <c r="M5849" i="1"/>
  <c r="B5850" i="1"/>
  <c r="C5850" i="1"/>
  <c r="M5850" i="1"/>
  <c r="B5851" i="1"/>
  <c r="C5851" i="1"/>
  <c r="M5851" i="1"/>
  <c r="B5852" i="1"/>
  <c r="C5852" i="1"/>
  <c r="M5852" i="1"/>
  <c r="B5853" i="1"/>
  <c r="C5853" i="1"/>
  <c r="M5853" i="1"/>
  <c r="B5854" i="1"/>
  <c r="C5854" i="1"/>
  <c r="M5854" i="1"/>
  <c r="B5855" i="1"/>
  <c r="C5855" i="1"/>
  <c r="M5855" i="1"/>
  <c r="B5856" i="1"/>
  <c r="C5856" i="1"/>
  <c r="M5856" i="1"/>
  <c r="B5857" i="1"/>
  <c r="C5857" i="1"/>
  <c r="M5857" i="1"/>
  <c r="B5858" i="1"/>
  <c r="C5858" i="1"/>
  <c r="M5858" i="1"/>
  <c r="B5859" i="1"/>
  <c r="C5859" i="1"/>
  <c r="M5859" i="1"/>
  <c r="B5860" i="1"/>
  <c r="C5860" i="1"/>
  <c r="M5860" i="1"/>
  <c r="B5861" i="1"/>
  <c r="C5861" i="1"/>
  <c r="M5861" i="1"/>
  <c r="B5862" i="1"/>
  <c r="C5862" i="1"/>
  <c r="M5862" i="1"/>
  <c r="B5863" i="1"/>
  <c r="C5863" i="1"/>
  <c r="M5863" i="1"/>
  <c r="B5864" i="1"/>
  <c r="C5864" i="1"/>
  <c r="M5864" i="1"/>
  <c r="B5865" i="1"/>
  <c r="C5865" i="1"/>
  <c r="M5865" i="1"/>
  <c r="B5866" i="1"/>
  <c r="C5866" i="1"/>
  <c r="M5866" i="1"/>
  <c r="B5867" i="1"/>
  <c r="C5867" i="1"/>
  <c r="M5867" i="1"/>
  <c r="B5868" i="1"/>
  <c r="C5868" i="1"/>
  <c r="M5868" i="1"/>
  <c r="B5869" i="1"/>
  <c r="C5869" i="1"/>
  <c r="M5869" i="1"/>
  <c r="B5870" i="1"/>
  <c r="C5870" i="1"/>
  <c r="M5870" i="1"/>
  <c r="B5871" i="1"/>
  <c r="C5871" i="1"/>
  <c r="M5871" i="1"/>
  <c r="B5872" i="1"/>
  <c r="C5872" i="1"/>
  <c r="M5872" i="1"/>
  <c r="B5873" i="1"/>
  <c r="C5873" i="1"/>
  <c r="M5873" i="1"/>
  <c r="B5874" i="1"/>
  <c r="C5874" i="1"/>
  <c r="M5874" i="1"/>
  <c r="B5875" i="1"/>
  <c r="C5875" i="1"/>
  <c r="M5875" i="1"/>
  <c r="B5876" i="1"/>
  <c r="C5876" i="1"/>
  <c r="M5876" i="1"/>
  <c r="B5877" i="1"/>
  <c r="C5877" i="1"/>
  <c r="M5877" i="1"/>
  <c r="B5878" i="1"/>
  <c r="C5878" i="1"/>
  <c r="M5878" i="1"/>
  <c r="B5879" i="1"/>
  <c r="C5879" i="1"/>
  <c r="M5879" i="1"/>
  <c r="B5880" i="1"/>
  <c r="C5880" i="1"/>
  <c r="M5880" i="1"/>
  <c r="B5881" i="1"/>
  <c r="C5881" i="1"/>
  <c r="M5881" i="1"/>
  <c r="B5882" i="1"/>
  <c r="C5882" i="1"/>
  <c r="M5882" i="1"/>
  <c r="B5883" i="1"/>
  <c r="C5883" i="1"/>
  <c r="M5883" i="1"/>
  <c r="B5884" i="1"/>
  <c r="C5884" i="1"/>
  <c r="M5884" i="1"/>
  <c r="B5885" i="1"/>
  <c r="C5885" i="1"/>
  <c r="M5885" i="1"/>
  <c r="B5886" i="1"/>
  <c r="C5886" i="1"/>
  <c r="M5886" i="1"/>
  <c r="B5887" i="1"/>
  <c r="C5887" i="1"/>
  <c r="M5887" i="1"/>
  <c r="B5888" i="1"/>
  <c r="C5888" i="1"/>
  <c r="M5888" i="1"/>
  <c r="B5889" i="1"/>
  <c r="C5889" i="1"/>
  <c r="M5889" i="1"/>
  <c r="B5890" i="1"/>
  <c r="C5890" i="1"/>
  <c r="M5890" i="1"/>
  <c r="B5891" i="1"/>
  <c r="C5891" i="1"/>
  <c r="M5891" i="1"/>
  <c r="B5892" i="1"/>
  <c r="C5892" i="1"/>
  <c r="M5892" i="1"/>
  <c r="B5893" i="1"/>
  <c r="C5893" i="1"/>
  <c r="M5893" i="1"/>
  <c r="B5894" i="1"/>
  <c r="C5894" i="1"/>
  <c r="M5894" i="1"/>
  <c r="B5895" i="1"/>
  <c r="C5895" i="1"/>
  <c r="M5895" i="1"/>
  <c r="B5896" i="1"/>
  <c r="C5896" i="1"/>
  <c r="M5896" i="1"/>
  <c r="B5897" i="1"/>
  <c r="C5897" i="1"/>
  <c r="M5897" i="1"/>
  <c r="B5898" i="1"/>
  <c r="C5898" i="1"/>
  <c r="M5898" i="1"/>
  <c r="B5899" i="1"/>
  <c r="C5899" i="1"/>
  <c r="M5899" i="1"/>
  <c r="B5900" i="1"/>
  <c r="C5900" i="1"/>
  <c r="M5900" i="1"/>
  <c r="B5901" i="1"/>
  <c r="C5901" i="1"/>
  <c r="M5901" i="1"/>
  <c r="B5902" i="1"/>
  <c r="C5902" i="1"/>
  <c r="M5902" i="1"/>
  <c r="B5903" i="1"/>
  <c r="C5903" i="1"/>
  <c r="M5903" i="1"/>
  <c r="B5904" i="1"/>
  <c r="C5904" i="1"/>
  <c r="M5904" i="1"/>
  <c r="B5905" i="1"/>
  <c r="C5905" i="1"/>
  <c r="M5905" i="1"/>
  <c r="B5906" i="1"/>
  <c r="C5906" i="1"/>
  <c r="M5906" i="1"/>
  <c r="B5907" i="1"/>
  <c r="C5907" i="1"/>
  <c r="M5907" i="1"/>
  <c r="B5908" i="1"/>
  <c r="C5908" i="1"/>
  <c r="M5908" i="1"/>
  <c r="B5909" i="1"/>
  <c r="C5909" i="1"/>
  <c r="M5909" i="1"/>
  <c r="B5910" i="1"/>
  <c r="C5910" i="1"/>
  <c r="M5910" i="1"/>
  <c r="B5911" i="1"/>
  <c r="C5911" i="1"/>
  <c r="M5911" i="1"/>
  <c r="B5912" i="1"/>
  <c r="C5912" i="1"/>
  <c r="M5912" i="1"/>
  <c r="B5913" i="1"/>
  <c r="C5913" i="1"/>
  <c r="M5913" i="1"/>
  <c r="B5914" i="1"/>
  <c r="C5914" i="1"/>
  <c r="M5914" i="1"/>
  <c r="B5915" i="1"/>
  <c r="C5915" i="1"/>
  <c r="M5915" i="1"/>
  <c r="B5916" i="1"/>
  <c r="C5916" i="1"/>
  <c r="M5916" i="1"/>
  <c r="B5917" i="1"/>
  <c r="C5917" i="1"/>
  <c r="M5917" i="1"/>
  <c r="B5918" i="1"/>
  <c r="C5918" i="1"/>
  <c r="M5918" i="1"/>
  <c r="B5919" i="1"/>
  <c r="C5919" i="1"/>
  <c r="M5919" i="1"/>
  <c r="B5920" i="1"/>
  <c r="C5920" i="1"/>
  <c r="M5920" i="1"/>
  <c r="B5921" i="1"/>
  <c r="C5921" i="1"/>
  <c r="M5921" i="1"/>
  <c r="B5922" i="1"/>
  <c r="C5922" i="1"/>
  <c r="M5922" i="1"/>
  <c r="B5923" i="1"/>
  <c r="C5923" i="1"/>
  <c r="M5923" i="1"/>
  <c r="B5924" i="1"/>
  <c r="C5924" i="1"/>
  <c r="M5924" i="1"/>
  <c r="B5925" i="1"/>
  <c r="C5925" i="1"/>
  <c r="M5925" i="1"/>
  <c r="B5926" i="1"/>
  <c r="C5926" i="1"/>
  <c r="M5926" i="1"/>
  <c r="B5927" i="1"/>
  <c r="C5927" i="1"/>
  <c r="M5927" i="1"/>
  <c r="B5928" i="1"/>
  <c r="C5928" i="1"/>
  <c r="M5928" i="1"/>
  <c r="B5929" i="1"/>
  <c r="C5929" i="1"/>
  <c r="M5929" i="1"/>
  <c r="B5930" i="1"/>
  <c r="C5930" i="1"/>
  <c r="M5930" i="1"/>
  <c r="B5931" i="1"/>
  <c r="C5931" i="1"/>
  <c r="M5931" i="1"/>
  <c r="B5932" i="1"/>
  <c r="C5932" i="1"/>
  <c r="M5932" i="1"/>
  <c r="B5933" i="1"/>
  <c r="C5933" i="1"/>
  <c r="M5933" i="1"/>
  <c r="B5934" i="1"/>
  <c r="C5934" i="1"/>
  <c r="M5934" i="1"/>
  <c r="B5935" i="1"/>
  <c r="C5935" i="1"/>
  <c r="M5935" i="1"/>
  <c r="B5936" i="1"/>
  <c r="C5936" i="1"/>
  <c r="M5936" i="1"/>
  <c r="B5937" i="1"/>
  <c r="C5937" i="1"/>
  <c r="M5937" i="1"/>
  <c r="B5938" i="1"/>
  <c r="C5938" i="1"/>
  <c r="M5938" i="1"/>
  <c r="B5939" i="1"/>
  <c r="C5939" i="1"/>
  <c r="M5939" i="1"/>
  <c r="B5940" i="1"/>
  <c r="C5940" i="1"/>
  <c r="M5940" i="1"/>
  <c r="B5941" i="1"/>
  <c r="C5941" i="1"/>
  <c r="M5941" i="1"/>
  <c r="B5942" i="1"/>
  <c r="C5942" i="1"/>
  <c r="M5942" i="1"/>
  <c r="B5943" i="1"/>
  <c r="C5943" i="1"/>
  <c r="M5943" i="1"/>
  <c r="B5944" i="1"/>
  <c r="C5944" i="1"/>
  <c r="M5944" i="1"/>
  <c r="B5945" i="1"/>
  <c r="C5945" i="1"/>
  <c r="M5945" i="1"/>
  <c r="B5946" i="1"/>
  <c r="C5946" i="1"/>
  <c r="M5946" i="1"/>
  <c r="B5947" i="1"/>
  <c r="C5947" i="1"/>
  <c r="M5947" i="1"/>
  <c r="B5948" i="1"/>
  <c r="C5948" i="1"/>
  <c r="M5948" i="1"/>
  <c r="B5949" i="1"/>
  <c r="C5949" i="1"/>
  <c r="M5949" i="1"/>
  <c r="B5950" i="1"/>
  <c r="C5950" i="1"/>
  <c r="M5950" i="1"/>
  <c r="B5951" i="1"/>
  <c r="C5951" i="1"/>
  <c r="M5951" i="1"/>
  <c r="B5952" i="1"/>
  <c r="C5952" i="1"/>
  <c r="M5952" i="1"/>
  <c r="B5953" i="1"/>
  <c r="C5953" i="1"/>
  <c r="M5953" i="1"/>
  <c r="B5954" i="1"/>
  <c r="C5954" i="1"/>
  <c r="M5954" i="1"/>
  <c r="B5955" i="1"/>
  <c r="C5955" i="1"/>
  <c r="M5955" i="1"/>
  <c r="B5956" i="1"/>
  <c r="C5956" i="1"/>
  <c r="M5956" i="1"/>
  <c r="B5957" i="1"/>
  <c r="C5957" i="1"/>
  <c r="M5957" i="1"/>
  <c r="B5958" i="1"/>
  <c r="C5958" i="1"/>
  <c r="M5958" i="1"/>
  <c r="B5959" i="1"/>
  <c r="C5959" i="1"/>
  <c r="M5959" i="1"/>
  <c r="B5960" i="1"/>
  <c r="C5960" i="1"/>
  <c r="M5960" i="1"/>
  <c r="B5961" i="1"/>
  <c r="C5961" i="1"/>
  <c r="M5961" i="1"/>
  <c r="B5962" i="1"/>
  <c r="C5962" i="1"/>
  <c r="M5962" i="1"/>
  <c r="B5963" i="1"/>
  <c r="C5963" i="1"/>
  <c r="M5963" i="1"/>
  <c r="B5964" i="1"/>
  <c r="C5964" i="1"/>
  <c r="M5964" i="1"/>
  <c r="B5965" i="1"/>
  <c r="C5965" i="1"/>
  <c r="M5965" i="1"/>
  <c r="B5966" i="1"/>
  <c r="C5966" i="1"/>
  <c r="M5966" i="1"/>
  <c r="B5967" i="1"/>
  <c r="C5967" i="1"/>
  <c r="M5967" i="1"/>
  <c r="B5968" i="1"/>
  <c r="C5968" i="1"/>
  <c r="M5968" i="1"/>
  <c r="B5969" i="1"/>
  <c r="C5969" i="1"/>
  <c r="M5969" i="1"/>
  <c r="B5970" i="1"/>
  <c r="C5970" i="1"/>
  <c r="M5970" i="1"/>
  <c r="B5971" i="1"/>
  <c r="C5971" i="1"/>
  <c r="M5971" i="1"/>
  <c r="B5972" i="1"/>
  <c r="C5972" i="1"/>
  <c r="M5972" i="1"/>
  <c r="B5973" i="1"/>
  <c r="C5973" i="1"/>
  <c r="M5973" i="1"/>
  <c r="B5974" i="1"/>
  <c r="C5974" i="1"/>
  <c r="M5974" i="1"/>
  <c r="B5975" i="1"/>
  <c r="C5975" i="1"/>
  <c r="M5975" i="1"/>
  <c r="B5976" i="1"/>
  <c r="C5976" i="1"/>
  <c r="M5976" i="1"/>
  <c r="B5977" i="1"/>
  <c r="C5977" i="1"/>
  <c r="M5977" i="1"/>
  <c r="B5978" i="1"/>
  <c r="C5978" i="1"/>
  <c r="M5978" i="1"/>
  <c r="B5979" i="1"/>
  <c r="C5979" i="1"/>
  <c r="M5979" i="1"/>
  <c r="B5980" i="1"/>
  <c r="C5980" i="1"/>
  <c r="M5980" i="1"/>
  <c r="B5981" i="1"/>
  <c r="C5981" i="1"/>
  <c r="M5981" i="1"/>
  <c r="B5982" i="1"/>
  <c r="C5982" i="1"/>
  <c r="M5982" i="1"/>
  <c r="B5983" i="1"/>
  <c r="C5983" i="1"/>
  <c r="M5983" i="1"/>
  <c r="B5984" i="1"/>
  <c r="C5984" i="1"/>
  <c r="M5984" i="1"/>
  <c r="B5985" i="1"/>
  <c r="C5985" i="1"/>
  <c r="M5985" i="1"/>
  <c r="B5986" i="1"/>
  <c r="C5986" i="1"/>
  <c r="M5986" i="1"/>
  <c r="B5987" i="1"/>
  <c r="C5987" i="1"/>
  <c r="M5987" i="1"/>
  <c r="B5988" i="1"/>
  <c r="C5988" i="1"/>
  <c r="M5988" i="1"/>
  <c r="B5989" i="1"/>
  <c r="C5989" i="1"/>
  <c r="M5989" i="1"/>
  <c r="B5990" i="1"/>
  <c r="C5990" i="1"/>
  <c r="M5990" i="1"/>
  <c r="B5991" i="1"/>
  <c r="C5991" i="1"/>
  <c r="M5991" i="1"/>
  <c r="B5992" i="1"/>
  <c r="C5992" i="1"/>
  <c r="M5992" i="1"/>
  <c r="B5993" i="1"/>
  <c r="C5993" i="1"/>
  <c r="M5993" i="1"/>
  <c r="B5994" i="1"/>
  <c r="C5994" i="1"/>
  <c r="M5994" i="1"/>
  <c r="B5995" i="1"/>
  <c r="C5995" i="1"/>
  <c r="M5995" i="1"/>
  <c r="B5996" i="1"/>
  <c r="C5996" i="1"/>
  <c r="M5996" i="1"/>
  <c r="B5997" i="1"/>
  <c r="C5997" i="1"/>
  <c r="M5997" i="1"/>
  <c r="B5998" i="1"/>
  <c r="C5998" i="1"/>
  <c r="M5998" i="1"/>
  <c r="B5999" i="1"/>
  <c r="C5999" i="1"/>
  <c r="M5999" i="1"/>
  <c r="B6000" i="1"/>
  <c r="C6000" i="1"/>
  <c r="M6000" i="1"/>
  <c r="B6001" i="1"/>
  <c r="C6001" i="1"/>
  <c r="M6001" i="1"/>
  <c r="B6002" i="1"/>
  <c r="C6002" i="1"/>
  <c r="M6002" i="1"/>
  <c r="B6003" i="1"/>
  <c r="C6003" i="1"/>
  <c r="M6003" i="1"/>
  <c r="B6004" i="1"/>
  <c r="C6004" i="1"/>
  <c r="M6004" i="1"/>
  <c r="B6005" i="1"/>
  <c r="C6005" i="1"/>
  <c r="M6005" i="1"/>
  <c r="B6006" i="1"/>
  <c r="C6006" i="1"/>
  <c r="M6006" i="1"/>
  <c r="B6007" i="1"/>
  <c r="C6007" i="1"/>
  <c r="M6007" i="1"/>
  <c r="B6008" i="1"/>
  <c r="C6008" i="1"/>
  <c r="M6008" i="1"/>
  <c r="B6009" i="1"/>
  <c r="C6009" i="1"/>
  <c r="M6009" i="1"/>
  <c r="B6010" i="1"/>
  <c r="C6010" i="1"/>
  <c r="M6010" i="1"/>
  <c r="B6011" i="1"/>
  <c r="C6011" i="1"/>
  <c r="M6011" i="1"/>
  <c r="B6012" i="1"/>
  <c r="C6012" i="1"/>
  <c r="M6012" i="1"/>
  <c r="B6013" i="1"/>
  <c r="C6013" i="1"/>
  <c r="M6013" i="1"/>
  <c r="B6014" i="1"/>
  <c r="C6014" i="1"/>
  <c r="M6014" i="1"/>
  <c r="B6015" i="1"/>
  <c r="C6015" i="1"/>
  <c r="M6015" i="1"/>
  <c r="B6016" i="1"/>
  <c r="C6016" i="1"/>
  <c r="M6016" i="1"/>
  <c r="B6017" i="1"/>
  <c r="C6017" i="1"/>
  <c r="M6017" i="1"/>
  <c r="B6018" i="1"/>
  <c r="C6018" i="1"/>
  <c r="M6018" i="1"/>
  <c r="B6019" i="1"/>
  <c r="C6019" i="1"/>
  <c r="M6019" i="1"/>
  <c r="B6020" i="1"/>
  <c r="C6020" i="1"/>
  <c r="M6020" i="1"/>
  <c r="B6021" i="1"/>
  <c r="C6021" i="1"/>
  <c r="M6021" i="1"/>
  <c r="B6022" i="1"/>
  <c r="C6022" i="1"/>
  <c r="M6022" i="1"/>
  <c r="B6023" i="1"/>
  <c r="C6023" i="1"/>
  <c r="M6023" i="1"/>
  <c r="B6024" i="1"/>
  <c r="C6024" i="1"/>
  <c r="M6024" i="1"/>
  <c r="B6025" i="1"/>
  <c r="C6025" i="1"/>
  <c r="M6025" i="1"/>
  <c r="B6026" i="1"/>
  <c r="C6026" i="1"/>
  <c r="M6026" i="1"/>
  <c r="B6027" i="1"/>
  <c r="C6027" i="1"/>
  <c r="M6027" i="1"/>
  <c r="B6028" i="1"/>
  <c r="C6028" i="1"/>
  <c r="M6028" i="1"/>
  <c r="B6029" i="1"/>
  <c r="C6029" i="1"/>
  <c r="M6029" i="1"/>
  <c r="B6030" i="1"/>
  <c r="C6030" i="1"/>
  <c r="M6030" i="1"/>
  <c r="B6031" i="1"/>
  <c r="C6031" i="1"/>
  <c r="M6031" i="1"/>
  <c r="B6032" i="1"/>
  <c r="C6032" i="1"/>
  <c r="M6032" i="1"/>
  <c r="B6033" i="1"/>
  <c r="C6033" i="1"/>
  <c r="M6033" i="1"/>
  <c r="B6034" i="1"/>
  <c r="C6034" i="1"/>
  <c r="M6034" i="1"/>
  <c r="B6035" i="1"/>
  <c r="C6035" i="1"/>
  <c r="M6035" i="1"/>
  <c r="B6036" i="1"/>
  <c r="C6036" i="1"/>
  <c r="M6036" i="1"/>
  <c r="B6037" i="1"/>
  <c r="C6037" i="1"/>
  <c r="M6037" i="1"/>
  <c r="B6038" i="1"/>
  <c r="C6038" i="1"/>
  <c r="M6038" i="1"/>
  <c r="B6039" i="1"/>
  <c r="C6039" i="1"/>
  <c r="M6039" i="1"/>
  <c r="B6040" i="1"/>
  <c r="C6040" i="1"/>
  <c r="M6040" i="1"/>
  <c r="B6041" i="1"/>
  <c r="C6041" i="1"/>
  <c r="M6041" i="1"/>
  <c r="B6042" i="1"/>
  <c r="C6042" i="1"/>
  <c r="M6042" i="1"/>
  <c r="B6043" i="1"/>
  <c r="C6043" i="1"/>
  <c r="M6043" i="1"/>
  <c r="B6044" i="1"/>
  <c r="C6044" i="1"/>
  <c r="M6044" i="1"/>
  <c r="B6045" i="1"/>
  <c r="C6045" i="1"/>
  <c r="M6045" i="1"/>
  <c r="B6046" i="1"/>
  <c r="C6046" i="1"/>
  <c r="M6046" i="1"/>
  <c r="B6047" i="1"/>
  <c r="C6047" i="1"/>
  <c r="M6047" i="1"/>
  <c r="B6048" i="1"/>
  <c r="C6048" i="1"/>
  <c r="M6048" i="1"/>
  <c r="B6049" i="1"/>
  <c r="C6049" i="1"/>
  <c r="M6049" i="1"/>
  <c r="B6050" i="1"/>
  <c r="C6050" i="1"/>
  <c r="M6050" i="1"/>
  <c r="B6051" i="1"/>
  <c r="C6051" i="1"/>
  <c r="M6051" i="1"/>
  <c r="B6052" i="1"/>
  <c r="C6052" i="1"/>
  <c r="M6052" i="1"/>
  <c r="B6053" i="1"/>
  <c r="C6053" i="1"/>
  <c r="M6053" i="1"/>
  <c r="B6054" i="1"/>
  <c r="C6054" i="1"/>
  <c r="M6054" i="1"/>
  <c r="B6055" i="1"/>
  <c r="C6055" i="1"/>
  <c r="M6055" i="1"/>
  <c r="B6056" i="1"/>
  <c r="C6056" i="1"/>
  <c r="M6056" i="1"/>
  <c r="B6057" i="1"/>
  <c r="C6057" i="1"/>
  <c r="M6057" i="1"/>
  <c r="B6058" i="1"/>
  <c r="C6058" i="1"/>
  <c r="M6058" i="1"/>
  <c r="B6059" i="1"/>
  <c r="C6059" i="1"/>
  <c r="M6059" i="1"/>
  <c r="B6060" i="1"/>
  <c r="C6060" i="1"/>
  <c r="M6060" i="1"/>
  <c r="B6061" i="1"/>
  <c r="C6061" i="1"/>
  <c r="M6061" i="1"/>
  <c r="B6062" i="1"/>
  <c r="C6062" i="1"/>
  <c r="M6062" i="1"/>
  <c r="B6063" i="1"/>
  <c r="C6063" i="1"/>
  <c r="M6063" i="1"/>
  <c r="B6064" i="1"/>
  <c r="C6064" i="1"/>
  <c r="M6064" i="1"/>
  <c r="B6065" i="1"/>
  <c r="C6065" i="1"/>
  <c r="M6065" i="1"/>
  <c r="B6066" i="1"/>
  <c r="C6066" i="1"/>
  <c r="M6066" i="1"/>
  <c r="B6067" i="1"/>
  <c r="C6067" i="1"/>
  <c r="M6067" i="1"/>
  <c r="B6068" i="1"/>
  <c r="C6068" i="1"/>
  <c r="M6068" i="1"/>
  <c r="B6069" i="1"/>
  <c r="C6069" i="1"/>
  <c r="M6069" i="1"/>
  <c r="B6070" i="1"/>
  <c r="C6070" i="1"/>
  <c r="M6070" i="1"/>
  <c r="B6071" i="1"/>
  <c r="C6071" i="1"/>
  <c r="M6071" i="1"/>
  <c r="B6072" i="1"/>
  <c r="C6072" i="1"/>
  <c r="M6072" i="1"/>
  <c r="B6073" i="1"/>
  <c r="C6073" i="1"/>
  <c r="M6073" i="1"/>
  <c r="B6074" i="1"/>
  <c r="C6074" i="1"/>
  <c r="M6074" i="1"/>
  <c r="B6075" i="1"/>
  <c r="C6075" i="1"/>
  <c r="M6075" i="1"/>
  <c r="B6076" i="1"/>
  <c r="C6076" i="1"/>
  <c r="M6076" i="1"/>
  <c r="B6077" i="1"/>
  <c r="C6077" i="1"/>
  <c r="M6077" i="1"/>
  <c r="B6078" i="1"/>
  <c r="C6078" i="1"/>
  <c r="M6078" i="1"/>
  <c r="B6079" i="1"/>
  <c r="C6079" i="1"/>
  <c r="M6079" i="1"/>
  <c r="B6080" i="1"/>
  <c r="C6080" i="1"/>
  <c r="M6080" i="1"/>
  <c r="B6081" i="1"/>
  <c r="C6081" i="1"/>
  <c r="M6081" i="1"/>
  <c r="B6082" i="1"/>
  <c r="C6082" i="1"/>
  <c r="M6082" i="1"/>
  <c r="B6083" i="1"/>
  <c r="C6083" i="1"/>
  <c r="M6083" i="1"/>
  <c r="B6084" i="1"/>
  <c r="C6084" i="1"/>
  <c r="M6084" i="1"/>
  <c r="B6085" i="1"/>
  <c r="C6085" i="1"/>
  <c r="M6085" i="1"/>
  <c r="B6086" i="1"/>
  <c r="C6086" i="1"/>
  <c r="M6086" i="1"/>
  <c r="B6087" i="1"/>
  <c r="C6087" i="1"/>
  <c r="M6087" i="1"/>
  <c r="B6088" i="1"/>
  <c r="C6088" i="1"/>
  <c r="M6088" i="1"/>
  <c r="B6089" i="1"/>
  <c r="C6089" i="1"/>
  <c r="M6089" i="1"/>
  <c r="B6090" i="1"/>
  <c r="C6090" i="1"/>
  <c r="M6090" i="1"/>
  <c r="B6091" i="1"/>
  <c r="C6091" i="1"/>
  <c r="M6091" i="1"/>
  <c r="B6092" i="1"/>
  <c r="C6092" i="1"/>
  <c r="M6092" i="1"/>
  <c r="B6093" i="1"/>
  <c r="C6093" i="1"/>
  <c r="M6093" i="1"/>
  <c r="B6094" i="1"/>
  <c r="C6094" i="1"/>
  <c r="M6094" i="1"/>
  <c r="B6095" i="1"/>
  <c r="C6095" i="1"/>
  <c r="M6095" i="1"/>
  <c r="B6096" i="1"/>
  <c r="C6096" i="1"/>
  <c r="M6096" i="1"/>
  <c r="B6097" i="1"/>
  <c r="C6097" i="1"/>
  <c r="M6097" i="1"/>
  <c r="B6098" i="1"/>
  <c r="C6098" i="1"/>
  <c r="M6098" i="1"/>
  <c r="B6099" i="1"/>
  <c r="C6099" i="1"/>
  <c r="M6099" i="1"/>
  <c r="B6100" i="1"/>
  <c r="C6100" i="1"/>
  <c r="M6100" i="1"/>
  <c r="B6101" i="1"/>
  <c r="C6101" i="1"/>
  <c r="M6101" i="1"/>
  <c r="B6102" i="1"/>
  <c r="C6102" i="1"/>
  <c r="M6102" i="1"/>
  <c r="B6103" i="1"/>
  <c r="C6103" i="1"/>
  <c r="M6103" i="1"/>
  <c r="B6104" i="1"/>
  <c r="C6104" i="1"/>
  <c r="M6104" i="1"/>
  <c r="B6105" i="1"/>
  <c r="C6105" i="1"/>
  <c r="M6105" i="1"/>
  <c r="B6106" i="1"/>
  <c r="C6106" i="1"/>
  <c r="M6106" i="1"/>
  <c r="B6107" i="1"/>
  <c r="C6107" i="1"/>
  <c r="M6107" i="1"/>
  <c r="B6108" i="1"/>
  <c r="C6108" i="1"/>
  <c r="M6108" i="1"/>
  <c r="B6109" i="1"/>
  <c r="C6109" i="1"/>
  <c r="M6109" i="1"/>
  <c r="B6110" i="1"/>
  <c r="C6110" i="1"/>
  <c r="M6110" i="1"/>
  <c r="B6111" i="1"/>
  <c r="C6111" i="1"/>
  <c r="M6111" i="1"/>
  <c r="B6112" i="1"/>
  <c r="C6112" i="1"/>
  <c r="M6112" i="1"/>
  <c r="B6113" i="1"/>
  <c r="C6113" i="1"/>
  <c r="M6113" i="1"/>
  <c r="B6114" i="1"/>
  <c r="C6114" i="1"/>
  <c r="M6114" i="1"/>
  <c r="B6115" i="1"/>
  <c r="C6115" i="1"/>
  <c r="M6115" i="1"/>
  <c r="B6116" i="1"/>
  <c r="C6116" i="1"/>
  <c r="M6116" i="1"/>
  <c r="B6117" i="1"/>
  <c r="C6117" i="1"/>
  <c r="M6117" i="1"/>
  <c r="B6118" i="1"/>
  <c r="C6118" i="1"/>
  <c r="M6118" i="1"/>
  <c r="B6119" i="1"/>
  <c r="C6119" i="1"/>
  <c r="M6119" i="1"/>
  <c r="B6120" i="1"/>
  <c r="C6120" i="1"/>
  <c r="M6120" i="1"/>
  <c r="B6121" i="1"/>
  <c r="C6121" i="1"/>
  <c r="M6121" i="1"/>
  <c r="B6122" i="1"/>
  <c r="C6122" i="1"/>
  <c r="M6122" i="1"/>
  <c r="B6123" i="1"/>
  <c r="C6123" i="1"/>
  <c r="M6123" i="1"/>
  <c r="B6124" i="1"/>
  <c r="C6124" i="1"/>
  <c r="M6124" i="1"/>
  <c r="B6125" i="1"/>
  <c r="C6125" i="1"/>
  <c r="M6125" i="1"/>
  <c r="B6126" i="1"/>
  <c r="C6126" i="1"/>
  <c r="M6126" i="1"/>
  <c r="B6127" i="1"/>
  <c r="C6127" i="1"/>
  <c r="M6127" i="1"/>
  <c r="B6128" i="1"/>
  <c r="C6128" i="1"/>
  <c r="M6128" i="1"/>
  <c r="B6129" i="1"/>
  <c r="C6129" i="1"/>
  <c r="M6129" i="1"/>
  <c r="B6130" i="1"/>
  <c r="C6130" i="1"/>
  <c r="M6130" i="1"/>
  <c r="B6131" i="1"/>
  <c r="C6131" i="1"/>
  <c r="M6131" i="1"/>
  <c r="B6132" i="1"/>
  <c r="C6132" i="1"/>
  <c r="M6132" i="1"/>
  <c r="B6133" i="1"/>
  <c r="C6133" i="1"/>
  <c r="M6133" i="1"/>
  <c r="B6134" i="1"/>
  <c r="C6134" i="1"/>
  <c r="M6134" i="1"/>
  <c r="B6135" i="1"/>
  <c r="C6135" i="1"/>
  <c r="M6135" i="1"/>
  <c r="B6136" i="1"/>
  <c r="C6136" i="1"/>
  <c r="M6136" i="1"/>
  <c r="B6137" i="1"/>
  <c r="C6137" i="1"/>
  <c r="M6137" i="1"/>
  <c r="B6138" i="1"/>
  <c r="C6138" i="1"/>
  <c r="M6138" i="1"/>
  <c r="B6139" i="1"/>
  <c r="C6139" i="1"/>
  <c r="M6139" i="1"/>
  <c r="B6140" i="1"/>
  <c r="C6140" i="1"/>
  <c r="M6140" i="1"/>
  <c r="B6141" i="1"/>
  <c r="C6141" i="1"/>
  <c r="M6141" i="1"/>
  <c r="B6142" i="1"/>
  <c r="C6142" i="1"/>
  <c r="M6142" i="1"/>
  <c r="B6143" i="1"/>
  <c r="C6143" i="1"/>
  <c r="M6143" i="1"/>
  <c r="B6144" i="1"/>
  <c r="C6144" i="1"/>
  <c r="M6144" i="1"/>
  <c r="B6145" i="1"/>
  <c r="C6145" i="1"/>
  <c r="M6145" i="1"/>
  <c r="B6146" i="1"/>
  <c r="C6146" i="1"/>
  <c r="M6146" i="1"/>
  <c r="B6147" i="1"/>
  <c r="C6147" i="1"/>
  <c r="M6147" i="1"/>
  <c r="B6148" i="1"/>
  <c r="C6148" i="1"/>
  <c r="M6148" i="1"/>
  <c r="B6149" i="1"/>
  <c r="C6149" i="1"/>
  <c r="M6149" i="1"/>
  <c r="B6150" i="1"/>
  <c r="C6150" i="1"/>
  <c r="M6150" i="1"/>
  <c r="B6151" i="1"/>
  <c r="C6151" i="1"/>
  <c r="M6151" i="1"/>
  <c r="B6152" i="1"/>
  <c r="C6152" i="1"/>
  <c r="M6152" i="1"/>
  <c r="B6153" i="1"/>
  <c r="C6153" i="1"/>
  <c r="M6153" i="1"/>
  <c r="B6154" i="1"/>
  <c r="C6154" i="1"/>
  <c r="M6154" i="1"/>
  <c r="B6155" i="1"/>
  <c r="C6155" i="1"/>
  <c r="M6155" i="1"/>
  <c r="B6156" i="1"/>
  <c r="C6156" i="1"/>
  <c r="M6156" i="1"/>
  <c r="B6157" i="1"/>
  <c r="C6157" i="1"/>
  <c r="M6157" i="1"/>
  <c r="B6158" i="1"/>
  <c r="C6158" i="1"/>
  <c r="M6158" i="1"/>
  <c r="B6159" i="1"/>
  <c r="C6159" i="1"/>
  <c r="M6159" i="1"/>
  <c r="B6160" i="1"/>
  <c r="C6160" i="1"/>
  <c r="M6160" i="1"/>
  <c r="B6161" i="1"/>
  <c r="C6161" i="1"/>
  <c r="M6161" i="1"/>
  <c r="B6162" i="1"/>
  <c r="C6162" i="1"/>
  <c r="M6162" i="1"/>
  <c r="B6163" i="1"/>
  <c r="C6163" i="1"/>
  <c r="M6163" i="1"/>
  <c r="B6164" i="1"/>
  <c r="C6164" i="1"/>
  <c r="M6164" i="1"/>
  <c r="B6165" i="1"/>
  <c r="C6165" i="1"/>
  <c r="M6165" i="1"/>
  <c r="B6166" i="1"/>
  <c r="C6166" i="1"/>
  <c r="M6166" i="1"/>
  <c r="B6167" i="1"/>
  <c r="C6167" i="1"/>
  <c r="M6167" i="1"/>
  <c r="B6168" i="1"/>
  <c r="C6168" i="1"/>
  <c r="M6168" i="1"/>
  <c r="B6169" i="1"/>
  <c r="C6169" i="1"/>
  <c r="M6169" i="1"/>
  <c r="B6170" i="1"/>
  <c r="C6170" i="1"/>
  <c r="M6170" i="1"/>
  <c r="B6171" i="1"/>
  <c r="C6171" i="1"/>
  <c r="M6171" i="1"/>
  <c r="B6172" i="1"/>
  <c r="C6172" i="1"/>
  <c r="M6172" i="1"/>
  <c r="B6173" i="1"/>
  <c r="C6173" i="1"/>
  <c r="M6173" i="1"/>
  <c r="B6174" i="1"/>
  <c r="C6174" i="1"/>
  <c r="M6174" i="1"/>
  <c r="B6175" i="1"/>
  <c r="C6175" i="1"/>
  <c r="M6175" i="1"/>
  <c r="B6176" i="1"/>
  <c r="C6176" i="1"/>
  <c r="M6176" i="1"/>
  <c r="B6177" i="1"/>
  <c r="C6177" i="1"/>
  <c r="M6177" i="1"/>
  <c r="B6178" i="1"/>
  <c r="C6178" i="1"/>
  <c r="M6178" i="1"/>
  <c r="B6179" i="1"/>
  <c r="C6179" i="1"/>
  <c r="M6179" i="1"/>
  <c r="B6180" i="1"/>
  <c r="C6180" i="1"/>
  <c r="M6180" i="1"/>
  <c r="B6181" i="1"/>
  <c r="C6181" i="1"/>
  <c r="M6181" i="1"/>
  <c r="B6182" i="1"/>
  <c r="C6182" i="1"/>
  <c r="M6182" i="1"/>
  <c r="B6183" i="1"/>
  <c r="C6183" i="1"/>
  <c r="M6183" i="1"/>
  <c r="B6184" i="1"/>
  <c r="C6184" i="1"/>
  <c r="M6184" i="1"/>
  <c r="B6185" i="1"/>
  <c r="C6185" i="1"/>
  <c r="M6185" i="1"/>
  <c r="B6186" i="1"/>
  <c r="C6186" i="1"/>
  <c r="M6186" i="1"/>
  <c r="B6187" i="1"/>
  <c r="C6187" i="1"/>
  <c r="M6187" i="1"/>
  <c r="B6188" i="1"/>
  <c r="C6188" i="1"/>
  <c r="M6188" i="1"/>
  <c r="B6189" i="1"/>
  <c r="C6189" i="1"/>
  <c r="M6189" i="1"/>
  <c r="B6190" i="1"/>
  <c r="C6190" i="1"/>
  <c r="M6190" i="1"/>
  <c r="B6191" i="1"/>
  <c r="C6191" i="1"/>
  <c r="M6191" i="1"/>
  <c r="B6192" i="1"/>
  <c r="C6192" i="1"/>
  <c r="M6192" i="1"/>
  <c r="B6193" i="1"/>
  <c r="C6193" i="1"/>
  <c r="M6193" i="1"/>
  <c r="B6194" i="1"/>
  <c r="C6194" i="1"/>
  <c r="M6194" i="1"/>
  <c r="B6195" i="1"/>
  <c r="C6195" i="1"/>
  <c r="M6195" i="1"/>
  <c r="B6196" i="1"/>
  <c r="C6196" i="1"/>
  <c r="M6196" i="1"/>
  <c r="B6197" i="1"/>
  <c r="C6197" i="1"/>
  <c r="M6197" i="1"/>
  <c r="B6198" i="1"/>
  <c r="C6198" i="1"/>
  <c r="M6198" i="1"/>
  <c r="B6199" i="1"/>
  <c r="C6199" i="1"/>
  <c r="M6199" i="1"/>
  <c r="B6200" i="1"/>
  <c r="C6200" i="1"/>
  <c r="M6200" i="1"/>
  <c r="B6201" i="1"/>
  <c r="C6201" i="1"/>
  <c r="M6201" i="1"/>
  <c r="B6202" i="1"/>
  <c r="C6202" i="1"/>
  <c r="M6202" i="1"/>
  <c r="B6203" i="1"/>
  <c r="C6203" i="1"/>
  <c r="M6203" i="1"/>
  <c r="B6204" i="1"/>
  <c r="C6204" i="1"/>
  <c r="M6204" i="1"/>
  <c r="B6205" i="1"/>
  <c r="C6205" i="1"/>
  <c r="M6205" i="1"/>
  <c r="B6206" i="1"/>
  <c r="C6206" i="1"/>
  <c r="M6206" i="1"/>
  <c r="B6207" i="1"/>
  <c r="C6207" i="1"/>
  <c r="M6207" i="1"/>
  <c r="B6208" i="1"/>
  <c r="C6208" i="1"/>
  <c r="M6208" i="1"/>
  <c r="B6209" i="1"/>
  <c r="C6209" i="1"/>
  <c r="M6209" i="1"/>
  <c r="B6210" i="1"/>
  <c r="C6210" i="1"/>
  <c r="M6210" i="1"/>
  <c r="B6211" i="1"/>
  <c r="C6211" i="1"/>
  <c r="M6211" i="1"/>
  <c r="B6212" i="1"/>
  <c r="C6212" i="1"/>
  <c r="M6212" i="1"/>
  <c r="B6213" i="1"/>
  <c r="C6213" i="1"/>
  <c r="M6213" i="1"/>
  <c r="B6214" i="1"/>
  <c r="C6214" i="1"/>
  <c r="M6214" i="1"/>
  <c r="B6215" i="1"/>
  <c r="C6215" i="1"/>
  <c r="M6215" i="1"/>
  <c r="B6216" i="1"/>
  <c r="C6216" i="1"/>
  <c r="M6216" i="1"/>
  <c r="B6217" i="1"/>
  <c r="C6217" i="1"/>
  <c r="M6217" i="1"/>
  <c r="B6218" i="1"/>
  <c r="C6218" i="1"/>
  <c r="M6218" i="1"/>
  <c r="B6219" i="1"/>
  <c r="C6219" i="1"/>
  <c r="M6219" i="1"/>
  <c r="B6220" i="1"/>
  <c r="C6220" i="1"/>
  <c r="M6220" i="1"/>
  <c r="B6221" i="1"/>
  <c r="C6221" i="1"/>
  <c r="M6221" i="1"/>
  <c r="B6222" i="1"/>
  <c r="C6222" i="1"/>
  <c r="M6222" i="1"/>
  <c r="B6223" i="1"/>
  <c r="C6223" i="1"/>
  <c r="M6223" i="1"/>
  <c r="B6224" i="1"/>
  <c r="C6224" i="1"/>
  <c r="M6224" i="1"/>
  <c r="B6225" i="1"/>
  <c r="C6225" i="1"/>
  <c r="M6225" i="1"/>
  <c r="B6226" i="1"/>
  <c r="C6226" i="1"/>
  <c r="M6226" i="1"/>
  <c r="B6227" i="1"/>
  <c r="C6227" i="1"/>
  <c r="M6227" i="1"/>
  <c r="B6228" i="1"/>
  <c r="C6228" i="1"/>
  <c r="M6228" i="1"/>
  <c r="B6229" i="1"/>
  <c r="C6229" i="1"/>
  <c r="M6229" i="1"/>
  <c r="B6230" i="1"/>
  <c r="C6230" i="1"/>
  <c r="M6230" i="1"/>
  <c r="B6231" i="1"/>
  <c r="C6231" i="1"/>
  <c r="M6231" i="1"/>
  <c r="B6232" i="1"/>
  <c r="C6232" i="1"/>
  <c r="M6232" i="1"/>
  <c r="B6233" i="1"/>
  <c r="C6233" i="1"/>
  <c r="M6233" i="1"/>
  <c r="B6234" i="1"/>
  <c r="C6234" i="1"/>
  <c r="M6234" i="1"/>
  <c r="B6235" i="1"/>
  <c r="C6235" i="1"/>
  <c r="M6235" i="1"/>
  <c r="B6236" i="1"/>
  <c r="C6236" i="1"/>
  <c r="M6236" i="1"/>
  <c r="B6237" i="1"/>
  <c r="C6237" i="1"/>
  <c r="M6237" i="1"/>
  <c r="B6238" i="1"/>
  <c r="C6238" i="1"/>
  <c r="M6238" i="1"/>
  <c r="B6239" i="1"/>
  <c r="C6239" i="1"/>
  <c r="M6239" i="1"/>
  <c r="B6240" i="1"/>
  <c r="C6240" i="1"/>
  <c r="M6240" i="1"/>
  <c r="B6241" i="1"/>
  <c r="C6241" i="1"/>
  <c r="M6241" i="1"/>
  <c r="B6242" i="1"/>
  <c r="C6242" i="1"/>
  <c r="M6242" i="1"/>
  <c r="B6243" i="1"/>
  <c r="C6243" i="1"/>
  <c r="M6243" i="1"/>
  <c r="B6244" i="1"/>
  <c r="C6244" i="1"/>
  <c r="M6244" i="1"/>
  <c r="B6245" i="1"/>
  <c r="C6245" i="1"/>
  <c r="M6245" i="1"/>
  <c r="B6246" i="1"/>
  <c r="C6246" i="1"/>
  <c r="M6246" i="1"/>
  <c r="B6247" i="1"/>
  <c r="C6247" i="1"/>
  <c r="M6247" i="1"/>
  <c r="B6248" i="1"/>
  <c r="C6248" i="1"/>
  <c r="M6248" i="1"/>
  <c r="B6249" i="1"/>
  <c r="C6249" i="1"/>
  <c r="M6249" i="1"/>
  <c r="B6250" i="1"/>
  <c r="C6250" i="1"/>
  <c r="M6250" i="1"/>
  <c r="B6251" i="1"/>
  <c r="C6251" i="1"/>
  <c r="M6251" i="1"/>
  <c r="B6252" i="1"/>
  <c r="C6252" i="1"/>
  <c r="M6252" i="1"/>
  <c r="B6253" i="1"/>
  <c r="C6253" i="1"/>
  <c r="M6253" i="1"/>
  <c r="B6254" i="1"/>
  <c r="C6254" i="1"/>
  <c r="M6254" i="1"/>
  <c r="B6255" i="1"/>
  <c r="C6255" i="1"/>
  <c r="M6255" i="1"/>
  <c r="B6256" i="1"/>
  <c r="C6256" i="1"/>
  <c r="M6256" i="1"/>
  <c r="B6257" i="1"/>
  <c r="C6257" i="1"/>
  <c r="M6257" i="1"/>
  <c r="B6258" i="1"/>
  <c r="C6258" i="1"/>
  <c r="M6258" i="1"/>
  <c r="B6259" i="1"/>
  <c r="C6259" i="1"/>
  <c r="M6259" i="1"/>
  <c r="B6260" i="1"/>
  <c r="C6260" i="1"/>
  <c r="M6260" i="1"/>
  <c r="B6261" i="1"/>
  <c r="C6261" i="1"/>
  <c r="M6261" i="1"/>
  <c r="B6262" i="1"/>
  <c r="C6262" i="1"/>
  <c r="M6262" i="1"/>
  <c r="B6263" i="1"/>
  <c r="C6263" i="1"/>
  <c r="M6263" i="1"/>
  <c r="B6264" i="1"/>
  <c r="C6264" i="1"/>
  <c r="M6264" i="1"/>
  <c r="B6265" i="1"/>
  <c r="C6265" i="1"/>
  <c r="M6265" i="1"/>
  <c r="B6266" i="1"/>
  <c r="C6266" i="1"/>
  <c r="M6266" i="1"/>
  <c r="B6267" i="1"/>
  <c r="C6267" i="1"/>
  <c r="M6267" i="1"/>
  <c r="B6268" i="1"/>
  <c r="C6268" i="1"/>
  <c r="M6268" i="1"/>
  <c r="B6269" i="1"/>
  <c r="C6269" i="1"/>
  <c r="M6269" i="1"/>
  <c r="B6270" i="1"/>
  <c r="C6270" i="1"/>
  <c r="M6270" i="1"/>
  <c r="B6271" i="1"/>
  <c r="C6271" i="1"/>
  <c r="M6271" i="1"/>
  <c r="B6272" i="1"/>
  <c r="C6272" i="1"/>
  <c r="M6272" i="1"/>
  <c r="B6273" i="1"/>
  <c r="C6273" i="1"/>
  <c r="M6273" i="1"/>
  <c r="B6274" i="1"/>
  <c r="C6274" i="1"/>
  <c r="M6274" i="1"/>
  <c r="B6275" i="1"/>
  <c r="C6275" i="1"/>
  <c r="M6275" i="1"/>
  <c r="B6276" i="1"/>
  <c r="C6276" i="1"/>
  <c r="M6276" i="1"/>
  <c r="B6277" i="1"/>
  <c r="C6277" i="1"/>
  <c r="M6277" i="1"/>
  <c r="B6278" i="1"/>
  <c r="C6278" i="1"/>
  <c r="M6278" i="1"/>
  <c r="B6279" i="1"/>
  <c r="C6279" i="1"/>
  <c r="M6279" i="1"/>
  <c r="B6280" i="1"/>
  <c r="C6280" i="1"/>
  <c r="M6280" i="1"/>
  <c r="B6281" i="1"/>
  <c r="C6281" i="1"/>
  <c r="M6281" i="1"/>
  <c r="B6282" i="1"/>
  <c r="C6282" i="1"/>
  <c r="M6282" i="1"/>
  <c r="B6283" i="1"/>
  <c r="C6283" i="1"/>
  <c r="M6283" i="1"/>
  <c r="B6284" i="1"/>
  <c r="C6284" i="1"/>
  <c r="M6284" i="1"/>
  <c r="B6285" i="1"/>
  <c r="C6285" i="1"/>
  <c r="M6285" i="1"/>
  <c r="B6286" i="1"/>
  <c r="C6286" i="1"/>
  <c r="M6286" i="1"/>
  <c r="B6287" i="1"/>
  <c r="C6287" i="1"/>
  <c r="M6287" i="1"/>
  <c r="B6288" i="1"/>
  <c r="C6288" i="1"/>
  <c r="M6288" i="1"/>
  <c r="B6289" i="1"/>
  <c r="C6289" i="1"/>
  <c r="M6289" i="1"/>
  <c r="B6290" i="1"/>
  <c r="C6290" i="1"/>
  <c r="M6290" i="1"/>
  <c r="B6291" i="1"/>
  <c r="C6291" i="1"/>
  <c r="M6291" i="1"/>
  <c r="B6292" i="1"/>
  <c r="C6292" i="1"/>
  <c r="M6292" i="1"/>
  <c r="B6293" i="1"/>
  <c r="C6293" i="1"/>
  <c r="M6293" i="1"/>
  <c r="B6294" i="1"/>
  <c r="C6294" i="1"/>
  <c r="M6294" i="1"/>
  <c r="B6295" i="1"/>
  <c r="C6295" i="1"/>
  <c r="M6295" i="1"/>
  <c r="B6296" i="1"/>
  <c r="C6296" i="1"/>
  <c r="M6296" i="1"/>
  <c r="B6297" i="1"/>
  <c r="C6297" i="1"/>
  <c r="M6297" i="1"/>
  <c r="B6298" i="1"/>
  <c r="C6298" i="1"/>
  <c r="M6298" i="1"/>
  <c r="B6299" i="1"/>
  <c r="C6299" i="1"/>
  <c r="M6299" i="1"/>
  <c r="B6300" i="1"/>
  <c r="C6300" i="1"/>
  <c r="M6300" i="1"/>
  <c r="B6301" i="1"/>
  <c r="C6301" i="1"/>
  <c r="M6301" i="1"/>
  <c r="B6302" i="1"/>
  <c r="C6302" i="1"/>
  <c r="M6302" i="1"/>
  <c r="B6303" i="1"/>
  <c r="C6303" i="1"/>
  <c r="M6303" i="1"/>
  <c r="B6304" i="1"/>
  <c r="C6304" i="1"/>
  <c r="M6304" i="1"/>
  <c r="B6305" i="1"/>
  <c r="C6305" i="1"/>
  <c r="M6305" i="1"/>
  <c r="B6306" i="1"/>
  <c r="C6306" i="1"/>
  <c r="M6306" i="1"/>
  <c r="B6307" i="1"/>
  <c r="C6307" i="1"/>
  <c r="M6307" i="1"/>
  <c r="B6308" i="1"/>
  <c r="C6308" i="1"/>
  <c r="M6308" i="1"/>
  <c r="B6309" i="1"/>
  <c r="C6309" i="1"/>
  <c r="M6309" i="1"/>
  <c r="B6310" i="1"/>
  <c r="C6310" i="1"/>
  <c r="M6310" i="1"/>
  <c r="B6311" i="1"/>
  <c r="C6311" i="1"/>
  <c r="M6311" i="1"/>
  <c r="B6312" i="1"/>
  <c r="C6312" i="1"/>
  <c r="M6312" i="1"/>
  <c r="B6313" i="1"/>
  <c r="C6313" i="1"/>
  <c r="M6313" i="1"/>
  <c r="B6314" i="1"/>
  <c r="C6314" i="1"/>
  <c r="M6314" i="1"/>
  <c r="B6315" i="1"/>
  <c r="C6315" i="1"/>
  <c r="M6315" i="1"/>
  <c r="B6316" i="1"/>
  <c r="C6316" i="1"/>
  <c r="M6316" i="1"/>
  <c r="B6317" i="1"/>
  <c r="C6317" i="1"/>
  <c r="M6317" i="1"/>
  <c r="B6318" i="1"/>
  <c r="C6318" i="1"/>
  <c r="M6318" i="1"/>
  <c r="B6319" i="1"/>
  <c r="C6319" i="1"/>
  <c r="M6319" i="1"/>
  <c r="B6320" i="1"/>
  <c r="C6320" i="1"/>
  <c r="M6320" i="1"/>
  <c r="B6321" i="1"/>
  <c r="C6321" i="1"/>
  <c r="M6321" i="1"/>
  <c r="B6322" i="1"/>
  <c r="C6322" i="1"/>
  <c r="M6322" i="1"/>
  <c r="B6323" i="1"/>
  <c r="C6323" i="1"/>
  <c r="M6323" i="1"/>
  <c r="B6324" i="1"/>
  <c r="C6324" i="1"/>
  <c r="M6324" i="1"/>
  <c r="B6325" i="1"/>
  <c r="C6325" i="1"/>
  <c r="M6325" i="1"/>
  <c r="B6326" i="1"/>
  <c r="C6326" i="1"/>
  <c r="M6326" i="1"/>
  <c r="B6327" i="1"/>
  <c r="C6327" i="1"/>
  <c r="M6327" i="1"/>
  <c r="B6328" i="1"/>
  <c r="C6328" i="1"/>
  <c r="M6328" i="1"/>
  <c r="B6329" i="1"/>
  <c r="C6329" i="1"/>
  <c r="M6329" i="1"/>
  <c r="B6330" i="1"/>
  <c r="C6330" i="1"/>
  <c r="M6330" i="1"/>
  <c r="B6331" i="1"/>
  <c r="C6331" i="1"/>
  <c r="M6331" i="1"/>
  <c r="B6332" i="1"/>
  <c r="C6332" i="1"/>
  <c r="M6332" i="1"/>
  <c r="B6333" i="1"/>
  <c r="C6333" i="1"/>
  <c r="M6333" i="1"/>
  <c r="B6334" i="1"/>
  <c r="C6334" i="1"/>
  <c r="M6334" i="1"/>
  <c r="B6335" i="1"/>
  <c r="C6335" i="1"/>
  <c r="M6335" i="1"/>
  <c r="B6336" i="1"/>
  <c r="C6336" i="1"/>
  <c r="M6336" i="1"/>
  <c r="B6337" i="1"/>
  <c r="C6337" i="1"/>
  <c r="M6337" i="1"/>
  <c r="B6338" i="1"/>
  <c r="C6338" i="1"/>
  <c r="M6338" i="1"/>
  <c r="B6339" i="1"/>
  <c r="C6339" i="1"/>
  <c r="M6339" i="1"/>
  <c r="B6340" i="1"/>
  <c r="C6340" i="1"/>
  <c r="M6340" i="1"/>
  <c r="B6341" i="1"/>
  <c r="C6341" i="1"/>
  <c r="M6341" i="1"/>
  <c r="B6342" i="1"/>
  <c r="C6342" i="1"/>
  <c r="M6342" i="1"/>
  <c r="B6343" i="1"/>
  <c r="C6343" i="1"/>
  <c r="M6343" i="1"/>
  <c r="B6344" i="1"/>
  <c r="C6344" i="1"/>
  <c r="M6344" i="1"/>
  <c r="B6345" i="1"/>
  <c r="C6345" i="1"/>
  <c r="M6345" i="1"/>
  <c r="B6346" i="1"/>
  <c r="C6346" i="1"/>
  <c r="M6346" i="1"/>
  <c r="B6347" i="1"/>
  <c r="C6347" i="1"/>
  <c r="M6347" i="1"/>
  <c r="B6348" i="1"/>
  <c r="C6348" i="1"/>
  <c r="M6348" i="1"/>
  <c r="B6349" i="1"/>
  <c r="C6349" i="1"/>
  <c r="M6349" i="1"/>
  <c r="B6350" i="1"/>
  <c r="C6350" i="1"/>
  <c r="M6350" i="1"/>
  <c r="B6351" i="1"/>
  <c r="C6351" i="1"/>
  <c r="M6351" i="1"/>
  <c r="B6352" i="1"/>
  <c r="C6352" i="1"/>
  <c r="M6352" i="1"/>
  <c r="B6353" i="1"/>
  <c r="C6353" i="1"/>
  <c r="M6353" i="1"/>
  <c r="B6354" i="1"/>
  <c r="C6354" i="1"/>
  <c r="M6354" i="1"/>
  <c r="B6355" i="1"/>
  <c r="C6355" i="1"/>
  <c r="M6355" i="1"/>
  <c r="B6356" i="1"/>
  <c r="C6356" i="1"/>
  <c r="M6356" i="1"/>
  <c r="B6357" i="1"/>
  <c r="C6357" i="1"/>
  <c r="M6357" i="1"/>
  <c r="B6358" i="1"/>
  <c r="C6358" i="1"/>
  <c r="M6358" i="1"/>
  <c r="B6359" i="1"/>
  <c r="C6359" i="1"/>
  <c r="M6359" i="1"/>
  <c r="B6360" i="1"/>
  <c r="C6360" i="1"/>
  <c r="M6360" i="1"/>
  <c r="B6361" i="1"/>
  <c r="C6361" i="1"/>
  <c r="M6361" i="1"/>
  <c r="B6362" i="1"/>
  <c r="C6362" i="1"/>
  <c r="M6362" i="1"/>
  <c r="B6363" i="1"/>
  <c r="C6363" i="1"/>
  <c r="M6363" i="1"/>
  <c r="B6364" i="1"/>
  <c r="C6364" i="1"/>
  <c r="M6364" i="1"/>
  <c r="B6365" i="1"/>
  <c r="C6365" i="1"/>
  <c r="M6365" i="1"/>
  <c r="B6366" i="1"/>
  <c r="C6366" i="1"/>
  <c r="M6366" i="1"/>
  <c r="B6367" i="1"/>
  <c r="C6367" i="1"/>
  <c r="M6367" i="1"/>
  <c r="B6368" i="1"/>
  <c r="C6368" i="1"/>
  <c r="M6368" i="1"/>
  <c r="B6369" i="1"/>
  <c r="C6369" i="1"/>
  <c r="M6369" i="1"/>
  <c r="B6370" i="1"/>
  <c r="C6370" i="1"/>
  <c r="M6370" i="1"/>
  <c r="B6371" i="1"/>
  <c r="C6371" i="1"/>
  <c r="M6371" i="1"/>
  <c r="B6372" i="1"/>
  <c r="C6372" i="1"/>
  <c r="M6372" i="1"/>
  <c r="B6373" i="1"/>
  <c r="C6373" i="1"/>
  <c r="M6373" i="1"/>
  <c r="B6374" i="1"/>
  <c r="C6374" i="1"/>
  <c r="M6374" i="1"/>
  <c r="B6375" i="1"/>
  <c r="C6375" i="1"/>
  <c r="M6375" i="1"/>
  <c r="B6376" i="1"/>
  <c r="C6376" i="1"/>
  <c r="M6376" i="1"/>
  <c r="B6377" i="1"/>
  <c r="C6377" i="1"/>
  <c r="M6377" i="1"/>
  <c r="B6378" i="1"/>
  <c r="C6378" i="1"/>
  <c r="M6378" i="1"/>
  <c r="B6379" i="1"/>
  <c r="C6379" i="1"/>
  <c r="M6379" i="1"/>
  <c r="B6380" i="1"/>
  <c r="C6380" i="1"/>
  <c r="M6380" i="1"/>
  <c r="B6381" i="1"/>
  <c r="C6381" i="1"/>
  <c r="M6381" i="1"/>
  <c r="B6382" i="1"/>
  <c r="C6382" i="1"/>
  <c r="M6382" i="1"/>
  <c r="B6383" i="1"/>
  <c r="C6383" i="1"/>
  <c r="M6383" i="1"/>
  <c r="B6384" i="1"/>
  <c r="C6384" i="1"/>
  <c r="M6384" i="1"/>
  <c r="B6385" i="1"/>
  <c r="C6385" i="1"/>
  <c r="M6385" i="1"/>
  <c r="B6386" i="1"/>
  <c r="C6386" i="1"/>
  <c r="M6386" i="1"/>
  <c r="B6387" i="1"/>
  <c r="C6387" i="1"/>
  <c r="M6387" i="1"/>
  <c r="B6388" i="1"/>
  <c r="C6388" i="1"/>
  <c r="M6388" i="1"/>
  <c r="B6389" i="1"/>
  <c r="C6389" i="1"/>
  <c r="M6389" i="1"/>
  <c r="B6390" i="1"/>
  <c r="C6390" i="1"/>
  <c r="M6390" i="1"/>
  <c r="B6391" i="1"/>
  <c r="C6391" i="1"/>
  <c r="M6391" i="1"/>
  <c r="B6392" i="1"/>
  <c r="C6392" i="1"/>
  <c r="M6392" i="1"/>
  <c r="B6393" i="1"/>
  <c r="C6393" i="1"/>
  <c r="M6393" i="1"/>
  <c r="B6394" i="1"/>
  <c r="C6394" i="1"/>
  <c r="M6394" i="1"/>
  <c r="B6395" i="1"/>
  <c r="C6395" i="1"/>
  <c r="M6395" i="1"/>
  <c r="B6396" i="1"/>
  <c r="C6396" i="1"/>
  <c r="M6396" i="1"/>
  <c r="B6397" i="1"/>
  <c r="C6397" i="1"/>
  <c r="M6397" i="1"/>
  <c r="B6398" i="1"/>
  <c r="C6398" i="1"/>
  <c r="M6398" i="1"/>
  <c r="B6399" i="1"/>
  <c r="C6399" i="1"/>
  <c r="M6399" i="1"/>
  <c r="B6400" i="1"/>
  <c r="C6400" i="1"/>
  <c r="M6400" i="1"/>
  <c r="B6401" i="1"/>
  <c r="C6401" i="1"/>
  <c r="M6401" i="1"/>
  <c r="B6402" i="1"/>
  <c r="C6402" i="1"/>
  <c r="M6402" i="1"/>
  <c r="B6403" i="1"/>
  <c r="C6403" i="1"/>
  <c r="M6403" i="1"/>
  <c r="B6404" i="1"/>
  <c r="C6404" i="1"/>
  <c r="M6404" i="1"/>
  <c r="B6405" i="1"/>
  <c r="C6405" i="1"/>
  <c r="M6405" i="1"/>
  <c r="B6406" i="1"/>
  <c r="C6406" i="1"/>
  <c r="M6406" i="1"/>
  <c r="B6407" i="1"/>
  <c r="C6407" i="1"/>
  <c r="M6407" i="1"/>
  <c r="B6408" i="1"/>
  <c r="C6408" i="1"/>
  <c r="M6408" i="1"/>
  <c r="B6409" i="1"/>
  <c r="C6409" i="1"/>
  <c r="M6409" i="1"/>
  <c r="B6410" i="1"/>
  <c r="C6410" i="1"/>
  <c r="M6410" i="1"/>
  <c r="B6411" i="1"/>
  <c r="C6411" i="1"/>
  <c r="M6411" i="1"/>
  <c r="B6412" i="1"/>
  <c r="C6412" i="1"/>
  <c r="M6412" i="1"/>
  <c r="B6413" i="1"/>
  <c r="C6413" i="1"/>
  <c r="M6413" i="1"/>
  <c r="B6414" i="1"/>
  <c r="C6414" i="1"/>
  <c r="M6414" i="1"/>
  <c r="B6415" i="1"/>
  <c r="C6415" i="1"/>
  <c r="M6415" i="1"/>
  <c r="B6416" i="1"/>
  <c r="C6416" i="1"/>
  <c r="M6416" i="1"/>
  <c r="B6417" i="1"/>
  <c r="C6417" i="1"/>
  <c r="M6417" i="1"/>
  <c r="B6418" i="1"/>
  <c r="C6418" i="1"/>
  <c r="M6418" i="1"/>
  <c r="B6419" i="1"/>
  <c r="C6419" i="1"/>
  <c r="M6419" i="1"/>
  <c r="B6420" i="1"/>
  <c r="C6420" i="1"/>
  <c r="M6420" i="1"/>
  <c r="B6421" i="1"/>
  <c r="C6421" i="1"/>
  <c r="M6421" i="1"/>
  <c r="B6422" i="1"/>
  <c r="C6422" i="1"/>
  <c r="M6422" i="1"/>
  <c r="B6423" i="1"/>
  <c r="C6423" i="1"/>
  <c r="M6423" i="1"/>
  <c r="B6424" i="1"/>
  <c r="C6424" i="1"/>
  <c r="M6424" i="1"/>
  <c r="B6425" i="1"/>
  <c r="C6425" i="1"/>
  <c r="M6425" i="1"/>
  <c r="B6426" i="1"/>
  <c r="C6426" i="1"/>
  <c r="M6426" i="1"/>
  <c r="B6427" i="1"/>
  <c r="C6427" i="1"/>
  <c r="M6427" i="1"/>
  <c r="B6428" i="1"/>
  <c r="C6428" i="1"/>
  <c r="M6428" i="1"/>
  <c r="B6429" i="1"/>
  <c r="C6429" i="1"/>
  <c r="M6429" i="1"/>
  <c r="B6430" i="1"/>
  <c r="C6430" i="1"/>
  <c r="M6430" i="1"/>
  <c r="B6431" i="1"/>
  <c r="C6431" i="1"/>
  <c r="M6431" i="1"/>
  <c r="B6432" i="1"/>
  <c r="C6432" i="1"/>
  <c r="M6432" i="1"/>
  <c r="B6433" i="1"/>
  <c r="C6433" i="1"/>
  <c r="M6433" i="1"/>
  <c r="B6434" i="1"/>
  <c r="C6434" i="1"/>
  <c r="M6434" i="1"/>
  <c r="B6435" i="1"/>
  <c r="C6435" i="1"/>
  <c r="M6435" i="1"/>
  <c r="B6436" i="1"/>
  <c r="C6436" i="1"/>
  <c r="M6436" i="1"/>
  <c r="B6437" i="1"/>
  <c r="C6437" i="1"/>
  <c r="M6437" i="1"/>
  <c r="B6438" i="1"/>
  <c r="C6438" i="1"/>
  <c r="M6438" i="1"/>
  <c r="B6439" i="1"/>
  <c r="C6439" i="1"/>
  <c r="M6439" i="1"/>
  <c r="B6440" i="1"/>
  <c r="C6440" i="1"/>
  <c r="M6440" i="1"/>
  <c r="B6441" i="1"/>
  <c r="C6441" i="1"/>
  <c r="M6441" i="1"/>
  <c r="B6442" i="1"/>
  <c r="C6442" i="1"/>
  <c r="M6442" i="1"/>
  <c r="B6443" i="1"/>
  <c r="C6443" i="1"/>
  <c r="M6443" i="1"/>
  <c r="B6444" i="1"/>
  <c r="C6444" i="1"/>
  <c r="M6444" i="1"/>
  <c r="B6445" i="1"/>
  <c r="C6445" i="1"/>
  <c r="M6445" i="1"/>
  <c r="B6446" i="1"/>
  <c r="C6446" i="1"/>
  <c r="M6446" i="1"/>
  <c r="B6447" i="1"/>
  <c r="C6447" i="1"/>
  <c r="M6447" i="1"/>
  <c r="B6448" i="1"/>
  <c r="C6448" i="1"/>
  <c r="M6448" i="1"/>
  <c r="B6449" i="1"/>
  <c r="C6449" i="1"/>
  <c r="M6449" i="1"/>
  <c r="B6450" i="1"/>
  <c r="C6450" i="1"/>
  <c r="M6450" i="1"/>
  <c r="B6451" i="1"/>
  <c r="C6451" i="1"/>
  <c r="M6451" i="1"/>
  <c r="B6452" i="1"/>
  <c r="C6452" i="1"/>
  <c r="M6452" i="1"/>
  <c r="B6453" i="1"/>
  <c r="C6453" i="1"/>
  <c r="M6453" i="1"/>
  <c r="B6454" i="1"/>
  <c r="C6454" i="1"/>
  <c r="M6454" i="1"/>
  <c r="B6455" i="1"/>
  <c r="C6455" i="1"/>
  <c r="M6455" i="1"/>
  <c r="B6456" i="1"/>
  <c r="C6456" i="1"/>
  <c r="M6456" i="1"/>
  <c r="B6457" i="1"/>
  <c r="C6457" i="1"/>
  <c r="M6457" i="1"/>
  <c r="B6458" i="1"/>
  <c r="C6458" i="1"/>
  <c r="M6458" i="1"/>
  <c r="B6459" i="1"/>
  <c r="C6459" i="1"/>
  <c r="M6459" i="1"/>
  <c r="B6460" i="1"/>
  <c r="C6460" i="1"/>
  <c r="M6460" i="1"/>
  <c r="B6461" i="1"/>
  <c r="C6461" i="1"/>
  <c r="M6461" i="1"/>
  <c r="B6462" i="1"/>
  <c r="C6462" i="1"/>
  <c r="M6462" i="1"/>
  <c r="B6463" i="1"/>
  <c r="C6463" i="1"/>
  <c r="M6463" i="1"/>
  <c r="B6464" i="1"/>
  <c r="C6464" i="1"/>
  <c r="M6464" i="1"/>
  <c r="B6465" i="1"/>
  <c r="C6465" i="1"/>
  <c r="M6465" i="1"/>
  <c r="B6466" i="1"/>
  <c r="C6466" i="1"/>
  <c r="M6466" i="1"/>
  <c r="B6467" i="1"/>
  <c r="C6467" i="1"/>
  <c r="M6467" i="1"/>
  <c r="B6468" i="1"/>
  <c r="C6468" i="1"/>
  <c r="M6468" i="1"/>
  <c r="B6469" i="1"/>
  <c r="C6469" i="1"/>
  <c r="M6469" i="1"/>
  <c r="B6470" i="1"/>
  <c r="C6470" i="1"/>
  <c r="M6470" i="1"/>
  <c r="B6471" i="1"/>
  <c r="C6471" i="1"/>
  <c r="M6471" i="1"/>
  <c r="B6472" i="1"/>
  <c r="C6472" i="1"/>
  <c r="M6472" i="1"/>
  <c r="B6473" i="1"/>
  <c r="C6473" i="1"/>
  <c r="M6473" i="1"/>
  <c r="B6474" i="1"/>
  <c r="C6474" i="1"/>
  <c r="M6474" i="1"/>
  <c r="B6475" i="1"/>
  <c r="C6475" i="1"/>
  <c r="M6475" i="1"/>
  <c r="B6476" i="1"/>
  <c r="C6476" i="1"/>
  <c r="M6476" i="1"/>
  <c r="B6477" i="1"/>
  <c r="C6477" i="1"/>
  <c r="M6477" i="1"/>
  <c r="B6478" i="1"/>
  <c r="C6478" i="1"/>
  <c r="M6478" i="1"/>
  <c r="B6479" i="1"/>
  <c r="C6479" i="1"/>
  <c r="M6479" i="1"/>
  <c r="B6480" i="1"/>
  <c r="C6480" i="1"/>
  <c r="M6480" i="1"/>
  <c r="B6481" i="1"/>
  <c r="C6481" i="1"/>
  <c r="M6481" i="1"/>
  <c r="B6482" i="1"/>
  <c r="C6482" i="1"/>
  <c r="M6482" i="1"/>
  <c r="B6483" i="1"/>
  <c r="C6483" i="1"/>
  <c r="M6483" i="1"/>
  <c r="B6484" i="1"/>
  <c r="C6484" i="1"/>
  <c r="M6484" i="1"/>
  <c r="B6485" i="1"/>
  <c r="C6485" i="1"/>
  <c r="M6485" i="1"/>
  <c r="B6486" i="1"/>
  <c r="C6486" i="1"/>
  <c r="M6486" i="1"/>
  <c r="B6487" i="1"/>
  <c r="C6487" i="1"/>
  <c r="M6487" i="1"/>
  <c r="B6488" i="1"/>
  <c r="C6488" i="1"/>
  <c r="M6488" i="1"/>
  <c r="B6489" i="1"/>
  <c r="C6489" i="1"/>
  <c r="M6489" i="1"/>
  <c r="B6490" i="1"/>
  <c r="C6490" i="1"/>
  <c r="M6490" i="1"/>
  <c r="B6491" i="1"/>
  <c r="C6491" i="1"/>
  <c r="M6491" i="1"/>
  <c r="B6492" i="1"/>
  <c r="C6492" i="1"/>
  <c r="M6492" i="1"/>
  <c r="B6493" i="1"/>
  <c r="C6493" i="1"/>
  <c r="M6493" i="1"/>
  <c r="B6494" i="1"/>
  <c r="C6494" i="1"/>
  <c r="M6494" i="1"/>
  <c r="B6495" i="1"/>
  <c r="C6495" i="1"/>
  <c r="M6495" i="1"/>
  <c r="B6496" i="1"/>
  <c r="C6496" i="1"/>
  <c r="M6496" i="1"/>
  <c r="B6497" i="1"/>
  <c r="C6497" i="1"/>
  <c r="M6497" i="1"/>
  <c r="B6498" i="1"/>
  <c r="C6498" i="1"/>
  <c r="M6498" i="1"/>
  <c r="B6499" i="1"/>
  <c r="C6499" i="1"/>
  <c r="M6499" i="1"/>
  <c r="B6500" i="1"/>
  <c r="C6500" i="1"/>
  <c r="M6500" i="1"/>
  <c r="B6501" i="1"/>
  <c r="C6501" i="1"/>
  <c r="M6501" i="1"/>
  <c r="B6502" i="1"/>
  <c r="C6502" i="1"/>
  <c r="M6502" i="1"/>
  <c r="B6503" i="1"/>
  <c r="C6503" i="1"/>
  <c r="M6503" i="1"/>
  <c r="B6504" i="1"/>
  <c r="C6504" i="1"/>
  <c r="M6504" i="1"/>
  <c r="B6505" i="1"/>
  <c r="C6505" i="1"/>
  <c r="M6505" i="1"/>
  <c r="B6506" i="1"/>
  <c r="C6506" i="1"/>
  <c r="M6506" i="1"/>
  <c r="B6507" i="1"/>
  <c r="C6507" i="1"/>
  <c r="M6507" i="1"/>
  <c r="B6508" i="1"/>
  <c r="C6508" i="1"/>
  <c r="M6508" i="1"/>
  <c r="B6509" i="1"/>
  <c r="C6509" i="1"/>
  <c r="M6509" i="1"/>
  <c r="B6510" i="1"/>
  <c r="C6510" i="1"/>
  <c r="M6510" i="1"/>
  <c r="B6511" i="1"/>
  <c r="C6511" i="1"/>
  <c r="M6511" i="1"/>
  <c r="B6512" i="1"/>
  <c r="C6512" i="1"/>
  <c r="M6512" i="1"/>
  <c r="B6513" i="1"/>
  <c r="C6513" i="1"/>
  <c r="M6513" i="1"/>
  <c r="B6514" i="1"/>
  <c r="C6514" i="1"/>
  <c r="M6514" i="1"/>
  <c r="B6515" i="1"/>
  <c r="C6515" i="1"/>
  <c r="M6515" i="1"/>
  <c r="B6516" i="1"/>
  <c r="C6516" i="1"/>
  <c r="M6516" i="1"/>
  <c r="B6517" i="1"/>
  <c r="C6517" i="1"/>
  <c r="M6517" i="1"/>
  <c r="B6518" i="1"/>
  <c r="C6518" i="1"/>
  <c r="M6518" i="1"/>
  <c r="B6519" i="1"/>
  <c r="C6519" i="1"/>
  <c r="M6519" i="1"/>
  <c r="B6520" i="1"/>
  <c r="C6520" i="1"/>
  <c r="M6520" i="1"/>
  <c r="B6521" i="1"/>
  <c r="C6521" i="1"/>
  <c r="M6521" i="1"/>
  <c r="B6522" i="1"/>
  <c r="C6522" i="1"/>
  <c r="M6522" i="1"/>
  <c r="B6523" i="1"/>
  <c r="C6523" i="1"/>
  <c r="M6523" i="1"/>
  <c r="B6524" i="1"/>
  <c r="C6524" i="1"/>
  <c r="M6524" i="1"/>
  <c r="B6525" i="1"/>
  <c r="C6525" i="1"/>
  <c r="M6525" i="1"/>
  <c r="B6526" i="1"/>
  <c r="C6526" i="1"/>
  <c r="M6526" i="1"/>
  <c r="B6527" i="1"/>
  <c r="C6527" i="1"/>
  <c r="M6527" i="1"/>
  <c r="B6528" i="1"/>
  <c r="C6528" i="1"/>
  <c r="M6528" i="1"/>
  <c r="B6529" i="1"/>
  <c r="C6529" i="1"/>
  <c r="M6529" i="1"/>
  <c r="B6530" i="1"/>
  <c r="C6530" i="1"/>
  <c r="M6530" i="1"/>
  <c r="B6531" i="1"/>
  <c r="C6531" i="1"/>
  <c r="M6531" i="1"/>
  <c r="B6532" i="1"/>
  <c r="C6532" i="1"/>
  <c r="M6532" i="1"/>
  <c r="B6533" i="1"/>
  <c r="C6533" i="1"/>
  <c r="M6533" i="1"/>
  <c r="B6534" i="1"/>
  <c r="C6534" i="1"/>
  <c r="M6534" i="1"/>
  <c r="B6535" i="1"/>
  <c r="C6535" i="1"/>
  <c r="M6535" i="1"/>
  <c r="B6536" i="1"/>
  <c r="C6536" i="1"/>
  <c r="M6536" i="1"/>
  <c r="B6537" i="1"/>
  <c r="C6537" i="1"/>
  <c r="M6537" i="1"/>
  <c r="B6538" i="1"/>
  <c r="C6538" i="1"/>
  <c r="M6538" i="1"/>
  <c r="B6539" i="1"/>
  <c r="C6539" i="1"/>
  <c r="M6539" i="1"/>
  <c r="B6540" i="1"/>
  <c r="C6540" i="1"/>
  <c r="M6540" i="1"/>
  <c r="B6541" i="1"/>
  <c r="C6541" i="1"/>
  <c r="M6541" i="1"/>
  <c r="B6542" i="1"/>
  <c r="C6542" i="1"/>
  <c r="M6542" i="1"/>
  <c r="B6543" i="1"/>
  <c r="C6543" i="1"/>
  <c r="M6543" i="1"/>
  <c r="B6544" i="1"/>
  <c r="C6544" i="1"/>
  <c r="M6544" i="1"/>
  <c r="B6545" i="1"/>
  <c r="C6545" i="1"/>
  <c r="M6545" i="1"/>
  <c r="B6546" i="1"/>
  <c r="C6546" i="1"/>
  <c r="M6546" i="1"/>
  <c r="B6547" i="1"/>
  <c r="C6547" i="1"/>
  <c r="M6547" i="1"/>
  <c r="B6548" i="1"/>
  <c r="C6548" i="1"/>
  <c r="M6548" i="1"/>
  <c r="B6549" i="1"/>
  <c r="C6549" i="1"/>
  <c r="M6549" i="1"/>
  <c r="B6550" i="1"/>
  <c r="C6550" i="1"/>
  <c r="M6550" i="1"/>
  <c r="B6551" i="1"/>
  <c r="C6551" i="1"/>
  <c r="M6551" i="1"/>
  <c r="B6552" i="1"/>
  <c r="C6552" i="1"/>
  <c r="M6552" i="1"/>
  <c r="B6553" i="1"/>
  <c r="C6553" i="1"/>
  <c r="M6553" i="1"/>
  <c r="B6554" i="1"/>
  <c r="C6554" i="1"/>
  <c r="M6554" i="1"/>
  <c r="B6555" i="1"/>
  <c r="C6555" i="1"/>
  <c r="M6555" i="1"/>
  <c r="B6556" i="1"/>
  <c r="C6556" i="1"/>
  <c r="M6556" i="1"/>
  <c r="B6557" i="1"/>
  <c r="C6557" i="1"/>
  <c r="M6557" i="1"/>
  <c r="B6558" i="1"/>
  <c r="C6558" i="1"/>
  <c r="M6558" i="1"/>
  <c r="B6559" i="1"/>
  <c r="C6559" i="1"/>
  <c r="M6559" i="1"/>
  <c r="B6560" i="1"/>
  <c r="C6560" i="1"/>
  <c r="M6560" i="1"/>
  <c r="B6561" i="1"/>
  <c r="C6561" i="1"/>
  <c r="M6561" i="1"/>
  <c r="B6562" i="1"/>
  <c r="C6562" i="1"/>
  <c r="M6562" i="1"/>
  <c r="B6563" i="1"/>
  <c r="C6563" i="1"/>
  <c r="M6563" i="1"/>
  <c r="B6564" i="1"/>
  <c r="C6564" i="1"/>
  <c r="M6564" i="1"/>
  <c r="B6565" i="1"/>
  <c r="C6565" i="1"/>
  <c r="M6565" i="1"/>
  <c r="B6566" i="1"/>
  <c r="C6566" i="1"/>
  <c r="M6566" i="1"/>
  <c r="B6567" i="1"/>
  <c r="C6567" i="1"/>
  <c r="M6567" i="1"/>
  <c r="B6568" i="1"/>
  <c r="C6568" i="1"/>
  <c r="M6568" i="1"/>
  <c r="B6569" i="1"/>
  <c r="C6569" i="1"/>
  <c r="M6569" i="1"/>
  <c r="B6570" i="1"/>
  <c r="C6570" i="1"/>
  <c r="M6570" i="1"/>
  <c r="B6571" i="1"/>
  <c r="C6571" i="1"/>
  <c r="M6571" i="1"/>
  <c r="B6572" i="1"/>
  <c r="C6572" i="1"/>
  <c r="M6572" i="1"/>
  <c r="B6573" i="1"/>
  <c r="C6573" i="1"/>
  <c r="M6573" i="1"/>
  <c r="B6574" i="1"/>
  <c r="C6574" i="1"/>
  <c r="M6574" i="1"/>
  <c r="B6575" i="1"/>
  <c r="C6575" i="1"/>
  <c r="M6575" i="1"/>
  <c r="B6576" i="1"/>
  <c r="C6576" i="1"/>
  <c r="M6576" i="1"/>
  <c r="B6577" i="1"/>
  <c r="C6577" i="1"/>
  <c r="M6577" i="1"/>
  <c r="B6578" i="1"/>
  <c r="C6578" i="1"/>
  <c r="M6578" i="1"/>
  <c r="B6579" i="1"/>
  <c r="C6579" i="1"/>
  <c r="M6579" i="1"/>
  <c r="B6580" i="1"/>
  <c r="C6580" i="1"/>
  <c r="M6580" i="1"/>
  <c r="B6581" i="1"/>
  <c r="C6581" i="1"/>
  <c r="M6581" i="1"/>
  <c r="B6582" i="1"/>
  <c r="C6582" i="1"/>
  <c r="M6582" i="1"/>
  <c r="B6583" i="1"/>
  <c r="C6583" i="1"/>
  <c r="M6583" i="1"/>
  <c r="B6584" i="1"/>
  <c r="C6584" i="1"/>
  <c r="M6584" i="1"/>
  <c r="B6585" i="1"/>
  <c r="C6585" i="1"/>
  <c r="M6585" i="1"/>
  <c r="B6586" i="1"/>
  <c r="C6586" i="1"/>
  <c r="M6586" i="1"/>
  <c r="B6587" i="1"/>
  <c r="C6587" i="1"/>
  <c r="M6587" i="1"/>
  <c r="B6588" i="1"/>
  <c r="C6588" i="1"/>
  <c r="M6588" i="1"/>
  <c r="B6589" i="1"/>
  <c r="C6589" i="1"/>
  <c r="M6589" i="1"/>
  <c r="B6590" i="1"/>
  <c r="C6590" i="1"/>
  <c r="M6590" i="1"/>
  <c r="B6591" i="1"/>
  <c r="C6591" i="1"/>
  <c r="M6591" i="1"/>
  <c r="B6592" i="1"/>
  <c r="C6592" i="1"/>
  <c r="M6592" i="1"/>
  <c r="B6593" i="1"/>
  <c r="C6593" i="1"/>
  <c r="M6593" i="1"/>
  <c r="B6594" i="1"/>
  <c r="C6594" i="1"/>
  <c r="M6594" i="1"/>
  <c r="B6595" i="1"/>
  <c r="C6595" i="1"/>
  <c r="M6595" i="1"/>
  <c r="B6596" i="1"/>
  <c r="C6596" i="1"/>
  <c r="M6596" i="1"/>
  <c r="B6597" i="1"/>
  <c r="C6597" i="1"/>
  <c r="M6597" i="1"/>
  <c r="B6598" i="1"/>
  <c r="C6598" i="1"/>
  <c r="M6598" i="1"/>
  <c r="B6599" i="1"/>
  <c r="C6599" i="1"/>
  <c r="M6599" i="1"/>
  <c r="B6600" i="1"/>
  <c r="C6600" i="1"/>
  <c r="M6600" i="1"/>
  <c r="B6601" i="1"/>
  <c r="C6601" i="1"/>
  <c r="M6601" i="1"/>
  <c r="B6602" i="1"/>
  <c r="C6602" i="1"/>
  <c r="M6602" i="1"/>
  <c r="B6603" i="1"/>
  <c r="C6603" i="1"/>
  <c r="M6603" i="1"/>
  <c r="B6604" i="1"/>
  <c r="C6604" i="1"/>
  <c r="M6604" i="1"/>
  <c r="B6605" i="1"/>
  <c r="C6605" i="1"/>
  <c r="M6605" i="1"/>
  <c r="B6606" i="1"/>
  <c r="C6606" i="1"/>
  <c r="M6606" i="1"/>
  <c r="B6607" i="1"/>
  <c r="C6607" i="1"/>
  <c r="M6607" i="1"/>
  <c r="B6608" i="1"/>
  <c r="C6608" i="1"/>
  <c r="M6608" i="1"/>
  <c r="B6609" i="1"/>
  <c r="C6609" i="1"/>
  <c r="M6609" i="1"/>
  <c r="B6610" i="1"/>
  <c r="C6610" i="1"/>
  <c r="M6610" i="1"/>
  <c r="B6611" i="1"/>
  <c r="C6611" i="1"/>
  <c r="M6611" i="1"/>
  <c r="B6612" i="1"/>
  <c r="C6612" i="1"/>
  <c r="M6612" i="1"/>
  <c r="B6613" i="1"/>
  <c r="C6613" i="1"/>
  <c r="M6613" i="1"/>
  <c r="B6614" i="1"/>
  <c r="C6614" i="1"/>
  <c r="M6614" i="1"/>
  <c r="B6615" i="1"/>
  <c r="C6615" i="1"/>
  <c r="M6615" i="1"/>
  <c r="B6616" i="1"/>
  <c r="C6616" i="1"/>
  <c r="M6616" i="1"/>
  <c r="B6617" i="1"/>
  <c r="C6617" i="1"/>
  <c r="M6617" i="1"/>
  <c r="B6618" i="1"/>
  <c r="C6618" i="1"/>
  <c r="M6618" i="1"/>
  <c r="B6619" i="1"/>
  <c r="C6619" i="1"/>
  <c r="M6619" i="1"/>
  <c r="B6620" i="1"/>
  <c r="C6620" i="1"/>
  <c r="M6620" i="1"/>
  <c r="B6621" i="1"/>
  <c r="C6621" i="1"/>
  <c r="M6621" i="1"/>
  <c r="B6622" i="1"/>
  <c r="C6622" i="1"/>
  <c r="M6622" i="1"/>
  <c r="B6623" i="1"/>
  <c r="C6623" i="1"/>
  <c r="M6623" i="1"/>
  <c r="B6624" i="1"/>
  <c r="C6624" i="1"/>
  <c r="M6624" i="1"/>
  <c r="B6625" i="1"/>
  <c r="C6625" i="1"/>
  <c r="M6625" i="1"/>
  <c r="B6626" i="1"/>
  <c r="C6626" i="1"/>
  <c r="M6626" i="1"/>
  <c r="B6627" i="1"/>
  <c r="C6627" i="1"/>
  <c r="M6627" i="1"/>
  <c r="B6628" i="1"/>
  <c r="C6628" i="1"/>
  <c r="M6628" i="1"/>
  <c r="B6629" i="1"/>
  <c r="C6629" i="1"/>
  <c r="M6629" i="1"/>
  <c r="B6630" i="1"/>
  <c r="C6630" i="1"/>
  <c r="M6630" i="1"/>
  <c r="B6631" i="1"/>
  <c r="C6631" i="1"/>
  <c r="M6631" i="1"/>
  <c r="B6632" i="1"/>
  <c r="C6632" i="1"/>
  <c r="M6632" i="1"/>
  <c r="B6633" i="1"/>
  <c r="C6633" i="1"/>
  <c r="M6633" i="1"/>
  <c r="B6634" i="1"/>
  <c r="C6634" i="1"/>
  <c r="M6634" i="1"/>
  <c r="B6635" i="1"/>
  <c r="C6635" i="1"/>
  <c r="M6635" i="1"/>
  <c r="B6636" i="1"/>
  <c r="C6636" i="1"/>
  <c r="M6636" i="1"/>
  <c r="B6637" i="1"/>
  <c r="C6637" i="1"/>
  <c r="M6637" i="1"/>
  <c r="B6638" i="1"/>
  <c r="C6638" i="1"/>
  <c r="M6638" i="1"/>
  <c r="B6639" i="1"/>
  <c r="C6639" i="1"/>
  <c r="M6639" i="1"/>
  <c r="B6640" i="1"/>
  <c r="C6640" i="1"/>
  <c r="M6640" i="1"/>
  <c r="B6641" i="1"/>
  <c r="C6641" i="1"/>
  <c r="M6641" i="1"/>
  <c r="B6642" i="1"/>
  <c r="C6642" i="1"/>
  <c r="M6642" i="1"/>
  <c r="B6643" i="1"/>
  <c r="C6643" i="1"/>
  <c r="M6643" i="1"/>
  <c r="B6644" i="1"/>
  <c r="C6644" i="1"/>
  <c r="M6644" i="1"/>
  <c r="B6645" i="1"/>
  <c r="C6645" i="1"/>
  <c r="M6645" i="1"/>
  <c r="B6646" i="1"/>
  <c r="C6646" i="1"/>
  <c r="M6646" i="1"/>
  <c r="B6647" i="1"/>
  <c r="C6647" i="1"/>
  <c r="M6647" i="1"/>
  <c r="B6648" i="1"/>
  <c r="C6648" i="1"/>
  <c r="M6648" i="1"/>
  <c r="B6649" i="1"/>
  <c r="C6649" i="1"/>
  <c r="M6649" i="1"/>
  <c r="B6650" i="1"/>
  <c r="C6650" i="1"/>
  <c r="M6650" i="1"/>
  <c r="B6651" i="1"/>
  <c r="C6651" i="1"/>
  <c r="M6651" i="1"/>
  <c r="B6652" i="1"/>
  <c r="C6652" i="1"/>
  <c r="M6652" i="1"/>
  <c r="B6653" i="1"/>
  <c r="C6653" i="1"/>
  <c r="M6653" i="1"/>
  <c r="B6654" i="1"/>
  <c r="C6654" i="1"/>
  <c r="M6654" i="1"/>
  <c r="B6655" i="1"/>
  <c r="C6655" i="1"/>
  <c r="M6655" i="1"/>
  <c r="B6656" i="1"/>
  <c r="C6656" i="1"/>
  <c r="M6656" i="1"/>
  <c r="B6657" i="1"/>
  <c r="C6657" i="1"/>
  <c r="M6657" i="1"/>
  <c r="B6658" i="1"/>
  <c r="C6658" i="1"/>
  <c r="M6658" i="1"/>
  <c r="B6659" i="1"/>
  <c r="C6659" i="1"/>
  <c r="M6659" i="1"/>
  <c r="B6660" i="1"/>
  <c r="C6660" i="1"/>
  <c r="M6660" i="1"/>
  <c r="B6661" i="1"/>
  <c r="C6661" i="1"/>
  <c r="M6661" i="1"/>
  <c r="B6662" i="1"/>
  <c r="C6662" i="1"/>
  <c r="M6662" i="1"/>
  <c r="B6663" i="1"/>
  <c r="C6663" i="1"/>
  <c r="M6663" i="1"/>
  <c r="B6664" i="1"/>
  <c r="C6664" i="1"/>
  <c r="M6664" i="1"/>
  <c r="B6665" i="1"/>
  <c r="C6665" i="1"/>
  <c r="M6665" i="1"/>
  <c r="B6666" i="1"/>
  <c r="C6666" i="1"/>
  <c r="M6666" i="1"/>
  <c r="B6667" i="1"/>
  <c r="C6667" i="1"/>
  <c r="M6667" i="1"/>
  <c r="B6668" i="1"/>
  <c r="C6668" i="1"/>
  <c r="M6668" i="1"/>
  <c r="B6669" i="1"/>
  <c r="C6669" i="1"/>
  <c r="M6669" i="1"/>
  <c r="B6670" i="1"/>
  <c r="C6670" i="1"/>
  <c r="M6670" i="1"/>
  <c r="B6671" i="1"/>
  <c r="C6671" i="1"/>
  <c r="M6671" i="1"/>
  <c r="B6672" i="1"/>
  <c r="C6672" i="1"/>
  <c r="M6672" i="1"/>
  <c r="B6673" i="1"/>
  <c r="C6673" i="1"/>
  <c r="M6673" i="1"/>
  <c r="B6674" i="1"/>
  <c r="C6674" i="1"/>
  <c r="M6674" i="1"/>
  <c r="B6675" i="1"/>
  <c r="C6675" i="1"/>
  <c r="M6675" i="1"/>
  <c r="B6676" i="1"/>
  <c r="C6676" i="1"/>
  <c r="M6676" i="1"/>
  <c r="B6677" i="1"/>
  <c r="C6677" i="1"/>
  <c r="M6677" i="1"/>
  <c r="B6678" i="1"/>
  <c r="C6678" i="1"/>
  <c r="M6678" i="1"/>
  <c r="B6679" i="1"/>
  <c r="C6679" i="1"/>
  <c r="M6679" i="1"/>
  <c r="B6680" i="1"/>
  <c r="C6680" i="1"/>
  <c r="M6680" i="1"/>
  <c r="B6681" i="1"/>
  <c r="C6681" i="1"/>
  <c r="M6681" i="1"/>
  <c r="B6682" i="1"/>
  <c r="C6682" i="1"/>
  <c r="M6682" i="1"/>
  <c r="B6683" i="1"/>
  <c r="C6683" i="1"/>
  <c r="M6683" i="1"/>
  <c r="B6684" i="1"/>
  <c r="C6684" i="1"/>
  <c r="M6684" i="1"/>
  <c r="B6685" i="1"/>
  <c r="C6685" i="1"/>
  <c r="M6685" i="1"/>
  <c r="B6686" i="1"/>
  <c r="C6686" i="1"/>
  <c r="M6686" i="1"/>
  <c r="B6687" i="1"/>
  <c r="C6687" i="1"/>
  <c r="M6687" i="1"/>
  <c r="B6688" i="1"/>
  <c r="C6688" i="1"/>
  <c r="M6688" i="1"/>
  <c r="B6689" i="1"/>
  <c r="C6689" i="1"/>
  <c r="M6689" i="1"/>
  <c r="B6690" i="1"/>
  <c r="C6690" i="1"/>
  <c r="M6690" i="1"/>
  <c r="B6691" i="1"/>
  <c r="C6691" i="1"/>
  <c r="M6691" i="1"/>
  <c r="B6692" i="1"/>
  <c r="C6692" i="1"/>
  <c r="M6692" i="1"/>
  <c r="B6693" i="1"/>
  <c r="C6693" i="1"/>
  <c r="M6693" i="1"/>
  <c r="B6694" i="1"/>
  <c r="C6694" i="1"/>
  <c r="M6694" i="1"/>
  <c r="B6695" i="1"/>
  <c r="C6695" i="1"/>
  <c r="M6695" i="1"/>
  <c r="B6696" i="1"/>
  <c r="C6696" i="1"/>
  <c r="M6696" i="1"/>
  <c r="B6697" i="1"/>
  <c r="C6697" i="1"/>
  <c r="M6697" i="1"/>
  <c r="B6698" i="1"/>
  <c r="C6698" i="1"/>
  <c r="M6698" i="1"/>
  <c r="B6699" i="1"/>
  <c r="C6699" i="1"/>
  <c r="M6699" i="1"/>
  <c r="B6700" i="1"/>
  <c r="C6700" i="1"/>
  <c r="M6700" i="1"/>
  <c r="B6701" i="1"/>
  <c r="C6701" i="1"/>
  <c r="M6701" i="1"/>
  <c r="B6702" i="1"/>
  <c r="C6702" i="1"/>
  <c r="M6702" i="1"/>
  <c r="B6703" i="1"/>
  <c r="C6703" i="1"/>
  <c r="M6703" i="1"/>
  <c r="B6704" i="1"/>
  <c r="C6704" i="1"/>
  <c r="M6704" i="1"/>
  <c r="B6705" i="1"/>
  <c r="C6705" i="1"/>
  <c r="M6705" i="1"/>
  <c r="B6706" i="1"/>
  <c r="C6706" i="1"/>
  <c r="M6706" i="1"/>
  <c r="B6707" i="1"/>
  <c r="C6707" i="1"/>
  <c r="M6707" i="1"/>
  <c r="B6708" i="1"/>
  <c r="C6708" i="1"/>
  <c r="M6708" i="1"/>
  <c r="B6709" i="1"/>
  <c r="C6709" i="1"/>
  <c r="M6709" i="1"/>
  <c r="B6710" i="1"/>
  <c r="C6710" i="1"/>
  <c r="M6710" i="1"/>
  <c r="B6711" i="1"/>
  <c r="C6711" i="1"/>
  <c r="M6711" i="1"/>
  <c r="B6712" i="1"/>
  <c r="C6712" i="1"/>
  <c r="M6712" i="1"/>
  <c r="B6713" i="1"/>
  <c r="C6713" i="1"/>
  <c r="M6713" i="1"/>
  <c r="B6714" i="1"/>
  <c r="C6714" i="1"/>
  <c r="M6714" i="1"/>
  <c r="B6715" i="1"/>
  <c r="C6715" i="1"/>
  <c r="M6715" i="1"/>
  <c r="B6716" i="1"/>
  <c r="C6716" i="1"/>
  <c r="M6716" i="1"/>
  <c r="B6717" i="1"/>
  <c r="C6717" i="1"/>
  <c r="M6717" i="1"/>
  <c r="B6718" i="1"/>
  <c r="C6718" i="1"/>
  <c r="M6718" i="1"/>
  <c r="B6719" i="1"/>
  <c r="C6719" i="1"/>
  <c r="M6719" i="1"/>
  <c r="B6720" i="1"/>
  <c r="C6720" i="1"/>
  <c r="M6720" i="1"/>
  <c r="B6721" i="1"/>
  <c r="C6721" i="1"/>
  <c r="M6721" i="1"/>
  <c r="B6722" i="1"/>
  <c r="C6722" i="1"/>
  <c r="M6722" i="1"/>
  <c r="B6723" i="1"/>
  <c r="C6723" i="1"/>
  <c r="M6723" i="1"/>
  <c r="B6724" i="1"/>
  <c r="C6724" i="1"/>
  <c r="M6724" i="1"/>
  <c r="B6725" i="1"/>
  <c r="C6725" i="1"/>
  <c r="M6725" i="1"/>
  <c r="B6726" i="1"/>
  <c r="C6726" i="1"/>
  <c r="M6726" i="1"/>
  <c r="B6727" i="1"/>
  <c r="C6727" i="1"/>
  <c r="M6727" i="1"/>
  <c r="B6728" i="1"/>
  <c r="C6728" i="1"/>
  <c r="M6728" i="1"/>
  <c r="B6729" i="1"/>
  <c r="C6729" i="1"/>
  <c r="M6729" i="1"/>
  <c r="B6730" i="1"/>
  <c r="C6730" i="1"/>
  <c r="M6730" i="1"/>
  <c r="B6731" i="1"/>
  <c r="C6731" i="1"/>
  <c r="M6731" i="1"/>
  <c r="B6732" i="1"/>
  <c r="C6732" i="1"/>
  <c r="M6732" i="1"/>
  <c r="B6733" i="1"/>
  <c r="C6733" i="1"/>
  <c r="M6733" i="1"/>
  <c r="B6734" i="1"/>
  <c r="C6734" i="1"/>
  <c r="M6734" i="1"/>
  <c r="B6735" i="1"/>
  <c r="C6735" i="1"/>
  <c r="M6735" i="1"/>
  <c r="B6736" i="1"/>
  <c r="C6736" i="1"/>
  <c r="M6736" i="1"/>
  <c r="B6737" i="1"/>
  <c r="C6737" i="1"/>
  <c r="M6737" i="1"/>
  <c r="B6738" i="1"/>
  <c r="C6738" i="1"/>
  <c r="M6738" i="1"/>
  <c r="B6739" i="1"/>
  <c r="C6739" i="1"/>
  <c r="M6739" i="1"/>
  <c r="B6740" i="1"/>
  <c r="C6740" i="1"/>
  <c r="M6740" i="1"/>
  <c r="B6741" i="1"/>
  <c r="C6741" i="1"/>
  <c r="M6741" i="1"/>
  <c r="B6742" i="1"/>
  <c r="C6742" i="1"/>
  <c r="M6742" i="1"/>
  <c r="B6743" i="1"/>
  <c r="C6743" i="1"/>
  <c r="M6743" i="1"/>
  <c r="B6744" i="1"/>
  <c r="C6744" i="1"/>
  <c r="M6744" i="1"/>
  <c r="B6745" i="1"/>
  <c r="C6745" i="1"/>
  <c r="M6745" i="1"/>
  <c r="B6746" i="1"/>
  <c r="C6746" i="1"/>
  <c r="M6746" i="1"/>
  <c r="B6747" i="1"/>
  <c r="C6747" i="1"/>
  <c r="M6747" i="1"/>
  <c r="B6748" i="1"/>
  <c r="C6748" i="1"/>
  <c r="M6748" i="1"/>
  <c r="B6749" i="1"/>
  <c r="C6749" i="1"/>
  <c r="M6749" i="1"/>
  <c r="B6750" i="1"/>
  <c r="C6750" i="1"/>
  <c r="M6750" i="1"/>
  <c r="B6751" i="1"/>
  <c r="C6751" i="1"/>
  <c r="M6751" i="1"/>
  <c r="B6752" i="1"/>
  <c r="C6752" i="1"/>
  <c r="M6752" i="1"/>
  <c r="B6753" i="1"/>
  <c r="C6753" i="1"/>
  <c r="M6753" i="1"/>
  <c r="B6754" i="1"/>
  <c r="C6754" i="1"/>
  <c r="M6754" i="1"/>
  <c r="B6755" i="1"/>
  <c r="C6755" i="1"/>
  <c r="M6755" i="1"/>
  <c r="B6756" i="1"/>
  <c r="C6756" i="1"/>
  <c r="M6756" i="1"/>
  <c r="B6757" i="1"/>
  <c r="C6757" i="1"/>
  <c r="M6757" i="1"/>
  <c r="B6758" i="1"/>
  <c r="C6758" i="1"/>
  <c r="M6758" i="1"/>
  <c r="B6759" i="1"/>
  <c r="C6759" i="1"/>
  <c r="M6759" i="1"/>
  <c r="B6760" i="1"/>
  <c r="C6760" i="1"/>
  <c r="M6760" i="1"/>
  <c r="B6761" i="1"/>
  <c r="C6761" i="1"/>
  <c r="M6761" i="1"/>
  <c r="B6762" i="1"/>
  <c r="C6762" i="1"/>
  <c r="M6762" i="1"/>
  <c r="B6763" i="1"/>
  <c r="C6763" i="1"/>
  <c r="M6763" i="1"/>
  <c r="B6764" i="1"/>
  <c r="C6764" i="1"/>
  <c r="M6764" i="1"/>
  <c r="B6765" i="1"/>
  <c r="C6765" i="1"/>
  <c r="M6765" i="1"/>
  <c r="B6766" i="1"/>
  <c r="C6766" i="1"/>
  <c r="M6766" i="1"/>
  <c r="B6767" i="1"/>
  <c r="C6767" i="1"/>
  <c r="M6767" i="1"/>
  <c r="B6768" i="1"/>
  <c r="C6768" i="1"/>
  <c r="M6768" i="1"/>
  <c r="B6769" i="1"/>
  <c r="C6769" i="1"/>
  <c r="M6769" i="1"/>
  <c r="B6770" i="1"/>
  <c r="C6770" i="1"/>
  <c r="M6770" i="1"/>
  <c r="B6771" i="1"/>
  <c r="C6771" i="1"/>
  <c r="M6771" i="1"/>
  <c r="B6772" i="1"/>
  <c r="C6772" i="1"/>
  <c r="M6772" i="1"/>
  <c r="B6773" i="1"/>
  <c r="C6773" i="1"/>
  <c r="M6773" i="1"/>
  <c r="B6774" i="1"/>
  <c r="C6774" i="1"/>
  <c r="M6774" i="1"/>
  <c r="B6775" i="1"/>
  <c r="C6775" i="1"/>
  <c r="M6775" i="1"/>
  <c r="B6776" i="1"/>
  <c r="C6776" i="1"/>
  <c r="M6776" i="1"/>
  <c r="B6777" i="1"/>
  <c r="C6777" i="1"/>
  <c r="M6777" i="1"/>
  <c r="B6778" i="1"/>
  <c r="C6778" i="1"/>
  <c r="M6778" i="1"/>
  <c r="B6779" i="1"/>
  <c r="C6779" i="1"/>
  <c r="M6779" i="1"/>
  <c r="B6780" i="1"/>
  <c r="C6780" i="1"/>
  <c r="M6780" i="1"/>
  <c r="B6781" i="1"/>
  <c r="C6781" i="1"/>
  <c r="M6781" i="1"/>
  <c r="B6782" i="1"/>
  <c r="C6782" i="1"/>
  <c r="M6782" i="1"/>
  <c r="B6783" i="1"/>
  <c r="C6783" i="1"/>
  <c r="M6783" i="1"/>
  <c r="B6784" i="1"/>
  <c r="C6784" i="1"/>
  <c r="M6784" i="1"/>
  <c r="B6785" i="1"/>
  <c r="C6785" i="1"/>
  <c r="M6785" i="1"/>
  <c r="B6786" i="1"/>
  <c r="C6786" i="1"/>
  <c r="M6786" i="1"/>
  <c r="B6787" i="1"/>
  <c r="C6787" i="1"/>
  <c r="M6787" i="1"/>
  <c r="B6788" i="1"/>
  <c r="C6788" i="1"/>
  <c r="M6788" i="1"/>
  <c r="B6789" i="1"/>
  <c r="C6789" i="1"/>
  <c r="M6789" i="1"/>
  <c r="B6790" i="1"/>
  <c r="C6790" i="1"/>
  <c r="M6790" i="1"/>
  <c r="B6791" i="1"/>
  <c r="C6791" i="1"/>
  <c r="M6791" i="1"/>
  <c r="B6792" i="1"/>
  <c r="C6792" i="1"/>
  <c r="M6792" i="1"/>
  <c r="B6793" i="1"/>
  <c r="C6793" i="1"/>
  <c r="M6793" i="1"/>
  <c r="B6794" i="1"/>
  <c r="C6794" i="1"/>
  <c r="M6794" i="1"/>
  <c r="B6795" i="1"/>
  <c r="C6795" i="1"/>
  <c r="M6795" i="1"/>
  <c r="B6796" i="1"/>
  <c r="C6796" i="1"/>
  <c r="M6796" i="1"/>
  <c r="B6797" i="1"/>
  <c r="C6797" i="1"/>
  <c r="M6797" i="1"/>
  <c r="B6798" i="1"/>
  <c r="C6798" i="1"/>
  <c r="M6798" i="1"/>
  <c r="B6799" i="1"/>
  <c r="C6799" i="1"/>
  <c r="M6799" i="1"/>
  <c r="B6800" i="1"/>
  <c r="C6800" i="1"/>
  <c r="M6800" i="1"/>
  <c r="B6801" i="1"/>
  <c r="C6801" i="1"/>
  <c r="M6801" i="1"/>
  <c r="B6802" i="1"/>
  <c r="C6802" i="1"/>
  <c r="M6802" i="1"/>
  <c r="B6803" i="1"/>
  <c r="C6803" i="1"/>
  <c r="M6803" i="1"/>
  <c r="B6804" i="1"/>
  <c r="C6804" i="1"/>
  <c r="M6804" i="1"/>
  <c r="B6805" i="1"/>
  <c r="C6805" i="1"/>
  <c r="M6805" i="1"/>
  <c r="B6806" i="1"/>
  <c r="C6806" i="1"/>
  <c r="M6806" i="1"/>
  <c r="B6807" i="1"/>
  <c r="C6807" i="1"/>
  <c r="M6807" i="1"/>
  <c r="B6808" i="1"/>
  <c r="C6808" i="1"/>
  <c r="M6808" i="1"/>
  <c r="B6809" i="1"/>
  <c r="C6809" i="1"/>
  <c r="M6809" i="1"/>
  <c r="B6810" i="1"/>
  <c r="C6810" i="1"/>
  <c r="M6810" i="1"/>
  <c r="B6811" i="1"/>
  <c r="C6811" i="1"/>
  <c r="M6811" i="1"/>
  <c r="B6812" i="1"/>
  <c r="C6812" i="1"/>
  <c r="M6812" i="1"/>
  <c r="B6813" i="1"/>
  <c r="C6813" i="1"/>
  <c r="M6813" i="1"/>
  <c r="B6814" i="1"/>
  <c r="C6814" i="1"/>
  <c r="M6814" i="1"/>
  <c r="B6815" i="1"/>
  <c r="C6815" i="1"/>
  <c r="M6815" i="1"/>
  <c r="B6816" i="1"/>
  <c r="C6816" i="1"/>
  <c r="M6816" i="1"/>
  <c r="B6817" i="1"/>
  <c r="C6817" i="1"/>
  <c r="M6817" i="1"/>
  <c r="B6818" i="1"/>
  <c r="C6818" i="1"/>
  <c r="M6818" i="1"/>
  <c r="B6819" i="1"/>
  <c r="C6819" i="1"/>
  <c r="M6819" i="1"/>
  <c r="B6820" i="1"/>
  <c r="C6820" i="1"/>
  <c r="M6820" i="1"/>
  <c r="B6821" i="1"/>
  <c r="C6821" i="1"/>
  <c r="M6821" i="1"/>
  <c r="B6822" i="1"/>
  <c r="C6822" i="1"/>
  <c r="M6822" i="1"/>
  <c r="B6823" i="1"/>
  <c r="C6823" i="1"/>
  <c r="M6823" i="1"/>
  <c r="B6824" i="1"/>
  <c r="C6824" i="1"/>
  <c r="M6824" i="1"/>
  <c r="B6825" i="1"/>
  <c r="C6825" i="1"/>
  <c r="M6825" i="1"/>
  <c r="B6826" i="1"/>
  <c r="C6826" i="1"/>
  <c r="M6826" i="1"/>
  <c r="B6827" i="1"/>
  <c r="C6827" i="1"/>
  <c r="M6827" i="1"/>
  <c r="B6828" i="1"/>
  <c r="C6828" i="1"/>
  <c r="M6828" i="1"/>
  <c r="B6829" i="1"/>
  <c r="C6829" i="1"/>
  <c r="M6829" i="1"/>
  <c r="B6830" i="1"/>
  <c r="C6830" i="1"/>
  <c r="M6830" i="1"/>
  <c r="B6831" i="1"/>
  <c r="C6831" i="1"/>
  <c r="M6831" i="1"/>
  <c r="B6832" i="1"/>
  <c r="C6832" i="1"/>
  <c r="M6832" i="1"/>
  <c r="B6833" i="1"/>
  <c r="C6833" i="1"/>
  <c r="M6833" i="1"/>
  <c r="B6834" i="1"/>
  <c r="C6834" i="1"/>
  <c r="M6834" i="1"/>
  <c r="B6835" i="1"/>
  <c r="C6835" i="1"/>
  <c r="M6835" i="1"/>
  <c r="B6836" i="1"/>
  <c r="C6836" i="1"/>
  <c r="M6836" i="1"/>
  <c r="B6837" i="1"/>
  <c r="C6837" i="1"/>
  <c r="M6837" i="1"/>
  <c r="B6838" i="1"/>
  <c r="C6838" i="1"/>
  <c r="M6838" i="1"/>
  <c r="B6839" i="1"/>
  <c r="C6839" i="1"/>
  <c r="M6839" i="1"/>
  <c r="B6840" i="1"/>
  <c r="C6840" i="1"/>
  <c r="M6840" i="1"/>
  <c r="B6841" i="1"/>
  <c r="C6841" i="1"/>
  <c r="M6841" i="1"/>
  <c r="B6842" i="1"/>
  <c r="C6842" i="1"/>
  <c r="M6842" i="1"/>
  <c r="B6843" i="1"/>
  <c r="C6843" i="1"/>
  <c r="M6843" i="1"/>
  <c r="B6844" i="1"/>
  <c r="C6844" i="1"/>
  <c r="M6844" i="1"/>
  <c r="B6845" i="1"/>
  <c r="C6845" i="1"/>
  <c r="M6845" i="1"/>
  <c r="B6846" i="1"/>
  <c r="C6846" i="1"/>
  <c r="M6846" i="1"/>
  <c r="B6847" i="1"/>
  <c r="C6847" i="1"/>
  <c r="M6847" i="1"/>
  <c r="B6848" i="1"/>
  <c r="C6848" i="1"/>
  <c r="M6848" i="1"/>
  <c r="B6849" i="1"/>
  <c r="C6849" i="1"/>
  <c r="M6849" i="1"/>
  <c r="B6850" i="1"/>
  <c r="C6850" i="1"/>
  <c r="M6850" i="1"/>
  <c r="B6851" i="1"/>
  <c r="C6851" i="1"/>
  <c r="M6851" i="1"/>
  <c r="B6852" i="1"/>
  <c r="C6852" i="1"/>
  <c r="M6852" i="1"/>
  <c r="B6853" i="1"/>
  <c r="C6853" i="1"/>
  <c r="M6853" i="1"/>
  <c r="B6854" i="1"/>
  <c r="C6854" i="1"/>
  <c r="M6854" i="1"/>
  <c r="B6855" i="1"/>
  <c r="C6855" i="1"/>
  <c r="M6855" i="1"/>
  <c r="B6856" i="1"/>
  <c r="C6856" i="1"/>
  <c r="M6856" i="1"/>
  <c r="B6857" i="1"/>
  <c r="C6857" i="1"/>
  <c r="M6857" i="1"/>
  <c r="B6858" i="1"/>
  <c r="C6858" i="1"/>
  <c r="M6858" i="1"/>
  <c r="B6859" i="1"/>
  <c r="C6859" i="1"/>
  <c r="M6859" i="1"/>
  <c r="B6860" i="1"/>
  <c r="C6860" i="1"/>
  <c r="M6860" i="1"/>
  <c r="B6861" i="1"/>
  <c r="C6861" i="1"/>
  <c r="M6861" i="1"/>
  <c r="B6862" i="1"/>
  <c r="C6862" i="1"/>
  <c r="M6862" i="1"/>
  <c r="B6863" i="1"/>
  <c r="C6863" i="1"/>
  <c r="M6863" i="1"/>
  <c r="B6864" i="1"/>
  <c r="C6864" i="1"/>
  <c r="M6864" i="1"/>
  <c r="B6865" i="1"/>
  <c r="C6865" i="1"/>
  <c r="M6865" i="1"/>
  <c r="B6866" i="1"/>
  <c r="C6866" i="1"/>
  <c r="M6866" i="1"/>
  <c r="B6867" i="1"/>
  <c r="C6867" i="1"/>
  <c r="M6867" i="1"/>
  <c r="B6868" i="1"/>
  <c r="C6868" i="1"/>
  <c r="M6868" i="1"/>
  <c r="B6869" i="1"/>
  <c r="C6869" i="1"/>
  <c r="M6869" i="1"/>
  <c r="B6870" i="1"/>
  <c r="C6870" i="1"/>
  <c r="M6870" i="1"/>
  <c r="B6871" i="1"/>
  <c r="C6871" i="1"/>
  <c r="M6871" i="1"/>
  <c r="B6872" i="1"/>
  <c r="C6872" i="1"/>
  <c r="M6872" i="1"/>
  <c r="B6873" i="1"/>
  <c r="C6873" i="1"/>
  <c r="M6873" i="1"/>
  <c r="B6874" i="1"/>
  <c r="C6874" i="1"/>
  <c r="M6874" i="1"/>
  <c r="B6875" i="1"/>
  <c r="C6875" i="1"/>
  <c r="M6875" i="1"/>
  <c r="B6876" i="1"/>
  <c r="C6876" i="1"/>
  <c r="M6876" i="1"/>
  <c r="B6877" i="1"/>
  <c r="C6877" i="1"/>
  <c r="M6877" i="1"/>
  <c r="B6878" i="1"/>
  <c r="C6878" i="1"/>
  <c r="M6878" i="1"/>
  <c r="B6879" i="1"/>
  <c r="C6879" i="1"/>
  <c r="M6879" i="1"/>
  <c r="B6880" i="1"/>
  <c r="C6880" i="1"/>
  <c r="M6880" i="1"/>
  <c r="B6881" i="1"/>
  <c r="C6881" i="1"/>
  <c r="M6881" i="1"/>
  <c r="B6882" i="1"/>
  <c r="C6882" i="1"/>
  <c r="M6882" i="1"/>
  <c r="B6883" i="1"/>
  <c r="C6883" i="1"/>
  <c r="M6883" i="1"/>
  <c r="B6884" i="1"/>
  <c r="C6884" i="1"/>
  <c r="M6884" i="1"/>
  <c r="B6885" i="1"/>
  <c r="C6885" i="1"/>
  <c r="M6885" i="1"/>
  <c r="B6886" i="1"/>
  <c r="C6886" i="1"/>
  <c r="M6886" i="1"/>
  <c r="B6887" i="1"/>
  <c r="C6887" i="1"/>
  <c r="M6887" i="1"/>
  <c r="B6888" i="1"/>
  <c r="C6888" i="1"/>
  <c r="M6888" i="1"/>
  <c r="B6889" i="1"/>
  <c r="C6889" i="1"/>
  <c r="M6889" i="1"/>
  <c r="B6890" i="1"/>
  <c r="C6890" i="1"/>
  <c r="M6890" i="1"/>
  <c r="B6891" i="1"/>
  <c r="C6891" i="1"/>
  <c r="M6891" i="1"/>
  <c r="B6892" i="1"/>
  <c r="C6892" i="1"/>
  <c r="M6892" i="1"/>
  <c r="B6893" i="1"/>
  <c r="C6893" i="1"/>
  <c r="M6893" i="1"/>
  <c r="B6894" i="1"/>
  <c r="C6894" i="1"/>
  <c r="M6894" i="1"/>
  <c r="B6895" i="1"/>
  <c r="C6895" i="1"/>
  <c r="M6895" i="1"/>
  <c r="B6896" i="1"/>
  <c r="C6896" i="1"/>
  <c r="M6896" i="1"/>
  <c r="B6897" i="1"/>
  <c r="C6897" i="1"/>
  <c r="M6897" i="1"/>
  <c r="B6898" i="1"/>
  <c r="C6898" i="1"/>
  <c r="M6898" i="1"/>
  <c r="B6899" i="1"/>
  <c r="C6899" i="1"/>
  <c r="M6899" i="1"/>
  <c r="B6900" i="1"/>
  <c r="C6900" i="1"/>
  <c r="M6900" i="1"/>
  <c r="B6901" i="1"/>
  <c r="C6901" i="1"/>
  <c r="M6901" i="1"/>
  <c r="B6902" i="1"/>
  <c r="C6902" i="1"/>
  <c r="M6902" i="1"/>
  <c r="B6903" i="1"/>
  <c r="C6903" i="1"/>
  <c r="M6903" i="1"/>
  <c r="B6904" i="1"/>
  <c r="C6904" i="1"/>
  <c r="M6904" i="1"/>
  <c r="B6905" i="1"/>
  <c r="C6905" i="1"/>
  <c r="M6905" i="1"/>
  <c r="B6906" i="1"/>
  <c r="C6906" i="1"/>
  <c r="M6906" i="1"/>
  <c r="B6907" i="1"/>
  <c r="C6907" i="1"/>
  <c r="M6907" i="1"/>
  <c r="B6908" i="1"/>
  <c r="C6908" i="1"/>
  <c r="M6908" i="1"/>
  <c r="B6909" i="1"/>
  <c r="C6909" i="1"/>
  <c r="M6909" i="1"/>
  <c r="B6910" i="1"/>
  <c r="C6910" i="1"/>
  <c r="M6910" i="1"/>
  <c r="B6911" i="1"/>
  <c r="C6911" i="1"/>
  <c r="M6911" i="1"/>
  <c r="B6912" i="1"/>
  <c r="C6912" i="1"/>
  <c r="M6912" i="1"/>
  <c r="B6913" i="1"/>
  <c r="C6913" i="1"/>
  <c r="M6913" i="1"/>
  <c r="B6914" i="1"/>
  <c r="C6914" i="1"/>
  <c r="M6914" i="1"/>
  <c r="B6915" i="1"/>
  <c r="C6915" i="1"/>
  <c r="M6915" i="1"/>
  <c r="B6916" i="1"/>
  <c r="C6916" i="1"/>
  <c r="M6916" i="1"/>
  <c r="B6917" i="1"/>
  <c r="C6917" i="1"/>
  <c r="M6917" i="1"/>
  <c r="B6918" i="1"/>
  <c r="C6918" i="1"/>
  <c r="M6918" i="1"/>
  <c r="B6919" i="1"/>
  <c r="C6919" i="1"/>
  <c r="M6919" i="1"/>
  <c r="B6920" i="1"/>
  <c r="C6920" i="1"/>
  <c r="M6920" i="1"/>
  <c r="B6921" i="1"/>
  <c r="C6921" i="1"/>
  <c r="M6921" i="1"/>
  <c r="B6922" i="1"/>
  <c r="C6922" i="1"/>
  <c r="M6922" i="1"/>
  <c r="B6923" i="1"/>
  <c r="C6923" i="1"/>
  <c r="M6923" i="1"/>
  <c r="B6924" i="1"/>
  <c r="C6924" i="1"/>
  <c r="M6924" i="1"/>
  <c r="B6925" i="1"/>
  <c r="C6925" i="1"/>
  <c r="M6925" i="1"/>
  <c r="B6926" i="1"/>
  <c r="C6926" i="1"/>
  <c r="M6926" i="1"/>
  <c r="B6927" i="1"/>
  <c r="C6927" i="1"/>
  <c r="M6927" i="1"/>
  <c r="B6928" i="1"/>
  <c r="C6928" i="1"/>
  <c r="M6928" i="1"/>
  <c r="B6929" i="1"/>
  <c r="C6929" i="1"/>
  <c r="M6929" i="1"/>
  <c r="B6930" i="1"/>
  <c r="C6930" i="1"/>
  <c r="M6930" i="1"/>
  <c r="B6931" i="1"/>
  <c r="C6931" i="1"/>
  <c r="M6931" i="1"/>
  <c r="B6932" i="1"/>
  <c r="C6932" i="1"/>
  <c r="M6932" i="1"/>
  <c r="B6933" i="1"/>
  <c r="C6933" i="1"/>
  <c r="M6933" i="1"/>
  <c r="B6934" i="1"/>
  <c r="C6934" i="1"/>
  <c r="M6934" i="1"/>
  <c r="B6935" i="1"/>
  <c r="C6935" i="1"/>
  <c r="M6935" i="1"/>
  <c r="B6936" i="1"/>
  <c r="C6936" i="1"/>
  <c r="M6936" i="1"/>
  <c r="B6937" i="1"/>
  <c r="C6937" i="1"/>
  <c r="M6937" i="1"/>
  <c r="B6938" i="1"/>
  <c r="C6938" i="1"/>
  <c r="M6938" i="1"/>
  <c r="B6939" i="1"/>
  <c r="C6939" i="1"/>
  <c r="M6939" i="1"/>
  <c r="B6940" i="1"/>
  <c r="C6940" i="1"/>
  <c r="M6940" i="1"/>
  <c r="B6941" i="1"/>
  <c r="C6941" i="1"/>
  <c r="M6941" i="1"/>
  <c r="B6942" i="1"/>
  <c r="C6942" i="1"/>
  <c r="M6942" i="1"/>
  <c r="B6943" i="1"/>
  <c r="C6943" i="1"/>
  <c r="M6943" i="1"/>
  <c r="B6944" i="1"/>
  <c r="C6944" i="1"/>
  <c r="M6944" i="1"/>
  <c r="B6945" i="1"/>
  <c r="C6945" i="1"/>
  <c r="M6945" i="1"/>
  <c r="B6946" i="1"/>
  <c r="C6946" i="1"/>
  <c r="M6946" i="1"/>
  <c r="B6947" i="1"/>
  <c r="C6947" i="1"/>
  <c r="M6947" i="1"/>
  <c r="B6948" i="1"/>
  <c r="C6948" i="1"/>
  <c r="M6948" i="1"/>
  <c r="B6949" i="1"/>
  <c r="C6949" i="1"/>
  <c r="M6949" i="1"/>
  <c r="B6950" i="1"/>
  <c r="C6950" i="1"/>
  <c r="M6950" i="1"/>
  <c r="B6951" i="1"/>
  <c r="C6951" i="1"/>
  <c r="M6951" i="1"/>
  <c r="B6952" i="1"/>
  <c r="C6952" i="1"/>
  <c r="M6952" i="1"/>
  <c r="B6953" i="1"/>
  <c r="C6953" i="1"/>
  <c r="M6953" i="1"/>
  <c r="B6954" i="1"/>
  <c r="C6954" i="1"/>
  <c r="M6954" i="1"/>
  <c r="B6955" i="1"/>
  <c r="C6955" i="1"/>
  <c r="M6955" i="1"/>
  <c r="B6956" i="1"/>
  <c r="C6956" i="1"/>
  <c r="M6956" i="1"/>
  <c r="B6957" i="1"/>
  <c r="C6957" i="1"/>
  <c r="M6957" i="1"/>
  <c r="B6958" i="1"/>
  <c r="C6958" i="1"/>
  <c r="M6958" i="1"/>
  <c r="B6959" i="1"/>
  <c r="C6959" i="1"/>
  <c r="M6959" i="1"/>
  <c r="B6960" i="1"/>
  <c r="C6960" i="1"/>
  <c r="M6960" i="1"/>
  <c r="B6961" i="1"/>
  <c r="C6961" i="1"/>
  <c r="M6961" i="1"/>
  <c r="B6962" i="1"/>
  <c r="C6962" i="1"/>
  <c r="M6962" i="1"/>
  <c r="B6963" i="1"/>
  <c r="C6963" i="1"/>
  <c r="M6963" i="1"/>
  <c r="B6964" i="1"/>
  <c r="C6964" i="1"/>
  <c r="M6964" i="1"/>
  <c r="B6965" i="1"/>
  <c r="C6965" i="1"/>
  <c r="M6965" i="1"/>
  <c r="B6966" i="1"/>
  <c r="C6966" i="1"/>
  <c r="M6966" i="1"/>
  <c r="B6967" i="1"/>
  <c r="C6967" i="1"/>
  <c r="M6967" i="1"/>
  <c r="B6968" i="1"/>
  <c r="C6968" i="1"/>
  <c r="M6968" i="1"/>
  <c r="B6969" i="1"/>
  <c r="C6969" i="1"/>
  <c r="M6969" i="1"/>
  <c r="B6970" i="1"/>
  <c r="C6970" i="1"/>
  <c r="M6970" i="1"/>
  <c r="B6971" i="1"/>
  <c r="C6971" i="1"/>
  <c r="M6971" i="1"/>
  <c r="B6972" i="1"/>
  <c r="C6972" i="1"/>
  <c r="M6972" i="1"/>
  <c r="B6973" i="1"/>
  <c r="C6973" i="1"/>
  <c r="M6973" i="1"/>
  <c r="B6974" i="1"/>
  <c r="C6974" i="1"/>
  <c r="M6974" i="1"/>
  <c r="B6975" i="1"/>
  <c r="C6975" i="1"/>
  <c r="M6975" i="1"/>
  <c r="B6976" i="1"/>
  <c r="C6976" i="1"/>
  <c r="M6976" i="1"/>
  <c r="B6977" i="1"/>
  <c r="C6977" i="1"/>
  <c r="M6977" i="1"/>
  <c r="B6978" i="1"/>
  <c r="C6978" i="1"/>
  <c r="M6978" i="1"/>
  <c r="B6979" i="1"/>
  <c r="C6979" i="1"/>
  <c r="M6979" i="1"/>
  <c r="B6980" i="1"/>
  <c r="C6980" i="1"/>
  <c r="M6980" i="1"/>
  <c r="B6981" i="1"/>
  <c r="C6981" i="1"/>
  <c r="M6981" i="1"/>
  <c r="B6982" i="1"/>
  <c r="C6982" i="1"/>
  <c r="M6982" i="1"/>
  <c r="B6983" i="1"/>
  <c r="C6983" i="1"/>
  <c r="M6983" i="1"/>
  <c r="B6984" i="1"/>
  <c r="C6984" i="1"/>
  <c r="M6984" i="1"/>
  <c r="B6985" i="1"/>
  <c r="C6985" i="1"/>
  <c r="M6985" i="1"/>
  <c r="B6986" i="1"/>
  <c r="C6986" i="1"/>
  <c r="M6986" i="1"/>
  <c r="B6987" i="1"/>
  <c r="C6987" i="1"/>
  <c r="M6987" i="1"/>
  <c r="B6988" i="1"/>
  <c r="C6988" i="1"/>
  <c r="M6988" i="1"/>
  <c r="B6989" i="1"/>
  <c r="C6989" i="1"/>
  <c r="M6989" i="1"/>
  <c r="B6990" i="1"/>
  <c r="C6990" i="1"/>
  <c r="M6990" i="1"/>
  <c r="B6991" i="1"/>
  <c r="C6991" i="1"/>
  <c r="M6991" i="1"/>
  <c r="B6992" i="1"/>
  <c r="C6992" i="1"/>
  <c r="M6992" i="1"/>
  <c r="B6993" i="1"/>
  <c r="C6993" i="1"/>
  <c r="M6993" i="1"/>
  <c r="B6994" i="1"/>
  <c r="C6994" i="1"/>
  <c r="M6994" i="1"/>
  <c r="B6995" i="1"/>
  <c r="C6995" i="1"/>
  <c r="M6995" i="1"/>
  <c r="B6996" i="1"/>
  <c r="C6996" i="1"/>
  <c r="M6996" i="1"/>
  <c r="B6997" i="1"/>
  <c r="C6997" i="1"/>
  <c r="M6997" i="1"/>
  <c r="B6998" i="1"/>
  <c r="C6998" i="1"/>
  <c r="M6998" i="1"/>
  <c r="B6999" i="1"/>
  <c r="C6999" i="1"/>
  <c r="M6999" i="1"/>
  <c r="B7000" i="1"/>
  <c r="C7000" i="1"/>
  <c r="M7000" i="1"/>
  <c r="B7001" i="1"/>
  <c r="C7001" i="1"/>
  <c r="M7001" i="1"/>
  <c r="B7002" i="1"/>
  <c r="C7002" i="1"/>
  <c r="M7002" i="1"/>
  <c r="B7003" i="1"/>
  <c r="C7003" i="1"/>
  <c r="M7003" i="1"/>
  <c r="B7004" i="1"/>
  <c r="C7004" i="1"/>
  <c r="M7004" i="1"/>
  <c r="B7005" i="1"/>
  <c r="C7005" i="1"/>
  <c r="M7005" i="1"/>
  <c r="B7006" i="1"/>
  <c r="C7006" i="1"/>
  <c r="M7006" i="1"/>
  <c r="B7007" i="1"/>
  <c r="C7007" i="1"/>
  <c r="M7007" i="1"/>
  <c r="B7008" i="1"/>
  <c r="C7008" i="1"/>
  <c r="M7008" i="1"/>
  <c r="B7009" i="1"/>
  <c r="C7009" i="1"/>
  <c r="M7009" i="1"/>
  <c r="B7010" i="1"/>
  <c r="C7010" i="1"/>
  <c r="M7010" i="1"/>
  <c r="B7011" i="1"/>
  <c r="C7011" i="1"/>
  <c r="M7011" i="1"/>
  <c r="B7012" i="1"/>
  <c r="C7012" i="1"/>
  <c r="M7012" i="1"/>
  <c r="B7013" i="1"/>
  <c r="C7013" i="1"/>
  <c r="M7013" i="1"/>
  <c r="B7014" i="1"/>
  <c r="C7014" i="1"/>
  <c r="M7014" i="1"/>
  <c r="B7015" i="1"/>
  <c r="C7015" i="1"/>
  <c r="M7015" i="1"/>
  <c r="B7016" i="1"/>
  <c r="C7016" i="1"/>
  <c r="M7016" i="1"/>
  <c r="B7017" i="1"/>
  <c r="C7017" i="1"/>
  <c r="M7017" i="1"/>
  <c r="B7018" i="1"/>
  <c r="C7018" i="1"/>
  <c r="M7018" i="1"/>
  <c r="B7019" i="1"/>
  <c r="C7019" i="1"/>
  <c r="M7019" i="1"/>
  <c r="B7020" i="1"/>
  <c r="C7020" i="1"/>
  <c r="M7020" i="1"/>
  <c r="B7021" i="1"/>
  <c r="C7021" i="1"/>
  <c r="M7021" i="1"/>
  <c r="B7022" i="1"/>
  <c r="C7022" i="1"/>
  <c r="M7022" i="1"/>
  <c r="B7023" i="1"/>
  <c r="C7023" i="1"/>
  <c r="M7023" i="1"/>
  <c r="B7024" i="1"/>
  <c r="C7024" i="1"/>
  <c r="M7024" i="1"/>
  <c r="B7025" i="1"/>
  <c r="C7025" i="1"/>
  <c r="M7025" i="1"/>
  <c r="B7026" i="1"/>
  <c r="C7026" i="1"/>
  <c r="M7026" i="1"/>
  <c r="B7027" i="1"/>
  <c r="C7027" i="1"/>
  <c r="M7027" i="1"/>
  <c r="B7028" i="1"/>
  <c r="C7028" i="1"/>
  <c r="M7028" i="1"/>
  <c r="B7029" i="1"/>
  <c r="C7029" i="1"/>
  <c r="M7029" i="1"/>
  <c r="B7030" i="1"/>
  <c r="C7030" i="1"/>
  <c r="M7030" i="1"/>
  <c r="B7031" i="1"/>
  <c r="C7031" i="1"/>
  <c r="M7031" i="1"/>
  <c r="B7032" i="1"/>
  <c r="C7032" i="1"/>
  <c r="M7032" i="1"/>
  <c r="B7033" i="1"/>
  <c r="C7033" i="1"/>
  <c r="M7033" i="1"/>
  <c r="B7034" i="1"/>
  <c r="C7034" i="1"/>
  <c r="M7034" i="1"/>
  <c r="B7035" i="1"/>
  <c r="C7035" i="1"/>
  <c r="M7035" i="1"/>
  <c r="B7036" i="1"/>
  <c r="C7036" i="1"/>
  <c r="M7036" i="1"/>
  <c r="B7037" i="1"/>
  <c r="C7037" i="1"/>
  <c r="M7037" i="1"/>
  <c r="B7038" i="1"/>
  <c r="C7038" i="1"/>
  <c r="M7038" i="1"/>
  <c r="B7039" i="1"/>
  <c r="C7039" i="1"/>
  <c r="M7039" i="1"/>
  <c r="B7040" i="1"/>
  <c r="C7040" i="1"/>
  <c r="M7040" i="1"/>
  <c r="B7041" i="1"/>
  <c r="C7041" i="1"/>
  <c r="M7041" i="1"/>
  <c r="B7042" i="1"/>
  <c r="C7042" i="1"/>
  <c r="M7042" i="1"/>
  <c r="B7043" i="1"/>
  <c r="C7043" i="1"/>
  <c r="M7043" i="1"/>
  <c r="B7044" i="1"/>
  <c r="C7044" i="1"/>
  <c r="M7044" i="1"/>
  <c r="B7045" i="1"/>
  <c r="C7045" i="1"/>
  <c r="M7045" i="1"/>
  <c r="B7046" i="1"/>
  <c r="C7046" i="1"/>
  <c r="M7046" i="1"/>
  <c r="B7047" i="1"/>
  <c r="C7047" i="1"/>
  <c r="M7047" i="1"/>
  <c r="B7048" i="1"/>
  <c r="C7048" i="1"/>
  <c r="M7048" i="1"/>
  <c r="B7049" i="1"/>
  <c r="C7049" i="1"/>
  <c r="M7049" i="1"/>
  <c r="B7050" i="1"/>
  <c r="C7050" i="1"/>
  <c r="M7050" i="1"/>
  <c r="B7051" i="1"/>
  <c r="C7051" i="1"/>
  <c r="M7051" i="1"/>
  <c r="B7052" i="1"/>
  <c r="C7052" i="1"/>
  <c r="M7052" i="1"/>
  <c r="B7053" i="1"/>
  <c r="C7053" i="1"/>
  <c r="M7053" i="1"/>
  <c r="B7054" i="1"/>
  <c r="C7054" i="1"/>
  <c r="M7054" i="1"/>
  <c r="B7055" i="1"/>
  <c r="C7055" i="1"/>
  <c r="M7055" i="1"/>
  <c r="B7056" i="1"/>
  <c r="C7056" i="1"/>
  <c r="M7056" i="1"/>
  <c r="B7057" i="1"/>
  <c r="C7057" i="1"/>
  <c r="M7057" i="1"/>
  <c r="B7058" i="1"/>
  <c r="C7058" i="1"/>
  <c r="M7058" i="1"/>
  <c r="B7059" i="1"/>
  <c r="C7059" i="1"/>
  <c r="M7059" i="1"/>
  <c r="B7060" i="1"/>
  <c r="C7060" i="1"/>
  <c r="M7060" i="1"/>
  <c r="B7061" i="1"/>
  <c r="C7061" i="1"/>
  <c r="M7061" i="1"/>
  <c r="B7062" i="1"/>
  <c r="C7062" i="1"/>
  <c r="M7062" i="1"/>
  <c r="B7063" i="1"/>
  <c r="C7063" i="1"/>
  <c r="M7063" i="1"/>
  <c r="B7064" i="1"/>
  <c r="C7064" i="1"/>
  <c r="M7064" i="1"/>
  <c r="B7065" i="1"/>
  <c r="C7065" i="1"/>
  <c r="M7065" i="1"/>
  <c r="B7066" i="1"/>
  <c r="C7066" i="1"/>
  <c r="M7066" i="1"/>
  <c r="B7067" i="1"/>
  <c r="C7067" i="1"/>
  <c r="M7067" i="1"/>
  <c r="B7068" i="1"/>
  <c r="C7068" i="1"/>
  <c r="M7068" i="1"/>
  <c r="B7069" i="1"/>
  <c r="C7069" i="1"/>
  <c r="M7069" i="1"/>
  <c r="B7070" i="1"/>
  <c r="C7070" i="1"/>
  <c r="M7070" i="1"/>
  <c r="B7071" i="1"/>
  <c r="C7071" i="1"/>
  <c r="M7071" i="1"/>
  <c r="B7072" i="1"/>
  <c r="C7072" i="1"/>
  <c r="M7072" i="1"/>
  <c r="B7073" i="1"/>
  <c r="C7073" i="1"/>
  <c r="M7073" i="1"/>
  <c r="B7074" i="1"/>
  <c r="C7074" i="1"/>
  <c r="M7074" i="1"/>
  <c r="B7075" i="1"/>
  <c r="C7075" i="1"/>
  <c r="M7075" i="1"/>
  <c r="B7076" i="1"/>
  <c r="C7076" i="1"/>
  <c r="M7076" i="1"/>
  <c r="B7077" i="1"/>
  <c r="C7077" i="1"/>
  <c r="M7077" i="1"/>
  <c r="B7078" i="1"/>
  <c r="C7078" i="1"/>
  <c r="M7078" i="1"/>
  <c r="B7079" i="1"/>
  <c r="C7079" i="1"/>
  <c r="M7079" i="1"/>
  <c r="B7080" i="1"/>
  <c r="C7080" i="1"/>
  <c r="M7080" i="1"/>
  <c r="B7081" i="1"/>
  <c r="C7081" i="1"/>
  <c r="M7081" i="1"/>
  <c r="B7082" i="1"/>
  <c r="C7082" i="1"/>
  <c r="M7082" i="1"/>
  <c r="B7083" i="1"/>
  <c r="C7083" i="1"/>
  <c r="M7083" i="1"/>
  <c r="B7084" i="1"/>
  <c r="C7084" i="1"/>
  <c r="M7084" i="1"/>
  <c r="B7085" i="1"/>
  <c r="C7085" i="1"/>
  <c r="M7085" i="1"/>
  <c r="B7086" i="1"/>
  <c r="C7086" i="1"/>
  <c r="M7086" i="1"/>
  <c r="B7087" i="1"/>
  <c r="C7087" i="1"/>
  <c r="M7087" i="1"/>
  <c r="B7088" i="1"/>
  <c r="C7088" i="1"/>
  <c r="M7088" i="1"/>
  <c r="B7089" i="1"/>
  <c r="C7089" i="1"/>
  <c r="M7089" i="1"/>
  <c r="B7090" i="1"/>
  <c r="C7090" i="1"/>
  <c r="M7090" i="1"/>
  <c r="B7091" i="1"/>
  <c r="C7091" i="1"/>
  <c r="M7091" i="1"/>
  <c r="B7092" i="1"/>
  <c r="C7092" i="1"/>
  <c r="M7092" i="1"/>
  <c r="B7093" i="1"/>
  <c r="C7093" i="1"/>
  <c r="M7093" i="1"/>
  <c r="B7094" i="1"/>
  <c r="C7094" i="1"/>
  <c r="M7094" i="1"/>
  <c r="B7095" i="1"/>
  <c r="C7095" i="1"/>
  <c r="M7095" i="1"/>
  <c r="B7096" i="1"/>
  <c r="C7096" i="1"/>
  <c r="M7096" i="1"/>
  <c r="B7097" i="1"/>
  <c r="C7097" i="1"/>
  <c r="M7097" i="1"/>
  <c r="B7098" i="1"/>
  <c r="C7098" i="1"/>
  <c r="M7098" i="1"/>
  <c r="B7099" i="1"/>
  <c r="C7099" i="1"/>
  <c r="M7099" i="1"/>
  <c r="B7100" i="1"/>
  <c r="C7100" i="1"/>
  <c r="M7100" i="1"/>
  <c r="B7101" i="1"/>
  <c r="C7101" i="1"/>
  <c r="M7101" i="1"/>
  <c r="B7102" i="1"/>
  <c r="C7102" i="1"/>
  <c r="M7102" i="1"/>
  <c r="B7103" i="1"/>
  <c r="C7103" i="1"/>
  <c r="M7103" i="1"/>
  <c r="B7104" i="1"/>
  <c r="C7104" i="1"/>
  <c r="M7104" i="1"/>
  <c r="B7105" i="1"/>
  <c r="C7105" i="1"/>
  <c r="M7105" i="1"/>
  <c r="B7106" i="1"/>
  <c r="C7106" i="1"/>
  <c r="M7106" i="1"/>
  <c r="B7107" i="1"/>
  <c r="C7107" i="1"/>
  <c r="M7107" i="1"/>
  <c r="B7108" i="1"/>
  <c r="C7108" i="1"/>
  <c r="M7108" i="1"/>
  <c r="B7109" i="1"/>
  <c r="C7109" i="1"/>
  <c r="M7109" i="1"/>
  <c r="B7110" i="1"/>
  <c r="C7110" i="1"/>
  <c r="M7110" i="1"/>
  <c r="B7111" i="1"/>
  <c r="C7111" i="1"/>
  <c r="M7111" i="1"/>
  <c r="B7112" i="1"/>
  <c r="C7112" i="1"/>
  <c r="M7112" i="1"/>
  <c r="B7113" i="1"/>
  <c r="C7113" i="1"/>
  <c r="M7113" i="1"/>
  <c r="B7114" i="1"/>
  <c r="C7114" i="1"/>
  <c r="M7114" i="1"/>
  <c r="B7115" i="1"/>
  <c r="C7115" i="1"/>
  <c r="M7115" i="1"/>
  <c r="B7116" i="1"/>
  <c r="C7116" i="1"/>
  <c r="M7116" i="1"/>
  <c r="B7117" i="1"/>
  <c r="C7117" i="1"/>
  <c r="M7117" i="1"/>
  <c r="B7118" i="1"/>
  <c r="C7118" i="1"/>
  <c r="M7118" i="1"/>
  <c r="B7119" i="1"/>
  <c r="C7119" i="1"/>
  <c r="M7119" i="1"/>
  <c r="B7120" i="1"/>
  <c r="C7120" i="1"/>
  <c r="M7120" i="1"/>
  <c r="B7121" i="1"/>
  <c r="C7121" i="1"/>
  <c r="M7121" i="1"/>
  <c r="B7122" i="1"/>
  <c r="C7122" i="1"/>
  <c r="M7122" i="1"/>
  <c r="B7123" i="1"/>
  <c r="C7123" i="1"/>
  <c r="M7123" i="1"/>
  <c r="B7124" i="1"/>
  <c r="C7124" i="1"/>
  <c r="M7124" i="1"/>
  <c r="B7125" i="1"/>
  <c r="C7125" i="1"/>
  <c r="M7125" i="1"/>
  <c r="B7126" i="1"/>
  <c r="C7126" i="1"/>
  <c r="M7126" i="1"/>
  <c r="B7127" i="1"/>
  <c r="C7127" i="1"/>
  <c r="M7127" i="1"/>
  <c r="B7128" i="1"/>
  <c r="C7128" i="1"/>
  <c r="M7128" i="1"/>
  <c r="B7129" i="1"/>
  <c r="C7129" i="1"/>
  <c r="M7129" i="1"/>
  <c r="B7130" i="1"/>
  <c r="C7130" i="1"/>
  <c r="M7130" i="1"/>
  <c r="B7131" i="1"/>
  <c r="C7131" i="1"/>
  <c r="M7131" i="1"/>
  <c r="B7132" i="1"/>
  <c r="C7132" i="1"/>
  <c r="M7132" i="1"/>
  <c r="B7133" i="1"/>
  <c r="C7133" i="1"/>
  <c r="M7133" i="1"/>
  <c r="B7134" i="1"/>
  <c r="C7134" i="1"/>
  <c r="M7134" i="1"/>
  <c r="B7135" i="1"/>
  <c r="C7135" i="1"/>
  <c r="M7135" i="1"/>
  <c r="B7136" i="1"/>
  <c r="C7136" i="1"/>
  <c r="M7136" i="1"/>
  <c r="B7137" i="1"/>
  <c r="C7137" i="1"/>
  <c r="M7137" i="1"/>
  <c r="B7138" i="1"/>
  <c r="C7138" i="1"/>
  <c r="M7138" i="1"/>
  <c r="B7139" i="1"/>
  <c r="C7139" i="1"/>
  <c r="M7139" i="1"/>
  <c r="B7140" i="1"/>
  <c r="C7140" i="1"/>
  <c r="M7140" i="1"/>
  <c r="B7141" i="1"/>
  <c r="C7141" i="1"/>
  <c r="M7141" i="1"/>
  <c r="B7142" i="1"/>
  <c r="C7142" i="1"/>
  <c r="M7142" i="1"/>
  <c r="B7143" i="1"/>
  <c r="C7143" i="1"/>
  <c r="M7143" i="1"/>
  <c r="B7144" i="1"/>
  <c r="C7144" i="1"/>
  <c r="M7144" i="1"/>
  <c r="B7145" i="1"/>
  <c r="C7145" i="1"/>
  <c r="M7145" i="1"/>
  <c r="B7146" i="1"/>
  <c r="C7146" i="1"/>
  <c r="M7146" i="1"/>
  <c r="B7147" i="1"/>
  <c r="C7147" i="1"/>
  <c r="M7147" i="1"/>
  <c r="B7148" i="1"/>
  <c r="C7148" i="1"/>
  <c r="M7148" i="1"/>
  <c r="B7149" i="1"/>
  <c r="C7149" i="1"/>
  <c r="M7149" i="1"/>
  <c r="B7150" i="1"/>
  <c r="C7150" i="1"/>
  <c r="M7150" i="1"/>
  <c r="B7151" i="1"/>
  <c r="C7151" i="1"/>
  <c r="M7151" i="1"/>
  <c r="B7152" i="1"/>
  <c r="C7152" i="1"/>
  <c r="M7152" i="1"/>
  <c r="B7153" i="1"/>
  <c r="C7153" i="1"/>
  <c r="M7153" i="1"/>
  <c r="B7154" i="1"/>
  <c r="C7154" i="1"/>
  <c r="M7154" i="1"/>
  <c r="B7155" i="1"/>
  <c r="C7155" i="1"/>
  <c r="M7155" i="1"/>
  <c r="B7156" i="1"/>
  <c r="C7156" i="1"/>
  <c r="M7156" i="1"/>
  <c r="B7157" i="1"/>
  <c r="C7157" i="1"/>
  <c r="M7157" i="1"/>
  <c r="B7158" i="1"/>
  <c r="C7158" i="1"/>
  <c r="M7158" i="1"/>
  <c r="B7159" i="1"/>
  <c r="C7159" i="1"/>
  <c r="M7159" i="1"/>
  <c r="B7160" i="1"/>
  <c r="C7160" i="1"/>
  <c r="M7160" i="1"/>
  <c r="B7161" i="1"/>
  <c r="C7161" i="1"/>
  <c r="M7161" i="1"/>
  <c r="B7162" i="1"/>
  <c r="C7162" i="1"/>
  <c r="M7162" i="1"/>
  <c r="B7163" i="1"/>
  <c r="C7163" i="1"/>
  <c r="M7163" i="1"/>
  <c r="B7164" i="1"/>
  <c r="C7164" i="1"/>
  <c r="M7164" i="1"/>
  <c r="B7165" i="1"/>
  <c r="C7165" i="1"/>
  <c r="M7165" i="1"/>
  <c r="B7166" i="1"/>
  <c r="C7166" i="1"/>
  <c r="M7166" i="1"/>
  <c r="B7167" i="1"/>
  <c r="C7167" i="1"/>
  <c r="M7167" i="1"/>
  <c r="B7168" i="1"/>
  <c r="C7168" i="1"/>
  <c r="M7168" i="1"/>
  <c r="B7169" i="1"/>
  <c r="C7169" i="1"/>
  <c r="M7169" i="1"/>
  <c r="B7170" i="1"/>
  <c r="C7170" i="1"/>
  <c r="M7170" i="1"/>
  <c r="B7171" i="1"/>
  <c r="C7171" i="1"/>
  <c r="M7171" i="1"/>
  <c r="B7172" i="1"/>
  <c r="C7172" i="1"/>
  <c r="M7172" i="1"/>
  <c r="B7173" i="1"/>
  <c r="C7173" i="1"/>
  <c r="M7173" i="1"/>
  <c r="B7174" i="1"/>
  <c r="C7174" i="1"/>
  <c r="M7174" i="1"/>
  <c r="B7175" i="1"/>
  <c r="C7175" i="1"/>
  <c r="M7175" i="1"/>
  <c r="B7176" i="1"/>
  <c r="C7176" i="1"/>
  <c r="M7176" i="1"/>
  <c r="B7177" i="1"/>
  <c r="C7177" i="1"/>
  <c r="M7177" i="1"/>
  <c r="B7178" i="1"/>
  <c r="C7178" i="1"/>
  <c r="M7178" i="1"/>
  <c r="B7179" i="1"/>
  <c r="C7179" i="1"/>
  <c r="M7179" i="1"/>
  <c r="B7180" i="1"/>
  <c r="C7180" i="1"/>
  <c r="M7180" i="1"/>
  <c r="B7181" i="1"/>
  <c r="C7181" i="1"/>
  <c r="M7181" i="1"/>
  <c r="B7182" i="1"/>
  <c r="C7182" i="1"/>
  <c r="M7182" i="1"/>
  <c r="B7183" i="1"/>
  <c r="C7183" i="1"/>
  <c r="M7183" i="1"/>
  <c r="B7184" i="1"/>
  <c r="C7184" i="1"/>
  <c r="M7184" i="1"/>
  <c r="B7185" i="1"/>
  <c r="C7185" i="1"/>
  <c r="M7185" i="1"/>
  <c r="B7186" i="1"/>
  <c r="C7186" i="1"/>
  <c r="M7186" i="1"/>
  <c r="B7187" i="1"/>
  <c r="C7187" i="1"/>
  <c r="M7187" i="1"/>
  <c r="B7188" i="1"/>
  <c r="C7188" i="1"/>
  <c r="M7188" i="1"/>
  <c r="B7189" i="1"/>
  <c r="C7189" i="1"/>
  <c r="M7189" i="1"/>
  <c r="B7190" i="1"/>
  <c r="C7190" i="1"/>
  <c r="M7190" i="1"/>
  <c r="B7191" i="1"/>
  <c r="C7191" i="1"/>
  <c r="M7191" i="1"/>
  <c r="B7192" i="1"/>
  <c r="C7192" i="1"/>
  <c r="M7192" i="1"/>
  <c r="B7193" i="1"/>
  <c r="C7193" i="1"/>
  <c r="M7193" i="1"/>
  <c r="B7194" i="1"/>
  <c r="C7194" i="1"/>
  <c r="M7194" i="1"/>
  <c r="B7195" i="1"/>
  <c r="C7195" i="1"/>
  <c r="M7195" i="1"/>
  <c r="B7196" i="1"/>
  <c r="C7196" i="1"/>
  <c r="M7196" i="1"/>
  <c r="B7197" i="1"/>
  <c r="C7197" i="1"/>
  <c r="M7197" i="1"/>
  <c r="B7198" i="1"/>
  <c r="C7198" i="1"/>
  <c r="M7198" i="1"/>
  <c r="B7199" i="1"/>
  <c r="C7199" i="1"/>
  <c r="M7199" i="1"/>
  <c r="B7200" i="1"/>
  <c r="C7200" i="1"/>
  <c r="M7200" i="1"/>
  <c r="B7201" i="1"/>
  <c r="C7201" i="1"/>
  <c r="M7201" i="1"/>
  <c r="B7202" i="1"/>
  <c r="C7202" i="1"/>
  <c r="M7202" i="1"/>
  <c r="B7203" i="1"/>
  <c r="C7203" i="1"/>
  <c r="M7203" i="1"/>
  <c r="B7204" i="1"/>
  <c r="C7204" i="1"/>
  <c r="M7204" i="1"/>
  <c r="B7205" i="1"/>
  <c r="C7205" i="1"/>
  <c r="M7205" i="1"/>
  <c r="B7206" i="1"/>
  <c r="C7206" i="1"/>
  <c r="M7206" i="1"/>
  <c r="B7207" i="1"/>
  <c r="C7207" i="1"/>
  <c r="M7207" i="1"/>
  <c r="B7208" i="1"/>
  <c r="C7208" i="1"/>
  <c r="M7208" i="1"/>
  <c r="B7209" i="1"/>
  <c r="C7209" i="1"/>
  <c r="M7209" i="1"/>
  <c r="B7210" i="1"/>
  <c r="C7210" i="1"/>
  <c r="M7210" i="1"/>
  <c r="B7211" i="1"/>
  <c r="C7211" i="1"/>
  <c r="M7211" i="1"/>
  <c r="B7212" i="1"/>
  <c r="C7212" i="1"/>
  <c r="M7212" i="1"/>
  <c r="B7213" i="1"/>
  <c r="C7213" i="1"/>
  <c r="M7213" i="1"/>
  <c r="B7214" i="1"/>
  <c r="C7214" i="1"/>
  <c r="M7214" i="1"/>
  <c r="B7215" i="1"/>
  <c r="C7215" i="1"/>
  <c r="M7215" i="1"/>
  <c r="B7216" i="1"/>
  <c r="C7216" i="1"/>
  <c r="M7216" i="1"/>
  <c r="B7217" i="1"/>
  <c r="C7217" i="1"/>
  <c r="M7217" i="1"/>
  <c r="B7218" i="1"/>
  <c r="C7218" i="1"/>
  <c r="M7218" i="1"/>
  <c r="B7219" i="1"/>
  <c r="C7219" i="1"/>
  <c r="M7219" i="1"/>
  <c r="B7220" i="1"/>
  <c r="C7220" i="1"/>
  <c r="M7220" i="1"/>
  <c r="B7221" i="1"/>
  <c r="C7221" i="1"/>
  <c r="M7221" i="1"/>
  <c r="B7222" i="1"/>
  <c r="C7222" i="1"/>
  <c r="M7222" i="1"/>
  <c r="B7223" i="1"/>
  <c r="C7223" i="1"/>
  <c r="M7223" i="1"/>
  <c r="B7224" i="1"/>
  <c r="C7224" i="1"/>
  <c r="M7224" i="1"/>
  <c r="B7225" i="1"/>
  <c r="C7225" i="1"/>
  <c r="M7225" i="1"/>
  <c r="B7226" i="1"/>
  <c r="C7226" i="1"/>
  <c r="M7226" i="1"/>
  <c r="B7227" i="1"/>
  <c r="C7227" i="1"/>
  <c r="M7227" i="1"/>
  <c r="B7228" i="1"/>
  <c r="C7228" i="1"/>
  <c r="M7228" i="1"/>
  <c r="B7229" i="1"/>
  <c r="C7229" i="1"/>
  <c r="M7229" i="1"/>
  <c r="B7230" i="1"/>
  <c r="C7230" i="1"/>
  <c r="M7230" i="1"/>
  <c r="B7231" i="1"/>
  <c r="C7231" i="1"/>
  <c r="M7231" i="1"/>
  <c r="B7232" i="1"/>
  <c r="C7232" i="1"/>
  <c r="M7232" i="1"/>
  <c r="B7233" i="1"/>
  <c r="C7233" i="1"/>
  <c r="M7233" i="1"/>
  <c r="B7234" i="1"/>
  <c r="C7234" i="1"/>
  <c r="M7234" i="1"/>
  <c r="B7235" i="1"/>
  <c r="C7235" i="1"/>
  <c r="M7235" i="1"/>
  <c r="B7236" i="1"/>
  <c r="C7236" i="1"/>
  <c r="M7236" i="1"/>
  <c r="B7237" i="1"/>
  <c r="C7237" i="1"/>
  <c r="M7237" i="1"/>
  <c r="B7238" i="1"/>
  <c r="C7238" i="1"/>
  <c r="M7238" i="1"/>
  <c r="B7239" i="1"/>
  <c r="C7239" i="1"/>
  <c r="M7239" i="1"/>
  <c r="B7240" i="1"/>
  <c r="C7240" i="1"/>
  <c r="M7240" i="1"/>
  <c r="B7241" i="1"/>
  <c r="C7241" i="1"/>
  <c r="M7241" i="1"/>
  <c r="B7242" i="1"/>
  <c r="C7242" i="1"/>
  <c r="M7242" i="1"/>
  <c r="B7243" i="1"/>
  <c r="C7243" i="1"/>
  <c r="M7243" i="1"/>
  <c r="B7244" i="1"/>
  <c r="C7244" i="1"/>
  <c r="M7244" i="1"/>
  <c r="B7245" i="1"/>
  <c r="C7245" i="1"/>
  <c r="M7245" i="1"/>
  <c r="B7246" i="1"/>
  <c r="C7246" i="1"/>
  <c r="M7246" i="1"/>
  <c r="B7247" i="1"/>
  <c r="C7247" i="1"/>
  <c r="M7247" i="1"/>
  <c r="B7248" i="1"/>
  <c r="C7248" i="1"/>
  <c r="M7248" i="1"/>
  <c r="B7249" i="1"/>
  <c r="C7249" i="1"/>
  <c r="M7249" i="1"/>
  <c r="B7250" i="1"/>
  <c r="C7250" i="1"/>
  <c r="M7250" i="1"/>
  <c r="B7251" i="1"/>
  <c r="C7251" i="1"/>
  <c r="M7251" i="1"/>
  <c r="B7252" i="1"/>
  <c r="C7252" i="1"/>
  <c r="M7252" i="1"/>
  <c r="B7253" i="1"/>
  <c r="C7253" i="1"/>
  <c r="M7253" i="1"/>
  <c r="B7254" i="1"/>
  <c r="C7254" i="1"/>
  <c r="M7254" i="1"/>
  <c r="B7255" i="1"/>
  <c r="C7255" i="1"/>
  <c r="M7255" i="1"/>
  <c r="B7256" i="1"/>
  <c r="C7256" i="1"/>
  <c r="M7256" i="1"/>
  <c r="B7257" i="1"/>
  <c r="C7257" i="1"/>
  <c r="M7257" i="1"/>
  <c r="B7258" i="1"/>
  <c r="C7258" i="1"/>
  <c r="M7258" i="1"/>
  <c r="B7259" i="1"/>
  <c r="C7259" i="1"/>
  <c r="M7259" i="1"/>
  <c r="B7260" i="1"/>
  <c r="C7260" i="1"/>
  <c r="M7260" i="1"/>
  <c r="B7261" i="1"/>
  <c r="C7261" i="1"/>
  <c r="M7261" i="1"/>
  <c r="B7262" i="1"/>
  <c r="C7262" i="1"/>
  <c r="M7262" i="1"/>
  <c r="B7263" i="1"/>
  <c r="C7263" i="1"/>
  <c r="M7263" i="1"/>
  <c r="B7264" i="1"/>
  <c r="C7264" i="1"/>
  <c r="M7264" i="1"/>
  <c r="B7265" i="1"/>
  <c r="C7265" i="1"/>
  <c r="M7265" i="1"/>
  <c r="B7266" i="1"/>
  <c r="C7266" i="1"/>
  <c r="M7266" i="1"/>
  <c r="B7267" i="1"/>
  <c r="C7267" i="1"/>
  <c r="M7267" i="1"/>
  <c r="B7268" i="1"/>
  <c r="C7268" i="1"/>
  <c r="M7268" i="1"/>
  <c r="B7269" i="1"/>
  <c r="C7269" i="1"/>
  <c r="M7269" i="1"/>
  <c r="B7270" i="1"/>
  <c r="C7270" i="1"/>
  <c r="M7270" i="1"/>
  <c r="B7271" i="1"/>
  <c r="C7271" i="1"/>
  <c r="M7271" i="1"/>
  <c r="B7272" i="1"/>
  <c r="C7272" i="1"/>
  <c r="M7272" i="1"/>
  <c r="B7273" i="1"/>
  <c r="C7273" i="1"/>
  <c r="M7273" i="1"/>
  <c r="B7274" i="1"/>
  <c r="C7274" i="1"/>
  <c r="M7274" i="1"/>
  <c r="B7275" i="1"/>
  <c r="C7275" i="1"/>
  <c r="M7275" i="1"/>
  <c r="B7276" i="1"/>
  <c r="C7276" i="1"/>
  <c r="M7276" i="1"/>
  <c r="B7277" i="1"/>
  <c r="C7277" i="1"/>
  <c r="M7277" i="1"/>
  <c r="B7278" i="1"/>
  <c r="C7278" i="1"/>
  <c r="M7278" i="1"/>
  <c r="B7279" i="1"/>
  <c r="C7279" i="1"/>
  <c r="M7279" i="1"/>
  <c r="B7280" i="1"/>
  <c r="C7280" i="1"/>
  <c r="M7280" i="1"/>
  <c r="B7281" i="1"/>
  <c r="C7281" i="1"/>
  <c r="M7281" i="1"/>
  <c r="B7282" i="1"/>
  <c r="C7282" i="1"/>
  <c r="M7282" i="1"/>
  <c r="B7283" i="1"/>
  <c r="C7283" i="1"/>
  <c r="M7283" i="1"/>
  <c r="B7284" i="1"/>
  <c r="C7284" i="1"/>
  <c r="M7284" i="1"/>
  <c r="B7285" i="1"/>
  <c r="C7285" i="1"/>
  <c r="M7285" i="1"/>
  <c r="B7286" i="1"/>
  <c r="C7286" i="1"/>
  <c r="M7286" i="1"/>
  <c r="B7287" i="1"/>
  <c r="C7287" i="1"/>
  <c r="M7287" i="1"/>
  <c r="B7288" i="1"/>
  <c r="C7288" i="1"/>
  <c r="M7288" i="1"/>
  <c r="B7289" i="1"/>
  <c r="C7289" i="1"/>
  <c r="M7289" i="1"/>
  <c r="B7290" i="1"/>
  <c r="C7290" i="1"/>
  <c r="M7290" i="1"/>
  <c r="B7291" i="1"/>
  <c r="C7291" i="1"/>
  <c r="M7291" i="1"/>
  <c r="B7292" i="1"/>
  <c r="C7292" i="1"/>
  <c r="M7292" i="1"/>
  <c r="B7293" i="1"/>
  <c r="C7293" i="1"/>
  <c r="M7293" i="1"/>
  <c r="B7294" i="1"/>
  <c r="C7294" i="1"/>
  <c r="M7294" i="1"/>
  <c r="B7295" i="1"/>
  <c r="C7295" i="1"/>
  <c r="M7295" i="1"/>
  <c r="B7296" i="1"/>
  <c r="C7296" i="1"/>
  <c r="M7296" i="1"/>
  <c r="B7297" i="1"/>
  <c r="C7297" i="1"/>
  <c r="M7297" i="1"/>
  <c r="B7298" i="1"/>
  <c r="C7298" i="1"/>
  <c r="M7298" i="1"/>
  <c r="B7299" i="1"/>
  <c r="C7299" i="1"/>
  <c r="M7299" i="1"/>
  <c r="B7300" i="1"/>
  <c r="C7300" i="1"/>
  <c r="M7300" i="1"/>
  <c r="B7301" i="1"/>
  <c r="C7301" i="1"/>
  <c r="M7301" i="1"/>
  <c r="B7302" i="1"/>
  <c r="C7302" i="1"/>
  <c r="M7302" i="1"/>
  <c r="B7303" i="1"/>
  <c r="C7303" i="1"/>
  <c r="M7303" i="1"/>
  <c r="B7304" i="1"/>
  <c r="C7304" i="1"/>
  <c r="M7304" i="1"/>
  <c r="B7305" i="1"/>
  <c r="C7305" i="1"/>
  <c r="M7305" i="1"/>
  <c r="B7306" i="1"/>
  <c r="C7306" i="1"/>
  <c r="M7306" i="1"/>
  <c r="B7307" i="1"/>
  <c r="C7307" i="1"/>
  <c r="M7307" i="1"/>
  <c r="B7308" i="1"/>
  <c r="C7308" i="1"/>
  <c r="M7308" i="1"/>
  <c r="B7309" i="1"/>
  <c r="C7309" i="1"/>
  <c r="M7309" i="1"/>
  <c r="B7310" i="1"/>
  <c r="C7310" i="1"/>
  <c r="M7310" i="1"/>
  <c r="B7311" i="1"/>
  <c r="C7311" i="1"/>
  <c r="M7311" i="1"/>
  <c r="B7312" i="1"/>
  <c r="C7312" i="1"/>
  <c r="M7312" i="1"/>
  <c r="B7313" i="1"/>
  <c r="C7313" i="1"/>
  <c r="M7313" i="1"/>
  <c r="B7314" i="1"/>
  <c r="C7314" i="1"/>
  <c r="M7314" i="1"/>
  <c r="B7315" i="1"/>
  <c r="C7315" i="1"/>
  <c r="M7315" i="1"/>
  <c r="B7316" i="1"/>
  <c r="C7316" i="1"/>
  <c r="M7316" i="1"/>
  <c r="B7317" i="1"/>
  <c r="C7317" i="1"/>
  <c r="M7317" i="1"/>
  <c r="B7318" i="1"/>
  <c r="C7318" i="1"/>
  <c r="M7318" i="1"/>
  <c r="B7319" i="1"/>
  <c r="C7319" i="1"/>
  <c r="M7319" i="1"/>
  <c r="B7320" i="1"/>
  <c r="C7320" i="1"/>
  <c r="M7320" i="1"/>
  <c r="B7321" i="1"/>
  <c r="C7321" i="1"/>
  <c r="M7321" i="1"/>
  <c r="B7322" i="1"/>
  <c r="C7322" i="1"/>
  <c r="M7322" i="1"/>
  <c r="B7323" i="1"/>
  <c r="C7323" i="1"/>
  <c r="M7323" i="1"/>
  <c r="B7324" i="1"/>
  <c r="C7324" i="1"/>
  <c r="M7324" i="1"/>
  <c r="B7325" i="1"/>
  <c r="C7325" i="1"/>
  <c r="M7325" i="1"/>
  <c r="B7326" i="1"/>
  <c r="C7326" i="1"/>
  <c r="M7326" i="1"/>
  <c r="B7327" i="1"/>
  <c r="C7327" i="1"/>
  <c r="M7327" i="1"/>
  <c r="B7328" i="1"/>
  <c r="C7328" i="1"/>
  <c r="M7328" i="1"/>
  <c r="B7329" i="1"/>
  <c r="C7329" i="1"/>
  <c r="M7329" i="1"/>
  <c r="B7330" i="1"/>
  <c r="C7330" i="1"/>
  <c r="M7330" i="1"/>
  <c r="B7331" i="1"/>
  <c r="C7331" i="1"/>
  <c r="M7331" i="1"/>
  <c r="B7332" i="1"/>
  <c r="C7332" i="1"/>
  <c r="M7332" i="1"/>
  <c r="B7333" i="1"/>
  <c r="C7333" i="1"/>
  <c r="M7333" i="1"/>
  <c r="B7334" i="1"/>
  <c r="C7334" i="1"/>
  <c r="M7334" i="1"/>
  <c r="B7335" i="1"/>
  <c r="C7335" i="1"/>
  <c r="M7335" i="1"/>
  <c r="B7336" i="1"/>
  <c r="C7336" i="1"/>
  <c r="M7336" i="1"/>
  <c r="B7337" i="1"/>
  <c r="C7337" i="1"/>
  <c r="M7337" i="1"/>
  <c r="B7338" i="1"/>
  <c r="C7338" i="1"/>
  <c r="M7338" i="1"/>
  <c r="B7339" i="1"/>
  <c r="C7339" i="1"/>
  <c r="M7339" i="1"/>
  <c r="B7340" i="1"/>
  <c r="C7340" i="1"/>
  <c r="M7340" i="1"/>
  <c r="B7341" i="1"/>
  <c r="C7341" i="1"/>
  <c r="M7341" i="1"/>
  <c r="B7342" i="1"/>
  <c r="C7342" i="1"/>
  <c r="M7342" i="1"/>
  <c r="B7343" i="1"/>
  <c r="C7343" i="1"/>
  <c r="M7343" i="1"/>
  <c r="B7344" i="1"/>
  <c r="C7344" i="1"/>
  <c r="M7344" i="1"/>
  <c r="B7345" i="1"/>
  <c r="C7345" i="1"/>
  <c r="M7345" i="1"/>
  <c r="B7346" i="1"/>
  <c r="C7346" i="1"/>
  <c r="M7346" i="1"/>
  <c r="B7347" i="1"/>
  <c r="C7347" i="1"/>
  <c r="M7347" i="1"/>
  <c r="B7348" i="1"/>
  <c r="C7348" i="1"/>
  <c r="M7348" i="1"/>
  <c r="B7349" i="1"/>
  <c r="C7349" i="1"/>
  <c r="M7349" i="1"/>
  <c r="B7350" i="1"/>
  <c r="C7350" i="1"/>
  <c r="M7350" i="1"/>
  <c r="B7351" i="1"/>
  <c r="C7351" i="1"/>
  <c r="M7351" i="1"/>
  <c r="B7352" i="1"/>
  <c r="C7352" i="1"/>
  <c r="M7352" i="1"/>
  <c r="B7353" i="1"/>
  <c r="C7353" i="1"/>
  <c r="M7353" i="1"/>
  <c r="B7354" i="1"/>
  <c r="C7354" i="1"/>
  <c r="M7354" i="1"/>
  <c r="B7355" i="1"/>
  <c r="C7355" i="1"/>
  <c r="M7355" i="1"/>
  <c r="B7356" i="1"/>
  <c r="C7356" i="1"/>
  <c r="M7356" i="1"/>
  <c r="B7357" i="1"/>
  <c r="C7357" i="1"/>
  <c r="M7357" i="1"/>
  <c r="B7358" i="1"/>
  <c r="C7358" i="1"/>
  <c r="M7358" i="1"/>
  <c r="B7359" i="1"/>
  <c r="C7359" i="1"/>
  <c r="M7359" i="1"/>
  <c r="B7360" i="1"/>
  <c r="C7360" i="1"/>
  <c r="M7360" i="1"/>
  <c r="B7361" i="1"/>
  <c r="C7361" i="1"/>
  <c r="M7361" i="1"/>
  <c r="B7362" i="1"/>
  <c r="C7362" i="1"/>
  <c r="M7362" i="1"/>
  <c r="B7363" i="1"/>
  <c r="C7363" i="1"/>
  <c r="M7363" i="1"/>
  <c r="B7364" i="1"/>
  <c r="C7364" i="1"/>
  <c r="M7364" i="1"/>
  <c r="B7365" i="1"/>
  <c r="C7365" i="1"/>
  <c r="M7365" i="1"/>
  <c r="B7366" i="1"/>
  <c r="C7366" i="1"/>
  <c r="M7366" i="1"/>
  <c r="B7367" i="1"/>
  <c r="C7367" i="1"/>
  <c r="M7367" i="1"/>
  <c r="B7368" i="1"/>
  <c r="C7368" i="1"/>
  <c r="M7368" i="1"/>
  <c r="B7369" i="1"/>
  <c r="C7369" i="1"/>
  <c r="M7369" i="1"/>
  <c r="B7370" i="1"/>
  <c r="C7370" i="1"/>
  <c r="M7370" i="1"/>
  <c r="B7371" i="1"/>
  <c r="C7371" i="1"/>
  <c r="M7371" i="1"/>
  <c r="B7372" i="1"/>
  <c r="C7372" i="1"/>
  <c r="M7372" i="1"/>
  <c r="B7373" i="1"/>
  <c r="C7373" i="1"/>
  <c r="M7373" i="1"/>
  <c r="B7374" i="1"/>
  <c r="C7374" i="1"/>
  <c r="M7374" i="1"/>
  <c r="B7375" i="1"/>
  <c r="C7375" i="1"/>
  <c r="M7375" i="1"/>
  <c r="B7376" i="1"/>
  <c r="C7376" i="1"/>
  <c r="M7376" i="1"/>
  <c r="B7377" i="1"/>
  <c r="C7377" i="1"/>
  <c r="M7377" i="1"/>
  <c r="B7378" i="1"/>
  <c r="C7378" i="1"/>
  <c r="M7378" i="1"/>
  <c r="B7379" i="1"/>
  <c r="C7379" i="1"/>
  <c r="M7379" i="1"/>
  <c r="B7380" i="1"/>
  <c r="C7380" i="1"/>
  <c r="M7380" i="1"/>
  <c r="B7381" i="1"/>
  <c r="C7381" i="1"/>
  <c r="M7381" i="1"/>
  <c r="B7382" i="1"/>
  <c r="C7382" i="1"/>
  <c r="M7382" i="1"/>
  <c r="B7383" i="1"/>
  <c r="C7383" i="1"/>
  <c r="M7383" i="1"/>
  <c r="B7384" i="1"/>
  <c r="C7384" i="1"/>
  <c r="M7384" i="1"/>
  <c r="B7385" i="1"/>
  <c r="C7385" i="1"/>
  <c r="M7385" i="1"/>
  <c r="B7386" i="1"/>
  <c r="C7386" i="1"/>
  <c r="M7386" i="1"/>
  <c r="B7387" i="1"/>
  <c r="C7387" i="1"/>
  <c r="M7387" i="1"/>
  <c r="B7388" i="1"/>
  <c r="C7388" i="1"/>
  <c r="M7388" i="1"/>
  <c r="B7389" i="1"/>
  <c r="C7389" i="1"/>
  <c r="M7389" i="1"/>
  <c r="B7390" i="1"/>
  <c r="C7390" i="1"/>
  <c r="M7390" i="1"/>
  <c r="B7391" i="1"/>
  <c r="C7391" i="1"/>
  <c r="M7391" i="1"/>
  <c r="B7392" i="1"/>
  <c r="C7392" i="1"/>
  <c r="M7392" i="1"/>
  <c r="B7393" i="1"/>
  <c r="C7393" i="1"/>
  <c r="M7393" i="1"/>
  <c r="B7394" i="1"/>
  <c r="C7394" i="1"/>
  <c r="M7394" i="1"/>
  <c r="B7395" i="1"/>
  <c r="C7395" i="1"/>
  <c r="M7395" i="1"/>
  <c r="B7396" i="1"/>
  <c r="C7396" i="1"/>
  <c r="M7396" i="1"/>
  <c r="B7397" i="1"/>
  <c r="C7397" i="1"/>
  <c r="M7397" i="1"/>
  <c r="B7398" i="1"/>
  <c r="C7398" i="1"/>
  <c r="M7398" i="1"/>
  <c r="B7399" i="1"/>
  <c r="C7399" i="1"/>
  <c r="M7399" i="1"/>
  <c r="B7400" i="1"/>
  <c r="C7400" i="1"/>
  <c r="M7400" i="1"/>
  <c r="B7401" i="1"/>
  <c r="C7401" i="1"/>
  <c r="M7401" i="1"/>
  <c r="B7402" i="1"/>
  <c r="C7402" i="1"/>
  <c r="M7402" i="1"/>
  <c r="B7403" i="1"/>
  <c r="C7403" i="1"/>
  <c r="M7403" i="1"/>
  <c r="B7404" i="1"/>
  <c r="C7404" i="1"/>
  <c r="M7404" i="1"/>
  <c r="B7405" i="1"/>
  <c r="C7405" i="1"/>
  <c r="M7405" i="1"/>
  <c r="B7406" i="1"/>
  <c r="C7406" i="1"/>
  <c r="M7406" i="1"/>
  <c r="B7407" i="1"/>
  <c r="C7407" i="1"/>
  <c r="M7407" i="1"/>
  <c r="B7408" i="1"/>
  <c r="C7408" i="1"/>
  <c r="M7408" i="1"/>
  <c r="B7409" i="1"/>
  <c r="C7409" i="1"/>
  <c r="M7409" i="1"/>
  <c r="B7410" i="1"/>
  <c r="C7410" i="1"/>
  <c r="M7410" i="1"/>
  <c r="B7411" i="1"/>
  <c r="C7411" i="1"/>
  <c r="M7411" i="1"/>
  <c r="B7412" i="1"/>
  <c r="C7412" i="1"/>
  <c r="M7412" i="1"/>
  <c r="B7413" i="1"/>
  <c r="C7413" i="1"/>
  <c r="M7413" i="1"/>
  <c r="B7414" i="1"/>
  <c r="C7414" i="1"/>
  <c r="M7414" i="1"/>
  <c r="B7415" i="1"/>
  <c r="C7415" i="1"/>
  <c r="M7415" i="1"/>
  <c r="B7416" i="1"/>
  <c r="C7416" i="1"/>
  <c r="M7416" i="1"/>
  <c r="B7417" i="1"/>
  <c r="C7417" i="1"/>
  <c r="M7417" i="1"/>
  <c r="B7418" i="1"/>
  <c r="C7418" i="1"/>
  <c r="M7418" i="1"/>
  <c r="B7419" i="1"/>
  <c r="C7419" i="1"/>
  <c r="M7419" i="1"/>
  <c r="B7420" i="1"/>
  <c r="C7420" i="1"/>
  <c r="M7420" i="1"/>
  <c r="B7421" i="1"/>
  <c r="C7421" i="1"/>
  <c r="M7421" i="1"/>
  <c r="B7422" i="1"/>
  <c r="C7422" i="1"/>
  <c r="M7422" i="1"/>
  <c r="B7423" i="1"/>
  <c r="C7423" i="1"/>
  <c r="M7423" i="1"/>
  <c r="B7424" i="1"/>
  <c r="C7424" i="1"/>
  <c r="M7424" i="1"/>
  <c r="B7425" i="1"/>
  <c r="C7425" i="1"/>
  <c r="M7425" i="1"/>
  <c r="B7426" i="1"/>
  <c r="C7426" i="1"/>
  <c r="M7426" i="1"/>
  <c r="B7427" i="1"/>
  <c r="C7427" i="1"/>
  <c r="M7427" i="1"/>
  <c r="B7428" i="1"/>
  <c r="C7428" i="1"/>
  <c r="M7428" i="1"/>
  <c r="B7429" i="1"/>
  <c r="C7429" i="1"/>
  <c r="M7429" i="1"/>
  <c r="B7430" i="1"/>
  <c r="C7430" i="1"/>
  <c r="M7430" i="1"/>
  <c r="B7431" i="1"/>
  <c r="C7431" i="1"/>
  <c r="M7431" i="1"/>
  <c r="B7432" i="1"/>
  <c r="C7432" i="1"/>
  <c r="M7432" i="1"/>
  <c r="B7433" i="1"/>
  <c r="C7433" i="1"/>
  <c r="M7433" i="1"/>
  <c r="B7434" i="1"/>
  <c r="C7434" i="1"/>
  <c r="M7434" i="1"/>
  <c r="B7435" i="1"/>
  <c r="C7435" i="1"/>
  <c r="M7435" i="1"/>
  <c r="B7436" i="1"/>
  <c r="C7436" i="1"/>
  <c r="M7436" i="1"/>
  <c r="B7437" i="1"/>
  <c r="C7437" i="1"/>
  <c r="M7437" i="1"/>
  <c r="B7438" i="1"/>
  <c r="C7438" i="1"/>
  <c r="M7438" i="1"/>
  <c r="B7439" i="1"/>
  <c r="C7439" i="1"/>
  <c r="M7439" i="1"/>
  <c r="B7440" i="1"/>
  <c r="C7440" i="1"/>
  <c r="M7440" i="1"/>
  <c r="B7441" i="1"/>
  <c r="C7441" i="1"/>
  <c r="M7441" i="1"/>
  <c r="B7442" i="1"/>
  <c r="C7442" i="1"/>
  <c r="M7442" i="1"/>
  <c r="B7443" i="1"/>
  <c r="C7443" i="1"/>
  <c r="M7443" i="1"/>
  <c r="B7444" i="1"/>
  <c r="C7444" i="1"/>
  <c r="M7444" i="1"/>
  <c r="B7445" i="1"/>
  <c r="C7445" i="1"/>
  <c r="M7445" i="1"/>
  <c r="B7446" i="1"/>
  <c r="C7446" i="1"/>
  <c r="M7446" i="1"/>
  <c r="B7447" i="1"/>
  <c r="C7447" i="1"/>
  <c r="M7447" i="1"/>
  <c r="B7448" i="1"/>
  <c r="C7448" i="1"/>
  <c r="M7448" i="1"/>
  <c r="B7449" i="1"/>
  <c r="C7449" i="1"/>
  <c r="M7449" i="1"/>
  <c r="B7450" i="1"/>
  <c r="C7450" i="1"/>
  <c r="M7450" i="1"/>
  <c r="B7451" i="1"/>
  <c r="C7451" i="1"/>
  <c r="M7451" i="1"/>
  <c r="B7452" i="1"/>
  <c r="C7452" i="1"/>
  <c r="M7452" i="1"/>
  <c r="B7453" i="1"/>
  <c r="C7453" i="1"/>
  <c r="M7453" i="1"/>
  <c r="B7454" i="1"/>
  <c r="C7454" i="1"/>
  <c r="M7454" i="1"/>
  <c r="B7455" i="1"/>
  <c r="C7455" i="1"/>
  <c r="M7455" i="1"/>
  <c r="B7456" i="1"/>
  <c r="C7456" i="1"/>
  <c r="M7456" i="1"/>
  <c r="B7457" i="1"/>
  <c r="C7457" i="1"/>
  <c r="M7457" i="1"/>
  <c r="B7458" i="1"/>
  <c r="C7458" i="1"/>
  <c r="M7458" i="1"/>
  <c r="B7459" i="1"/>
  <c r="C7459" i="1"/>
  <c r="M7459" i="1"/>
  <c r="B7460" i="1"/>
  <c r="C7460" i="1"/>
  <c r="M7460" i="1"/>
  <c r="B7461" i="1"/>
  <c r="C7461" i="1"/>
  <c r="M7461" i="1"/>
  <c r="B7462" i="1"/>
  <c r="C7462" i="1"/>
  <c r="M7462" i="1"/>
  <c r="B7463" i="1"/>
  <c r="C7463" i="1"/>
  <c r="M7463" i="1"/>
  <c r="B7464" i="1"/>
  <c r="C7464" i="1"/>
  <c r="M7464" i="1"/>
  <c r="B7465" i="1"/>
  <c r="C7465" i="1"/>
  <c r="M7465" i="1"/>
  <c r="B7466" i="1"/>
  <c r="C7466" i="1"/>
  <c r="M7466" i="1"/>
  <c r="B7467" i="1"/>
  <c r="C7467" i="1"/>
  <c r="M7467" i="1"/>
  <c r="B7468" i="1"/>
  <c r="C7468" i="1"/>
  <c r="M7468" i="1"/>
  <c r="B7469" i="1"/>
  <c r="C7469" i="1"/>
  <c r="M7469" i="1"/>
  <c r="B7470" i="1"/>
  <c r="C7470" i="1"/>
  <c r="M7470" i="1"/>
  <c r="B7471" i="1"/>
  <c r="C7471" i="1"/>
  <c r="M7471" i="1"/>
  <c r="B7472" i="1"/>
  <c r="C7472" i="1"/>
  <c r="M7472" i="1"/>
  <c r="B7473" i="1"/>
  <c r="C7473" i="1"/>
  <c r="M7473" i="1"/>
  <c r="B7474" i="1"/>
  <c r="C7474" i="1"/>
  <c r="M7474" i="1"/>
  <c r="B7475" i="1"/>
  <c r="C7475" i="1"/>
  <c r="M7475" i="1"/>
  <c r="B7476" i="1"/>
  <c r="C7476" i="1"/>
  <c r="M7476" i="1"/>
  <c r="B7477" i="1"/>
  <c r="C7477" i="1"/>
  <c r="M7477" i="1"/>
  <c r="B7478" i="1"/>
  <c r="C7478" i="1"/>
  <c r="M7478" i="1"/>
  <c r="B7479" i="1"/>
  <c r="C7479" i="1"/>
  <c r="M7479" i="1"/>
  <c r="B7480" i="1"/>
  <c r="C7480" i="1"/>
  <c r="M7480" i="1"/>
  <c r="B7481" i="1"/>
  <c r="C7481" i="1"/>
  <c r="M7481" i="1"/>
  <c r="B7482" i="1"/>
  <c r="C7482" i="1"/>
  <c r="M7482" i="1"/>
  <c r="B7483" i="1"/>
  <c r="C7483" i="1"/>
  <c r="M7483" i="1"/>
  <c r="B7484" i="1"/>
  <c r="C7484" i="1"/>
  <c r="M7484" i="1"/>
  <c r="B7485" i="1"/>
  <c r="C7485" i="1"/>
  <c r="M7485" i="1"/>
  <c r="B7486" i="1"/>
  <c r="C7486" i="1"/>
  <c r="M7486" i="1"/>
  <c r="B7487" i="1"/>
  <c r="C7487" i="1"/>
  <c r="M7487" i="1"/>
  <c r="B7488" i="1"/>
  <c r="C7488" i="1"/>
  <c r="M7488" i="1"/>
  <c r="B7489" i="1"/>
  <c r="C7489" i="1"/>
  <c r="M7489" i="1"/>
  <c r="B7490" i="1"/>
  <c r="C7490" i="1"/>
  <c r="M7490" i="1"/>
  <c r="B7491" i="1"/>
  <c r="C7491" i="1"/>
  <c r="M7491" i="1"/>
  <c r="B7492" i="1"/>
  <c r="C7492" i="1"/>
  <c r="M7492" i="1"/>
  <c r="B7493" i="1"/>
  <c r="C7493" i="1"/>
  <c r="M7493" i="1"/>
  <c r="B7494" i="1"/>
  <c r="C7494" i="1"/>
  <c r="M7494" i="1"/>
  <c r="B7495" i="1"/>
  <c r="C7495" i="1"/>
  <c r="M7495" i="1"/>
  <c r="B7496" i="1"/>
  <c r="C7496" i="1"/>
  <c r="M7496" i="1"/>
  <c r="B7497" i="1"/>
  <c r="C7497" i="1"/>
  <c r="M7497" i="1"/>
  <c r="B7498" i="1"/>
  <c r="C7498" i="1"/>
  <c r="M7498" i="1"/>
  <c r="B7499" i="1"/>
  <c r="C7499" i="1"/>
  <c r="M7499" i="1"/>
  <c r="B7500" i="1"/>
  <c r="C7500" i="1"/>
  <c r="M7500" i="1"/>
  <c r="B7501" i="1"/>
  <c r="C7501" i="1"/>
  <c r="M7501" i="1"/>
  <c r="B7502" i="1"/>
  <c r="C7502" i="1"/>
  <c r="M7502" i="1"/>
  <c r="B7503" i="1"/>
  <c r="C7503" i="1"/>
  <c r="M7503" i="1"/>
  <c r="B7504" i="1"/>
  <c r="C7504" i="1"/>
  <c r="M7504" i="1"/>
  <c r="B7505" i="1"/>
  <c r="C7505" i="1"/>
  <c r="M7505" i="1"/>
  <c r="B7506" i="1"/>
  <c r="C7506" i="1"/>
  <c r="M7506" i="1"/>
  <c r="B7507" i="1"/>
  <c r="C7507" i="1"/>
  <c r="M7507" i="1"/>
  <c r="B7508" i="1"/>
  <c r="C7508" i="1"/>
  <c r="M7508" i="1"/>
  <c r="B7509" i="1"/>
  <c r="C7509" i="1"/>
  <c r="M7509" i="1"/>
  <c r="B7510" i="1"/>
  <c r="C7510" i="1"/>
  <c r="M7510" i="1"/>
  <c r="B7511" i="1"/>
  <c r="C7511" i="1"/>
  <c r="M7511" i="1"/>
  <c r="B7512" i="1"/>
  <c r="C7512" i="1"/>
  <c r="M7512" i="1"/>
  <c r="B7513" i="1"/>
  <c r="C7513" i="1"/>
  <c r="M7513" i="1"/>
  <c r="B7514" i="1"/>
  <c r="C7514" i="1"/>
  <c r="M7514" i="1"/>
  <c r="B7515" i="1"/>
  <c r="C7515" i="1"/>
  <c r="M7515" i="1"/>
  <c r="B7516" i="1"/>
  <c r="C7516" i="1"/>
  <c r="M7516" i="1"/>
  <c r="B7517" i="1"/>
  <c r="C7517" i="1"/>
  <c r="M7517" i="1"/>
  <c r="B7518" i="1"/>
  <c r="C7518" i="1"/>
  <c r="M7518" i="1"/>
  <c r="B7519" i="1"/>
  <c r="C7519" i="1"/>
  <c r="M7519" i="1"/>
  <c r="B7520" i="1"/>
  <c r="C7520" i="1"/>
  <c r="M7520" i="1"/>
  <c r="B7521" i="1"/>
  <c r="C7521" i="1"/>
  <c r="M7521" i="1"/>
  <c r="B7522" i="1"/>
  <c r="C7522" i="1"/>
  <c r="M7522" i="1"/>
  <c r="B7523" i="1"/>
  <c r="C7523" i="1"/>
  <c r="M7523" i="1"/>
  <c r="B7524" i="1"/>
  <c r="C7524" i="1"/>
  <c r="M7524" i="1"/>
  <c r="B7525" i="1"/>
  <c r="C7525" i="1"/>
  <c r="M7525" i="1"/>
  <c r="B7526" i="1"/>
  <c r="C7526" i="1"/>
  <c r="M7526" i="1"/>
  <c r="B7527" i="1"/>
  <c r="C7527" i="1"/>
  <c r="M7527" i="1"/>
  <c r="B7528" i="1"/>
  <c r="C7528" i="1"/>
  <c r="M7528" i="1"/>
  <c r="B7529" i="1"/>
  <c r="C7529" i="1"/>
  <c r="M7529" i="1"/>
  <c r="B7530" i="1"/>
  <c r="C7530" i="1"/>
  <c r="M7530" i="1"/>
  <c r="B7531" i="1"/>
  <c r="C7531" i="1"/>
  <c r="M7531" i="1"/>
  <c r="B7532" i="1"/>
  <c r="C7532" i="1"/>
  <c r="M7532" i="1"/>
  <c r="B7533" i="1"/>
  <c r="C7533" i="1"/>
  <c r="M7533" i="1"/>
  <c r="B7534" i="1"/>
  <c r="C7534" i="1"/>
  <c r="M7534" i="1"/>
  <c r="B7535" i="1"/>
  <c r="C7535" i="1"/>
  <c r="M7535" i="1"/>
  <c r="B7536" i="1"/>
  <c r="C7536" i="1"/>
  <c r="M7536" i="1"/>
  <c r="B7537" i="1"/>
  <c r="C7537" i="1"/>
  <c r="M7537" i="1"/>
  <c r="B7538" i="1"/>
  <c r="C7538" i="1"/>
  <c r="M7538" i="1"/>
  <c r="B7539" i="1"/>
  <c r="C7539" i="1"/>
  <c r="M7539" i="1"/>
  <c r="B7540" i="1"/>
  <c r="C7540" i="1"/>
  <c r="M7540" i="1"/>
  <c r="B7541" i="1"/>
  <c r="C7541" i="1"/>
  <c r="M7541" i="1"/>
  <c r="B7542" i="1"/>
  <c r="C7542" i="1"/>
  <c r="M7542" i="1"/>
  <c r="B7543" i="1"/>
  <c r="C7543" i="1"/>
  <c r="M7543" i="1"/>
  <c r="B7544" i="1"/>
  <c r="C7544" i="1"/>
  <c r="M7544" i="1"/>
  <c r="B7545" i="1"/>
  <c r="C7545" i="1"/>
  <c r="M7545" i="1"/>
  <c r="B7546" i="1"/>
  <c r="C7546" i="1"/>
  <c r="M7546" i="1"/>
  <c r="B7547" i="1"/>
  <c r="C7547" i="1"/>
  <c r="M7547" i="1"/>
  <c r="B7548" i="1"/>
  <c r="C7548" i="1"/>
  <c r="M7548" i="1"/>
  <c r="B7549" i="1"/>
  <c r="C7549" i="1"/>
  <c r="M7549" i="1"/>
  <c r="B7550" i="1"/>
  <c r="C7550" i="1"/>
  <c r="M7550" i="1"/>
  <c r="B7551" i="1"/>
  <c r="C7551" i="1"/>
  <c r="M7551" i="1"/>
  <c r="B7552" i="1"/>
  <c r="C7552" i="1"/>
  <c r="M7552" i="1"/>
  <c r="B7553" i="1"/>
  <c r="C7553" i="1"/>
  <c r="M7553" i="1"/>
  <c r="B7554" i="1"/>
  <c r="C7554" i="1"/>
  <c r="M7554" i="1"/>
  <c r="B7555" i="1"/>
  <c r="C7555" i="1"/>
  <c r="M7555" i="1"/>
  <c r="B7556" i="1"/>
  <c r="C7556" i="1"/>
  <c r="M7556" i="1"/>
  <c r="B7557" i="1"/>
  <c r="C7557" i="1"/>
  <c r="M7557" i="1"/>
  <c r="B7558" i="1"/>
  <c r="C7558" i="1"/>
  <c r="M7558" i="1"/>
  <c r="B7559" i="1"/>
  <c r="C7559" i="1"/>
  <c r="M7559" i="1"/>
  <c r="B7560" i="1"/>
  <c r="C7560" i="1"/>
  <c r="M7560" i="1"/>
  <c r="B7561" i="1"/>
  <c r="C7561" i="1"/>
  <c r="M7561" i="1"/>
  <c r="B7562" i="1"/>
  <c r="C7562" i="1"/>
  <c r="M7562" i="1"/>
  <c r="B7563" i="1"/>
  <c r="C7563" i="1"/>
  <c r="M7563" i="1"/>
  <c r="B7564" i="1"/>
  <c r="C7564" i="1"/>
  <c r="M7564" i="1"/>
  <c r="B7565" i="1"/>
  <c r="C7565" i="1"/>
  <c r="M7565" i="1"/>
  <c r="B7566" i="1"/>
  <c r="C7566" i="1"/>
  <c r="M7566" i="1"/>
  <c r="B7567" i="1"/>
  <c r="C7567" i="1"/>
  <c r="M7567" i="1"/>
  <c r="B7568" i="1"/>
  <c r="C7568" i="1"/>
  <c r="M7568" i="1"/>
  <c r="B7569" i="1"/>
  <c r="C7569" i="1"/>
  <c r="M7569" i="1"/>
  <c r="B7570" i="1"/>
  <c r="C7570" i="1"/>
  <c r="M7570" i="1"/>
  <c r="B7571" i="1"/>
  <c r="C7571" i="1"/>
  <c r="M7571" i="1"/>
  <c r="B7572" i="1"/>
  <c r="C7572" i="1"/>
  <c r="M7572" i="1"/>
  <c r="B7573" i="1"/>
  <c r="C7573" i="1"/>
  <c r="M7573" i="1"/>
  <c r="B7574" i="1"/>
  <c r="C7574" i="1"/>
  <c r="M7574" i="1"/>
  <c r="B7575" i="1"/>
  <c r="C7575" i="1"/>
  <c r="M7575" i="1"/>
  <c r="B7576" i="1"/>
  <c r="C7576" i="1"/>
  <c r="M7576" i="1"/>
  <c r="B7577" i="1"/>
  <c r="C7577" i="1"/>
  <c r="M7577" i="1"/>
  <c r="B7578" i="1"/>
  <c r="C7578" i="1"/>
  <c r="M7578" i="1"/>
  <c r="B7579" i="1"/>
  <c r="C7579" i="1"/>
  <c r="M7579" i="1"/>
  <c r="B7580" i="1"/>
  <c r="C7580" i="1"/>
  <c r="M7580" i="1"/>
  <c r="B7581" i="1"/>
  <c r="C7581" i="1"/>
  <c r="M7581" i="1"/>
  <c r="B7582" i="1"/>
  <c r="C7582" i="1"/>
  <c r="M7582" i="1"/>
  <c r="B7583" i="1"/>
  <c r="C7583" i="1"/>
  <c r="M7583" i="1"/>
  <c r="B7584" i="1"/>
  <c r="C7584" i="1"/>
  <c r="M7584" i="1"/>
  <c r="B7585" i="1"/>
  <c r="C7585" i="1"/>
  <c r="M7585" i="1"/>
  <c r="B7586" i="1"/>
  <c r="C7586" i="1"/>
  <c r="M7586" i="1"/>
  <c r="B7587" i="1"/>
  <c r="C7587" i="1"/>
  <c r="M7587" i="1"/>
  <c r="B7588" i="1"/>
  <c r="C7588" i="1"/>
  <c r="M7588" i="1"/>
  <c r="B7589" i="1"/>
  <c r="C7589" i="1"/>
  <c r="M7589" i="1"/>
  <c r="B7590" i="1"/>
  <c r="C7590" i="1"/>
  <c r="M7590" i="1"/>
  <c r="B7591" i="1"/>
  <c r="C7591" i="1"/>
  <c r="M7591" i="1"/>
  <c r="B7592" i="1"/>
  <c r="C7592" i="1"/>
  <c r="M7592" i="1"/>
  <c r="B7593" i="1"/>
  <c r="C7593" i="1"/>
  <c r="M7593" i="1"/>
  <c r="B7594" i="1"/>
  <c r="C7594" i="1"/>
  <c r="M7594" i="1"/>
  <c r="B7595" i="1"/>
  <c r="C7595" i="1"/>
  <c r="M7595" i="1"/>
  <c r="B7596" i="1"/>
  <c r="C7596" i="1"/>
  <c r="M7596" i="1"/>
  <c r="B7597" i="1"/>
  <c r="C7597" i="1"/>
  <c r="M7597" i="1"/>
  <c r="B7598" i="1"/>
  <c r="C7598" i="1"/>
  <c r="M7598" i="1"/>
  <c r="B7599" i="1"/>
  <c r="C7599" i="1"/>
  <c r="M7599" i="1"/>
  <c r="B7600" i="1"/>
  <c r="C7600" i="1"/>
  <c r="M7600" i="1"/>
  <c r="B7601" i="1"/>
  <c r="C7601" i="1"/>
  <c r="M7601" i="1"/>
  <c r="B7602" i="1"/>
  <c r="C7602" i="1"/>
  <c r="M7602" i="1"/>
  <c r="B7603" i="1"/>
  <c r="C7603" i="1"/>
  <c r="M7603" i="1"/>
  <c r="B7604" i="1"/>
  <c r="C7604" i="1"/>
  <c r="M7604" i="1"/>
  <c r="B7605" i="1"/>
  <c r="C7605" i="1"/>
  <c r="M7605" i="1"/>
  <c r="B7606" i="1"/>
  <c r="C7606" i="1"/>
  <c r="M7606" i="1"/>
  <c r="B7607" i="1"/>
  <c r="C7607" i="1"/>
  <c r="M7607" i="1"/>
  <c r="B7608" i="1"/>
  <c r="C7608" i="1"/>
  <c r="M7608" i="1"/>
  <c r="B7609" i="1"/>
  <c r="C7609" i="1"/>
  <c r="M7609" i="1"/>
  <c r="B7610" i="1"/>
  <c r="C7610" i="1"/>
  <c r="M7610" i="1"/>
  <c r="B7611" i="1"/>
  <c r="C7611" i="1"/>
  <c r="M7611" i="1"/>
  <c r="B7612" i="1"/>
  <c r="C7612" i="1"/>
  <c r="M7612" i="1"/>
  <c r="B7613" i="1"/>
  <c r="C7613" i="1"/>
  <c r="M7613" i="1"/>
  <c r="B7614" i="1"/>
  <c r="C7614" i="1"/>
  <c r="M7614" i="1"/>
  <c r="B7615" i="1"/>
  <c r="C7615" i="1"/>
  <c r="M7615" i="1"/>
  <c r="B7616" i="1"/>
  <c r="C7616" i="1"/>
  <c r="M7616" i="1"/>
  <c r="B7617" i="1"/>
  <c r="C7617" i="1"/>
  <c r="M7617" i="1"/>
  <c r="B7618" i="1"/>
  <c r="C7618" i="1"/>
  <c r="M7618" i="1"/>
  <c r="B7619" i="1"/>
  <c r="C7619" i="1"/>
  <c r="M7619" i="1"/>
  <c r="B7620" i="1"/>
  <c r="C7620" i="1"/>
  <c r="M7620" i="1"/>
  <c r="B7621" i="1"/>
  <c r="C7621" i="1"/>
  <c r="M7621" i="1"/>
  <c r="B7622" i="1"/>
  <c r="C7622" i="1"/>
  <c r="M7622" i="1"/>
  <c r="B7623" i="1"/>
  <c r="C7623" i="1"/>
  <c r="M7623" i="1"/>
  <c r="B7624" i="1"/>
  <c r="C7624" i="1"/>
  <c r="M7624" i="1"/>
  <c r="B7625" i="1"/>
  <c r="C7625" i="1"/>
  <c r="M7625" i="1"/>
  <c r="B7626" i="1"/>
  <c r="C7626" i="1"/>
  <c r="M7626" i="1"/>
  <c r="B7627" i="1"/>
  <c r="C7627" i="1"/>
  <c r="M7627" i="1"/>
  <c r="B7628" i="1"/>
  <c r="C7628" i="1"/>
  <c r="M7628" i="1"/>
  <c r="B7629" i="1"/>
  <c r="C7629" i="1"/>
  <c r="M7629" i="1"/>
  <c r="B7630" i="1"/>
  <c r="C7630" i="1"/>
  <c r="M7630" i="1"/>
  <c r="B7631" i="1"/>
  <c r="C7631" i="1"/>
  <c r="M7631" i="1"/>
  <c r="B7632" i="1"/>
  <c r="C7632" i="1"/>
  <c r="M7632" i="1"/>
  <c r="B7633" i="1"/>
  <c r="C7633" i="1"/>
  <c r="M7633" i="1"/>
  <c r="B7634" i="1"/>
  <c r="C7634" i="1"/>
  <c r="M7634" i="1"/>
  <c r="B7635" i="1"/>
  <c r="C7635" i="1"/>
  <c r="M7635" i="1"/>
  <c r="B7636" i="1"/>
  <c r="C7636" i="1"/>
  <c r="M7636" i="1"/>
  <c r="B7637" i="1"/>
  <c r="C7637" i="1"/>
  <c r="M7637" i="1"/>
  <c r="B7638" i="1"/>
  <c r="C7638" i="1"/>
  <c r="M7638" i="1"/>
  <c r="B7639" i="1"/>
  <c r="C7639" i="1"/>
  <c r="M7639" i="1"/>
  <c r="B7640" i="1"/>
  <c r="C7640" i="1"/>
  <c r="M7640" i="1"/>
  <c r="B7641" i="1"/>
  <c r="C7641" i="1"/>
  <c r="M7641" i="1"/>
  <c r="B7642" i="1"/>
  <c r="C7642" i="1"/>
  <c r="M7642" i="1"/>
  <c r="B7643" i="1"/>
  <c r="C7643" i="1"/>
  <c r="M7643" i="1"/>
  <c r="B7644" i="1"/>
  <c r="C7644" i="1"/>
  <c r="M7644" i="1"/>
  <c r="B7645" i="1"/>
  <c r="C7645" i="1"/>
  <c r="M7645" i="1"/>
  <c r="B7646" i="1"/>
  <c r="C7646" i="1"/>
  <c r="M7646" i="1"/>
  <c r="B7647" i="1"/>
  <c r="C7647" i="1"/>
  <c r="M7647" i="1"/>
  <c r="B7648" i="1"/>
  <c r="C7648" i="1"/>
  <c r="M7648" i="1"/>
  <c r="B7649" i="1"/>
  <c r="C7649" i="1"/>
  <c r="M7649" i="1"/>
  <c r="B7650" i="1"/>
  <c r="C7650" i="1"/>
  <c r="M7650" i="1"/>
  <c r="B7651" i="1"/>
  <c r="C7651" i="1"/>
  <c r="M7651" i="1"/>
  <c r="B7652" i="1"/>
  <c r="C7652" i="1"/>
  <c r="M7652" i="1"/>
  <c r="B7653" i="1"/>
  <c r="C7653" i="1"/>
  <c r="M7653" i="1"/>
  <c r="B7654" i="1"/>
  <c r="C7654" i="1"/>
  <c r="M7654" i="1"/>
  <c r="B7655" i="1"/>
  <c r="C7655" i="1"/>
  <c r="M7655" i="1"/>
  <c r="B7656" i="1"/>
  <c r="C7656" i="1"/>
  <c r="M7656" i="1"/>
  <c r="B7657" i="1"/>
  <c r="C7657" i="1"/>
  <c r="M7657" i="1"/>
  <c r="B7658" i="1"/>
  <c r="C7658" i="1"/>
  <c r="M7658" i="1"/>
  <c r="B7659" i="1"/>
  <c r="C7659" i="1"/>
  <c r="M7659" i="1"/>
  <c r="B7660" i="1"/>
  <c r="C7660" i="1"/>
  <c r="M7660" i="1"/>
  <c r="B7661" i="1"/>
  <c r="C7661" i="1"/>
  <c r="M7661" i="1"/>
  <c r="B7662" i="1"/>
  <c r="C7662" i="1"/>
  <c r="M7662" i="1"/>
  <c r="B7663" i="1"/>
  <c r="C7663" i="1"/>
  <c r="M7663" i="1"/>
  <c r="B7664" i="1"/>
  <c r="C7664" i="1"/>
  <c r="M7664" i="1"/>
  <c r="B7665" i="1"/>
  <c r="C7665" i="1"/>
  <c r="M7665" i="1"/>
  <c r="B7666" i="1"/>
  <c r="C7666" i="1"/>
  <c r="M7666" i="1"/>
  <c r="B7667" i="1"/>
  <c r="C7667" i="1"/>
  <c r="M7667" i="1"/>
  <c r="B7668" i="1"/>
  <c r="C7668" i="1"/>
  <c r="M7668" i="1"/>
  <c r="B7669" i="1"/>
  <c r="C7669" i="1"/>
  <c r="M7669" i="1"/>
  <c r="B7670" i="1"/>
  <c r="C7670" i="1"/>
  <c r="M7670" i="1"/>
  <c r="B7671" i="1"/>
  <c r="C7671" i="1"/>
  <c r="M7671" i="1"/>
  <c r="B7672" i="1"/>
  <c r="C7672" i="1"/>
  <c r="M7672" i="1"/>
  <c r="B7673" i="1"/>
  <c r="C7673" i="1"/>
  <c r="M7673" i="1"/>
  <c r="B7674" i="1"/>
  <c r="C7674" i="1"/>
  <c r="M7674" i="1"/>
  <c r="B7675" i="1"/>
  <c r="C7675" i="1"/>
  <c r="M7675" i="1"/>
  <c r="B7676" i="1"/>
  <c r="C7676" i="1"/>
  <c r="M7676" i="1"/>
  <c r="B7677" i="1"/>
  <c r="C7677" i="1"/>
  <c r="M7677" i="1"/>
  <c r="B7678" i="1"/>
  <c r="C7678" i="1"/>
  <c r="M7678" i="1"/>
  <c r="B7679" i="1"/>
  <c r="C7679" i="1"/>
  <c r="M7679" i="1"/>
  <c r="B7680" i="1"/>
  <c r="C7680" i="1"/>
  <c r="M7680" i="1"/>
  <c r="B7681" i="1"/>
  <c r="C7681" i="1"/>
  <c r="M7681" i="1"/>
  <c r="B7682" i="1"/>
  <c r="C7682" i="1"/>
  <c r="M7682" i="1"/>
  <c r="B7683" i="1"/>
  <c r="C7683" i="1"/>
  <c r="M7683" i="1"/>
  <c r="B7684" i="1"/>
  <c r="C7684" i="1"/>
  <c r="M7684" i="1"/>
  <c r="B7685" i="1"/>
  <c r="C7685" i="1"/>
  <c r="M7685" i="1"/>
  <c r="B7686" i="1"/>
  <c r="C7686" i="1"/>
  <c r="M7686" i="1"/>
  <c r="B7687" i="1"/>
  <c r="C7687" i="1"/>
  <c r="M7687" i="1"/>
  <c r="B7688" i="1"/>
  <c r="C7688" i="1"/>
  <c r="M7688" i="1"/>
  <c r="B7689" i="1"/>
  <c r="C7689" i="1"/>
  <c r="M7689" i="1"/>
  <c r="B7690" i="1"/>
  <c r="C7690" i="1"/>
  <c r="M7690" i="1"/>
  <c r="B7691" i="1"/>
  <c r="C7691" i="1"/>
  <c r="M7691" i="1"/>
  <c r="B7692" i="1"/>
  <c r="C7692" i="1"/>
  <c r="M7692" i="1"/>
  <c r="B7693" i="1"/>
  <c r="C7693" i="1"/>
  <c r="M7693" i="1"/>
  <c r="B7694" i="1"/>
  <c r="C7694" i="1"/>
  <c r="M7694" i="1"/>
  <c r="B7695" i="1"/>
  <c r="C7695" i="1"/>
  <c r="M7695" i="1"/>
  <c r="B7696" i="1"/>
  <c r="C7696" i="1"/>
  <c r="M7696" i="1"/>
  <c r="B7697" i="1"/>
  <c r="C7697" i="1"/>
  <c r="M7697" i="1"/>
  <c r="B7698" i="1"/>
  <c r="C7698" i="1"/>
  <c r="M7698" i="1"/>
  <c r="B7699" i="1"/>
  <c r="C7699" i="1"/>
  <c r="M7699" i="1"/>
  <c r="B7700" i="1"/>
  <c r="C7700" i="1"/>
  <c r="M7700" i="1"/>
  <c r="B7701" i="1"/>
  <c r="C7701" i="1"/>
  <c r="M7701" i="1"/>
  <c r="B7702" i="1"/>
  <c r="C7702" i="1"/>
  <c r="M7702" i="1"/>
  <c r="B7703" i="1"/>
  <c r="C7703" i="1"/>
  <c r="M7703" i="1"/>
  <c r="B7704" i="1"/>
  <c r="C7704" i="1"/>
  <c r="M7704" i="1"/>
  <c r="B7705" i="1"/>
  <c r="C7705" i="1"/>
  <c r="M7705" i="1"/>
  <c r="B7706" i="1"/>
  <c r="C7706" i="1"/>
  <c r="M7706" i="1"/>
  <c r="B7707" i="1"/>
  <c r="C7707" i="1"/>
  <c r="M7707" i="1"/>
  <c r="B7708" i="1"/>
  <c r="C7708" i="1"/>
  <c r="M7708" i="1"/>
  <c r="B7709" i="1"/>
  <c r="C7709" i="1"/>
  <c r="M7709" i="1"/>
  <c r="B7710" i="1"/>
  <c r="C7710" i="1"/>
  <c r="M7710" i="1"/>
  <c r="B7711" i="1"/>
  <c r="C7711" i="1"/>
  <c r="M7711" i="1"/>
  <c r="B7712" i="1"/>
  <c r="C7712" i="1"/>
  <c r="M7712" i="1"/>
  <c r="B7713" i="1"/>
  <c r="C7713" i="1"/>
  <c r="M7713" i="1"/>
  <c r="B7714" i="1"/>
  <c r="C7714" i="1"/>
  <c r="M7714" i="1"/>
  <c r="B7715" i="1"/>
  <c r="C7715" i="1"/>
  <c r="M7715" i="1"/>
  <c r="B7716" i="1"/>
  <c r="C7716" i="1"/>
  <c r="M7716" i="1"/>
  <c r="B7717" i="1"/>
  <c r="C7717" i="1"/>
  <c r="M7717" i="1"/>
  <c r="B7718" i="1"/>
  <c r="C7718" i="1"/>
  <c r="M7718" i="1"/>
  <c r="B7719" i="1"/>
  <c r="C7719" i="1"/>
  <c r="M7719" i="1"/>
  <c r="B7720" i="1"/>
  <c r="C7720" i="1"/>
  <c r="M7720" i="1"/>
  <c r="B7721" i="1"/>
  <c r="C7721" i="1"/>
  <c r="M7721" i="1"/>
  <c r="B7722" i="1"/>
  <c r="C7722" i="1"/>
  <c r="M7722" i="1"/>
  <c r="B7723" i="1"/>
  <c r="C7723" i="1"/>
  <c r="M7723" i="1"/>
  <c r="B7724" i="1"/>
  <c r="C7724" i="1"/>
  <c r="M7724" i="1"/>
  <c r="B7725" i="1"/>
  <c r="C7725" i="1"/>
  <c r="M7725" i="1"/>
  <c r="B7726" i="1"/>
  <c r="C7726" i="1"/>
  <c r="M7726" i="1"/>
  <c r="B7727" i="1"/>
  <c r="C7727" i="1"/>
  <c r="M7727" i="1"/>
  <c r="B7728" i="1"/>
  <c r="C7728" i="1"/>
  <c r="M7728" i="1"/>
  <c r="B7729" i="1"/>
  <c r="C7729" i="1"/>
  <c r="M7729" i="1"/>
  <c r="B7730" i="1"/>
  <c r="C7730" i="1"/>
  <c r="M7730" i="1"/>
  <c r="B7731" i="1"/>
  <c r="C7731" i="1"/>
  <c r="M7731" i="1"/>
  <c r="B7732" i="1"/>
  <c r="C7732" i="1"/>
  <c r="M7732" i="1"/>
  <c r="B7733" i="1"/>
  <c r="C7733" i="1"/>
  <c r="M7733" i="1"/>
  <c r="B7734" i="1"/>
  <c r="C7734" i="1"/>
  <c r="M7734" i="1"/>
  <c r="B7735" i="1"/>
  <c r="C7735" i="1"/>
  <c r="M7735" i="1"/>
  <c r="B7736" i="1"/>
  <c r="C7736" i="1"/>
  <c r="M7736" i="1"/>
  <c r="B7737" i="1"/>
  <c r="C7737" i="1"/>
  <c r="M7737" i="1"/>
  <c r="B7738" i="1"/>
  <c r="C7738" i="1"/>
  <c r="M7738" i="1"/>
  <c r="B7739" i="1"/>
  <c r="C7739" i="1"/>
  <c r="M7739" i="1"/>
  <c r="B7740" i="1"/>
  <c r="C7740" i="1"/>
  <c r="M7740" i="1"/>
  <c r="B7741" i="1"/>
  <c r="C7741" i="1"/>
  <c r="M7741" i="1"/>
  <c r="B7742" i="1"/>
  <c r="C7742" i="1"/>
  <c r="M7742" i="1"/>
  <c r="B7743" i="1"/>
  <c r="C7743" i="1"/>
  <c r="M7743" i="1"/>
  <c r="B7744" i="1"/>
  <c r="C7744" i="1"/>
  <c r="M7744" i="1"/>
  <c r="B7745" i="1"/>
  <c r="C7745" i="1"/>
  <c r="M7745" i="1"/>
  <c r="B7746" i="1"/>
  <c r="C7746" i="1"/>
  <c r="M7746" i="1"/>
  <c r="B7747" i="1"/>
  <c r="C7747" i="1"/>
  <c r="M7747" i="1"/>
  <c r="B7748" i="1"/>
  <c r="C7748" i="1"/>
  <c r="M7748" i="1"/>
  <c r="B7749" i="1"/>
  <c r="C7749" i="1"/>
  <c r="M7749" i="1"/>
  <c r="B7750" i="1"/>
  <c r="C7750" i="1"/>
  <c r="M7750" i="1"/>
  <c r="B7751" i="1"/>
  <c r="C7751" i="1"/>
  <c r="M7751" i="1"/>
  <c r="B7752" i="1"/>
  <c r="C7752" i="1"/>
  <c r="M7752" i="1"/>
  <c r="B7753" i="1"/>
  <c r="C7753" i="1"/>
  <c r="M7753" i="1"/>
  <c r="B7754" i="1"/>
  <c r="C7754" i="1"/>
  <c r="M7754" i="1"/>
  <c r="B7755" i="1"/>
  <c r="C7755" i="1"/>
  <c r="M7755" i="1"/>
  <c r="B7756" i="1"/>
  <c r="C7756" i="1"/>
  <c r="M7756" i="1"/>
  <c r="B7757" i="1"/>
  <c r="C7757" i="1"/>
  <c r="M7757" i="1"/>
  <c r="B7758" i="1"/>
  <c r="C7758" i="1"/>
  <c r="M7758" i="1"/>
  <c r="B7759" i="1"/>
  <c r="C7759" i="1"/>
  <c r="M7759" i="1"/>
  <c r="B7760" i="1"/>
  <c r="C7760" i="1"/>
  <c r="M7760" i="1"/>
  <c r="B7761" i="1"/>
  <c r="C7761" i="1"/>
  <c r="M7761" i="1"/>
  <c r="B7762" i="1"/>
  <c r="C7762" i="1"/>
  <c r="M7762" i="1"/>
  <c r="B7763" i="1"/>
  <c r="C7763" i="1"/>
  <c r="M7763" i="1"/>
  <c r="B7764" i="1"/>
  <c r="C7764" i="1"/>
  <c r="M7764" i="1"/>
  <c r="B7765" i="1"/>
  <c r="C7765" i="1"/>
  <c r="M7765" i="1"/>
  <c r="B7766" i="1"/>
  <c r="C7766" i="1"/>
  <c r="M7766" i="1"/>
  <c r="B7767" i="1"/>
  <c r="C7767" i="1"/>
  <c r="M7767" i="1"/>
  <c r="B7768" i="1"/>
  <c r="C7768" i="1"/>
  <c r="M7768" i="1"/>
  <c r="B7769" i="1"/>
  <c r="C7769" i="1"/>
  <c r="M7769" i="1"/>
  <c r="B7770" i="1"/>
  <c r="C7770" i="1"/>
  <c r="M7770" i="1"/>
  <c r="B7771" i="1"/>
  <c r="C7771" i="1"/>
  <c r="M7771" i="1"/>
  <c r="B7772" i="1"/>
  <c r="C7772" i="1"/>
  <c r="M7772" i="1"/>
  <c r="B7773" i="1"/>
  <c r="C7773" i="1"/>
  <c r="M7773" i="1"/>
  <c r="B7774" i="1"/>
  <c r="C7774" i="1"/>
  <c r="M7774" i="1"/>
  <c r="B7775" i="1"/>
  <c r="C7775" i="1"/>
  <c r="M7775" i="1"/>
  <c r="B7776" i="1"/>
  <c r="C7776" i="1"/>
  <c r="M7776" i="1"/>
  <c r="B7777" i="1"/>
  <c r="C7777" i="1"/>
  <c r="M7777" i="1"/>
  <c r="B7778" i="1"/>
  <c r="C7778" i="1"/>
  <c r="M7778" i="1"/>
  <c r="B7779" i="1"/>
  <c r="C7779" i="1"/>
  <c r="M7779" i="1"/>
  <c r="B7780" i="1"/>
  <c r="C7780" i="1"/>
  <c r="M7780" i="1"/>
  <c r="B7781" i="1"/>
  <c r="C7781" i="1"/>
  <c r="M7781" i="1"/>
  <c r="B7782" i="1"/>
  <c r="C7782" i="1"/>
  <c r="M7782" i="1"/>
  <c r="B7783" i="1"/>
  <c r="C7783" i="1"/>
  <c r="M7783" i="1"/>
  <c r="B7784" i="1"/>
  <c r="C7784" i="1"/>
  <c r="M7784" i="1"/>
  <c r="B7785" i="1"/>
  <c r="C7785" i="1"/>
  <c r="M7785" i="1"/>
  <c r="B7786" i="1"/>
  <c r="C7786" i="1"/>
  <c r="M7786" i="1"/>
  <c r="B7787" i="1"/>
  <c r="C7787" i="1"/>
  <c r="M7787" i="1"/>
  <c r="B7788" i="1"/>
  <c r="C7788" i="1"/>
  <c r="M7788" i="1"/>
  <c r="B7789" i="1"/>
  <c r="C7789" i="1"/>
  <c r="M7789" i="1"/>
  <c r="B7790" i="1"/>
  <c r="C7790" i="1"/>
  <c r="M7790" i="1"/>
  <c r="B7791" i="1"/>
  <c r="C7791" i="1"/>
  <c r="M7791" i="1"/>
  <c r="B7792" i="1"/>
  <c r="C7792" i="1"/>
  <c r="M7792" i="1"/>
  <c r="B7793" i="1"/>
  <c r="C7793" i="1"/>
  <c r="M7793" i="1"/>
  <c r="B7794" i="1"/>
  <c r="C7794" i="1"/>
  <c r="M7794" i="1"/>
  <c r="B7795" i="1"/>
  <c r="C7795" i="1"/>
  <c r="M7795" i="1"/>
  <c r="B7796" i="1"/>
  <c r="C7796" i="1"/>
  <c r="M7796" i="1"/>
  <c r="B7797" i="1"/>
  <c r="C7797" i="1"/>
  <c r="M7797" i="1"/>
  <c r="B7798" i="1"/>
  <c r="C7798" i="1"/>
  <c r="M7798" i="1"/>
  <c r="B7799" i="1"/>
  <c r="C7799" i="1"/>
  <c r="M7799" i="1"/>
  <c r="B7800" i="1"/>
  <c r="C7800" i="1"/>
  <c r="M7800" i="1"/>
  <c r="B7801" i="1"/>
  <c r="C7801" i="1"/>
  <c r="M7801" i="1"/>
  <c r="B7802" i="1"/>
  <c r="C7802" i="1"/>
  <c r="M7802" i="1"/>
  <c r="B7803" i="1"/>
  <c r="C7803" i="1"/>
  <c r="M7803" i="1"/>
  <c r="B7804" i="1"/>
  <c r="C7804" i="1"/>
  <c r="M7804" i="1"/>
  <c r="B7805" i="1"/>
  <c r="C7805" i="1"/>
  <c r="M7805" i="1"/>
  <c r="B7806" i="1"/>
  <c r="C7806" i="1"/>
  <c r="M7806" i="1"/>
  <c r="B7807" i="1"/>
  <c r="C7807" i="1"/>
  <c r="M7807" i="1"/>
  <c r="B7808" i="1"/>
  <c r="C7808" i="1"/>
  <c r="M7808" i="1"/>
  <c r="B7809" i="1"/>
  <c r="C7809" i="1"/>
  <c r="M7809" i="1"/>
  <c r="B7810" i="1"/>
  <c r="C7810" i="1"/>
  <c r="M7810" i="1"/>
  <c r="B7811" i="1"/>
  <c r="C7811" i="1"/>
  <c r="M7811" i="1"/>
  <c r="B7812" i="1"/>
  <c r="C7812" i="1"/>
  <c r="M7812" i="1"/>
  <c r="B7813" i="1"/>
  <c r="C7813" i="1"/>
  <c r="M7813" i="1"/>
  <c r="B7814" i="1"/>
  <c r="C7814" i="1"/>
  <c r="M7814" i="1"/>
  <c r="B7815" i="1"/>
  <c r="C7815" i="1"/>
  <c r="M7815" i="1"/>
  <c r="B7816" i="1"/>
  <c r="C7816" i="1"/>
  <c r="M7816" i="1"/>
  <c r="B7817" i="1"/>
  <c r="C7817" i="1"/>
  <c r="M7817" i="1"/>
  <c r="B7818" i="1"/>
  <c r="C7818" i="1"/>
  <c r="M7818" i="1"/>
  <c r="B7819" i="1"/>
  <c r="C7819" i="1"/>
  <c r="M7819" i="1"/>
  <c r="B7820" i="1"/>
  <c r="C7820" i="1"/>
  <c r="M7820" i="1"/>
  <c r="B7821" i="1"/>
  <c r="C7821" i="1"/>
  <c r="M7821" i="1"/>
  <c r="B7822" i="1"/>
  <c r="C7822" i="1"/>
  <c r="M7822" i="1"/>
  <c r="B7823" i="1"/>
  <c r="C7823" i="1"/>
  <c r="M7823" i="1"/>
  <c r="B7824" i="1"/>
  <c r="C7824" i="1"/>
  <c r="M7824" i="1"/>
  <c r="B7825" i="1"/>
  <c r="C7825" i="1"/>
  <c r="M7825" i="1"/>
  <c r="B7826" i="1"/>
  <c r="C7826" i="1"/>
  <c r="M7826" i="1"/>
  <c r="B7827" i="1"/>
  <c r="C7827" i="1"/>
  <c r="M7827" i="1"/>
  <c r="B7828" i="1"/>
  <c r="C7828" i="1"/>
  <c r="M7828" i="1"/>
  <c r="B7829" i="1"/>
  <c r="C7829" i="1"/>
  <c r="M7829" i="1"/>
  <c r="B7830" i="1"/>
  <c r="C7830" i="1"/>
  <c r="M7830" i="1"/>
  <c r="B7831" i="1"/>
  <c r="C7831" i="1"/>
  <c r="M7831" i="1"/>
  <c r="B7832" i="1"/>
  <c r="C7832" i="1"/>
  <c r="M7832" i="1"/>
  <c r="B7833" i="1"/>
  <c r="C7833" i="1"/>
  <c r="M7833" i="1"/>
  <c r="B7834" i="1"/>
  <c r="C7834" i="1"/>
  <c r="M7834" i="1"/>
  <c r="B7835" i="1"/>
  <c r="C7835" i="1"/>
  <c r="M7835" i="1"/>
  <c r="B7836" i="1"/>
  <c r="C7836" i="1"/>
  <c r="M7836" i="1"/>
  <c r="B7837" i="1"/>
  <c r="C7837" i="1"/>
  <c r="M7837" i="1"/>
  <c r="B7838" i="1"/>
  <c r="C7838" i="1"/>
  <c r="M7838" i="1"/>
  <c r="B7839" i="1"/>
  <c r="C7839" i="1"/>
  <c r="M7839" i="1"/>
  <c r="B7840" i="1"/>
  <c r="C7840" i="1"/>
  <c r="M7840" i="1"/>
  <c r="B7841" i="1"/>
  <c r="C7841" i="1"/>
  <c r="M7841" i="1"/>
  <c r="B7842" i="1"/>
  <c r="C7842" i="1"/>
  <c r="M7842" i="1"/>
  <c r="B7843" i="1"/>
  <c r="C7843" i="1"/>
  <c r="M7843" i="1"/>
  <c r="B7844" i="1"/>
  <c r="C7844" i="1"/>
  <c r="M7844" i="1"/>
  <c r="B7845" i="1"/>
  <c r="C7845" i="1"/>
  <c r="M7845" i="1"/>
  <c r="B7846" i="1"/>
  <c r="C7846" i="1"/>
  <c r="M7846" i="1"/>
  <c r="B7847" i="1"/>
  <c r="C7847" i="1"/>
  <c r="M7847" i="1"/>
  <c r="B7848" i="1"/>
  <c r="C7848" i="1"/>
  <c r="M7848" i="1"/>
  <c r="B7849" i="1"/>
  <c r="C7849" i="1"/>
  <c r="M7849" i="1"/>
  <c r="B7850" i="1"/>
  <c r="C7850" i="1"/>
  <c r="M7850" i="1"/>
  <c r="B7851" i="1"/>
  <c r="C7851" i="1"/>
  <c r="M7851" i="1"/>
  <c r="B7852" i="1"/>
  <c r="C7852" i="1"/>
  <c r="M7852" i="1"/>
  <c r="B7853" i="1"/>
  <c r="C7853" i="1"/>
  <c r="M7853" i="1"/>
  <c r="B7854" i="1"/>
  <c r="C7854" i="1"/>
  <c r="M7854" i="1"/>
  <c r="B7855" i="1"/>
  <c r="C7855" i="1"/>
  <c r="M7855" i="1"/>
  <c r="B7856" i="1"/>
  <c r="C7856" i="1"/>
  <c r="M7856" i="1"/>
  <c r="B7857" i="1"/>
  <c r="C7857" i="1"/>
  <c r="M7857" i="1"/>
  <c r="B7858" i="1"/>
  <c r="C7858" i="1"/>
  <c r="M7858" i="1"/>
  <c r="B7859" i="1"/>
  <c r="C7859" i="1"/>
  <c r="M7859" i="1"/>
  <c r="B7860" i="1"/>
  <c r="C7860" i="1"/>
  <c r="M7860" i="1"/>
  <c r="B7861" i="1"/>
  <c r="C7861" i="1"/>
  <c r="M7861" i="1"/>
  <c r="B7862" i="1"/>
  <c r="C7862" i="1"/>
  <c r="M7862" i="1"/>
  <c r="B7863" i="1"/>
  <c r="C7863" i="1"/>
  <c r="M7863" i="1"/>
  <c r="B7864" i="1"/>
  <c r="C7864" i="1"/>
  <c r="M7864" i="1"/>
  <c r="B7865" i="1"/>
  <c r="C7865" i="1"/>
  <c r="M7865" i="1"/>
  <c r="B7866" i="1"/>
  <c r="C7866" i="1"/>
  <c r="M7866" i="1"/>
  <c r="B7867" i="1"/>
  <c r="C7867" i="1"/>
  <c r="M7867" i="1"/>
  <c r="B7868" i="1"/>
  <c r="C7868" i="1"/>
  <c r="M7868" i="1"/>
  <c r="B7869" i="1"/>
  <c r="C7869" i="1"/>
  <c r="M7869" i="1"/>
  <c r="B7870" i="1"/>
  <c r="C7870" i="1"/>
  <c r="M7870" i="1"/>
  <c r="B7871" i="1"/>
  <c r="C7871" i="1"/>
  <c r="M7871" i="1"/>
  <c r="B7872" i="1"/>
  <c r="C7872" i="1"/>
  <c r="M7872" i="1"/>
  <c r="B7873" i="1"/>
  <c r="C7873" i="1"/>
  <c r="M7873" i="1"/>
  <c r="B7874" i="1"/>
  <c r="C7874" i="1"/>
  <c r="M7874" i="1"/>
  <c r="B7875" i="1"/>
  <c r="C7875" i="1"/>
  <c r="M7875" i="1"/>
  <c r="B7876" i="1"/>
  <c r="C7876" i="1"/>
  <c r="M7876" i="1"/>
  <c r="B7877" i="1"/>
  <c r="C7877" i="1"/>
  <c r="M7877" i="1"/>
  <c r="B7878" i="1"/>
  <c r="C7878" i="1"/>
  <c r="M7878" i="1"/>
  <c r="B7879" i="1"/>
  <c r="C7879" i="1"/>
  <c r="M7879" i="1"/>
  <c r="B7880" i="1"/>
  <c r="C7880" i="1"/>
  <c r="M7880" i="1"/>
  <c r="B7881" i="1"/>
  <c r="C7881" i="1"/>
  <c r="M7881" i="1"/>
  <c r="B7882" i="1"/>
  <c r="C7882" i="1"/>
  <c r="M7882" i="1"/>
  <c r="B7883" i="1"/>
  <c r="C7883" i="1"/>
  <c r="M7883" i="1"/>
  <c r="B7884" i="1"/>
  <c r="C7884" i="1"/>
  <c r="M7884" i="1"/>
  <c r="B7885" i="1"/>
  <c r="C7885" i="1"/>
  <c r="M7885" i="1"/>
  <c r="B7886" i="1"/>
  <c r="C7886" i="1"/>
  <c r="M7886" i="1"/>
  <c r="B7887" i="1"/>
  <c r="C7887" i="1"/>
  <c r="M7887" i="1"/>
  <c r="B7888" i="1"/>
  <c r="C7888" i="1"/>
  <c r="M7888" i="1"/>
  <c r="B7889" i="1"/>
  <c r="C7889" i="1"/>
  <c r="M7889" i="1"/>
  <c r="B7890" i="1"/>
  <c r="C7890" i="1"/>
  <c r="M7890" i="1"/>
  <c r="B7891" i="1"/>
  <c r="C7891" i="1"/>
  <c r="M7891" i="1"/>
  <c r="B7892" i="1"/>
  <c r="C7892" i="1"/>
  <c r="M7892" i="1"/>
  <c r="B7893" i="1"/>
  <c r="C7893" i="1"/>
  <c r="M7893" i="1"/>
  <c r="B7894" i="1"/>
  <c r="C7894" i="1"/>
  <c r="M7894" i="1"/>
  <c r="B7895" i="1"/>
  <c r="C7895" i="1"/>
  <c r="M7895" i="1"/>
  <c r="B7896" i="1"/>
  <c r="C7896" i="1"/>
  <c r="M7896" i="1"/>
  <c r="B7897" i="1"/>
  <c r="C7897" i="1"/>
  <c r="M7897" i="1"/>
  <c r="B7898" i="1"/>
  <c r="C7898" i="1"/>
  <c r="M7898" i="1"/>
  <c r="B7899" i="1"/>
  <c r="C7899" i="1"/>
  <c r="M7899" i="1"/>
  <c r="B7900" i="1"/>
  <c r="C7900" i="1"/>
  <c r="M7900" i="1"/>
  <c r="B7901" i="1"/>
  <c r="C7901" i="1"/>
  <c r="M7901" i="1"/>
  <c r="B7902" i="1"/>
  <c r="C7902" i="1"/>
  <c r="M7902" i="1"/>
  <c r="B7903" i="1"/>
  <c r="C7903" i="1"/>
  <c r="M7903" i="1"/>
  <c r="B7904" i="1"/>
  <c r="C7904" i="1"/>
  <c r="M7904" i="1"/>
  <c r="B7905" i="1"/>
  <c r="C7905" i="1"/>
  <c r="M7905" i="1"/>
  <c r="B7906" i="1"/>
  <c r="C7906" i="1"/>
  <c r="M7906" i="1"/>
  <c r="B7907" i="1"/>
  <c r="C7907" i="1"/>
  <c r="M7907" i="1"/>
  <c r="B7908" i="1"/>
  <c r="C7908" i="1"/>
  <c r="M7908" i="1"/>
  <c r="B7909" i="1"/>
  <c r="C7909" i="1"/>
  <c r="M7909" i="1"/>
  <c r="B7910" i="1"/>
  <c r="C7910" i="1"/>
  <c r="M7910" i="1"/>
  <c r="B7911" i="1"/>
  <c r="C7911" i="1"/>
  <c r="M7911" i="1"/>
  <c r="B7912" i="1"/>
  <c r="C7912" i="1"/>
  <c r="M7912" i="1"/>
  <c r="B7913" i="1"/>
  <c r="C7913" i="1"/>
  <c r="M7913" i="1"/>
  <c r="B7914" i="1"/>
  <c r="C7914" i="1"/>
  <c r="M7914" i="1"/>
  <c r="B7915" i="1"/>
  <c r="C7915" i="1"/>
  <c r="M7915" i="1"/>
  <c r="B7916" i="1"/>
  <c r="C7916" i="1"/>
  <c r="M7916" i="1"/>
  <c r="B7917" i="1"/>
  <c r="C7917" i="1"/>
  <c r="M7917" i="1"/>
  <c r="B7918" i="1"/>
  <c r="C7918" i="1"/>
  <c r="M7918" i="1"/>
  <c r="B7919" i="1"/>
  <c r="C7919" i="1"/>
  <c r="M7919" i="1"/>
  <c r="B7920" i="1"/>
  <c r="C7920" i="1"/>
  <c r="M7920" i="1"/>
  <c r="B7921" i="1"/>
  <c r="C7921" i="1"/>
  <c r="M7921" i="1"/>
  <c r="B7922" i="1"/>
  <c r="C7922" i="1"/>
  <c r="M7922" i="1"/>
  <c r="B7923" i="1"/>
  <c r="C7923" i="1"/>
  <c r="M7923" i="1"/>
  <c r="B7924" i="1"/>
  <c r="C7924" i="1"/>
  <c r="M7924" i="1"/>
  <c r="B7925" i="1"/>
  <c r="C7925" i="1"/>
  <c r="M7925" i="1"/>
  <c r="B7926" i="1"/>
  <c r="C7926" i="1"/>
  <c r="M7926" i="1"/>
  <c r="B7927" i="1"/>
  <c r="C7927" i="1"/>
  <c r="M7927" i="1"/>
  <c r="B7928" i="1"/>
  <c r="C7928" i="1"/>
  <c r="M7928" i="1"/>
  <c r="B7929" i="1"/>
  <c r="C7929" i="1"/>
  <c r="M7929" i="1"/>
  <c r="B7930" i="1"/>
  <c r="C7930" i="1"/>
  <c r="M7930" i="1"/>
  <c r="B7931" i="1"/>
  <c r="C7931" i="1"/>
  <c r="M7931" i="1"/>
  <c r="B7932" i="1"/>
  <c r="C7932" i="1"/>
  <c r="M7932" i="1"/>
  <c r="B7933" i="1"/>
  <c r="C7933" i="1"/>
  <c r="M7933" i="1"/>
  <c r="B7934" i="1"/>
  <c r="C7934" i="1"/>
  <c r="M7934" i="1"/>
  <c r="B7935" i="1"/>
  <c r="C7935" i="1"/>
  <c r="M7935" i="1"/>
  <c r="B7936" i="1"/>
  <c r="C7936" i="1"/>
  <c r="M7936" i="1"/>
  <c r="B7937" i="1"/>
  <c r="C7937" i="1"/>
  <c r="M7937" i="1"/>
  <c r="B7938" i="1"/>
  <c r="C7938" i="1"/>
  <c r="M7938" i="1"/>
  <c r="B7939" i="1"/>
  <c r="C7939" i="1"/>
  <c r="M7939" i="1"/>
  <c r="B7940" i="1"/>
  <c r="C7940" i="1"/>
  <c r="M7940" i="1"/>
  <c r="B7941" i="1"/>
  <c r="C7941" i="1"/>
  <c r="M7941" i="1"/>
  <c r="B7942" i="1"/>
  <c r="C7942" i="1"/>
  <c r="M7942" i="1"/>
  <c r="B7943" i="1"/>
  <c r="C7943" i="1"/>
  <c r="M7943" i="1"/>
  <c r="B7944" i="1"/>
  <c r="C7944" i="1"/>
  <c r="M7944" i="1"/>
  <c r="B7945" i="1"/>
  <c r="C7945" i="1"/>
  <c r="M7945" i="1"/>
  <c r="B7946" i="1"/>
  <c r="C7946" i="1"/>
  <c r="M7946" i="1"/>
  <c r="B7947" i="1"/>
  <c r="C7947" i="1"/>
  <c r="M7947" i="1"/>
  <c r="B7948" i="1"/>
  <c r="C7948" i="1"/>
  <c r="M7948" i="1"/>
  <c r="B7949" i="1"/>
  <c r="C7949" i="1"/>
  <c r="M7949" i="1"/>
  <c r="B7950" i="1"/>
  <c r="C7950" i="1"/>
  <c r="M7950" i="1"/>
  <c r="B7951" i="1"/>
  <c r="C7951" i="1"/>
  <c r="M7951" i="1"/>
  <c r="B7952" i="1"/>
  <c r="C7952" i="1"/>
  <c r="M7952" i="1"/>
  <c r="B7953" i="1"/>
  <c r="C7953" i="1"/>
  <c r="M7953" i="1"/>
  <c r="B7954" i="1"/>
  <c r="C7954" i="1"/>
  <c r="M7954" i="1"/>
  <c r="B7955" i="1"/>
  <c r="C7955" i="1"/>
  <c r="M7955" i="1"/>
  <c r="B7956" i="1"/>
  <c r="C7956" i="1"/>
  <c r="M7956" i="1"/>
  <c r="B7957" i="1"/>
  <c r="C7957" i="1"/>
  <c r="M7957" i="1"/>
  <c r="B7958" i="1"/>
  <c r="C7958" i="1"/>
  <c r="M7958" i="1"/>
  <c r="B7959" i="1"/>
  <c r="C7959" i="1"/>
  <c r="M7959" i="1"/>
  <c r="B7960" i="1"/>
  <c r="C7960" i="1"/>
  <c r="M7960" i="1"/>
  <c r="B7961" i="1"/>
  <c r="C7961" i="1"/>
  <c r="M7961" i="1"/>
  <c r="B7962" i="1"/>
  <c r="C7962" i="1"/>
  <c r="M7962" i="1"/>
  <c r="B7963" i="1"/>
  <c r="C7963" i="1"/>
  <c r="M7963" i="1"/>
  <c r="B7964" i="1"/>
  <c r="C7964" i="1"/>
  <c r="M7964" i="1"/>
  <c r="B7965" i="1"/>
  <c r="C7965" i="1"/>
  <c r="M7965" i="1"/>
  <c r="B7966" i="1"/>
  <c r="C7966" i="1"/>
  <c r="M7966" i="1"/>
  <c r="B7967" i="1"/>
  <c r="C7967" i="1"/>
  <c r="M7967" i="1"/>
  <c r="B7968" i="1"/>
  <c r="C7968" i="1"/>
  <c r="M7968" i="1"/>
  <c r="B7969" i="1"/>
  <c r="C7969" i="1"/>
  <c r="M7969" i="1"/>
  <c r="B7970" i="1"/>
  <c r="C7970" i="1"/>
  <c r="M7970" i="1"/>
  <c r="B7971" i="1"/>
  <c r="C7971" i="1"/>
  <c r="M7971" i="1"/>
  <c r="B7972" i="1"/>
  <c r="C7972" i="1"/>
  <c r="M7972" i="1"/>
  <c r="B7973" i="1"/>
  <c r="C7973" i="1"/>
  <c r="M7973" i="1"/>
  <c r="B7974" i="1"/>
  <c r="C7974" i="1"/>
  <c r="M7974" i="1"/>
  <c r="B7975" i="1"/>
  <c r="C7975" i="1"/>
  <c r="M7975" i="1"/>
  <c r="B7976" i="1"/>
  <c r="C7976" i="1"/>
  <c r="M7976" i="1"/>
  <c r="B7977" i="1"/>
  <c r="C7977" i="1"/>
  <c r="M7977" i="1"/>
  <c r="B7978" i="1"/>
  <c r="C7978" i="1"/>
  <c r="M7978" i="1"/>
  <c r="B7979" i="1"/>
  <c r="C7979" i="1"/>
  <c r="M7979" i="1"/>
  <c r="B7980" i="1"/>
  <c r="C7980" i="1"/>
  <c r="M7980" i="1"/>
  <c r="B7981" i="1"/>
  <c r="C7981" i="1"/>
  <c r="M7981" i="1"/>
  <c r="B7982" i="1"/>
  <c r="C7982" i="1"/>
  <c r="M7982" i="1"/>
  <c r="B7983" i="1"/>
  <c r="C7983" i="1"/>
  <c r="M7983" i="1"/>
  <c r="B7984" i="1"/>
  <c r="C7984" i="1"/>
  <c r="M7984" i="1"/>
  <c r="B7985" i="1"/>
  <c r="C7985" i="1"/>
  <c r="M7985" i="1"/>
  <c r="B7986" i="1"/>
  <c r="C7986" i="1"/>
  <c r="M7986" i="1"/>
  <c r="B7987" i="1"/>
  <c r="C7987" i="1"/>
  <c r="M7987" i="1"/>
  <c r="B7988" i="1"/>
  <c r="C7988" i="1"/>
  <c r="M7988" i="1"/>
  <c r="B7989" i="1"/>
  <c r="C7989" i="1"/>
  <c r="M7989" i="1"/>
  <c r="B7990" i="1"/>
  <c r="C7990" i="1"/>
  <c r="M7990" i="1"/>
  <c r="B7991" i="1"/>
  <c r="C7991" i="1"/>
  <c r="M7991" i="1"/>
  <c r="B7992" i="1"/>
  <c r="C7992" i="1"/>
  <c r="M7992" i="1"/>
  <c r="B7993" i="1"/>
  <c r="C7993" i="1"/>
  <c r="M7993" i="1"/>
  <c r="B7994" i="1"/>
  <c r="C7994" i="1"/>
  <c r="M7994" i="1"/>
  <c r="B7995" i="1"/>
  <c r="C7995" i="1"/>
  <c r="M7995" i="1"/>
  <c r="B7996" i="1"/>
  <c r="C7996" i="1"/>
  <c r="M7996" i="1"/>
  <c r="B7997" i="1"/>
  <c r="C7997" i="1"/>
  <c r="M7997" i="1"/>
  <c r="B7998" i="1"/>
  <c r="C7998" i="1"/>
  <c r="M7998" i="1"/>
  <c r="B7999" i="1"/>
  <c r="C7999" i="1"/>
  <c r="M7999" i="1"/>
  <c r="B8000" i="1"/>
  <c r="C8000" i="1"/>
  <c r="M8000" i="1"/>
  <c r="B8001" i="1"/>
  <c r="C8001" i="1"/>
  <c r="M8001" i="1"/>
  <c r="B8002" i="1"/>
  <c r="C8002" i="1"/>
  <c r="M8002" i="1"/>
  <c r="B8003" i="1"/>
  <c r="C8003" i="1"/>
  <c r="M8003" i="1"/>
  <c r="B8004" i="1"/>
  <c r="C8004" i="1"/>
  <c r="M8004" i="1"/>
  <c r="B8005" i="1"/>
  <c r="C8005" i="1"/>
  <c r="M8005" i="1"/>
  <c r="B8006" i="1"/>
  <c r="C8006" i="1"/>
  <c r="M8006" i="1"/>
  <c r="B8007" i="1"/>
  <c r="C8007" i="1"/>
  <c r="M8007" i="1"/>
  <c r="B8008" i="1"/>
  <c r="C8008" i="1"/>
  <c r="M8008" i="1"/>
  <c r="B8009" i="1"/>
  <c r="C8009" i="1"/>
  <c r="M8009" i="1"/>
  <c r="B8010" i="1"/>
  <c r="C8010" i="1"/>
  <c r="M8010" i="1"/>
  <c r="B8011" i="1"/>
  <c r="C8011" i="1"/>
  <c r="M8011" i="1"/>
  <c r="B8012" i="1"/>
  <c r="C8012" i="1"/>
  <c r="M8012" i="1"/>
  <c r="B8013" i="1"/>
  <c r="C8013" i="1"/>
  <c r="M8013" i="1"/>
  <c r="B8014" i="1"/>
  <c r="C8014" i="1"/>
  <c r="M8014" i="1"/>
  <c r="B8015" i="1"/>
  <c r="C8015" i="1"/>
  <c r="M8015" i="1"/>
  <c r="B8016" i="1"/>
  <c r="C8016" i="1"/>
  <c r="M8016" i="1"/>
  <c r="B8017" i="1"/>
  <c r="C8017" i="1"/>
  <c r="M8017" i="1"/>
  <c r="B8018" i="1"/>
  <c r="C8018" i="1"/>
  <c r="M8018" i="1"/>
  <c r="B8019" i="1"/>
  <c r="C8019" i="1"/>
  <c r="M8019" i="1"/>
  <c r="B8020" i="1"/>
  <c r="C8020" i="1"/>
  <c r="M8020" i="1"/>
  <c r="B8021" i="1"/>
  <c r="C8021" i="1"/>
  <c r="M8021" i="1"/>
  <c r="B8022" i="1"/>
  <c r="C8022" i="1"/>
  <c r="M8022" i="1"/>
  <c r="B8023" i="1"/>
  <c r="C8023" i="1"/>
  <c r="M8023" i="1"/>
  <c r="B8024" i="1"/>
  <c r="C8024" i="1"/>
  <c r="M8024" i="1"/>
  <c r="B8025" i="1"/>
  <c r="C8025" i="1"/>
  <c r="M8025" i="1"/>
  <c r="B8026" i="1"/>
  <c r="C8026" i="1"/>
  <c r="M8026" i="1"/>
  <c r="B8027" i="1"/>
  <c r="C8027" i="1"/>
  <c r="M8027" i="1"/>
  <c r="B8028" i="1"/>
  <c r="C8028" i="1"/>
  <c r="M8028" i="1"/>
  <c r="B8029" i="1"/>
  <c r="C8029" i="1"/>
  <c r="M8029" i="1"/>
  <c r="B8030" i="1"/>
  <c r="C8030" i="1"/>
  <c r="M8030" i="1"/>
  <c r="B8031" i="1"/>
  <c r="C8031" i="1"/>
  <c r="M8031" i="1"/>
  <c r="B8032" i="1"/>
  <c r="C8032" i="1"/>
  <c r="M8032" i="1"/>
  <c r="B8033" i="1"/>
  <c r="C8033" i="1"/>
  <c r="M8033" i="1"/>
  <c r="B8034" i="1"/>
  <c r="C8034" i="1"/>
  <c r="M8034" i="1"/>
  <c r="B8035" i="1"/>
  <c r="C8035" i="1"/>
  <c r="M8035" i="1"/>
  <c r="B8036" i="1"/>
  <c r="C8036" i="1"/>
  <c r="M8036" i="1"/>
  <c r="B8037" i="1"/>
  <c r="C8037" i="1"/>
  <c r="M8037" i="1"/>
  <c r="B8038" i="1"/>
  <c r="C8038" i="1"/>
  <c r="M8038" i="1"/>
  <c r="B8039" i="1"/>
  <c r="C8039" i="1"/>
  <c r="M8039" i="1"/>
  <c r="B8040" i="1"/>
  <c r="C8040" i="1"/>
  <c r="M8040" i="1"/>
  <c r="B8041" i="1"/>
  <c r="C8041" i="1"/>
  <c r="M8041" i="1"/>
  <c r="B8042" i="1"/>
  <c r="C8042" i="1"/>
  <c r="M8042" i="1"/>
  <c r="B8043" i="1"/>
  <c r="C8043" i="1"/>
  <c r="M8043" i="1"/>
  <c r="B8044" i="1"/>
  <c r="C8044" i="1"/>
  <c r="M8044" i="1"/>
  <c r="B8045" i="1"/>
  <c r="C8045" i="1"/>
  <c r="M8045" i="1"/>
  <c r="B8046" i="1"/>
  <c r="C8046" i="1"/>
  <c r="M8046" i="1"/>
  <c r="B8047" i="1"/>
  <c r="C8047" i="1"/>
  <c r="M8047" i="1"/>
  <c r="B8048" i="1"/>
  <c r="C8048" i="1"/>
  <c r="M8048" i="1"/>
  <c r="B8049" i="1"/>
  <c r="C8049" i="1"/>
  <c r="M8049" i="1"/>
  <c r="B8050" i="1"/>
  <c r="C8050" i="1"/>
  <c r="M8050" i="1"/>
  <c r="B8051" i="1"/>
  <c r="C8051" i="1"/>
  <c r="M8051" i="1"/>
  <c r="B8052" i="1"/>
  <c r="C8052" i="1"/>
  <c r="M8052" i="1"/>
  <c r="B8053" i="1"/>
  <c r="C8053" i="1"/>
  <c r="M8053" i="1"/>
  <c r="B8054" i="1"/>
  <c r="C8054" i="1"/>
  <c r="M8054" i="1"/>
  <c r="B8055" i="1"/>
  <c r="C8055" i="1"/>
  <c r="M8055" i="1"/>
  <c r="B8056" i="1"/>
  <c r="C8056" i="1"/>
  <c r="M8056" i="1"/>
  <c r="B8057" i="1"/>
  <c r="C8057" i="1"/>
  <c r="M8057" i="1"/>
  <c r="B8058" i="1"/>
  <c r="C8058" i="1"/>
  <c r="M8058" i="1"/>
  <c r="B8059" i="1"/>
  <c r="C8059" i="1"/>
  <c r="M8059" i="1"/>
  <c r="B8060" i="1"/>
  <c r="C8060" i="1"/>
  <c r="M8060" i="1"/>
  <c r="B8061" i="1"/>
  <c r="C8061" i="1"/>
  <c r="M8061" i="1"/>
  <c r="B8062" i="1"/>
  <c r="C8062" i="1"/>
  <c r="M8062" i="1"/>
  <c r="B8063" i="1"/>
  <c r="C8063" i="1"/>
  <c r="M8063" i="1"/>
  <c r="B8064" i="1"/>
  <c r="C8064" i="1"/>
  <c r="M8064" i="1"/>
  <c r="B8065" i="1"/>
  <c r="C8065" i="1"/>
  <c r="M8065" i="1"/>
  <c r="B8066" i="1"/>
  <c r="C8066" i="1"/>
  <c r="M8066" i="1"/>
  <c r="B8067" i="1"/>
  <c r="C8067" i="1"/>
  <c r="M8067" i="1"/>
  <c r="B8068" i="1"/>
  <c r="C8068" i="1"/>
  <c r="M8068" i="1"/>
  <c r="B8069" i="1"/>
  <c r="C8069" i="1"/>
  <c r="M8069" i="1"/>
  <c r="B8070" i="1"/>
  <c r="C8070" i="1"/>
  <c r="M8070" i="1"/>
  <c r="B8071" i="1"/>
  <c r="C8071" i="1"/>
  <c r="M8071" i="1"/>
  <c r="B8072" i="1"/>
  <c r="C8072" i="1"/>
  <c r="M8072" i="1"/>
  <c r="B8073" i="1"/>
  <c r="C8073" i="1"/>
  <c r="M8073" i="1"/>
  <c r="B8074" i="1"/>
  <c r="C8074" i="1"/>
  <c r="M8074" i="1"/>
  <c r="B8075" i="1"/>
  <c r="C8075" i="1"/>
  <c r="M8075" i="1"/>
  <c r="B8076" i="1"/>
  <c r="C8076" i="1"/>
  <c r="M8076" i="1"/>
  <c r="B8077" i="1"/>
  <c r="C8077" i="1"/>
  <c r="M8077" i="1"/>
  <c r="B8078" i="1"/>
  <c r="C8078" i="1"/>
  <c r="M8078" i="1"/>
  <c r="B8079" i="1"/>
  <c r="C8079" i="1"/>
  <c r="M8079" i="1"/>
  <c r="B8080" i="1"/>
  <c r="C8080" i="1"/>
  <c r="M8080" i="1"/>
  <c r="B8081" i="1"/>
  <c r="C8081" i="1"/>
  <c r="M8081" i="1"/>
  <c r="B8082" i="1"/>
  <c r="C8082" i="1"/>
  <c r="M8082" i="1"/>
  <c r="B8083" i="1"/>
  <c r="C8083" i="1"/>
  <c r="M8083" i="1"/>
  <c r="B8084" i="1"/>
  <c r="C8084" i="1"/>
  <c r="M8084" i="1"/>
  <c r="B8085" i="1"/>
  <c r="C8085" i="1"/>
  <c r="M8085" i="1"/>
  <c r="B8086" i="1"/>
  <c r="C8086" i="1"/>
  <c r="M8086" i="1"/>
  <c r="B8087" i="1"/>
  <c r="C8087" i="1"/>
  <c r="M8087" i="1"/>
  <c r="B8088" i="1"/>
  <c r="C8088" i="1"/>
  <c r="M8088" i="1"/>
  <c r="B8089" i="1"/>
  <c r="C8089" i="1"/>
  <c r="M8089" i="1"/>
  <c r="B8090" i="1"/>
  <c r="C8090" i="1"/>
  <c r="M8090" i="1"/>
  <c r="B8091" i="1"/>
  <c r="C8091" i="1"/>
  <c r="M8091" i="1"/>
  <c r="B8092" i="1"/>
  <c r="C8092" i="1"/>
  <c r="M8092" i="1"/>
  <c r="B8093" i="1"/>
  <c r="C8093" i="1"/>
  <c r="M8093" i="1"/>
  <c r="B8094" i="1"/>
  <c r="C8094" i="1"/>
  <c r="M8094" i="1"/>
  <c r="B8095" i="1"/>
  <c r="C8095" i="1"/>
  <c r="M8095" i="1"/>
  <c r="B8096" i="1"/>
  <c r="C8096" i="1"/>
  <c r="M8096" i="1"/>
  <c r="B8097" i="1"/>
  <c r="C8097" i="1"/>
  <c r="M8097" i="1"/>
  <c r="B8098" i="1"/>
  <c r="C8098" i="1"/>
  <c r="M8098" i="1"/>
  <c r="B8099" i="1"/>
  <c r="C8099" i="1"/>
  <c r="M8099" i="1"/>
  <c r="B8100" i="1"/>
  <c r="C8100" i="1"/>
  <c r="M8100" i="1"/>
  <c r="B8101" i="1"/>
  <c r="C8101" i="1"/>
  <c r="M8101" i="1"/>
  <c r="B8102" i="1"/>
  <c r="C8102" i="1"/>
  <c r="M8102" i="1"/>
  <c r="B8103" i="1"/>
  <c r="C8103" i="1"/>
  <c r="M8103" i="1"/>
  <c r="B8104" i="1"/>
  <c r="C8104" i="1"/>
  <c r="M8104" i="1"/>
  <c r="B8105" i="1"/>
  <c r="C8105" i="1"/>
  <c r="M8105" i="1"/>
  <c r="B8106" i="1"/>
  <c r="C8106" i="1"/>
  <c r="M8106" i="1"/>
  <c r="B8107" i="1"/>
  <c r="C8107" i="1"/>
  <c r="M8107" i="1"/>
  <c r="B8108" i="1"/>
  <c r="C8108" i="1"/>
  <c r="M8108" i="1"/>
  <c r="B8109" i="1"/>
  <c r="C8109" i="1"/>
  <c r="M8109" i="1"/>
  <c r="B8110" i="1"/>
  <c r="C8110" i="1"/>
  <c r="M8110" i="1"/>
  <c r="B8111" i="1"/>
  <c r="C8111" i="1"/>
  <c r="M8111" i="1"/>
  <c r="B8112" i="1"/>
  <c r="C8112" i="1"/>
  <c r="M8112" i="1"/>
  <c r="B8113" i="1"/>
  <c r="C8113" i="1"/>
  <c r="M8113" i="1"/>
  <c r="B8114" i="1"/>
  <c r="C8114" i="1"/>
  <c r="M8114" i="1"/>
  <c r="B8115" i="1"/>
  <c r="C8115" i="1"/>
  <c r="M8115" i="1"/>
  <c r="B8116" i="1"/>
  <c r="C8116" i="1"/>
  <c r="M8116" i="1"/>
  <c r="B8117" i="1"/>
  <c r="C8117" i="1"/>
  <c r="M8117" i="1"/>
  <c r="B8118" i="1"/>
  <c r="C8118" i="1"/>
  <c r="M8118" i="1"/>
  <c r="B8119" i="1"/>
  <c r="C8119" i="1"/>
  <c r="M8119" i="1"/>
  <c r="B8120" i="1"/>
  <c r="C8120" i="1"/>
  <c r="M8120" i="1"/>
  <c r="B8121" i="1"/>
  <c r="C8121" i="1"/>
  <c r="M8121" i="1"/>
  <c r="B8122" i="1"/>
  <c r="C8122" i="1"/>
  <c r="M8122" i="1"/>
  <c r="B8123" i="1"/>
  <c r="C8123" i="1"/>
  <c r="M8123" i="1"/>
  <c r="B8124" i="1"/>
  <c r="C8124" i="1"/>
  <c r="M8124" i="1"/>
  <c r="B8125" i="1"/>
  <c r="C8125" i="1"/>
  <c r="M8125" i="1"/>
  <c r="B8126" i="1"/>
  <c r="C8126" i="1"/>
  <c r="M8126" i="1"/>
  <c r="B8127" i="1"/>
  <c r="C8127" i="1"/>
  <c r="M8127" i="1"/>
  <c r="B8128" i="1"/>
  <c r="C8128" i="1"/>
  <c r="M8128" i="1"/>
  <c r="B8129" i="1"/>
  <c r="C8129" i="1"/>
  <c r="M8129" i="1"/>
  <c r="B8130" i="1"/>
  <c r="C8130" i="1"/>
  <c r="M8130" i="1"/>
  <c r="B8131" i="1"/>
  <c r="C8131" i="1"/>
  <c r="M8131" i="1"/>
  <c r="B8132" i="1"/>
  <c r="C8132" i="1"/>
  <c r="M8132" i="1"/>
  <c r="B8133" i="1"/>
  <c r="C8133" i="1"/>
  <c r="M8133" i="1"/>
  <c r="B8134" i="1"/>
  <c r="C8134" i="1"/>
  <c r="M8134" i="1"/>
  <c r="B8135" i="1"/>
  <c r="C8135" i="1"/>
  <c r="M8135" i="1"/>
  <c r="B8136" i="1"/>
  <c r="C8136" i="1"/>
  <c r="M8136" i="1"/>
  <c r="B8137" i="1"/>
  <c r="C8137" i="1"/>
  <c r="M8137" i="1"/>
  <c r="B8138" i="1"/>
  <c r="C8138" i="1"/>
  <c r="M8138" i="1"/>
  <c r="B8139" i="1"/>
  <c r="C8139" i="1"/>
  <c r="M8139" i="1"/>
  <c r="B8140" i="1"/>
  <c r="C8140" i="1"/>
  <c r="M8140" i="1"/>
  <c r="B8141" i="1"/>
  <c r="C8141" i="1"/>
  <c r="M8141" i="1"/>
  <c r="B8142" i="1"/>
  <c r="C8142" i="1"/>
  <c r="M8142" i="1"/>
  <c r="B8143" i="1"/>
  <c r="C8143" i="1"/>
  <c r="M8143" i="1"/>
  <c r="B8144" i="1"/>
  <c r="C8144" i="1"/>
  <c r="M8144" i="1"/>
  <c r="B8145" i="1"/>
  <c r="C8145" i="1"/>
  <c r="M8145" i="1"/>
  <c r="B8146" i="1"/>
  <c r="C8146" i="1"/>
  <c r="M8146" i="1"/>
  <c r="B8147" i="1"/>
  <c r="C8147" i="1"/>
  <c r="M8147" i="1"/>
  <c r="B8148" i="1"/>
  <c r="C8148" i="1"/>
  <c r="M8148" i="1"/>
  <c r="B8149" i="1"/>
  <c r="C8149" i="1"/>
  <c r="M8149" i="1"/>
  <c r="B8150" i="1"/>
  <c r="C8150" i="1"/>
  <c r="M8150" i="1"/>
  <c r="B8151" i="1"/>
  <c r="C8151" i="1"/>
  <c r="M8151" i="1"/>
  <c r="B8152" i="1"/>
  <c r="C8152" i="1"/>
  <c r="M8152" i="1"/>
  <c r="B8153" i="1"/>
  <c r="C8153" i="1"/>
  <c r="M8153" i="1"/>
  <c r="B8154" i="1"/>
  <c r="C8154" i="1"/>
  <c r="M8154" i="1"/>
  <c r="B8155" i="1"/>
  <c r="C8155" i="1"/>
  <c r="M8155" i="1"/>
  <c r="B8156" i="1"/>
  <c r="C8156" i="1"/>
  <c r="M8156" i="1"/>
  <c r="B8157" i="1"/>
  <c r="C8157" i="1"/>
  <c r="M8157" i="1"/>
  <c r="B8158" i="1"/>
  <c r="C8158" i="1"/>
  <c r="M8158" i="1"/>
  <c r="B8159" i="1"/>
  <c r="C8159" i="1"/>
  <c r="M8159" i="1"/>
  <c r="B8160" i="1"/>
  <c r="C8160" i="1"/>
  <c r="M8160" i="1"/>
  <c r="B8161" i="1"/>
  <c r="C8161" i="1"/>
  <c r="M8161" i="1"/>
  <c r="B8162" i="1"/>
  <c r="C8162" i="1"/>
  <c r="M8162" i="1"/>
  <c r="B8163" i="1"/>
  <c r="C8163" i="1"/>
  <c r="M8163" i="1"/>
  <c r="B8164" i="1"/>
  <c r="C8164" i="1"/>
  <c r="M8164" i="1"/>
  <c r="B8165" i="1"/>
  <c r="C8165" i="1"/>
  <c r="M8165" i="1"/>
  <c r="B8166" i="1"/>
  <c r="C8166" i="1"/>
  <c r="M8166" i="1"/>
  <c r="B8167" i="1"/>
  <c r="C8167" i="1"/>
  <c r="M8167" i="1"/>
  <c r="B8168" i="1"/>
  <c r="C8168" i="1"/>
  <c r="M8168" i="1"/>
  <c r="B8169" i="1"/>
  <c r="C8169" i="1"/>
  <c r="M8169" i="1"/>
  <c r="B8170" i="1"/>
  <c r="C8170" i="1"/>
  <c r="M8170" i="1"/>
  <c r="B8171" i="1"/>
  <c r="C8171" i="1"/>
  <c r="M8171" i="1"/>
  <c r="B8172" i="1"/>
  <c r="C8172" i="1"/>
  <c r="M8172" i="1"/>
  <c r="B8173" i="1"/>
  <c r="C8173" i="1"/>
  <c r="M8173" i="1"/>
  <c r="B8174" i="1"/>
  <c r="C8174" i="1"/>
  <c r="M8174" i="1"/>
  <c r="B8175" i="1"/>
  <c r="C8175" i="1"/>
  <c r="M8175" i="1"/>
  <c r="B8176" i="1"/>
  <c r="C8176" i="1"/>
  <c r="M8176" i="1"/>
  <c r="B8177" i="1"/>
  <c r="C8177" i="1"/>
  <c r="M8177" i="1"/>
  <c r="B8178" i="1"/>
  <c r="C8178" i="1"/>
  <c r="M8178" i="1"/>
  <c r="B8179" i="1"/>
  <c r="C8179" i="1"/>
  <c r="M8179" i="1"/>
  <c r="B8180" i="1"/>
  <c r="C8180" i="1"/>
  <c r="M8180" i="1"/>
  <c r="B8181" i="1"/>
  <c r="C8181" i="1"/>
  <c r="M8181" i="1"/>
  <c r="B8182" i="1"/>
  <c r="C8182" i="1"/>
  <c r="M8182" i="1"/>
  <c r="B8183" i="1"/>
  <c r="C8183" i="1"/>
  <c r="M8183" i="1"/>
  <c r="B8184" i="1"/>
  <c r="C8184" i="1"/>
  <c r="M8184" i="1"/>
  <c r="B8185" i="1"/>
  <c r="C8185" i="1"/>
  <c r="M8185" i="1"/>
  <c r="B8186" i="1"/>
  <c r="C8186" i="1"/>
  <c r="M8186" i="1"/>
  <c r="B8187" i="1"/>
  <c r="C8187" i="1"/>
  <c r="M8187" i="1"/>
  <c r="B8188" i="1"/>
  <c r="C8188" i="1"/>
  <c r="M8188" i="1"/>
  <c r="B8189" i="1"/>
  <c r="C8189" i="1"/>
  <c r="M8189" i="1"/>
  <c r="B8190" i="1"/>
  <c r="C8190" i="1"/>
  <c r="M8190" i="1"/>
  <c r="B8191" i="1"/>
  <c r="C8191" i="1"/>
  <c r="M8191" i="1"/>
  <c r="B8192" i="1"/>
  <c r="C8192" i="1"/>
  <c r="M8192" i="1"/>
  <c r="B8193" i="1"/>
  <c r="C8193" i="1"/>
  <c r="M8193" i="1"/>
  <c r="B8194" i="1"/>
  <c r="C8194" i="1"/>
  <c r="M8194" i="1"/>
  <c r="B8195" i="1"/>
  <c r="C8195" i="1"/>
  <c r="M8195" i="1"/>
  <c r="B8196" i="1"/>
  <c r="C8196" i="1"/>
  <c r="M8196" i="1"/>
  <c r="B8197" i="1"/>
  <c r="C8197" i="1"/>
  <c r="M8197" i="1"/>
  <c r="B8198" i="1"/>
  <c r="C8198" i="1"/>
  <c r="M8198" i="1"/>
  <c r="B8199" i="1"/>
  <c r="C8199" i="1"/>
  <c r="M8199" i="1"/>
  <c r="B8200" i="1"/>
  <c r="C8200" i="1"/>
  <c r="M8200" i="1"/>
  <c r="B8201" i="1"/>
  <c r="C8201" i="1"/>
  <c r="M8201" i="1"/>
  <c r="B8202" i="1"/>
  <c r="C8202" i="1"/>
  <c r="M8202" i="1"/>
  <c r="B8203" i="1"/>
  <c r="C8203" i="1"/>
  <c r="M8203" i="1"/>
  <c r="B8204" i="1"/>
  <c r="C8204" i="1"/>
  <c r="M8204" i="1"/>
  <c r="B8205" i="1"/>
  <c r="C8205" i="1"/>
  <c r="M8205" i="1"/>
  <c r="B8206" i="1"/>
  <c r="C8206" i="1"/>
  <c r="M8206" i="1"/>
  <c r="B8207" i="1"/>
  <c r="C8207" i="1"/>
  <c r="M8207" i="1"/>
  <c r="B8208" i="1"/>
  <c r="C8208" i="1"/>
  <c r="M8208" i="1"/>
  <c r="B8209" i="1"/>
  <c r="C8209" i="1"/>
  <c r="M8209" i="1"/>
  <c r="B8210" i="1"/>
  <c r="C8210" i="1"/>
  <c r="M8210" i="1"/>
  <c r="B8211" i="1"/>
  <c r="C8211" i="1"/>
  <c r="M8211" i="1"/>
  <c r="B8212" i="1"/>
  <c r="C8212" i="1"/>
  <c r="M8212" i="1"/>
  <c r="B8213" i="1"/>
  <c r="C8213" i="1"/>
  <c r="M8213" i="1"/>
  <c r="B8214" i="1"/>
  <c r="C8214" i="1"/>
  <c r="M8214" i="1"/>
  <c r="B8215" i="1"/>
  <c r="C8215" i="1"/>
  <c r="M8215" i="1"/>
  <c r="B8216" i="1"/>
  <c r="C8216" i="1"/>
  <c r="M8216" i="1"/>
  <c r="B8217" i="1"/>
  <c r="C8217" i="1"/>
  <c r="M8217" i="1"/>
  <c r="B8218" i="1"/>
  <c r="C8218" i="1"/>
  <c r="M8218" i="1"/>
  <c r="B8219" i="1"/>
  <c r="C8219" i="1"/>
  <c r="M8219" i="1"/>
  <c r="B8220" i="1"/>
  <c r="C8220" i="1"/>
  <c r="M8220" i="1"/>
  <c r="B8221" i="1"/>
  <c r="C8221" i="1"/>
  <c r="M8221" i="1"/>
  <c r="B8222" i="1"/>
  <c r="C8222" i="1"/>
  <c r="M8222" i="1"/>
  <c r="B8223" i="1"/>
  <c r="C8223" i="1"/>
  <c r="M8223" i="1"/>
  <c r="B8224" i="1"/>
  <c r="C8224" i="1"/>
  <c r="M8224" i="1"/>
  <c r="B8225" i="1"/>
  <c r="C8225" i="1"/>
  <c r="M8225" i="1"/>
  <c r="B8226" i="1"/>
  <c r="C8226" i="1"/>
  <c r="M8226" i="1"/>
  <c r="B8227" i="1"/>
  <c r="C8227" i="1"/>
  <c r="M8227" i="1"/>
  <c r="B8228" i="1"/>
  <c r="C8228" i="1"/>
  <c r="M8228" i="1"/>
  <c r="B8229" i="1"/>
  <c r="C8229" i="1"/>
  <c r="M8229" i="1"/>
  <c r="B8230" i="1"/>
  <c r="C8230" i="1"/>
  <c r="M8230" i="1"/>
  <c r="B8231" i="1"/>
  <c r="C8231" i="1"/>
  <c r="M8231" i="1"/>
  <c r="B8232" i="1"/>
  <c r="C8232" i="1"/>
  <c r="M8232" i="1"/>
  <c r="B8233" i="1"/>
  <c r="C8233" i="1"/>
  <c r="M8233" i="1"/>
  <c r="B8234" i="1"/>
  <c r="C8234" i="1"/>
  <c r="M8234" i="1"/>
  <c r="B8235" i="1"/>
  <c r="C8235" i="1"/>
  <c r="M8235" i="1"/>
  <c r="B8236" i="1"/>
  <c r="C8236" i="1"/>
  <c r="M8236" i="1"/>
  <c r="B8237" i="1"/>
  <c r="C8237" i="1"/>
  <c r="M8237" i="1"/>
  <c r="B8238" i="1"/>
  <c r="C8238" i="1"/>
  <c r="M8238" i="1"/>
  <c r="B8239" i="1"/>
  <c r="C8239" i="1"/>
  <c r="M8239" i="1"/>
  <c r="B8240" i="1"/>
  <c r="C8240" i="1"/>
  <c r="M8240" i="1"/>
  <c r="B8241" i="1"/>
  <c r="C8241" i="1"/>
  <c r="M8241" i="1"/>
  <c r="B8242" i="1"/>
  <c r="C8242" i="1"/>
  <c r="M8242" i="1"/>
  <c r="B8243" i="1"/>
  <c r="C8243" i="1"/>
  <c r="M8243" i="1"/>
  <c r="B8244" i="1"/>
  <c r="C8244" i="1"/>
  <c r="M8244" i="1"/>
  <c r="B8245" i="1"/>
  <c r="C8245" i="1"/>
  <c r="M8245" i="1"/>
  <c r="B8246" i="1"/>
  <c r="C8246" i="1"/>
  <c r="M8246" i="1"/>
  <c r="B8247" i="1"/>
  <c r="C8247" i="1"/>
  <c r="M8247" i="1"/>
  <c r="B8248" i="1"/>
  <c r="C8248" i="1"/>
  <c r="M8248" i="1"/>
  <c r="B8249" i="1"/>
  <c r="C8249" i="1"/>
  <c r="M8249" i="1"/>
  <c r="B8250" i="1"/>
  <c r="C8250" i="1"/>
  <c r="M8250" i="1"/>
  <c r="B8251" i="1"/>
  <c r="C8251" i="1"/>
  <c r="M8251" i="1"/>
  <c r="B8252" i="1"/>
  <c r="C8252" i="1"/>
  <c r="M8252" i="1"/>
  <c r="B8253" i="1"/>
  <c r="C8253" i="1"/>
  <c r="M8253" i="1"/>
  <c r="B8254" i="1"/>
  <c r="C8254" i="1"/>
  <c r="M8254" i="1"/>
  <c r="B8255" i="1"/>
  <c r="C8255" i="1"/>
  <c r="M8255" i="1"/>
  <c r="B8256" i="1"/>
  <c r="C8256" i="1"/>
  <c r="M8256" i="1"/>
  <c r="B8257" i="1"/>
  <c r="C8257" i="1"/>
  <c r="M8257" i="1"/>
  <c r="B8258" i="1"/>
  <c r="C8258" i="1"/>
  <c r="M8258" i="1"/>
  <c r="B8259" i="1"/>
  <c r="C8259" i="1"/>
  <c r="M8259" i="1"/>
  <c r="B8260" i="1"/>
  <c r="C8260" i="1"/>
  <c r="M8260" i="1"/>
  <c r="B8261" i="1"/>
  <c r="C8261" i="1"/>
  <c r="M8261" i="1"/>
  <c r="B8262" i="1"/>
  <c r="C8262" i="1"/>
  <c r="M8262" i="1"/>
  <c r="B8263" i="1"/>
  <c r="C8263" i="1"/>
  <c r="M8263" i="1"/>
  <c r="B8264" i="1"/>
  <c r="C8264" i="1"/>
  <c r="M8264" i="1"/>
  <c r="B8265" i="1"/>
  <c r="C8265" i="1"/>
  <c r="M8265" i="1"/>
  <c r="B8266" i="1"/>
  <c r="C8266" i="1"/>
  <c r="M8266" i="1"/>
  <c r="B8267" i="1"/>
  <c r="C8267" i="1"/>
  <c r="M8267" i="1"/>
  <c r="B8268" i="1"/>
  <c r="C8268" i="1"/>
  <c r="M8268" i="1"/>
  <c r="B8269" i="1"/>
  <c r="C8269" i="1"/>
  <c r="M8269" i="1"/>
  <c r="B8270" i="1"/>
  <c r="C8270" i="1"/>
  <c r="M8270" i="1"/>
  <c r="B8271" i="1"/>
  <c r="C8271" i="1"/>
  <c r="M8271" i="1"/>
  <c r="B8272" i="1"/>
  <c r="C8272" i="1"/>
  <c r="M8272" i="1"/>
  <c r="B8273" i="1"/>
  <c r="C8273" i="1"/>
  <c r="M8273" i="1"/>
  <c r="B8274" i="1"/>
  <c r="C8274" i="1"/>
  <c r="M8274" i="1"/>
  <c r="B8275" i="1"/>
  <c r="C8275" i="1"/>
  <c r="M8275" i="1"/>
  <c r="B8276" i="1"/>
  <c r="C8276" i="1"/>
  <c r="M8276" i="1"/>
  <c r="B8277" i="1"/>
  <c r="C8277" i="1"/>
  <c r="M8277" i="1"/>
  <c r="B8278" i="1"/>
  <c r="C8278" i="1"/>
  <c r="M8278" i="1"/>
  <c r="B8279" i="1"/>
  <c r="C8279" i="1"/>
  <c r="M8279" i="1"/>
  <c r="B8280" i="1"/>
  <c r="C8280" i="1"/>
  <c r="M8280" i="1"/>
  <c r="B8281" i="1"/>
  <c r="C8281" i="1"/>
  <c r="M8281" i="1"/>
  <c r="B8282" i="1"/>
  <c r="C8282" i="1"/>
  <c r="M8282" i="1"/>
  <c r="B8283" i="1"/>
  <c r="C8283" i="1"/>
  <c r="M8283" i="1"/>
  <c r="B8284" i="1"/>
  <c r="C8284" i="1"/>
  <c r="M8284" i="1"/>
  <c r="B8285" i="1"/>
  <c r="C8285" i="1"/>
  <c r="M8285" i="1"/>
  <c r="B8286" i="1"/>
  <c r="C8286" i="1"/>
  <c r="M8286" i="1"/>
  <c r="B8287" i="1"/>
  <c r="C8287" i="1"/>
  <c r="M8287" i="1"/>
  <c r="B8288" i="1"/>
  <c r="C8288" i="1"/>
  <c r="M8288" i="1"/>
  <c r="B8289" i="1"/>
  <c r="C8289" i="1"/>
  <c r="M8289" i="1"/>
  <c r="B8290" i="1"/>
  <c r="C8290" i="1"/>
  <c r="M8290" i="1"/>
  <c r="B8291" i="1"/>
  <c r="C8291" i="1"/>
  <c r="M8291" i="1"/>
  <c r="B8292" i="1"/>
  <c r="C8292" i="1"/>
  <c r="M8292" i="1"/>
  <c r="B8293" i="1"/>
  <c r="C8293" i="1"/>
  <c r="M8293" i="1"/>
  <c r="B8294" i="1"/>
  <c r="C8294" i="1"/>
  <c r="M8294" i="1"/>
  <c r="B8295" i="1"/>
  <c r="C8295" i="1"/>
  <c r="M8295" i="1"/>
  <c r="B8296" i="1"/>
  <c r="C8296" i="1"/>
  <c r="M8296" i="1"/>
  <c r="B8297" i="1"/>
  <c r="C8297" i="1"/>
  <c r="M8297" i="1"/>
  <c r="B8298" i="1"/>
  <c r="C8298" i="1"/>
  <c r="M8298" i="1"/>
  <c r="B8299" i="1"/>
  <c r="C8299" i="1"/>
  <c r="M8299" i="1"/>
  <c r="B8300" i="1"/>
  <c r="C8300" i="1"/>
  <c r="M8300" i="1"/>
  <c r="B8301" i="1"/>
  <c r="C8301" i="1"/>
  <c r="M8301" i="1"/>
  <c r="B8302" i="1"/>
  <c r="C8302" i="1"/>
  <c r="M8302" i="1"/>
  <c r="B8303" i="1"/>
  <c r="C8303" i="1"/>
  <c r="M8303" i="1"/>
  <c r="B8304" i="1"/>
  <c r="C8304" i="1"/>
  <c r="M8304" i="1"/>
  <c r="B8305" i="1"/>
  <c r="C8305" i="1"/>
  <c r="M8305" i="1"/>
  <c r="B8306" i="1"/>
  <c r="C8306" i="1"/>
  <c r="M8306" i="1"/>
  <c r="B8307" i="1"/>
  <c r="C8307" i="1"/>
  <c r="M8307" i="1"/>
  <c r="B8308" i="1"/>
  <c r="C8308" i="1"/>
  <c r="M8308" i="1"/>
  <c r="B8309" i="1"/>
  <c r="C8309" i="1"/>
  <c r="M8309" i="1"/>
  <c r="B8310" i="1"/>
  <c r="C8310" i="1"/>
  <c r="M8310" i="1"/>
  <c r="B8311" i="1"/>
  <c r="C8311" i="1"/>
  <c r="M8311" i="1"/>
  <c r="B8312" i="1"/>
  <c r="C8312" i="1"/>
  <c r="M8312" i="1"/>
  <c r="B8313" i="1"/>
  <c r="C8313" i="1"/>
  <c r="M8313" i="1"/>
  <c r="B8314" i="1"/>
  <c r="C8314" i="1"/>
  <c r="M8314" i="1"/>
  <c r="B8315" i="1"/>
  <c r="C8315" i="1"/>
  <c r="M8315" i="1"/>
  <c r="B8316" i="1"/>
  <c r="C8316" i="1"/>
  <c r="M8316" i="1"/>
  <c r="B8317" i="1"/>
  <c r="C8317" i="1"/>
  <c r="M8317" i="1"/>
  <c r="B8318" i="1"/>
  <c r="C8318" i="1"/>
  <c r="M8318" i="1"/>
  <c r="B8319" i="1"/>
  <c r="C8319" i="1"/>
  <c r="M8319" i="1"/>
  <c r="B8320" i="1"/>
  <c r="C8320" i="1"/>
  <c r="M8320" i="1"/>
  <c r="B8321" i="1"/>
  <c r="C8321" i="1"/>
  <c r="M8321" i="1"/>
  <c r="B8322" i="1"/>
  <c r="C8322" i="1"/>
  <c r="M8322" i="1"/>
  <c r="B8323" i="1"/>
  <c r="C8323" i="1"/>
  <c r="M8323" i="1"/>
  <c r="B8324" i="1"/>
  <c r="C8324" i="1"/>
  <c r="M8324" i="1"/>
  <c r="B8325" i="1"/>
  <c r="C8325" i="1"/>
  <c r="M8325" i="1"/>
  <c r="B8326" i="1"/>
  <c r="C8326" i="1"/>
  <c r="M8326" i="1"/>
  <c r="B8327" i="1"/>
  <c r="C8327" i="1"/>
  <c r="M8327" i="1"/>
  <c r="B8328" i="1"/>
  <c r="C8328" i="1"/>
  <c r="M8328" i="1"/>
  <c r="B8329" i="1"/>
  <c r="C8329" i="1"/>
  <c r="M8329" i="1"/>
  <c r="B8330" i="1"/>
  <c r="C8330" i="1"/>
  <c r="M8330" i="1"/>
  <c r="B8331" i="1"/>
  <c r="C8331" i="1"/>
  <c r="M8331" i="1"/>
  <c r="B8332" i="1"/>
  <c r="C8332" i="1"/>
  <c r="M8332" i="1"/>
  <c r="B8333" i="1"/>
  <c r="C8333" i="1"/>
  <c r="M8333" i="1"/>
  <c r="B8334" i="1"/>
  <c r="C8334" i="1"/>
  <c r="M8334" i="1"/>
  <c r="B8335" i="1"/>
  <c r="C8335" i="1"/>
  <c r="M8335" i="1"/>
  <c r="B8336" i="1"/>
  <c r="C8336" i="1"/>
  <c r="M8336" i="1"/>
  <c r="B8337" i="1"/>
  <c r="C8337" i="1"/>
  <c r="M8337" i="1"/>
  <c r="B8338" i="1"/>
  <c r="C8338" i="1"/>
  <c r="M8338" i="1"/>
  <c r="B8339" i="1"/>
  <c r="C8339" i="1"/>
  <c r="M8339" i="1"/>
  <c r="B8340" i="1"/>
  <c r="C8340" i="1"/>
  <c r="M8340" i="1"/>
  <c r="B8341" i="1"/>
  <c r="C8341" i="1"/>
  <c r="M8341" i="1"/>
  <c r="B8342" i="1"/>
  <c r="C8342" i="1"/>
  <c r="M8342" i="1"/>
  <c r="B8343" i="1"/>
  <c r="C8343" i="1"/>
  <c r="M8343" i="1"/>
  <c r="B8344" i="1"/>
  <c r="C8344" i="1"/>
  <c r="M8344" i="1"/>
  <c r="B8345" i="1"/>
  <c r="C8345" i="1"/>
  <c r="M8345" i="1"/>
  <c r="B8346" i="1"/>
  <c r="C8346" i="1"/>
  <c r="M8346" i="1"/>
  <c r="B8347" i="1"/>
  <c r="C8347" i="1"/>
  <c r="M8347" i="1"/>
  <c r="B8348" i="1"/>
  <c r="C8348" i="1"/>
  <c r="M8348" i="1"/>
  <c r="B8349" i="1"/>
  <c r="C8349" i="1"/>
  <c r="M8349" i="1"/>
  <c r="B8350" i="1"/>
  <c r="C8350" i="1"/>
  <c r="M8350" i="1"/>
  <c r="B8351" i="1"/>
  <c r="C8351" i="1"/>
  <c r="M8351" i="1"/>
  <c r="B8352" i="1"/>
  <c r="C8352" i="1"/>
  <c r="M8352" i="1"/>
  <c r="B8353" i="1"/>
  <c r="C8353" i="1"/>
  <c r="M8353" i="1"/>
  <c r="B8354" i="1"/>
  <c r="C8354" i="1"/>
  <c r="M8354" i="1"/>
  <c r="B8355" i="1"/>
  <c r="C8355" i="1"/>
  <c r="M8355" i="1"/>
  <c r="B8356" i="1"/>
  <c r="C8356" i="1"/>
  <c r="M8356" i="1"/>
  <c r="B8357" i="1"/>
  <c r="C8357" i="1"/>
  <c r="M8357" i="1"/>
  <c r="B8358" i="1"/>
  <c r="C8358" i="1"/>
  <c r="M8358" i="1"/>
  <c r="B8359" i="1"/>
  <c r="C8359" i="1"/>
  <c r="M8359" i="1"/>
  <c r="B8360" i="1"/>
  <c r="C8360" i="1"/>
  <c r="M8360" i="1"/>
  <c r="B8361" i="1"/>
  <c r="C8361" i="1"/>
  <c r="M8361" i="1"/>
  <c r="B8362" i="1"/>
  <c r="C8362" i="1"/>
  <c r="M8362" i="1"/>
  <c r="B8363" i="1"/>
  <c r="C8363" i="1"/>
  <c r="M8363" i="1"/>
  <c r="B8364" i="1"/>
  <c r="C8364" i="1"/>
  <c r="M8364" i="1"/>
  <c r="B8365" i="1"/>
  <c r="C8365" i="1"/>
  <c r="M8365" i="1"/>
  <c r="B8366" i="1"/>
  <c r="C8366" i="1"/>
  <c r="M8366" i="1"/>
  <c r="B8367" i="1"/>
  <c r="C8367" i="1"/>
  <c r="M8367" i="1"/>
  <c r="B8368" i="1"/>
  <c r="C8368" i="1"/>
  <c r="M8368" i="1"/>
  <c r="B8369" i="1"/>
  <c r="C8369" i="1"/>
  <c r="M8369" i="1"/>
  <c r="B8370" i="1"/>
  <c r="C8370" i="1"/>
  <c r="M8370" i="1"/>
  <c r="B8371" i="1"/>
  <c r="C8371" i="1"/>
  <c r="M8371" i="1"/>
  <c r="B8372" i="1"/>
  <c r="C8372" i="1"/>
  <c r="M8372" i="1"/>
  <c r="B8373" i="1"/>
  <c r="C8373" i="1"/>
  <c r="M8373" i="1"/>
  <c r="B8374" i="1"/>
  <c r="C8374" i="1"/>
  <c r="M8374" i="1"/>
  <c r="B8375" i="1"/>
  <c r="C8375" i="1"/>
  <c r="M8375" i="1"/>
  <c r="B8376" i="1"/>
  <c r="C8376" i="1"/>
  <c r="M8376" i="1"/>
  <c r="B8377" i="1"/>
  <c r="C8377" i="1"/>
  <c r="M8377" i="1"/>
  <c r="B8378" i="1"/>
  <c r="C8378" i="1"/>
  <c r="M8378" i="1"/>
  <c r="B8379" i="1"/>
  <c r="C8379" i="1"/>
  <c r="M8379" i="1"/>
  <c r="B8380" i="1"/>
  <c r="C8380" i="1"/>
  <c r="M8380" i="1"/>
  <c r="B8381" i="1"/>
  <c r="C8381" i="1"/>
  <c r="M8381" i="1"/>
  <c r="B8382" i="1"/>
  <c r="C8382" i="1"/>
  <c r="M8382" i="1"/>
  <c r="B8383" i="1"/>
  <c r="C8383" i="1"/>
  <c r="M8383" i="1"/>
  <c r="B8384" i="1"/>
  <c r="C8384" i="1"/>
  <c r="M8384" i="1"/>
  <c r="B8385" i="1"/>
  <c r="C8385" i="1"/>
  <c r="M8385" i="1"/>
  <c r="B8386" i="1"/>
  <c r="C8386" i="1"/>
  <c r="M8386" i="1"/>
  <c r="B8387" i="1"/>
  <c r="C8387" i="1"/>
  <c r="M8387" i="1"/>
  <c r="B8388" i="1"/>
  <c r="C8388" i="1"/>
  <c r="M8388" i="1"/>
  <c r="B8389" i="1"/>
  <c r="C8389" i="1"/>
  <c r="M8389" i="1"/>
  <c r="B8390" i="1"/>
  <c r="C8390" i="1"/>
  <c r="M8390" i="1"/>
  <c r="B8391" i="1"/>
  <c r="C8391" i="1"/>
  <c r="M8391" i="1"/>
  <c r="B8392" i="1"/>
  <c r="C8392" i="1"/>
  <c r="M8392" i="1"/>
  <c r="B8393" i="1"/>
  <c r="C8393" i="1"/>
  <c r="M8393" i="1"/>
  <c r="B8394" i="1"/>
  <c r="C8394" i="1"/>
  <c r="M8394" i="1"/>
  <c r="B8395" i="1"/>
  <c r="C8395" i="1"/>
  <c r="M8395" i="1"/>
  <c r="B8396" i="1"/>
  <c r="C8396" i="1"/>
  <c r="M8396" i="1"/>
  <c r="B8397" i="1"/>
  <c r="C8397" i="1"/>
  <c r="M8397" i="1"/>
  <c r="B8398" i="1"/>
  <c r="C8398" i="1"/>
  <c r="M8398" i="1"/>
  <c r="B8399" i="1"/>
  <c r="C8399" i="1"/>
  <c r="M8399" i="1"/>
  <c r="B8400" i="1"/>
  <c r="C8400" i="1"/>
  <c r="M8400" i="1"/>
  <c r="B8401" i="1"/>
  <c r="C8401" i="1"/>
  <c r="M8401" i="1"/>
  <c r="B8402" i="1"/>
  <c r="C8402" i="1"/>
  <c r="M8402" i="1"/>
  <c r="B8403" i="1"/>
  <c r="C8403" i="1"/>
  <c r="M8403" i="1"/>
  <c r="B8404" i="1"/>
  <c r="C8404" i="1"/>
  <c r="M8404" i="1"/>
  <c r="B8405" i="1"/>
  <c r="C8405" i="1"/>
  <c r="M8405" i="1"/>
  <c r="B8406" i="1"/>
  <c r="C8406" i="1"/>
  <c r="M8406" i="1"/>
  <c r="B8407" i="1"/>
  <c r="C8407" i="1"/>
  <c r="M8407" i="1"/>
  <c r="B8408" i="1"/>
  <c r="C8408" i="1"/>
  <c r="M8408" i="1"/>
  <c r="B8409" i="1"/>
  <c r="C8409" i="1"/>
  <c r="M8409" i="1"/>
  <c r="B8410" i="1"/>
  <c r="C8410" i="1"/>
  <c r="M8410" i="1"/>
  <c r="B8411" i="1"/>
  <c r="C8411" i="1"/>
  <c r="M8411" i="1"/>
  <c r="B8412" i="1"/>
  <c r="C8412" i="1"/>
  <c r="M8412" i="1"/>
  <c r="B8413" i="1"/>
  <c r="C8413" i="1"/>
  <c r="M8413" i="1"/>
  <c r="B8414" i="1"/>
  <c r="C8414" i="1"/>
  <c r="M8414" i="1"/>
  <c r="B8415" i="1"/>
  <c r="C8415" i="1"/>
  <c r="M8415" i="1"/>
  <c r="B8416" i="1"/>
  <c r="C8416" i="1"/>
  <c r="M8416" i="1"/>
  <c r="B8417" i="1"/>
  <c r="C8417" i="1"/>
  <c r="M8417" i="1"/>
  <c r="B8418" i="1"/>
  <c r="C8418" i="1"/>
  <c r="M8418" i="1"/>
  <c r="B8419" i="1"/>
  <c r="C8419" i="1"/>
  <c r="M8419" i="1"/>
  <c r="B8420" i="1"/>
  <c r="C8420" i="1"/>
  <c r="M8420" i="1"/>
  <c r="B8421" i="1"/>
  <c r="C8421" i="1"/>
  <c r="M8421" i="1"/>
  <c r="B8422" i="1"/>
  <c r="C8422" i="1"/>
  <c r="M8422" i="1"/>
  <c r="B8423" i="1"/>
  <c r="C8423" i="1"/>
  <c r="M8423" i="1"/>
  <c r="B8424" i="1"/>
  <c r="C8424" i="1"/>
  <c r="M8424" i="1"/>
  <c r="B8425" i="1"/>
  <c r="C8425" i="1"/>
  <c r="M8425" i="1"/>
  <c r="B8426" i="1"/>
  <c r="C8426" i="1"/>
  <c r="M8426" i="1"/>
  <c r="B8427" i="1"/>
  <c r="C8427" i="1"/>
  <c r="M8427" i="1"/>
  <c r="B8428" i="1"/>
  <c r="C8428" i="1"/>
  <c r="M8428" i="1"/>
  <c r="B8429" i="1"/>
  <c r="C8429" i="1"/>
  <c r="M8429" i="1"/>
  <c r="B8430" i="1"/>
  <c r="C8430" i="1"/>
  <c r="M8430" i="1"/>
  <c r="B8431" i="1"/>
  <c r="C8431" i="1"/>
  <c r="M8431" i="1"/>
  <c r="B8432" i="1"/>
  <c r="C8432" i="1"/>
  <c r="M8432" i="1"/>
  <c r="B8433" i="1"/>
  <c r="C8433" i="1"/>
  <c r="M8433" i="1"/>
  <c r="B8434" i="1"/>
  <c r="C8434" i="1"/>
  <c r="M8434" i="1"/>
  <c r="B8435" i="1"/>
  <c r="C8435" i="1"/>
  <c r="M8435" i="1"/>
  <c r="B8436" i="1"/>
  <c r="C8436" i="1"/>
  <c r="M8436" i="1"/>
  <c r="B8437" i="1"/>
  <c r="C8437" i="1"/>
  <c r="M8437" i="1"/>
  <c r="B8438" i="1"/>
  <c r="C8438" i="1"/>
  <c r="M8438" i="1"/>
  <c r="B8439" i="1"/>
  <c r="C8439" i="1"/>
  <c r="M8439" i="1"/>
  <c r="B8440" i="1"/>
  <c r="C8440" i="1"/>
  <c r="M8440" i="1"/>
  <c r="B8441" i="1"/>
  <c r="C8441" i="1"/>
  <c r="M8441" i="1"/>
  <c r="B8442" i="1"/>
  <c r="C8442" i="1"/>
  <c r="M8442" i="1"/>
  <c r="B8443" i="1"/>
  <c r="C8443" i="1"/>
  <c r="M8443" i="1"/>
  <c r="B8444" i="1"/>
  <c r="C8444" i="1"/>
  <c r="M8444" i="1"/>
  <c r="B8445" i="1"/>
  <c r="C8445" i="1"/>
  <c r="M8445" i="1"/>
  <c r="B8446" i="1"/>
  <c r="C8446" i="1"/>
  <c r="M8446" i="1"/>
  <c r="B8447" i="1"/>
  <c r="C8447" i="1"/>
  <c r="M8447" i="1"/>
  <c r="B8448" i="1"/>
  <c r="C8448" i="1"/>
  <c r="M8448" i="1"/>
  <c r="B8449" i="1"/>
  <c r="C8449" i="1"/>
  <c r="M8449" i="1"/>
  <c r="B8450" i="1"/>
  <c r="C8450" i="1"/>
  <c r="M8450" i="1"/>
  <c r="B8451" i="1"/>
  <c r="C8451" i="1"/>
  <c r="M8451" i="1"/>
  <c r="B8452" i="1"/>
  <c r="C8452" i="1"/>
  <c r="M8452" i="1"/>
  <c r="B8453" i="1"/>
  <c r="C8453" i="1"/>
  <c r="M8453" i="1"/>
  <c r="B8454" i="1"/>
  <c r="C8454" i="1"/>
  <c r="M8454" i="1"/>
  <c r="B8455" i="1"/>
  <c r="C8455" i="1"/>
  <c r="M8455" i="1"/>
  <c r="B8456" i="1"/>
  <c r="C8456" i="1"/>
  <c r="M8456" i="1"/>
  <c r="B8457" i="1"/>
  <c r="C8457" i="1"/>
  <c r="M8457" i="1"/>
  <c r="B8458" i="1"/>
  <c r="C8458" i="1"/>
  <c r="M8458" i="1"/>
  <c r="B8459" i="1"/>
  <c r="C8459" i="1"/>
  <c r="M8459" i="1"/>
  <c r="B8460" i="1"/>
  <c r="C8460" i="1"/>
  <c r="M8460" i="1"/>
  <c r="B8461" i="1"/>
  <c r="C8461" i="1"/>
  <c r="M8461" i="1"/>
  <c r="B8462" i="1"/>
  <c r="C8462" i="1"/>
  <c r="M8462" i="1"/>
  <c r="B8463" i="1"/>
  <c r="C8463" i="1"/>
  <c r="M8463" i="1"/>
  <c r="B8464" i="1"/>
  <c r="C8464" i="1"/>
  <c r="M8464" i="1"/>
  <c r="B8465" i="1"/>
  <c r="C8465" i="1"/>
  <c r="M8465" i="1"/>
  <c r="B8466" i="1"/>
  <c r="C8466" i="1"/>
  <c r="M8466" i="1"/>
  <c r="B8467" i="1"/>
  <c r="C8467" i="1"/>
  <c r="M8467" i="1"/>
  <c r="B8468" i="1"/>
  <c r="C8468" i="1"/>
  <c r="M8468" i="1"/>
  <c r="B8469" i="1"/>
  <c r="C8469" i="1"/>
  <c r="M8469" i="1"/>
  <c r="B8470" i="1"/>
  <c r="C8470" i="1"/>
  <c r="M8470" i="1"/>
  <c r="B8471" i="1"/>
  <c r="C8471" i="1"/>
  <c r="M8471" i="1"/>
  <c r="B8472" i="1"/>
  <c r="C8472" i="1"/>
  <c r="M8472" i="1"/>
  <c r="B8473" i="1"/>
  <c r="C8473" i="1"/>
  <c r="M8473" i="1"/>
  <c r="B8474" i="1"/>
  <c r="C8474" i="1"/>
  <c r="M8474" i="1"/>
  <c r="B8475" i="1"/>
  <c r="C8475" i="1"/>
  <c r="M8475" i="1"/>
  <c r="B8476" i="1"/>
  <c r="C8476" i="1"/>
  <c r="M8476" i="1"/>
  <c r="B8477" i="1"/>
  <c r="C8477" i="1"/>
  <c r="M8477" i="1"/>
  <c r="B8478" i="1"/>
  <c r="C8478" i="1"/>
  <c r="M8478" i="1"/>
  <c r="B8479" i="1"/>
  <c r="C8479" i="1"/>
  <c r="M8479" i="1"/>
  <c r="B8480" i="1"/>
  <c r="C8480" i="1"/>
  <c r="M8480" i="1"/>
  <c r="B8481" i="1"/>
  <c r="C8481" i="1"/>
  <c r="M8481" i="1"/>
  <c r="B8482" i="1"/>
  <c r="C8482" i="1"/>
  <c r="M8482" i="1"/>
  <c r="B8483" i="1"/>
  <c r="C8483" i="1"/>
  <c r="M8483" i="1"/>
  <c r="B8484" i="1"/>
  <c r="C8484" i="1"/>
  <c r="M8484" i="1"/>
  <c r="B8485" i="1"/>
  <c r="C8485" i="1"/>
  <c r="M8485" i="1"/>
  <c r="B8486" i="1"/>
  <c r="C8486" i="1"/>
  <c r="M8486" i="1"/>
  <c r="B8487" i="1"/>
  <c r="C8487" i="1"/>
  <c r="M8487" i="1"/>
  <c r="B8488" i="1"/>
  <c r="C8488" i="1"/>
  <c r="M8488" i="1"/>
  <c r="B8489" i="1"/>
  <c r="C8489" i="1"/>
  <c r="M8489" i="1"/>
  <c r="B8490" i="1"/>
  <c r="C8490" i="1"/>
  <c r="M8490" i="1"/>
  <c r="B8491" i="1"/>
  <c r="C8491" i="1"/>
  <c r="M8491" i="1"/>
  <c r="B8492" i="1"/>
  <c r="C8492" i="1"/>
  <c r="M8492" i="1"/>
  <c r="B8493" i="1"/>
  <c r="C8493" i="1"/>
  <c r="M8493" i="1"/>
  <c r="B8494" i="1"/>
  <c r="C8494" i="1"/>
  <c r="M8494" i="1"/>
  <c r="B8495" i="1"/>
  <c r="C8495" i="1"/>
  <c r="M8495" i="1"/>
  <c r="B8496" i="1"/>
  <c r="C8496" i="1"/>
  <c r="M8496" i="1"/>
  <c r="B8497" i="1"/>
  <c r="C8497" i="1"/>
  <c r="M8497" i="1"/>
  <c r="B8498" i="1"/>
  <c r="C8498" i="1"/>
  <c r="M8498" i="1"/>
  <c r="B8499" i="1"/>
  <c r="C8499" i="1"/>
  <c r="M8499" i="1"/>
  <c r="B8500" i="1"/>
  <c r="C8500" i="1"/>
  <c r="M8500" i="1"/>
  <c r="B8501" i="1"/>
  <c r="C8501" i="1"/>
  <c r="M8501" i="1"/>
  <c r="B8502" i="1"/>
  <c r="C8502" i="1"/>
  <c r="M8502" i="1"/>
  <c r="B8503" i="1"/>
  <c r="C8503" i="1"/>
  <c r="M8503" i="1"/>
  <c r="B8504" i="1"/>
  <c r="C8504" i="1"/>
  <c r="M8504" i="1"/>
  <c r="B8505" i="1"/>
  <c r="C8505" i="1"/>
  <c r="M8505" i="1"/>
  <c r="B8506" i="1"/>
  <c r="C8506" i="1"/>
  <c r="M8506" i="1"/>
  <c r="B8507" i="1"/>
  <c r="C8507" i="1"/>
  <c r="M8507" i="1"/>
  <c r="B8508" i="1"/>
  <c r="C8508" i="1"/>
  <c r="M8508" i="1"/>
  <c r="B8509" i="1"/>
  <c r="C8509" i="1"/>
  <c r="M8509" i="1"/>
  <c r="B8510" i="1"/>
  <c r="C8510" i="1"/>
  <c r="M8510" i="1"/>
  <c r="B8511" i="1"/>
  <c r="C8511" i="1"/>
  <c r="M8511" i="1"/>
  <c r="B8512" i="1"/>
  <c r="C8512" i="1"/>
  <c r="M8512" i="1"/>
  <c r="B8513" i="1"/>
  <c r="C8513" i="1"/>
  <c r="M8513" i="1"/>
  <c r="B8514" i="1"/>
  <c r="C8514" i="1"/>
  <c r="M8514" i="1"/>
  <c r="B8515" i="1"/>
  <c r="C8515" i="1"/>
  <c r="M8515" i="1"/>
  <c r="B8516" i="1"/>
  <c r="C8516" i="1"/>
  <c r="M8516" i="1"/>
  <c r="B8517" i="1"/>
  <c r="C8517" i="1"/>
  <c r="M8517" i="1"/>
  <c r="B8518" i="1"/>
  <c r="C8518" i="1"/>
  <c r="M8518" i="1"/>
  <c r="B8519" i="1"/>
  <c r="C8519" i="1"/>
  <c r="M8519" i="1"/>
  <c r="B8520" i="1"/>
  <c r="C8520" i="1"/>
  <c r="M8520" i="1"/>
  <c r="B8521" i="1"/>
  <c r="C8521" i="1"/>
  <c r="M8521" i="1"/>
  <c r="B8522" i="1"/>
  <c r="C8522" i="1"/>
  <c r="M8522" i="1"/>
  <c r="B8523" i="1"/>
  <c r="C8523" i="1"/>
  <c r="M8523" i="1"/>
  <c r="B8524" i="1"/>
  <c r="C8524" i="1"/>
  <c r="M8524" i="1"/>
  <c r="B8525" i="1"/>
  <c r="C8525" i="1"/>
  <c r="M8525" i="1"/>
  <c r="B8526" i="1"/>
  <c r="C8526" i="1"/>
  <c r="M8526" i="1"/>
  <c r="B8527" i="1"/>
  <c r="C8527" i="1"/>
  <c r="M8527" i="1"/>
  <c r="B8528" i="1"/>
  <c r="C8528" i="1"/>
  <c r="M8528" i="1"/>
  <c r="B8529" i="1"/>
  <c r="C8529" i="1"/>
  <c r="M8529" i="1"/>
  <c r="B8530" i="1"/>
  <c r="C8530" i="1"/>
  <c r="M8530" i="1"/>
  <c r="B8531" i="1"/>
  <c r="C8531" i="1"/>
  <c r="M8531" i="1"/>
  <c r="B8532" i="1"/>
  <c r="C8532" i="1"/>
  <c r="M8532" i="1"/>
  <c r="B8533" i="1"/>
  <c r="C8533" i="1"/>
  <c r="M8533" i="1"/>
  <c r="B8534" i="1"/>
  <c r="C8534" i="1"/>
  <c r="M8534" i="1"/>
  <c r="B8535" i="1"/>
  <c r="C8535" i="1"/>
  <c r="M8535" i="1"/>
  <c r="B8536" i="1"/>
  <c r="C8536" i="1"/>
  <c r="M8536" i="1"/>
  <c r="B8537" i="1"/>
  <c r="C8537" i="1"/>
  <c r="M8537" i="1"/>
  <c r="B8538" i="1"/>
  <c r="C8538" i="1"/>
  <c r="M8538" i="1"/>
  <c r="B8539" i="1"/>
  <c r="C8539" i="1"/>
  <c r="M8539" i="1"/>
  <c r="B8540" i="1"/>
  <c r="C8540" i="1"/>
  <c r="M8540" i="1"/>
  <c r="B8541" i="1"/>
  <c r="C8541" i="1"/>
  <c r="M8541" i="1"/>
  <c r="B8542" i="1"/>
  <c r="C8542" i="1"/>
  <c r="M8542" i="1"/>
  <c r="B8543" i="1"/>
  <c r="C8543" i="1"/>
  <c r="M8543" i="1"/>
  <c r="B8544" i="1"/>
  <c r="C8544" i="1"/>
  <c r="M8544" i="1"/>
  <c r="B8545" i="1"/>
  <c r="C8545" i="1"/>
  <c r="M8545" i="1"/>
  <c r="B8546" i="1"/>
  <c r="C8546" i="1"/>
  <c r="M8546" i="1"/>
  <c r="B8547" i="1"/>
  <c r="C8547" i="1"/>
  <c r="M8547" i="1"/>
  <c r="B8548" i="1"/>
  <c r="C8548" i="1"/>
  <c r="M8548" i="1"/>
  <c r="B8549" i="1"/>
  <c r="C8549" i="1"/>
  <c r="M8549" i="1"/>
  <c r="B8550" i="1"/>
  <c r="C8550" i="1"/>
  <c r="M8550" i="1"/>
  <c r="B8551" i="1"/>
  <c r="C8551" i="1"/>
  <c r="M8551" i="1"/>
  <c r="B8552" i="1"/>
  <c r="C8552" i="1"/>
  <c r="M8552" i="1"/>
  <c r="B8553" i="1"/>
  <c r="C8553" i="1"/>
  <c r="M8553" i="1"/>
  <c r="B8554" i="1"/>
  <c r="C8554" i="1"/>
  <c r="M8554" i="1"/>
  <c r="B8555" i="1"/>
  <c r="C8555" i="1"/>
  <c r="M8555" i="1"/>
  <c r="B8556" i="1"/>
  <c r="C8556" i="1"/>
  <c r="M8556" i="1"/>
  <c r="B8557" i="1"/>
  <c r="C8557" i="1"/>
  <c r="M8557" i="1"/>
  <c r="B8558" i="1"/>
  <c r="C8558" i="1"/>
  <c r="M8558" i="1"/>
  <c r="B8559" i="1"/>
  <c r="C8559" i="1"/>
  <c r="M8559" i="1"/>
  <c r="B8560" i="1"/>
  <c r="C8560" i="1"/>
  <c r="M8560" i="1"/>
  <c r="B8561" i="1"/>
  <c r="C8561" i="1"/>
  <c r="M8561" i="1"/>
  <c r="B8562" i="1"/>
  <c r="C8562" i="1"/>
  <c r="M8562" i="1"/>
  <c r="B8563" i="1"/>
  <c r="C8563" i="1"/>
  <c r="M8563" i="1"/>
  <c r="B8564" i="1"/>
  <c r="C8564" i="1"/>
  <c r="M8564" i="1"/>
  <c r="B8565" i="1"/>
  <c r="C8565" i="1"/>
  <c r="M8565" i="1"/>
  <c r="B8566" i="1"/>
  <c r="C8566" i="1"/>
  <c r="M8566" i="1"/>
  <c r="B8567" i="1"/>
  <c r="C8567" i="1"/>
  <c r="M8567" i="1"/>
  <c r="B8568" i="1"/>
  <c r="C8568" i="1"/>
  <c r="M8568" i="1"/>
  <c r="B8569" i="1"/>
  <c r="C8569" i="1"/>
  <c r="M8569" i="1"/>
  <c r="B8570" i="1"/>
  <c r="C8570" i="1"/>
  <c r="M8570" i="1"/>
  <c r="B8571" i="1"/>
  <c r="C8571" i="1"/>
  <c r="M8571" i="1"/>
  <c r="B8572" i="1"/>
  <c r="C8572" i="1"/>
  <c r="M8572" i="1"/>
  <c r="B8573" i="1"/>
  <c r="C8573" i="1"/>
  <c r="M8573" i="1"/>
  <c r="B8574" i="1"/>
  <c r="C8574" i="1"/>
  <c r="M8574" i="1"/>
  <c r="B8575" i="1"/>
  <c r="C8575" i="1"/>
  <c r="M8575" i="1"/>
  <c r="B8576" i="1"/>
  <c r="C8576" i="1"/>
  <c r="M8576" i="1"/>
  <c r="B8577" i="1"/>
  <c r="C8577" i="1"/>
  <c r="M8577" i="1"/>
  <c r="B8578" i="1"/>
  <c r="C8578" i="1"/>
  <c r="M8578" i="1"/>
  <c r="B8579" i="1"/>
  <c r="C8579" i="1"/>
  <c r="M8579" i="1"/>
  <c r="B8580" i="1"/>
  <c r="C8580" i="1"/>
  <c r="M8580" i="1"/>
  <c r="B8581" i="1"/>
  <c r="C8581" i="1"/>
  <c r="M8581" i="1"/>
  <c r="B8582" i="1"/>
  <c r="C8582" i="1"/>
  <c r="M8582" i="1"/>
  <c r="B8583" i="1"/>
  <c r="C8583" i="1"/>
  <c r="M8583" i="1"/>
  <c r="B8584" i="1"/>
  <c r="C8584" i="1"/>
  <c r="M8584" i="1"/>
  <c r="B8585" i="1"/>
  <c r="C8585" i="1"/>
  <c r="M8585" i="1"/>
  <c r="B8586" i="1"/>
  <c r="C8586" i="1"/>
  <c r="M8586" i="1"/>
  <c r="B8587" i="1"/>
  <c r="C8587" i="1"/>
  <c r="M8587" i="1"/>
  <c r="B8588" i="1"/>
  <c r="C8588" i="1"/>
  <c r="M8588" i="1"/>
  <c r="B8589" i="1"/>
  <c r="C8589" i="1"/>
  <c r="M8589" i="1"/>
  <c r="B8590" i="1"/>
  <c r="C8590" i="1"/>
  <c r="M8590" i="1"/>
  <c r="B8591" i="1"/>
  <c r="C8591" i="1"/>
  <c r="M8591" i="1"/>
  <c r="B8592" i="1"/>
  <c r="C8592" i="1"/>
  <c r="M8592" i="1"/>
  <c r="B8593" i="1"/>
  <c r="C8593" i="1"/>
  <c r="M8593" i="1"/>
  <c r="B8594" i="1"/>
  <c r="C8594" i="1"/>
  <c r="M8594" i="1"/>
  <c r="B8595" i="1"/>
  <c r="C8595" i="1"/>
  <c r="M8595" i="1"/>
  <c r="B8596" i="1"/>
  <c r="C8596" i="1"/>
  <c r="M8596" i="1"/>
  <c r="B8597" i="1"/>
  <c r="C8597" i="1"/>
  <c r="M8597" i="1"/>
  <c r="B8598" i="1"/>
  <c r="C8598" i="1"/>
  <c r="M8598" i="1"/>
  <c r="B8599" i="1"/>
  <c r="C8599" i="1"/>
  <c r="M8599" i="1"/>
  <c r="B8600" i="1"/>
  <c r="C8600" i="1"/>
  <c r="M8600" i="1"/>
  <c r="B8601" i="1"/>
  <c r="C8601" i="1"/>
  <c r="M8601" i="1"/>
  <c r="B8602" i="1"/>
  <c r="C8602" i="1"/>
  <c r="M8602" i="1"/>
  <c r="B8603" i="1"/>
  <c r="C8603" i="1"/>
  <c r="M8603" i="1"/>
  <c r="B8604" i="1"/>
  <c r="C8604" i="1"/>
  <c r="M8604" i="1"/>
  <c r="B8605" i="1"/>
  <c r="C8605" i="1"/>
  <c r="M8605" i="1"/>
  <c r="B8606" i="1"/>
  <c r="C8606" i="1"/>
  <c r="M8606" i="1"/>
  <c r="B8607" i="1"/>
  <c r="C8607" i="1"/>
  <c r="M8607" i="1"/>
  <c r="B8608" i="1"/>
  <c r="C8608" i="1"/>
  <c r="M8608" i="1"/>
  <c r="B8609" i="1"/>
  <c r="C8609" i="1"/>
  <c r="M8609" i="1"/>
  <c r="B8610" i="1"/>
  <c r="C8610" i="1"/>
  <c r="M8610" i="1"/>
  <c r="B8611" i="1"/>
  <c r="C8611" i="1"/>
  <c r="M8611" i="1"/>
  <c r="B8612" i="1"/>
  <c r="C8612" i="1"/>
  <c r="M8612" i="1"/>
  <c r="B8613" i="1"/>
  <c r="C8613" i="1"/>
  <c r="M8613" i="1"/>
  <c r="B8614" i="1"/>
  <c r="C8614" i="1"/>
  <c r="M8614" i="1"/>
  <c r="B8615" i="1"/>
  <c r="C8615" i="1"/>
  <c r="M8615" i="1"/>
  <c r="B8616" i="1"/>
  <c r="C8616" i="1"/>
  <c r="M8616" i="1"/>
  <c r="B8617" i="1"/>
  <c r="C8617" i="1"/>
  <c r="M8617" i="1"/>
  <c r="B8618" i="1"/>
  <c r="C8618" i="1"/>
  <c r="M8618" i="1"/>
  <c r="B8619" i="1"/>
  <c r="C8619" i="1"/>
  <c r="M8619" i="1"/>
  <c r="B8620" i="1"/>
  <c r="C8620" i="1"/>
  <c r="M8620" i="1"/>
  <c r="B8621" i="1"/>
  <c r="C8621" i="1"/>
  <c r="M8621" i="1"/>
  <c r="B8622" i="1"/>
  <c r="C8622" i="1"/>
  <c r="M8622" i="1"/>
  <c r="B8623" i="1"/>
  <c r="C8623" i="1"/>
  <c r="M8623" i="1"/>
  <c r="B8624" i="1"/>
  <c r="C8624" i="1"/>
  <c r="M8624" i="1"/>
  <c r="B8625" i="1"/>
  <c r="C8625" i="1"/>
  <c r="M8625" i="1"/>
  <c r="B8626" i="1"/>
  <c r="C8626" i="1"/>
  <c r="M8626" i="1"/>
  <c r="B8627" i="1"/>
  <c r="C8627" i="1"/>
  <c r="M8627" i="1"/>
  <c r="B8628" i="1"/>
  <c r="C8628" i="1"/>
  <c r="M8628" i="1"/>
  <c r="B8629" i="1"/>
  <c r="C8629" i="1"/>
  <c r="M8629" i="1"/>
  <c r="B8630" i="1"/>
  <c r="C8630" i="1"/>
  <c r="M8630" i="1"/>
  <c r="B8631" i="1"/>
  <c r="C8631" i="1"/>
  <c r="M8631" i="1"/>
  <c r="B8632" i="1"/>
  <c r="C8632" i="1"/>
  <c r="M8632" i="1"/>
  <c r="B8633" i="1"/>
  <c r="C8633" i="1"/>
  <c r="M8633" i="1"/>
  <c r="B8634" i="1"/>
  <c r="C8634" i="1"/>
  <c r="M8634" i="1"/>
  <c r="B8635" i="1"/>
  <c r="C8635" i="1"/>
  <c r="M8635" i="1"/>
  <c r="B8636" i="1"/>
  <c r="C8636" i="1"/>
  <c r="M8636" i="1"/>
  <c r="B8637" i="1"/>
  <c r="C8637" i="1"/>
  <c r="M8637" i="1"/>
  <c r="B8638" i="1"/>
  <c r="C8638" i="1"/>
  <c r="M8638" i="1"/>
  <c r="B8639" i="1"/>
  <c r="C8639" i="1"/>
  <c r="M8639" i="1"/>
  <c r="B8640" i="1"/>
  <c r="C8640" i="1"/>
  <c r="M8640" i="1"/>
  <c r="B8641" i="1"/>
  <c r="C8641" i="1"/>
  <c r="M8641" i="1"/>
  <c r="B8642" i="1"/>
  <c r="C8642" i="1"/>
  <c r="M8642" i="1"/>
  <c r="B8643" i="1"/>
  <c r="C8643" i="1"/>
  <c r="M8643" i="1"/>
  <c r="B8644" i="1"/>
  <c r="C8644" i="1"/>
  <c r="M8644" i="1"/>
  <c r="B8645" i="1"/>
  <c r="C8645" i="1"/>
  <c r="M8645" i="1"/>
  <c r="B8646" i="1"/>
  <c r="C8646" i="1"/>
  <c r="M8646" i="1"/>
  <c r="B8647" i="1"/>
  <c r="C8647" i="1"/>
  <c r="M8647" i="1"/>
  <c r="B8648" i="1"/>
  <c r="C8648" i="1"/>
  <c r="M8648" i="1"/>
  <c r="B8649" i="1"/>
  <c r="C8649" i="1"/>
  <c r="M8649" i="1"/>
  <c r="B8650" i="1"/>
  <c r="C8650" i="1"/>
  <c r="M8650" i="1"/>
  <c r="B8651" i="1"/>
  <c r="C8651" i="1"/>
  <c r="M8651" i="1"/>
  <c r="B8652" i="1"/>
  <c r="C8652" i="1"/>
  <c r="M8652" i="1"/>
  <c r="B8653" i="1"/>
  <c r="C8653" i="1"/>
  <c r="M8653" i="1"/>
  <c r="B8654" i="1"/>
  <c r="C8654" i="1"/>
  <c r="M8654" i="1"/>
  <c r="B8655" i="1"/>
  <c r="C8655" i="1"/>
  <c r="M8655" i="1"/>
  <c r="B8656" i="1"/>
  <c r="C8656" i="1"/>
  <c r="M8656" i="1"/>
  <c r="B8657" i="1"/>
  <c r="C8657" i="1"/>
  <c r="M8657" i="1"/>
  <c r="B8658" i="1"/>
  <c r="C8658" i="1"/>
  <c r="M8658" i="1"/>
  <c r="B8659" i="1"/>
  <c r="C8659" i="1"/>
  <c r="M8659" i="1"/>
  <c r="B8660" i="1"/>
  <c r="C8660" i="1"/>
  <c r="M8660" i="1"/>
  <c r="B8661" i="1"/>
  <c r="C8661" i="1"/>
  <c r="M8661" i="1"/>
  <c r="B8662" i="1"/>
  <c r="C8662" i="1"/>
  <c r="M8662" i="1"/>
  <c r="B8663" i="1"/>
  <c r="C8663" i="1"/>
  <c r="M8663" i="1"/>
  <c r="B8664" i="1"/>
  <c r="C8664" i="1"/>
  <c r="M8664" i="1"/>
  <c r="B8665" i="1"/>
  <c r="C8665" i="1"/>
  <c r="M8665" i="1"/>
  <c r="B8666" i="1"/>
  <c r="C8666" i="1"/>
  <c r="M8666" i="1"/>
  <c r="B8667" i="1"/>
  <c r="C8667" i="1"/>
  <c r="M8667" i="1"/>
  <c r="B8668" i="1"/>
  <c r="C8668" i="1"/>
  <c r="M8668" i="1"/>
  <c r="B8669" i="1"/>
  <c r="C8669" i="1"/>
  <c r="M8669" i="1"/>
  <c r="B8670" i="1"/>
  <c r="C8670" i="1"/>
  <c r="M8670" i="1"/>
  <c r="B8671" i="1"/>
  <c r="C8671" i="1"/>
  <c r="M8671" i="1"/>
  <c r="B8672" i="1"/>
  <c r="C8672" i="1"/>
  <c r="M8672" i="1"/>
  <c r="B8673" i="1"/>
  <c r="C8673" i="1"/>
  <c r="M8673" i="1"/>
  <c r="B8674" i="1"/>
  <c r="C8674" i="1"/>
  <c r="M8674" i="1"/>
  <c r="B8675" i="1"/>
  <c r="C8675" i="1"/>
  <c r="M8675" i="1"/>
  <c r="B8676" i="1"/>
  <c r="C8676" i="1"/>
  <c r="M8676" i="1"/>
  <c r="B8677" i="1"/>
  <c r="C8677" i="1"/>
  <c r="M8677" i="1"/>
  <c r="B8678" i="1"/>
  <c r="C8678" i="1"/>
  <c r="M8678" i="1"/>
  <c r="B8679" i="1"/>
  <c r="C8679" i="1"/>
  <c r="M8679" i="1"/>
  <c r="B8680" i="1"/>
  <c r="C8680" i="1"/>
  <c r="M8680" i="1"/>
  <c r="B8681" i="1"/>
  <c r="C8681" i="1"/>
  <c r="M8681" i="1"/>
  <c r="B8682" i="1"/>
  <c r="C8682" i="1"/>
  <c r="M8682" i="1"/>
  <c r="B8683" i="1"/>
  <c r="C8683" i="1"/>
  <c r="M8683" i="1"/>
  <c r="B8684" i="1"/>
  <c r="C8684" i="1"/>
  <c r="M8684" i="1"/>
  <c r="B8685" i="1"/>
  <c r="C8685" i="1"/>
  <c r="M8685" i="1"/>
  <c r="B8686" i="1"/>
  <c r="C8686" i="1"/>
  <c r="M8686" i="1"/>
  <c r="B8687" i="1"/>
  <c r="C8687" i="1"/>
  <c r="M8687" i="1"/>
  <c r="B8688" i="1"/>
  <c r="C8688" i="1"/>
  <c r="M8688" i="1"/>
  <c r="B8689" i="1"/>
  <c r="C8689" i="1"/>
  <c r="M8689" i="1"/>
  <c r="B8690" i="1"/>
  <c r="C8690" i="1"/>
  <c r="M8690" i="1"/>
  <c r="B8691" i="1"/>
  <c r="C8691" i="1"/>
  <c r="M8691" i="1"/>
  <c r="B8692" i="1"/>
  <c r="C8692" i="1"/>
  <c r="M8692" i="1"/>
  <c r="B8693" i="1"/>
  <c r="C8693" i="1"/>
  <c r="M8693" i="1"/>
  <c r="B8694" i="1"/>
  <c r="C8694" i="1"/>
  <c r="M8694" i="1"/>
  <c r="B8695" i="1"/>
  <c r="C8695" i="1"/>
  <c r="M8695" i="1"/>
  <c r="B8696" i="1"/>
  <c r="C8696" i="1"/>
  <c r="M8696" i="1"/>
  <c r="B8697" i="1"/>
  <c r="C8697" i="1"/>
  <c r="M8697" i="1"/>
  <c r="B8698" i="1"/>
  <c r="C8698" i="1"/>
  <c r="M8698" i="1"/>
  <c r="B8699" i="1"/>
  <c r="C8699" i="1"/>
  <c r="M8699" i="1"/>
  <c r="B8700" i="1"/>
  <c r="C8700" i="1"/>
  <c r="M8700" i="1"/>
  <c r="B8701" i="1"/>
  <c r="C8701" i="1"/>
  <c r="M8701" i="1"/>
  <c r="B8702" i="1"/>
  <c r="C8702" i="1"/>
  <c r="M8702" i="1"/>
  <c r="B8703" i="1"/>
  <c r="C8703" i="1"/>
  <c r="M8703" i="1"/>
  <c r="B8704" i="1"/>
  <c r="C8704" i="1"/>
  <c r="M8704" i="1"/>
  <c r="B8705" i="1"/>
  <c r="C8705" i="1"/>
  <c r="M8705" i="1"/>
  <c r="B8706" i="1"/>
  <c r="C8706" i="1"/>
  <c r="M8706" i="1"/>
  <c r="B8707" i="1"/>
  <c r="C8707" i="1"/>
  <c r="M8707" i="1"/>
  <c r="B8708" i="1"/>
  <c r="C8708" i="1"/>
  <c r="M8708" i="1"/>
  <c r="B8709" i="1"/>
  <c r="C8709" i="1"/>
  <c r="M8709" i="1"/>
  <c r="B8710" i="1"/>
  <c r="C8710" i="1"/>
  <c r="M8710" i="1"/>
  <c r="B8711" i="1"/>
  <c r="C8711" i="1"/>
  <c r="M8711" i="1"/>
  <c r="B8712" i="1"/>
  <c r="C8712" i="1"/>
  <c r="M8712" i="1"/>
  <c r="B8713" i="1"/>
  <c r="C8713" i="1"/>
  <c r="M8713" i="1"/>
  <c r="B8714" i="1"/>
  <c r="C8714" i="1"/>
  <c r="M8714" i="1"/>
  <c r="B8715" i="1"/>
  <c r="C8715" i="1"/>
  <c r="M8715" i="1"/>
  <c r="B8716" i="1"/>
  <c r="C8716" i="1"/>
  <c r="M8716" i="1"/>
  <c r="B8717" i="1"/>
  <c r="C8717" i="1"/>
  <c r="M8717" i="1"/>
  <c r="B8718" i="1"/>
  <c r="C8718" i="1"/>
  <c r="M8718" i="1"/>
  <c r="B8719" i="1"/>
  <c r="C8719" i="1"/>
  <c r="M8719" i="1"/>
  <c r="B8720" i="1"/>
  <c r="C8720" i="1"/>
  <c r="M8720" i="1"/>
  <c r="B8721" i="1"/>
  <c r="C8721" i="1"/>
  <c r="M8721" i="1"/>
  <c r="B8722" i="1"/>
  <c r="C8722" i="1"/>
  <c r="M8722" i="1"/>
  <c r="B8723" i="1"/>
  <c r="C8723" i="1"/>
  <c r="M8723" i="1"/>
  <c r="B8724" i="1"/>
  <c r="C8724" i="1"/>
  <c r="M8724" i="1"/>
  <c r="B8725" i="1"/>
  <c r="C8725" i="1"/>
  <c r="M8725" i="1"/>
  <c r="B8726" i="1"/>
  <c r="C8726" i="1"/>
  <c r="M8726" i="1"/>
  <c r="B8727" i="1"/>
  <c r="C8727" i="1"/>
  <c r="M8727" i="1"/>
  <c r="B8728" i="1"/>
  <c r="C8728" i="1"/>
  <c r="M8728" i="1"/>
  <c r="B8729" i="1"/>
  <c r="C8729" i="1"/>
  <c r="M8729" i="1"/>
  <c r="B8730" i="1"/>
  <c r="C8730" i="1"/>
  <c r="M8730" i="1"/>
  <c r="B8731" i="1"/>
  <c r="C8731" i="1"/>
  <c r="M8731" i="1"/>
  <c r="B8732" i="1"/>
  <c r="C8732" i="1"/>
  <c r="M8732" i="1"/>
  <c r="B8733" i="1"/>
  <c r="C8733" i="1"/>
  <c r="M8733" i="1"/>
  <c r="B8734" i="1"/>
  <c r="C8734" i="1"/>
  <c r="M8734" i="1"/>
  <c r="B8735" i="1"/>
  <c r="C8735" i="1"/>
  <c r="M8735" i="1"/>
  <c r="B8736" i="1"/>
  <c r="C8736" i="1"/>
  <c r="M8736" i="1"/>
  <c r="B8737" i="1"/>
  <c r="C8737" i="1"/>
  <c r="M8737" i="1"/>
  <c r="B8738" i="1"/>
  <c r="C8738" i="1"/>
  <c r="M8738" i="1"/>
  <c r="B8739" i="1"/>
  <c r="C8739" i="1"/>
  <c r="M8739" i="1"/>
  <c r="B8740" i="1"/>
  <c r="C8740" i="1"/>
  <c r="M8740" i="1"/>
  <c r="B8741" i="1"/>
  <c r="C8741" i="1"/>
  <c r="M8741" i="1"/>
  <c r="B8742" i="1"/>
  <c r="C8742" i="1"/>
  <c r="M8742" i="1"/>
  <c r="B8743" i="1"/>
  <c r="C8743" i="1"/>
  <c r="M8743" i="1"/>
  <c r="B8744" i="1"/>
  <c r="C8744" i="1"/>
  <c r="M8744" i="1"/>
  <c r="B8745" i="1"/>
  <c r="C8745" i="1"/>
  <c r="M8745" i="1"/>
  <c r="B8746" i="1"/>
  <c r="C8746" i="1"/>
  <c r="M8746" i="1"/>
  <c r="B8747" i="1"/>
  <c r="C8747" i="1"/>
  <c r="M8747" i="1"/>
  <c r="B8748" i="1"/>
  <c r="C8748" i="1"/>
  <c r="M8748" i="1"/>
  <c r="B8749" i="1"/>
  <c r="C8749" i="1"/>
  <c r="M8749" i="1"/>
  <c r="B8750" i="1"/>
  <c r="C8750" i="1"/>
  <c r="M8750" i="1"/>
  <c r="B8751" i="1"/>
  <c r="C8751" i="1"/>
  <c r="M8751" i="1"/>
  <c r="B8752" i="1"/>
  <c r="C8752" i="1"/>
  <c r="M8752" i="1"/>
  <c r="B8753" i="1"/>
  <c r="C8753" i="1"/>
  <c r="M8753" i="1"/>
  <c r="B8754" i="1"/>
  <c r="C8754" i="1"/>
  <c r="M8754" i="1"/>
  <c r="B8755" i="1"/>
  <c r="C8755" i="1"/>
  <c r="M8755" i="1"/>
  <c r="B8756" i="1"/>
  <c r="C8756" i="1"/>
  <c r="M8756" i="1"/>
  <c r="B8757" i="1"/>
  <c r="C8757" i="1"/>
  <c r="M8757" i="1"/>
  <c r="B8758" i="1"/>
  <c r="C8758" i="1"/>
  <c r="M8758" i="1"/>
  <c r="B8759" i="1"/>
  <c r="C8759" i="1"/>
  <c r="M8759" i="1"/>
  <c r="B8760" i="1"/>
  <c r="C8760" i="1"/>
  <c r="M8760" i="1"/>
  <c r="B8761" i="1"/>
  <c r="C8761" i="1"/>
  <c r="M8761" i="1"/>
  <c r="B8762" i="1"/>
  <c r="C8762" i="1"/>
  <c r="M8762" i="1"/>
  <c r="B8763" i="1"/>
  <c r="C8763" i="1"/>
  <c r="M8763" i="1"/>
  <c r="B8764" i="1"/>
  <c r="C8764" i="1"/>
  <c r="M8764" i="1"/>
  <c r="B8765" i="1"/>
  <c r="C8765" i="1"/>
  <c r="M8765" i="1"/>
  <c r="B8766" i="1"/>
  <c r="C8766" i="1"/>
  <c r="M8766" i="1"/>
  <c r="B8767" i="1"/>
  <c r="C8767" i="1"/>
  <c r="M8767" i="1"/>
  <c r="B8768" i="1"/>
  <c r="C8768" i="1"/>
  <c r="M8768" i="1"/>
  <c r="B8769" i="1"/>
  <c r="C8769" i="1"/>
  <c r="M8769" i="1"/>
  <c r="B8770" i="1"/>
  <c r="C8770" i="1"/>
  <c r="M8770" i="1"/>
  <c r="B8771" i="1"/>
  <c r="C8771" i="1"/>
  <c r="M8771" i="1"/>
  <c r="B8772" i="1"/>
  <c r="C8772" i="1"/>
  <c r="M8772" i="1"/>
  <c r="B8773" i="1"/>
  <c r="C8773" i="1"/>
  <c r="M8773" i="1"/>
  <c r="B8774" i="1"/>
  <c r="C8774" i="1"/>
  <c r="M8774" i="1"/>
  <c r="B8775" i="1"/>
  <c r="C8775" i="1"/>
  <c r="M8775" i="1"/>
  <c r="B8776" i="1"/>
  <c r="C8776" i="1"/>
  <c r="M8776" i="1"/>
  <c r="B8777" i="1"/>
  <c r="C8777" i="1"/>
  <c r="M8777" i="1"/>
  <c r="B8778" i="1"/>
  <c r="C8778" i="1"/>
  <c r="M8778" i="1"/>
  <c r="B8779" i="1"/>
  <c r="C8779" i="1"/>
  <c r="M8779" i="1"/>
  <c r="B8780" i="1"/>
  <c r="C8780" i="1"/>
  <c r="M8780" i="1"/>
  <c r="B8781" i="1"/>
  <c r="C8781" i="1"/>
  <c r="M8781" i="1"/>
  <c r="B8782" i="1"/>
  <c r="C8782" i="1"/>
  <c r="M8782" i="1"/>
  <c r="B8783" i="1"/>
  <c r="C8783" i="1"/>
  <c r="M8783" i="1"/>
  <c r="B8784" i="1"/>
  <c r="C8784" i="1"/>
  <c r="M8784" i="1"/>
  <c r="B8785" i="1"/>
  <c r="C8785" i="1"/>
  <c r="M8785" i="1"/>
  <c r="B8786" i="1"/>
  <c r="C8786" i="1"/>
  <c r="M8786" i="1"/>
  <c r="B8787" i="1"/>
  <c r="C8787" i="1"/>
  <c r="M8787" i="1"/>
  <c r="B8788" i="1"/>
  <c r="C8788" i="1"/>
  <c r="M8788" i="1"/>
  <c r="B8789" i="1"/>
  <c r="C8789" i="1"/>
  <c r="M8789" i="1"/>
  <c r="B8790" i="1"/>
  <c r="C8790" i="1"/>
  <c r="M8790" i="1"/>
  <c r="B8791" i="1"/>
  <c r="C8791" i="1"/>
  <c r="M8791" i="1"/>
  <c r="B8792" i="1"/>
  <c r="C8792" i="1"/>
  <c r="M8792" i="1"/>
  <c r="B8793" i="1"/>
  <c r="C8793" i="1"/>
  <c r="M8793" i="1"/>
  <c r="B8794" i="1"/>
  <c r="C8794" i="1"/>
  <c r="M8794" i="1"/>
  <c r="B8795" i="1"/>
  <c r="C8795" i="1"/>
  <c r="M8795" i="1"/>
  <c r="B8796" i="1"/>
  <c r="C8796" i="1"/>
  <c r="M8796" i="1"/>
  <c r="B8797" i="1"/>
  <c r="C8797" i="1"/>
  <c r="M8797" i="1"/>
  <c r="B8798" i="1"/>
  <c r="C8798" i="1"/>
  <c r="M8798" i="1"/>
  <c r="B8799" i="1"/>
  <c r="C8799" i="1"/>
  <c r="M8799" i="1"/>
  <c r="B8800" i="1"/>
  <c r="C8800" i="1"/>
  <c r="M8800" i="1"/>
  <c r="B8801" i="1"/>
  <c r="C8801" i="1"/>
  <c r="M8801" i="1"/>
  <c r="B8802" i="1"/>
  <c r="C8802" i="1"/>
  <c r="M8802" i="1"/>
  <c r="B8803" i="1"/>
  <c r="C8803" i="1"/>
  <c r="M8803" i="1"/>
  <c r="B8804" i="1"/>
  <c r="C8804" i="1"/>
  <c r="M8804" i="1"/>
  <c r="B8805" i="1"/>
  <c r="C8805" i="1"/>
  <c r="M8805" i="1"/>
  <c r="B8806" i="1"/>
  <c r="C8806" i="1"/>
  <c r="M8806" i="1"/>
  <c r="B8807" i="1"/>
  <c r="C8807" i="1"/>
  <c r="M8807" i="1"/>
  <c r="B8808" i="1"/>
  <c r="C8808" i="1"/>
  <c r="M8808" i="1"/>
  <c r="B8809" i="1"/>
  <c r="C8809" i="1"/>
  <c r="M8809" i="1"/>
  <c r="B8810" i="1"/>
  <c r="C8810" i="1"/>
  <c r="M8810" i="1"/>
  <c r="B8811" i="1"/>
  <c r="C8811" i="1"/>
  <c r="M8811" i="1"/>
  <c r="B8812" i="1"/>
  <c r="C8812" i="1"/>
  <c r="M8812" i="1"/>
  <c r="B8813" i="1"/>
  <c r="C8813" i="1"/>
  <c r="M8813" i="1"/>
  <c r="B8814" i="1"/>
  <c r="C8814" i="1"/>
  <c r="M8814" i="1"/>
  <c r="B8815" i="1"/>
  <c r="C8815" i="1"/>
  <c r="M8815" i="1"/>
  <c r="B8816" i="1"/>
  <c r="C8816" i="1"/>
  <c r="M8816" i="1"/>
  <c r="B8817" i="1"/>
  <c r="C8817" i="1"/>
  <c r="M8817" i="1"/>
  <c r="B8818" i="1"/>
  <c r="C8818" i="1"/>
  <c r="M8818" i="1"/>
  <c r="B8819" i="1"/>
  <c r="C8819" i="1"/>
  <c r="M8819" i="1"/>
  <c r="B8820" i="1"/>
  <c r="C8820" i="1"/>
  <c r="M8820" i="1"/>
  <c r="B8821" i="1"/>
  <c r="C8821" i="1"/>
  <c r="M8821" i="1"/>
  <c r="B8822" i="1"/>
  <c r="C8822" i="1"/>
  <c r="M8822" i="1"/>
  <c r="B8823" i="1"/>
  <c r="C8823" i="1"/>
  <c r="M8823" i="1"/>
  <c r="B8824" i="1"/>
  <c r="C8824" i="1"/>
  <c r="M8824" i="1"/>
  <c r="B8825" i="1"/>
  <c r="C8825" i="1"/>
  <c r="M8825" i="1"/>
  <c r="B8826" i="1"/>
  <c r="C8826" i="1"/>
  <c r="M8826" i="1"/>
  <c r="B8827" i="1"/>
  <c r="C8827" i="1"/>
  <c r="M8827" i="1"/>
  <c r="B8828" i="1"/>
  <c r="C8828" i="1"/>
  <c r="M8828" i="1"/>
  <c r="B8829" i="1"/>
  <c r="C8829" i="1"/>
  <c r="M8829" i="1"/>
  <c r="B8830" i="1"/>
  <c r="C8830" i="1"/>
  <c r="M8830" i="1"/>
  <c r="B8831" i="1"/>
  <c r="C8831" i="1"/>
  <c r="M8831" i="1"/>
  <c r="B8832" i="1"/>
  <c r="C8832" i="1"/>
  <c r="M8832" i="1"/>
  <c r="B8833" i="1"/>
  <c r="C8833" i="1"/>
  <c r="M8833" i="1"/>
  <c r="B8834" i="1"/>
  <c r="C8834" i="1"/>
  <c r="M8834" i="1"/>
  <c r="B8835" i="1"/>
  <c r="C8835" i="1"/>
  <c r="M8835" i="1"/>
  <c r="B8836" i="1"/>
  <c r="C8836" i="1"/>
  <c r="M8836" i="1"/>
  <c r="B8837" i="1"/>
  <c r="C8837" i="1"/>
  <c r="M8837" i="1"/>
  <c r="B8838" i="1"/>
  <c r="C8838" i="1"/>
  <c r="M8838" i="1"/>
  <c r="B8839" i="1"/>
  <c r="C8839" i="1"/>
  <c r="M8839" i="1"/>
  <c r="B8840" i="1"/>
  <c r="C8840" i="1"/>
  <c r="M8840" i="1"/>
  <c r="B8841" i="1"/>
  <c r="C8841" i="1"/>
  <c r="M8841" i="1"/>
  <c r="B8842" i="1"/>
  <c r="C8842" i="1"/>
  <c r="M8842" i="1"/>
  <c r="B8843" i="1"/>
  <c r="C8843" i="1"/>
  <c r="M8843" i="1"/>
  <c r="B8844" i="1"/>
  <c r="C8844" i="1"/>
  <c r="M8844" i="1"/>
  <c r="B8845" i="1"/>
  <c r="C8845" i="1"/>
  <c r="M8845" i="1"/>
  <c r="B8846" i="1"/>
  <c r="C8846" i="1"/>
  <c r="M8846" i="1"/>
  <c r="B8847" i="1"/>
  <c r="C8847" i="1"/>
  <c r="M8847" i="1"/>
  <c r="B8848" i="1"/>
  <c r="C8848" i="1"/>
  <c r="M8848" i="1"/>
  <c r="B8849" i="1"/>
  <c r="C8849" i="1"/>
  <c r="M8849" i="1"/>
  <c r="B8850" i="1"/>
  <c r="C8850" i="1"/>
  <c r="M8850" i="1"/>
  <c r="B8851" i="1"/>
  <c r="C8851" i="1"/>
  <c r="M8851" i="1"/>
  <c r="B8852" i="1"/>
  <c r="C8852" i="1"/>
  <c r="M8852" i="1"/>
  <c r="B8853" i="1"/>
  <c r="C8853" i="1"/>
  <c r="M8853" i="1"/>
  <c r="B8854" i="1"/>
  <c r="C8854" i="1"/>
  <c r="M8854" i="1"/>
  <c r="B8855" i="1"/>
  <c r="C8855" i="1"/>
  <c r="M8855" i="1"/>
  <c r="B8856" i="1"/>
  <c r="C8856" i="1"/>
  <c r="M8856" i="1"/>
  <c r="B8857" i="1"/>
  <c r="C8857" i="1"/>
  <c r="M8857" i="1"/>
  <c r="B8858" i="1"/>
  <c r="C8858" i="1"/>
  <c r="M8858" i="1"/>
  <c r="B8859" i="1"/>
  <c r="C8859" i="1"/>
  <c r="M8859" i="1"/>
  <c r="B8860" i="1"/>
  <c r="C8860" i="1"/>
  <c r="M8860" i="1"/>
  <c r="B8861" i="1"/>
  <c r="C8861" i="1"/>
  <c r="M8861" i="1"/>
  <c r="B8862" i="1"/>
  <c r="C8862" i="1"/>
  <c r="M8862" i="1"/>
  <c r="B8863" i="1"/>
  <c r="C8863" i="1"/>
  <c r="M8863" i="1"/>
  <c r="B8864" i="1"/>
  <c r="C8864" i="1"/>
  <c r="M8864" i="1"/>
  <c r="B8865" i="1"/>
  <c r="C8865" i="1"/>
  <c r="M8865" i="1"/>
  <c r="B8866" i="1"/>
  <c r="C8866" i="1"/>
  <c r="M8866" i="1"/>
  <c r="B8867" i="1"/>
  <c r="C8867" i="1"/>
  <c r="M8867" i="1"/>
  <c r="B8868" i="1"/>
  <c r="C8868" i="1"/>
  <c r="M8868" i="1"/>
  <c r="B8869" i="1"/>
  <c r="C8869" i="1"/>
  <c r="M8869" i="1"/>
  <c r="B8870" i="1"/>
  <c r="C8870" i="1"/>
  <c r="M8870" i="1"/>
  <c r="B8871" i="1"/>
  <c r="C8871" i="1"/>
  <c r="M8871" i="1"/>
  <c r="B8872" i="1"/>
  <c r="C8872" i="1"/>
  <c r="M8872" i="1"/>
  <c r="B8873" i="1"/>
  <c r="C8873" i="1"/>
  <c r="M8873" i="1"/>
  <c r="B8874" i="1"/>
  <c r="C8874" i="1"/>
  <c r="M8874" i="1"/>
  <c r="B8875" i="1"/>
  <c r="C8875" i="1"/>
  <c r="M8875" i="1"/>
  <c r="B8876" i="1"/>
  <c r="C8876" i="1"/>
  <c r="M8876" i="1"/>
  <c r="B8877" i="1"/>
  <c r="C8877" i="1"/>
  <c r="M8877" i="1"/>
  <c r="B8878" i="1"/>
  <c r="C8878" i="1"/>
  <c r="M8878" i="1"/>
  <c r="B8879" i="1"/>
  <c r="C8879" i="1"/>
  <c r="M8879" i="1"/>
  <c r="B8880" i="1"/>
  <c r="C8880" i="1"/>
  <c r="M8880" i="1"/>
  <c r="B8881" i="1"/>
  <c r="C8881" i="1"/>
  <c r="M8881" i="1"/>
  <c r="B8882" i="1"/>
  <c r="C8882" i="1"/>
  <c r="M8882" i="1"/>
  <c r="B8883" i="1"/>
  <c r="C8883" i="1"/>
  <c r="M8883" i="1"/>
  <c r="B8884" i="1"/>
  <c r="C8884" i="1"/>
  <c r="M8884" i="1"/>
  <c r="B8885" i="1"/>
  <c r="C8885" i="1"/>
  <c r="M8885" i="1"/>
  <c r="B8886" i="1"/>
  <c r="C8886" i="1"/>
  <c r="M8886" i="1"/>
  <c r="B8887" i="1"/>
  <c r="C8887" i="1"/>
  <c r="M8887" i="1"/>
  <c r="B8888" i="1"/>
  <c r="C8888" i="1"/>
  <c r="M8888" i="1"/>
  <c r="B8889" i="1"/>
  <c r="C8889" i="1"/>
  <c r="M8889" i="1"/>
  <c r="B8890" i="1"/>
  <c r="C8890" i="1"/>
  <c r="M8890" i="1"/>
  <c r="B8891" i="1"/>
  <c r="C8891" i="1"/>
  <c r="M8891" i="1"/>
  <c r="B8892" i="1"/>
  <c r="C8892" i="1"/>
  <c r="M8892" i="1"/>
  <c r="B8893" i="1"/>
  <c r="C8893" i="1"/>
  <c r="M8893" i="1"/>
  <c r="B8894" i="1"/>
  <c r="C8894" i="1"/>
  <c r="M8894" i="1"/>
  <c r="B8895" i="1"/>
  <c r="C8895" i="1"/>
  <c r="M8895" i="1"/>
  <c r="B8896" i="1"/>
  <c r="C8896" i="1"/>
  <c r="M8896" i="1"/>
  <c r="B8897" i="1"/>
  <c r="C8897" i="1"/>
  <c r="M8897" i="1"/>
  <c r="B8898" i="1"/>
  <c r="C8898" i="1"/>
  <c r="M8898" i="1"/>
  <c r="B8899" i="1"/>
  <c r="C8899" i="1"/>
  <c r="M8899" i="1"/>
  <c r="B8900" i="1"/>
  <c r="C8900" i="1"/>
  <c r="M8900" i="1"/>
  <c r="B8901" i="1"/>
  <c r="C8901" i="1"/>
  <c r="M8901" i="1"/>
  <c r="B8902" i="1"/>
  <c r="C8902" i="1"/>
  <c r="M8902" i="1"/>
  <c r="B8903" i="1"/>
  <c r="C8903" i="1"/>
  <c r="M8903" i="1"/>
  <c r="B8904" i="1"/>
  <c r="C8904" i="1"/>
  <c r="M8904" i="1"/>
  <c r="B8905" i="1"/>
  <c r="C8905" i="1"/>
  <c r="M8905" i="1"/>
  <c r="B8906" i="1"/>
  <c r="C8906" i="1"/>
  <c r="M8906" i="1"/>
  <c r="B8907" i="1"/>
  <c r="C8907" i="1"/>
  <c r="M8907" i="1"/>
  <c r="B8908" i="1"/>
  <c r="C8908" i="1"/>
  <c r="M8908" i="1"/>
  <c r="B8909" i="1"/>
  <c r="C8909" i="1"/>
  <c r="M8909" i="1"/>
  <c r="B8910" i="1"/>
  <c r="C8910" i="1"/>
  <c r="M8910" i="1"/>
  <c r="B8911" i="1"/>
  <c r="C8911" i="1"/>
  <c r="M8911" i="1"/>
  <c r="B8912" i="1"/>
  <c r="C8912" i="1"/>
  <c r="M8912" i="1"/>
  <c r="B8913" i="1"/>
  <c r="C8913" i="1"/>
  <c r="M8913" i="1"/>
  <c r="B8914" i="1"/>
  <c r="C8914" i="1"/>
  <c r="M8914" i="1"/>
  <c r="B8915" i="1"/>
  <c r="C8915" i="1"/>
  <c r="M8915" i="1"/>
  <c r="B8916" i="1"/>
  <c r="C8916" i="1"/>
  <c r="M8916" i="1"/>
  <c r="B8917" i="1"/>
  <c r="C8917" i="1"/>
  <c r="M8917" i="1"/>
  <c r="B8918" i="1"/>
  <c r="C8918" i="1"/>
  <c r="M8918" i="1"/>
  <c r="B8919" i="1"/>
  <c r="C8919" i="1"/>
  <c r="M8919" i="1"/>
  <c r="B8920" i="1"/>
  <c r="C8920" i="1"/>
  <c r="M8920" i="1"/>
  <c r="B8921" i="1"/>
  <c r="C8921" i="1"/>
  <c r="M8921" i="1"/>
  <c r="B8922" i="1"/>
  <c r="C8922" i="1"/>
  <c r="M8922" i="1"/>
  <c r="B8923" i="1"/>
  <c r="C8923" i="1"/>
  <c r="M8923" i="1"/>
  <c r="B8924" i="1"/>
  <c r="C8924" i="1"/>
  <c r="M8924" i="1"/>
  <c r="B8925" i="1"/>
  <c r="C8925" i="1"/>
  <c r="M8925" i="1"/>
  <c r="B8926" i="1"/>
  <c r="C8926" i="1"/>
  <c r="M8926" i="1"/>
  <c r="B8927" i="1"/>
  <c r="C8927" i="1"/>
  <c r="M8927" i="1"/>
  <c r="B8928" i="1"/>
  <c r="C8928" i="1"/>
  <c r="M8928" i="1"/>
  <c r="B8929" i="1"/>
  <c r="C8929" i="1"/>
  <c r="M8929" i="1"/>
  <c r="B8930" i="1"/>
  <c r="C8930" i="1"/>
  <c r="M8930" i="1"/>
  <c r="B8931" i="1"/>
  <c r="C8931" i="1"/>
  <c r="M8931" i="1"/>
  <c r="B8932" i="1"/>
  <c r="C8932" i="1"/>
  <c r="M8932" i="1"/>
  <c r="B8933" i="1"/>
  <c r="C8933" i="1"/>
  <c r="M8933" i="1"/>
  <c r="B8934" i="1"/>
  <c r="C8934" i="1"/>
  <c r="M8934" i="1"/>
  <c r="B8935" i="1"/>
  <c r="C8935" i="1"/>
  <c r="M8935" i="1"/>
  <c r="B8936" i="1"/>
  <c r="C8936" i="1"/>
  <c r="M8936" i="1"/>
  <c r="B8937" i="1"/>
  <c r="C8937" i="1"/>
  <c r="M8937" i="1"/>
  <c r="B8938" i="1"/>
  <c r="C8938" i="1"/>
  <c r="M8938" i="1"/>
  <c r="B8939" i="1"/>
  <c r="C8939" i="1"/>
  <c r="M8939" i="1"/>
  <c r="B8940" i="1"/>
  <c r="C8940" i="1"/>
  <c r="M8940" i="1"/>
  <c r="B8941" i="1"/>
  <c r="C8941" i="1"/>
  <c r="M8941" i="1"/>
  <c r="B8942" i="1"/>
  <c r="C8942" i="1"/>
  <c r="M8942" i="1"/>
  <c r="B8943" i="1"/>
  <c r="C8943" i="1"/>
  <c r="M8943" i="1"/>
  <c r="B8944" i="1"/>
  <c r="C8944" i="1"/>
  <c r="M8944" i="1"/>
  <c r="B8945" i="1"/>
  <c r="C8945" i="1"/>
  <c r="M8945" i="1"/>
  <c r="B8946" i="1"/>
  <c r="C8946" i="1"/>
  <c r="M8946" i="1"/>
  <c r="B8947" i="1"/>
  <c r="C8947" i="1"/>
  <c r="M8947" i="1"/>
  <c r="B8948" i="1"/>
  <c r="C8948" i="1"/>
  <c r="M8948" i="1"/>
  <c r="B8949" i="1"/>
  <c r="C8949" i="1"/>
  <c r="M8949" i="1"/>
  <c r="B8950" i="1"/>
  <c r="C8950" i="1"/>
  <c r="M8950" i="1"/>
  <c r="B8951" i="1"/>
  <c r="C8951" i="1"/>
  <c r="M8951" i="1"/>
  <c r="B8952" i="1"/>
  <c r="C8952" i="1"/>
  <c r="M8952" i="1"/>
  <c r="B8953" i="1"/>
  <c r="C8953" i="1"/>
  <c r="M8953" i="1"/>
  <c r="B8954" i="1"/>
  <c r="C8954" i="1"/>
  <c r="M8954" i="1"/>
  <c r="B8955" i="1"/>
  <c r="C8955" i="1"/>
  <c r="M8955" i="1"/>
  <c r="B8956" i="1"/>
  <c r="C8956" i="1"/>
  <c r="M8956" i="1"/>
  <c r="B8957" i="1"/>
  <c r="C8957" i="1"/>
  <c r="M8957" i="1"/>
  <c r="B8958" i="1"/>
  <c r="C8958" i="1"/>
  <c r="M8958" i="1"/>
  <c r="B8959" i="1"/>
  <c r="C8959" i="1"/>
  <c r="M8959" i="1"/>
  <c r="B8960" i="1"/>
  <c r="C8960" i="1"/>
  <c r="M8960" i="1"/>
  <c r="B8961" i="1"/>
  <c r="C8961" i="1"/>
  <c r="M8961" i="1"/>
  <c r="B8962" i="1"/>
  <c r="C8962" i="1"/>
  <c r="M8962" i="1"/>
  <c r="B8963" i="1"/>
  <c r="C8963" i="1"/>
  <c r="M8963" i="1"/>
  <c r="B8964" i="1"/>
  <c r="C8964" i="1"/>
  <c r="M8964" i="1"/>
  <c r="B8965" i="1"/>
  <c r="C8965" i="1"/>
  <c r="M8965" i="1"/>
  <c r="B8966" i="1"/>
  <c r="C8966" i="1"/>
  <c r="M8966" i="1"/>
  <c r="B8967" i="1"/>
  <c r="C8967" i="1"/>
  <c r="M8967" i="1"/>
  <c r="B8968" i="1"/>
  <c r="C8968" i="1"/>
  <c r="M8968" i="1"/>
  <c r="B8969" i="1"/>
  <c r="C8969" i="1"/>
  <c r="M8969" i="1"/>
  <c r="B8970" i="1"/>
  <c r="C8970" i="1"/>
  <c r="M8970" i="1"/>
  <c r="B8971" i="1"/>
  <c r="C8971" i="1"/>
  <c r="M8971" i="1"/>
  <c r="B8972" i="1"/>
  <c r="C8972" i="1"/>
  <c r="M8972" i="1"/>
  <c r="B8973" i="1"/>
  <c r="C8973" i="1"/>
  <c r="M8973" i="1"/>
  <c r="B8974" i="1"/>
  <c r="C8974" i="1"/>
  <c r="M8974" i="1"/>
  <c r="B8975" i="1"/>
  <c r="C8975" i="1"/>
  <c r="M8975" i="1"/>
  <c r="B8976" i="1"/>
  <c r="C8976" i="1"/>
  <c r="M8976" i="1"/>
  <c r="B8977" i="1"/>
  <c r="C8977" i="1"/>
  <c r="M8977" i="1"/>
  <c r="B8978" i="1"/>
  <c r="C8978" i="1"/>
  <c r="M8978" i="1"/>
  <c r="B8979" i="1"/>
  <c r="C8979" i="1"/>
  <c r="M8979" i="1"/>
  <c r="B8980" i="1"/>
  <c r="C8980" i="1"/>
  <c r="M8980" i="1"/>
  <c r="B8981" i="1"/>
  <c r="C8981" i="1"/>
  <c r="M8981" i="1"/>
  <c r="B8982" i="1"/>
  <c r="C8982" i="1"/>
  <c r="M8982" i="1"/>
  <c r="B8983" i="1"/>
  <c r="C8983" i="1"/>
  <c r="M8983" i="1"/>
  <c r="B8984" i="1"/>
  <c r="C8984" i="1"/>
  <c r="M8984" i="1"/>
  <c r="B8985" i="1"/>
  <c r="C8985" i="1"/>
  <c r="M8985" i="1"/>
  <c r="B8986" i="1"/>
  <c r="C8986" i="1"/>
  <c r="M8986" i="1"/>
  <c r="B8987" i="1"/>
  <c r="C8987" i="1"/>
  <c r="M8987" i="1"/>
  <c r="B8988" i="1"/>
  <c r="C8988" i="1"/>
  <c r="M8988" i="1"/>
  <c r="B8989" i="1"/>
  <c r="C8989" i="1"/>
  <c r="M8989" i="1"/>
  <c r="B8990" i="1"/>
  <c r="C8990" i="1"/>
  <c r="M8990" i="1"/>
  <c r="B8991" i="1"/>
  <c r="C8991" i="1"/>
  <c r="M8991" i="1"/>
  <c r="B8992" i="1"/>
  <c r="C8992" i="1"/>
  <c r="M8992" i="1"/>
  <c r="B8993" i="1"/>
  <c r="C8993" i="1"/>
  <c r="M8993" i="1"/>
  <c r="B8994" i="1"/>
  <c r="C8994" i="1"/>
  <c r="M8994" i="1"/>
  <c r="B8995" i="1"/>
  <c r="C8995" i="1"/>
  <c r="M8995" i="1"/>
  <c r="B8996" i="1"/>
  <c r="C8996" i="1"/>
  <c r="M8996" i="1"/>
  <c r="B8997" i="1"/>
  <c r="C8997" i="1"/>
  <c r="M8997" i="1"/>
  <c r="B8998" i="1"/>
  <c r="C8998" i="1"/>
  <c r="M8998" i="1"/>
  <c r="B8999" i="1"/>
  <c r="C8999" i="1"/>
  <c r="M8999" i="1"/>
  <c r="B9000" i="1"/>
  <c r="C9000" i="1"/>
  <c r="M9000" i="1"/>
  <c r="B9001" i="1"/>
  <c r="C9001" i="1"/>
  <c r="M9001" i="1"/>
  <c r="B9002" i="1"/>
  <c r="C9002" i="1"/>
  <c r="M9002" i="1"/>
  <c r="B9003" i="1"/>
  <c r="C9003" i="1"/>
  <c r="M9003" i="1"/>
  <c r="B9004" i="1"/>
  <c r="C9004" i="1"/>
  <c r="M9004" i="1"/>
  <c r="B9005" i="1"/>
  <c r="C9005" i="1"/>
  <c r="M9005" i="1"/>
  <c r="B9006" i="1"/>
  <c r="C9006" i="1"/>
  <c r="M9006" i="1"/>
  <c r="B9007" i="1"/>
  <c r="C9007" i="1"/>
  <c r="M9007" i="1"/>
  <c r="B9008" i="1"/>
  <c r="C9008" i="1"/>
  <c r="M9008" i="1"/>
  <c r="B9009" i="1"/>
  <c r="C9009" i="1"/>
  <c r="M9009" i="1"/>
  <c r="B9010" i="1"/>
  <c r="C9010" i="1"/>
  <c r="M9010" i="1"/>
  <c r="B9011" i="1"/>
  <c r="C9011" i="1"/>
  <c r="M9011" i="1"/>
  <c r="B9012" i="1"/>
  <c r="C9012" i="1"/>
  <c r="M9012" i="1"/>
  <c r="B9013" i="1"/>
  <c r="C9013" i="1"/>
  <c r="M9013" i="1"/>
  <c r="B9014" i="1"/>
  <c r="C9014" i="1"/>
  <c r="M9014" i="1"/>
  <c r="B9015" i="1"/>
  <c r="C9015" i="1"/>
  <c r="M9015" i="1"/>
  <c r="B9016" i="1"/>
  <c r="C9016" i="1"/>
  <c r="M9016" i="1"/>
  <c r="B9017" i="1"/>
  <c r="C9017" i="1"/>
  <c r="M9017" i="1"/>
  <c r="B9018" i="1"/>
  <c r="C9018" i="1"/>
  <c r="M9018" i="1"/>
  <c r="B9019" i="1"/>
  <c r="C9019" i="1"/>
  <c r="M9019" i="1"/>
  <c r="B9020" i="1"/>
  <c r="C9020" i="1"/>
  <c r="M9020" i="1"/>
  <c r="B9021" i="1"/>
  <c r="C9021" i="1"/>
  <c r="M9021" i="1"/>
  <c r="B9022" i="1"/>
  <c r="C9022" i="1"/>
  <c r="M9022" i="1"/>
  <c r="B9023" i="1"/>
  <c r="C9023" i="1"/>
  <c r="M9023" i="1"/>
  <c r="B9024" i="1"/>
  <c r="C9024" i="1"/>
  <c r="M9024" i="1"/>
  <c r="B9025" i="1"/>
  <c r="C9025" i="1"/>
  <c r="M9025" i="1"/>
  <c r="B9026" i="1"/>
  <c r="C9026" i="1"/>
  <c r="M9026" i="1"/>
  <c r="B9027" i="1"/>
  <c r="C9027" i="1"/>
  <c r="M9027" i="1"/>
  <c r="B9028" i="1"/>
  <c r="C9028" i="1"/>
  <c r="M9028" i="1"/>
  <c r="B9029" i="1"/>
  <c r="C9029" i="1"/>
  <c r="M9029" i="1"/>
  <c r="B9030" i="1"/>
  <c r="C9030" i="1"/>
  <c r="M9030" i="1"/>
  <c r="B9031" i="1"/>
  <c r="C9031" i="1"/>
  <c r="M9031" i="1"/>
  <c r="B9032" i="1"/>
  <c r="C9032" i="1"/>
  <c r="M9032" i="1"/>
  <c r="B9033" i="1"/>
  <c r="C9033" i="1"/>
  <c r="M9033" i="1"/>
  <c r="B9034" i="1"/>
  <c r="C9034" i="1"/>
  <c r="M9034" i="1"/>
  <c r="B9035" i="1"/>
  <c r="C9035" i="1"/>
  <c r="M9035" i="1"/>
  <c r="B9036" i="1"/>
  <c r="C9036" i="1"/>
  <c r="M9036" i="1"/>
  <c r="B9037" i="1"/>
  <c r="C9037" i="1"/>
  <c r="M9037" i="1"/>
  <c r="B9038" i="1"/>
  <c r="C9038" i="1"/>
  <c r="M9038" i="1"/>
  <c r="B9039" i="1"/>
  <c r="C9039" i="1"/>
  <c r="M9039" i="1"/>
  <c r="B9040" i="1"/>
  <c r="C9040" i="1"/>
  <c r="M9040" i="1"/>
  <c r="B9041" i="1"/>
  <c r="C9041" i="1"/>
  <c r="M9041" i="1"/>
  <c r="B9042" i="1"/>
  <c r="C9042" i="1"/>
  <c r="M9042" i="1"/>
  <c r="B9043" i="1"/>
  <c r="C9043" i="1"/>
  <c r="M9043" i="1"/>
  <c r="B9044" i="1"/>
  <c r="C9044" i="1"/>
  <c r="M9044" i="1"/>
  <c r="B9045" i="1"/>
  <c r="C9045" i="1"/>
  <c r="M9045" i="1"/>
  <c r="B9046" i="1"/>
  <c r="C9046" i="1"/>
  <c r="M9046" i="1"/>
  <c r="B9047" i="1"/>
  <c r="C9047" i="1"/>
  <c r="M9047" i="1"/>
  <c r="B9048" i="1"/>
  <c r="C9048" i="1"/>
  <c r="M9048" i="1"/>
  <c r="B9049" i="1"/>
  <c r="C9049" i="1"/>
  <c r="M9049" i="1"/>
  <c r="B9050" i="1"/>
  <c r="C9050" i="1"/>
  <c r="M9050" i="1"/>
  <c r="B9051" i="1"/>
  <c r="C9051" i="1"/>
  <c r="M9051" i="1"/>
  <c r="B9052" i="1"/>
  <c r="C9052" i="1"/>
  <c r="M9052" i="1"/>
  <c r="B9053" i="1"/>
  <c r="C9053" i="1"/>
  <c r="M9053" i="1"/>
  <c r="B9054" i="1"/>
  <c r="C9054" i="1"/>
  <c r="M9054" i="1"/>
  <c r="B9055" i="1"/>
  <c r="C9055" i="1"/>
  <c r="M9055" i="1"/>
  <c r="B9056" i="1"/>
  <c r="C9056" i="1"/>
  <c r="M9056" i="1"/>
  <c r="B9057" i="1"/>
  <c r="C9057" i="1"/>
  <c r="M9057" i="1"/>
  <c r="B9058" i="1"/>
  <c r="C9058" i="1"/>
  <c r="M9058" i="1"/>
  <c r="B9059" i="1"/>
  <c r="C9059" i="1"/>
  <c r="M9059" i="1"/>
  <c r="B9060" i="1"/>
  <c r="C9060" i="1"/>
  <c r="M9060" i="1"/>
  <c r="B9061" i="1"/>
  <c r="C9061" i="1"/>
  <c r="M9061" i="1"/>
  <c r="B9062" i="1"/>
  <c r="C9062" i="1"/>
  <c r="M9062" i="1"/>
  <c r="B9063" i="1"/>
  <c r="C9063" i="1"/>
  <c r="M9063" i="1"/>
  <c r="B9064" i="1"/>
  <c r="C9064" i="1"/>
  <c r="M9064" i="1"/>
  <c r="B9065" i="1"/>
  <c r="C9065" i="1"/>
  <c r="M9065" i="1"/>
  <c r="B9066" i="1"/>
  <c r="C9066" i="1"/>
  <c r="M9066" i="1"/>
  <c r="B9067" i="1"/>
  <c r="C9067" i="1"/>
  <c r="M9067" i="1"/>
  <c r="B9068" i="1"/>
  <c r="C9068" i="1"/>
  <c r="M9068" i="1"/>
  <c r="B9069" i="1"/>
  <c r="C9069" i="1"/>
  <c r="M9069" i="1"/>
  <c r="B9070" i="1"/>
  <c r="C9070" i="1"/>
  <c r="M9070" i="1"/>
  <c r="B9071" i="1"/>
  <c r="C9071" i="1"/>
  <c r="M9071" i="1"/>
  <c r="B9072" i="1"/>
  <c r="C9072" i="1"/>
  <c r="M9072" i="1"/>
  <c r="B9073" i="1"/>
  <c r="C9073" i="1"/>
  <c r="M9073" i="1"/>
  <c r="B9074" i="1"/>
  <c r="C9074" i="1"/>
  <c r="M9074" i="1"/>
  <c r="B9075" i="1"/>
  <c r="C9075" i="1"/>
  <c r="M9075" i="1"/>
  <c r="B9076" i="1"/>
  <c r="C9076" i="1"/>
  <c r="M9076" i="1"/>
  <c r="B9077" i="1"/>
  <c r="C9077" i="1"/>
  <c r="M9077" i="1"/>
  <c r="B9078" i="1"/>
  <c r="C9078" i="1"/>
  <c r="M9078" i="1"/>
  <c r="B9079" i="1"/>
  <c r="C9079" i="1"/>
  <c r="M9079" i="1"/>
  <c r="B9080" i="1"/>
  <c r="C9080" i="1"/>
  <c r="M9080" i="1"/>
  <c r="B9081" i="1"/>
  <c r="C9081" i="1"/>
  <c r="M9081" i="1"/>
  <c r="B9082" i="1"/>
  <c r="C9082" i="1"/>
  <c r="M9082" i="1"/>
  <c r="B9083" i="1"/>
  <c r="C9083" i="1"/>
  <c r="M9083" i="1"/>
  <c r="B9084" i="1"/>
  <c r="C9084" i="1"/>
  <c r="M9084" i="1"/>
  <c r="B9085" i="1"/>
  <c r="C9085" i="1"/>
  <c r="M9085" i="1"/>
  <c r="B9086" i="1"/>
  <c r="C9086" i="1"/>
  <c r="M9086" i="1"/>
  <c r="B9087" i="1"/>
  <c r="C9087" i="1"/>
  <c r="M9087" i="1"/>
  <c r="B9088" i="1"/>
  <c r="C9088" i="1"/>
  <c r="M9088" i="1"/>
  <c r="B9089" i="1"/>
  <c r="C9089" i="1"/>
  <c r="M9089" i="1"/>
  <c r="B9090" i="1"/>
  <c r="C9090" i="1"/>
  <c r="M9090" i="1"/>
  <c r="B9091" i="1"/>
  <c r="C9091" i="1"/>
  <c r="M9091" i="1"/>
  <c r="B9092" i="1"/>
  <c r="C9092" i="1"/>
  <c r="M9092" i="1"/>
  <c r="B9093" i="1"/>
  <c r="C9093" i="1"/>
  <c r="M9093" i="1"/>
  <c r="B9094" i="1"/>
  <c r="C9094" i="1"/>
  <c r="M9094" i="1"/>
  <c r="B9095" i="1"/>
  <c r="C9095" i="1"/>
  <c r="M9095" i="1"/>
  <c r="B9096" i="1"/>
  <c r="C9096" i="1"/>
  <c r="M9096" i="1"/>
  <c r="B9097" i="1"/>
  <c r="C9097" i="1"/>
  <c r="M9097" i="1"/>
  <c r="B9098" i="1"/>
  <c r="C9098" i="1"/>
  <c r="M9098" i="1"/>
  <c r="B9099" i="1"/>
  <c r="C9099" i="1"/>
  <c r="M9099" i="1"/>
  <c r="B9100" i="1"/>
  <c r="C9100" i="1"/>
  <c r="M9100" i="1"/>
  <c r="B9101" i="1"/>
  <c r="C9101" i="1"/>
  <c r="M9101" i="1"/>
  <c r="B9102" i="1"/>
  <c r="C9102" i="1"/>
  <c r="M9102" i="1"/>
  <c r="B9103" i="1"/>
  <c r="C9103" i="1"/>
  <c r="M9103" i="1"/>
  <c r="B9104" i="1"/>
  <c r="C9104" i="1"/>
  <c r="M9104" i="1"/>
  <c r="B9105" i="1"/>
  <c r="C9105" i="1"/>
  <c r="M9105" i="1"/>
  <c r="B9106" i="1"/>
  <c r="C9106" i="1"/>
  <c r="M9106" i="1"/>
  <c r="B9107" i="1"/>
  <c r="C9107" i="1"/>
  <c r="M9107" i="1"/>
  <c r="B9108" i="1"/>
  <c r="C9108" i="1"/>
  <c r="M9108" i="1"/>
  <c r="B9109" i="1"/>
  <c r="C9109" i="1"/>
  <c r="M9109" i="1"/>
  <c r="B9110" i="1"/>
  <c r="C9110" i="1"/>
  <c r="M9110" i="1"/>
  <c r="B9111" i="1"/>
  <c r="C9111" i="1"/>
  <c r="M9111" i="1"/>
  <c r="B9112" i="1"/>
  <c r="C9112" i="1"/>
  <c r="M9112" i="1"/>
  <c r="B9113" i="1"/>
  <c r="C9113" i="1"/>
  <c r="M9113" i="1"/>
  <c r="B9114" i="1"/>
  <c r="C9114" i="1"/>
  <c r="M9114" i="1"/>
  <c r="B9115" i="1"/>
  <c r="C9115" i="1"/>
  <c r="M9115" i="1"/>
  <c r="B9116" i="1"/>
  <c r="C9116" i="1"/>
  <c r="M9116" i="1"/>
  <c r="B9117" i="1"/>
  <c r="C9117" i="1"/>
  <c r="M9117" i="1"/>
  <c r="B9118" i="1"/>
  <c r="C9118" i="1"/>
  <c r="M9118" i="1"/>
  <c r="B9119" i="1"/>
  <c r="C9119" i="1"/>
  <c r="M9119" i="1"/>
  <c r="B9120" i="1"/>
  <c r="C9120" i="1"/>
  <c r="M9120" i="1"/>
  <c r="B9121" i="1"/>
  <c r="C9121" i="1"/>
  <c r="M9121" i="1"/>
  <c r="B9122" i="1"/>
  <c r="C9122" i="1"/>
  <c r="M9122" i="1"/>
  <c r="B9123" i="1"/>
  <c r="C9123" i="1"/>
  <c r="M9123" i="1"/>
  <c r="B9124" i="1"/>
  <c r="C9124" i="1"/>
  <c r="M9124" i="1"/>
  <c r="B9125" i="1"/>
  <c r="C9125" i="1"/>
  <c r="M9125" i="1"/>
  <c r="B9126" i="1"/>
  <c r="C9126" i="1"/>
  <c r="M9126" i="1"/>
  <c r="B9127" i="1"/>
  <c r="C9127" i="1"/>
  <c r="M9127" i="1"/>
  <c r="B9128" i="1"/>
  <c r="C9128" i="1"/>
  <c r="M9128" i="1"/>
  <c r="B9129" i="1"/>
  <c r="C9129" i="1"/>
  <c r="M9129" i="1"/>
  <c r="B9130" i="1"/>
  <c r="C9130" i="1"/>
  <c r="M9130" i="1"/>
  <c r="B9131" i="1"/>
  <c r="C9131" i="1"/>
  <c r="M9131" i="1"/>
  <c r="B9132" i="1"/>
  <c r="C9132" i="1"/>
  <c r="M9132" i="1"/>
  <c r="B9133" i="1"/>
  <c r="C9133" i="1"/>
  <c r="M9133" i="1"/>
  <c r="B9134" i="1"/>
  <c r="C9134" i="1"/>
  <c r="M9134" i="1"/>
  <c r="B9135" i="1"/>
  <c r="C9135" i="1"/>
  <c r="M9135" i="1"/>
  <c r="B9136" i="1"/>
  <c r="C9136" i="1"/>
  <c r="M9136" i="1"/>
  <c r="B9137" i="1"/>
  <c r="C9137" i="1"/>
  <c r="M9137" i="1"/>
  <c r="B9138" i="1"/>
  <c r="C9138" i="1"/>
  <c r="M9138" i="1"/>
  <c r="B9139" i="1"/>
  <c r="C9139" i="1"/>
  <c r="M9139" i="1"/>
  <c r="B9140" i="1"/>
  <c r="C9140" i="1"/>
  <c r="M9140" i="1"/>
  <c r="B9141" i="1"/>
  <c r="C9141" i="1"/>
  <c r="M9141" i="1"/>
  <c r="B9142" i="1"/>
  <c r="C9142" i="1"/>
  <c r="M9142" i="1"/>
  <c r="B9143" i="1"/>
  <c r="C9143" i="1"/>
  <c r="M9143" i="1"/>
  <c r="B9144" i="1"/>
  <c r="C9144" i="1"/>
  <c r="M9144" i="1"/>
  <c r="B9145" i="1"/>
  <c r="C9145" i="1"/>
  <c r="M9145" i="1"/>
  <c r="B9146" i="1"/>
  <c r="C9146" i="1"/>
  <c r="M9146" i="1"/>
  <c r="B9147" i="1"/>
  <c r="C9147" i="1"/>
  <c r="M9147" i="1"/>
  <c r="B9148" i="1"/>
  <c r="C9148" i="1"/>
  <c r="M9148" i="1"/>
  <c r="B9149" i="1"/>
  <c r="C9149" i="1"/>
  <c r="M9149" i="1"/>
  <c r="B9150" i="1"/>
  <c r="C9150" i="1"/>
  <c r="M9150" i="1"/>
  <c r="B9151" i="1"/>
  <c r="C9151" i="1"/>
  <c r="M9151" i="1"/>
  <c r="B9152" i="1"/>
  <c r="C9152" i="1"/>
  <c r="M9152" i="1"/>
  <c r="B9153" i="1"/>
  <c r="C9153" i="1"/>
  <c r="M9153" i="1"/>
  <c r="B9154" i="1"/>
  <c r="C9154" i="1"/>
  <c r="M9154" i="1"/>
  <c r="B9155" i="1"/>
  <c r="C9155" i="1"/>
  <c r="M9155" i="1"/>
  <c r="B9156" i="1"/>
  <c r="C9156" i="1"/>
  <c r="M9156" i="1"/>
  <c r="B9157" i="1"/>
  <c r="C9157" i="1"/>
  <c r="M9157" i="1"/>
  <c r="B9158" i="1"/>
  <c r="C9158" i="1"/>
  <c r="M9158" i="1"/>
  <c r="B9159" i="1"/>
  <c r="C9159" i="1"/>
  <c r="M9159" i="1"/>
  <c r="B9160" i="1"/>
  <c r="C9160" i="1"/>
  <c r="M9160" i="1"/>
  <c r="B9161" i="1"/>
  <c r="C9161" i="1"/>
  <c r="M9161" i="1"/>
  <c r="B9162" i="1"/>
  <c r="C9162" i="1"/>
  <c r="M9162" i="1"/>
  <c r="B9163" i="1"/>
  <c r="C9163" i="1"/>
  <c r="M9163" i="1"/>
  <c r="B9164" i="1"/>
  <c r="C9164" i="1"/>
  <c r="M9164" i="1"/>
  <c r="B9165" i="1"/>
  <c r="C9165" i="1"/>
  <c r="M9165" i="1"/>
  <c r="B9166" i="1"/>
  <c r="C9166" i="1"/>
  <c r="M9166" i="1"/>
  <c r="B9167" i="1"/>
  <c r="C9167" i="1"/>
  <c r="M9167" i="1"/>
  <c r="B9168" i="1"/>
  <c r="C9168" i="1"/>
  <c r="M9168" i="1"/>
  <c r="B9169" i="1"/>
  <c r="C9169" i="1"/>
  <c r="M9169" i="1"/>
  <c r="B9170" i="1"/>
  <c r="C9170" i="1"/>
  <c r="M9170" i="1"/>
  <c r="B9171" i="1"/>
  <c r="C9171" i="1"/>
  <c r="M9171" i="1"/>
  <c r="B9172" i="1"/>
  <c r="C9172" i="1"/>
  <c r="M9172" i="1"/>
  <c r="B9173" i="1"/>
  <c r="C9173" i="1"/>
  <c r="M9173" i="1"/>
  <c r="B9174" i="1"/>
  <c r="C9174" i="1"/>
  <c r="M9174" i="1"/>
  <c r="B9175" i="1"/>
  <c r="C9175" i="1"/>
  <c r="M9175" i="1"/>
  <c r="B9176" i="1"/>
  <c r="C9176" i="1"/>
  <c r="M9176" i="1"/>
  <c r="B9177" i="1"/>
  <c r="C9177" i="1"/>
  <c r="M9177" i="1"/>
  <c r="B9178" i="1"/>
  <c r="C9178" i="1"/>
  <c r="M9178" i="1"/>
  <c r="B9179" i="1"/>
  <c r="C9179" i="1"/>
  <c r="M9179" i="1"/>
  <c r="B9180" i="1"/>
  <c r="C9180" i="1"/>
  <c r="M9180" i="1"/>
  <c r="B9181" i="1"/>
  <c r="C9181" i="1"/>
  <c r="M9181" i="1"/>
  <c r="B9182" i="1"/>
  <c r="C9182" i="1"/>
  <c r="M9182" i="1"/>
  <c r="B9183" i="1"/>
  <c r="C9183" i="1"/>
  <c r="M9183" i="1"/>
  <c r="B9184" i="1"/>
  <c r="C9184" i="1"/>
  <c r="M9184" i="1"/>
  <c r="B9185" i="1"/>
  <c r="C9185" i="1"/>
  <c r="M9185" i="1"/>
  <c r="B9186" i="1"/>
  <c r="C9186" i="1"/>
  <c r="M9186" i="1"/>
  <c r="B9187" i="1"/>
  <c r="C9187" i="1"/>
  <c r="M9187" i="1"/>
  <c r="B9188" i="1"/>
  <c r="C9188" i="1"/>
  <c r="M9188" i="1"/>
  <c r="B9189" i="1"/>
  <c r="C9189" i="1"/>
  <c r="M9189" i="1"/>
  <c r="B9190" i="1"/>
  <c r="C9190" i="1"/>
  <c r="M9190" i="1"/>
  <c r="B9191" i="1"/>
  <c r="C9191" i="1"/>
  <c r="M9191" i="1"/>
  <c r="B9192" i="1"/>
  <c r="C9192" i="1"/>
  <c r="M9192" i="1"/>
  <c r="B9193" i="1"/>
  <c r="C9193" i="1"/>
  <c r="M9193" i="1"/>
  <c r="B9194" i="1"/>
  <c r="C9194" i="1"/>
  <c r="M9194" i="1"/>
  <c r="B9195" i="1"/>
  <c r="C9195" i="1"/>
  <c r="M9195" i="1"/>
  <c r="B9196" i="1"/>
  <c r="C9196" i="1"/>
  <c r="M9196" i="1"/>
  <c r="B9197" i="1"/>
  <c r="C9197" i="1"/>
  <c r="M9197" i="1"/>
  <c r="B9198" i="1"/>
  <c r="C9198" i="1"/>
  <c r="M9198" i="1"/>
  <c r="B9199" i="1"/>
  <c r="C9199" i="1"/>
  <c r="M9199" i="1"/>
  <c r="B9200" i="1"/>
  <c r="C9200" i="1"/>
  <c r="M9200" i="1"/>
  <c r="B9201" i="1"/>
  <c r="C9201" i="1"/>
  <c r="M9201" i="1"/>
  <c r="B9202" i="1"/>
  <c r="C9202" i="1"/>
  <c r="M9202" i="1"/>
  <c r="B9203" i="1"/>
  <c r="C9203" i="1"/>
  <c r="M9203" i="1"/>
  <c r="B9204" i="1"/>
  <c r="C9204" i="1"/>
  <c r="M9204" i="1"/>
  <c r="B9205" i="1"/>
  <c r="C9205" i="1"/>
  <c r="M9205" i="1"/>
  <c r="B9206" i="1"/>
  <c r="C9206" i="1"/>
  <c r="M9206" i="1"/>
  <c r="B9207" i="1"/>
  <c r="C9207" i="1"/>
  <c r="M9207" i="1"/>
  <c r="B9208" i="1"/>
  <c r="C9208" i="1"/>
  <c r="M9208" i="1"/>
  <c r="B9209" i="1"/>
  <c r="C9209" i="1"/>
  <c r="M9209" i="1"/>
  <c r="B9210" i="1"/>
  <c r="C9210" i="1"/>
  <c r="M9210" i="1"/>
  <c r="B9211" i="1"/>
  <c r="C9211" i="1"/>
  <c r="M9211" i="1"/>
  <c r="B9212" i="1"/>
  <c r="C9212" i="1"/>
  <c r="M9212" i="1"/>
  <c r="B9213" i="1"/>
  <c r="C9213" i="1"/>
  <c r="M9213" i="1"/>
  <c r="B9214" i="1"/>
  <c r="C9214" i="1"/>
  <c r="M9214" i="1"/>
  <c r="B9215" i="1"/>
  <c r="C9215" i="1"/>
  <c r="M9215" i="1"/>
  <c r="B9216" i="1"/>
  <c r="C9216" i="1"/>
  <c r="M9216" i="1"/>
  <c r="B9217" i="1"/>
  <c r="C9217" i="1"/>
  <c r="M9217" i="1"/>
  <c r="B9218" i="1"/>
  <c r="C9218" i="1"/>
  <c r="M9218" i="1"/>
  <c r="B9219" i="1"/>
  <c r="C9219" i="1"/>
  <c r="M9219" i="1"/>
  <c r="B9220" i="1"/>
  <c r="C9220" i="1"/>
  <c r="M9220" i="1"/>
  <c r="B9221" i="1"/>
  <c r="C9221" i="1"/>
  <c r="M9221" i="1"/>
  <c r="B9222" i="1"/>
  <c r="C9222" i="1"/>
  <c r="M9222" i="1"/>
  <c r="B9223" i="1"/>
  <c r="C9223" i="1"/>
  <c r="M9223" i="1"/>
  <c r="B9224" i="1"/>
  <c r="C9224" i="1"/>
  <c r="M9224" i="1"/>
  <c r="B9225" i="1"/>
  <c r="C9225" i="1"/>
  <c r="M9225" i="1"/>
  <c r="B9226" i="1"/>
  <c r="C9226" i="1"/>
  <c r="M9226" i="1"/>
  <c r="B9227" i="1"/>
  <c r="C9227" i="1"/>
  <c r="M9227" i="1"/>
  <c r="B9228" i="1"/>
  <c r="C9228" i="1"/>
  <c r="M9228" i="1"/>
  <c r="B9229" i="1"/>
  <c r="C9229" i="1"/>
  <c r="M9229" i="1"/>
  <c r="B9230" i="1"/>
  <c r="C9230" i="1"/>
  <c r="M9230" i="1"/>
  <c r="B9231" i="1"/>
  <c r="C9231" i="1"/>
  <c r="M9231" i="1"/>
  <c r="B9232" i="1"/>
  <c r="C9232" i="1"/>
  <c r="M9232" i="1"/>
  <c r="B9233" i="1"/>
  <c r="C9233" i="1"/>
  <c r="M9233" i="1"/>
  <c r="B9234" i="1"/>
  <c r="C9234" i="1"/>
  <c r="M9234" i="1"/>
  <c r="B9235" i="1"/>
  <c r="C9235" i="1"/>
  <c r="M9235" i="1"/>
  <c r="B9236" i="1"/>
  <c r="C9236" i="1"/>
  <c r="M9236" i="1"/>
  <c r="B9237" i="1"/>
  <c r="C9237" i="1"/>
  <c r="M9237" i="1"/>
  <c r="B9238" i="1"/>
  <c r="C9238" i="1"/>
  <c r="M9238" i="1"/>
  <c r="B9239" i="1"/>
  <c r="C9239" i="1"/>
  <c r="M9239" i="1"/>
  <c r="B9240" i="1"/>
  <c r="C9240" i="1"/>
  <c r="M9240" i="1"/>
  <c r="B9241" i="1"/>
  <c r="C9241" i="1"/>
  <c r="M9241" i="1"/>
  <c r="B9242" i="1"/>
  <c r="C9242" i="1"/>
  <c r="M9242" i="1"/>
  <c r="B9243" i="1"/>
  <c r="C9243" i="1"/>
  <c r="M9243" i="1"/>
  <c r="B9244" i="1"/>
  <c r="C9244" i="1"/>
  <c r="M9244" i="1"/>
  <c r="B9245" i="1"/>
  <c r="C9245" i="1"/>
  <c r="M9245" i="1"/>
  <c r="B9246" i="1"/>
  <c r="C9246" i="1"/>
  <c r="M9246" i="1"/>
  <c r="B9247" i="1"/>
  <c r="C9247" i="1"/>
  <c r="M9247" i="1"/>
  <c r="B9248" i="1"/>
  <c r="C9248" i="1"/>
  <c r="M9248" i="1"/>
  <c r="B9249" i="1"/>
  <c r="C9249" i="1"/>
  <c r="M9249" i="1"/>
  <c r="B9250" i="1"/>
  <c r="C9250" i="1"/>
  <c r="M9250" i="1"/>
  <c r="B9251" i="1"/>
  <c r="C9251" i="1"/>
  <c r="M9251" i="1"/>
  <c r="B9252" i="1"/>
  <c r="C9252" i="1"/>
  <c r="M9252" i="1"/>
  <c r="B9253" i="1"/>
  <c r="C9253" i="1"/>
  <c r="M9253" i="1"/>
  <c r="B9254" i="1"/>
  <c r="C9254" i="1"/>
  <c r="M9254" i="1"/>
  <c r="B9255" i="1"/>
  <c r="C9255" i="1"/>
  <c r="M9255" i="1"/>
  <c r="B9256" i="1"/>
  <c r="C9256" i="1"/>
  <c r="M9256" i="1"/>
  <c r="B9257" i="1"/>
  <c r="C9257" i="1"/>
  <c r="M9257" i="1"/>
  <c r="B9258" i="1"/>
  <c r="C9258" i="1"/>
  <c r="M9258" i="1"/>
  <c r="B9259" i="1"/>
  <c r="C9259" i="1"/>
  <c r="M9259" i="1"/>
  <c r="B9260" i="1"/>
  <c r="C9260" i="1"/>
  <c r="M9260" i="1"/>
  <c r="B9261" i="1"/>
  <c r="C9261" i="1"/>
  <c r="M9261" i="1"/>
  <c r="B9262" i="1"/>
  <c r="C9262" i="1"/>
  <c r="M9262" i="1"/>
  <c r="B9263" i="1"/>
  <c r="C9263" i="1"/>
  <c r="M9263" i="1"/>
  <c r="B9264" i="1"/>
  <c r="C9264" i="1"/>
  <c r="M9264" i="1"/>
  <c r="B9265" i="1"/>
  <c r="C9265" i="1"/>
  <c r="M9265" i="1"/>
  <c r="B9266" i="1"/>
  <c r="C9266" i="1"/>
  <c r="M9266" i="1"/>
  <c r="B9267" i="1"/>
  <c r="C9267" i="1"/>
  <c r="M9267" i="1"/>
  <c r="B9268" i="1"/>
  <c r="C9268" i="1"/>
  <c r="M9268" i="1"/>
  <c r="B9269" i="1"/>
  <c r="C9269" i="1"/>
  <c r="M9269" i="1"/>
  <c r="B9270" i="1"/>
  <c r="C9270" i="1"/>
  <c r="M9270" i="1"/>
  <c r="B9271" i="1"/>
  <c r="C9271" i="1"/>
  <c r="M9271" i="1"/>
  <c r="B9272" i="1"/>
  <c r="C9272" i="1"/>
  <c r="M9272" i="1"/>
  <c r="B9273" i="1"/>
  <c r="C9273" i="1"/>
  <c r="M9273" i="1"/>
  <c r="B9274" i="1"/>
  <c r="C9274" i="1"/>
  <c r="M9274" i="1"/>
  <c r="B9275" i="1"/>
  <c r="C9275" i="1"/>
  <c r="M9275" i="1"/>
  <c r="B9276" i="1"/>
  <c r="C9276" i="1"/>
  <c r="M9276" i="1"/>
  <c r="B9277" i="1"/>
  <c r="C9277" i="1"/>
  <c r="M9277" i="1"/>
  <c r="B9278" i="1"/>
  <c r="C9278" i="1"/>
  <c r="M9278" i="1"/>
  <c r="B9279" i="1"/>
  <c r="C9279" i="1"/>
  <c r="M9279" i="1"/>
  <c r="B9280" i="1"/>
  <c r="C9280" i="1"/>
  <c r="M9280" i="1"/>
  <c r="B9281" i="1"/>
  <c r="C9281" i="1"/>
  <c r="M9281" i="1"/>
  <c r="B9282" i="1"/>
  <c r="C9282" i="1"/>
  <c r="M9282" i="1"/>
  <c r="B9283" i="1"/>
  <c r="C9283" i="1"/>
  <c r="M9283" i="1"/>
  <c r="B9284" i="1"/>
  <c r="C9284" i="1"/>
  <c r="M9284" i="1"/>
  <c r="B9285" i="1"/>
  <c r="C9285" i="1"/>
  <c r="M9285" i="1"/>
  <c r="B9286" i="1"/>
  <c r="C9286" i="1"/>
  <c r="M9286" i="1"/>
  <c r="B9287" i="1"/>
  <c r="C9287" i="1"/>
  <c r="M9287" i="1"/>
  <c r="B9288" i="1"/>
  <c r="C9288" i="1"/>
  <c r="M9288" i="1"/>
  <c r="B9289" i="1"/>
  <c r="C9289" i="1"/>
  <c r="M9289" i="1"/>
  <c r="B9290" i="1"/>
  <c r="C9290" i="1"/>
  <c r="M9290" i="1"/>
  <c r="B9291" i="1"/>
  <c r="C9291" i="1"/>
  <c r="M9291" i="1"/>
  <c r="B9292" i="1"/>
  <c r="C9292" i="1"/>
  <c r="M9292" i="1"/>
  <c r="B9293" i="1"/>
  <c r="C9293" i="1"/>
  <c r="M9293" i="1"/>
  <c r="B9294" i="1"/>
  <c r="C9294" i="1"/>
  <c r="M9294" i="1"/>
  <c r="B9295" i="1"/>
  <c r="C9295" i="1"/>
  <c r="M9295" i="1"/>
  <c r="B9296" i="1"/>
  <c r="C9296" i="1"/>
  <c r="M9296" i="1"/>
  <c r="B9297" i="1"/>
  <c r="C9297" i="1"/>
  <c r="M9297" i="1"/>
  <c r="B9298" i="1"/>
  <c r="C9298" i="1"/>
  <c r="M9298" i="1"/>
  <c r="B9299" i="1"/>
  <c r="C9299" i="1"/>
  <c r="M9299" i="1"/>
  <c r="B9300" i="1"/>
  <c r="C9300" i="1"/>
  <c r="M9300" i="1"/>
  <c r="B9301" i="1"/>
  <c r="C9301" i="1"/>
  <c r="M9301" i="1"/>
  <c r="B9302" i="1"/>
  <c r="C9302" i="1"/>
  <c r="M9302" i="1"/>
  <c r="B9303" i="1"/>
  <c r="C9303" i="1"/>
  <c r="M9303" i="1"/>
  <c r="B9304" i="1"/>
  <c r="C9304" i="1"/>
  <c r="M9304" i="1"/>
  <c r="B9305" i="1"/>
  <c r="C9305" i="1"/>
  <c r="M9305" i="1"/>
  <c r="B9306" i="1"/>
  <c r="C9306" i="1"/>
  <c r="M9306" i="1"/>
  <c r="B9307" i="1"/>
  <c r="C9307" i="1"/>
  <c r="M9307" i="1"/>
  <c r="B9308" i="1"/>
  <c r="C9308" i="1"/>
  <c r="M9308" i="1"/>
  <c r="B9309" i="1"/>
  <c r="C9309" i="1"/>
  <c r="M9309" i="1"/>
  <c r="B9310" i="1"/>
  <c r="C9310" i="1"/>
  <c r="M9310" i="1"/>
  <c r="B9311" i="1"/>
  <c r="C9311" i="1"/>
  <c r="M9311" i="1"/>
  <c r="B9312" i="1"/>
  <c r="C9312" i="1"/>
  <c r="M9312" i="1"/>
  <c r="B9313" i="1"/>
  <c r="C9313" i="1"/>
  <c r="M9313" i="1"/>
  <c r="B9314" i="1"/>
  <c r="C9314" i="1"/>
  <c r="M9314" i="1"/>
  <c r="B9315" i="1"/>
  <c r="C9315" i="1"/>
  <c r="M9315" i="1"/>
  <c r="B9316" i="1"/>
  <c r="C9316" i="1"/>
  <c r="M9316" i="1"/>
  <c r="B9317" i="1"/>
  <c r="C9317" i="1"/>
  <c r="M9317" i="1"/>
  <c r="B9318" i="1"/>
  <c r="C9318" i="1"/>
  <c r="M9318" i="1"/>
  <c r="B9319" i="1"/>
  <c r="C9319" i="1"/>
  <c r="M9319" i="1"/>
  <c r="B9320" i="1"/>
  <c r="C9320" i="1"/>
  <c r="M9320" i="1"/>
  <c r="B9321" i="1"/>
  <c r="C9321" i="1"/>
  <c r="M9321" i="1"/>
  <c r="B9322" i="1"/>
  <c r="C9322" i="1"/>
  <c r="M9322" i="1"/>
  <c r="B9323" i="1"/>
  <c r="C9323" i="1"/>
  <c r="M9323" i="1"/>
  <c r="B9324" i="1"/>
  <c r="C9324" i="1"/>
  <c r="M9324" i="1"/>
  <c r="B9325" i="1"/>
  <c r="C9325" i="1"/>
  <c r="M9325" i="1"/>
  <c r="B9326" i="1"/>
  <c r="C9326" i="1"/>
  <c r="M9326" i="1"/>
  <c r="B9327" i="1"/>
  <c r="C9327" i="1"/>
  <c r="M9327" i="1"/>
  <c r="B9328" i="1"/>
  <c r="C9328" i="1"/>
  <c r="M9328" i="1"/>
  <c r="B9329" i="1"/>
  <c r="C9329" i="1"/>
  <c r="M9329" i="1"/>
  <c r="B9330" i="1"/>
  <c r="C9330" i="1"/>
  <c r="M9330" i="1"/>
  <c r="B9331" i="1"/>
  <c r="C9331" i="1"/>
  <c r="M9331" i="1"/>
  <c r="B9332" i="1"/>
  <c r="C9332" i="1"/>
  <c r="M9332" i="1"/>
  <c r="B9333" i="1"/>
  <c r="C9333" i="1"/>
  <c r="M9333" i="1"/>
  <c r="B9334" i="1"/>
  <c r="C9334" i="1"/>
  <c r="M9334" i="1"/>
  <c r="B9335" i="1"/>
  <c r="C9335" i="1"/>
  <c r="M9335" i="1"/>
  <c r="B9336" i="1"/>
  <c r="C9336" i="1"/>
  <c r="M9336" i="1"/>
  <c r="B9337" i="1"/>
  <c r="C9337" i="1"/>
  <c r="M9337" i="1"/>
  <c r="B9338" i="1"/>
  <c r="C9338" i="1"/>
  <c r="M9338" i="1"/>
  <c r="B9339" i="1"/>
  <c r="C9339" i="1"/>
  <c r="M9339" i="1"/>
  <c r="B9340" i="1"/>
  <c r="C9340" i="1"/>
  <c r="M9340" i="1"/>
  <c r="B9341" i="1"/>
  <c r="C9341" i="1"/>
  <c r="M9341" i="1"/>
  <c r="B9342" i="1"/>
  <c r="C9342" i="1"/>
  <c r="M9342" i="1"/>
  <c r="B9343" i="1"/>
  <c r="C9343" i="1"/>
  <c r="M9343" i="1"/>
  <c r="B9344" i="1"/>
  <c r="C9344" i="1"/>
  <c r="M9344" i="1"/>
  <c r="B9345" i="1"/>
  <c r="C9345" i="1"/>
  <c r="M9345" i="1"/>
  <c r="B9346" i="1"/>
  <c r="C9346" i="1"/>
  <c r="M9346" i="1"/>
  <c r="B9347" i="1"/>
  <c r="C9347" i="1"/>
  <c r="M9347" i="1"/>
  <c r="B9348" i="1"/>
  <c r="C9348" i="1"/>
  <c r="M9348" i="1"/>
  <c r="B9349" i="1"/>
  <c r="C9349" i="1"/>
  <c r="M9349" i="1"/>
  <c r="B9350" i="1"/>
  <c r="C9350" i="1"/>
  <c r="M9350" i="1"/>
  <c r="B9351" i="1"/>
  <c r="C9351" i="1"/>
  <c r="M9351" i="1"/>
  <c r="B9352" i="1"/>
  <c r="C9352" i="1"/>
  <c r="M9352" i="1"/>
  <c r="B9353" i="1"/>
  <c r="C9353" i="1"/>
  <c r="M9353" i="1"/>
  <c r="B9354" i="1"/>
  <c r="C9354" i="1"/>
  <c r="M9354" i="1"/>
  <c r="B9355" i="1"/>
  <c r="C9355" i="1"/>
  <c r="M9355" i="1"/>
  <c r="B9356" i="1"/>
  <c r="C9356" i="1"/>
  <c r="M9356" i="1"/>
  <c r="B9357" i="1"/>
  <c r="C9357" i="1"/>
  <c r="M9357" i="1"/>
  <c r="B9358" i="1"/>
  <c r="C9358" i="1"/>
  <c r="M9358" i="1"/>
  <c r="B9359" i="1"/>
  <c r="C9359" i="1"/>
  <c r="M9359" i="1"/>
  <c r="B9360" i="1"/>
  <c r="C9360" i="1"/>
  <c r="M9360" i="1"/>
  <c r="B9361" i="1"/>
  <c r="C9361" i="1"/>
  <c r="M9361" i="1"/>
  <c r="B9362" i="1"/>
  <c r="C9362" i="1"/>
  <c r="M9362" i="1"/>
  <c r="B9363" i="1"/>
  <c r="C9363" i="1"/>
  <c r="M9363" i="1"/>
  <c r="B9364" i="1"/>
  <c r="C9364" i="1"/>
  <c r="M9364" i="1"/>
  <c r="B9365" i="1"/>
  <c r="C9365" i="1"/>
  <c r="M9365" i="1"/>
  <c r="B9366" i="1"/>
  <c r="C9366" i="1"/>
  <c r="M9366" i="1"/>
  <c r="B9367" i="1"/>
  <c r="C9367" i="1"/>
  <c r="M9367" i="1"/>
  <c r="B9368" i="1"/>
  <c r="C9368" i="1"/>
  <c r="M9368" i="1"/>
  <c r="B9369" i="1"/>
  <c r="C9369" i="1"/>
  <c r="M9369" i="1"/>
  <c r="B9370" i="1"/>
  <c r="C9370" i="1"/>
  <c r="M9370" i="1"/>
  <c r="B9371" i="1"/>
  <c r="C9371" i="1"/>
  <c r="M9371" i="1"/>
  <c r="B9372" i="1"/>
  <c r="C9372" i="1"/>
  <c r="M9372" i="1"/>
  <c r="B9373" i="1"/>
  <c r="C9373" i="1"/>
  <c r="M9373" i="1"/>
  <c r="B9374" i="1"/>
  <c r="C9374" i="1"/>
  <c r="M9374" i="1"/>
  <c r="B9375" i="1"/>
  <c r="C9375" i="1"/>
  <c r="M9375" i="1"/>
  <c r="B9376" i="1"/>
  <c r="C9376" i="1"/>
  <c r="M9376" i="1"/>
  <c r="B9377" i="1"/>
  <c r="C9377" i="1"/>
  <c r="M9377" i="1"/>
  <c r="B9378" i="1"/>
  <c r="C9378" i="1"/>
  <c r="M9378" i="1"/>
  <c r="B9379" i="1"/>
  <c r="C9379" i="1"/>
  <c r="M9379" i="1"/>
  <c r="B9380" i="1"/>
  <c r="C9380" i="1"/>
  <c r="M9380" i="1"/>
  <c r="B9381" i="1"/>
  <c r="C9381" i="1"/>
  <c r="M9381" i="1"/>
  <c r="B9382" i="1"/>
  <c r="C9382" i="1"/>
  <c r="M9382" i="1"/>
  <c r="B9383" i="1"/>
  <c r="C9383" i="1"/>
  <c r="M9383" i="1"/>
  <c r="B9384" i="1"/>
  <c r="C9384" i="1"/>
  <c r="M9384" i="1"/>
  <c r="B9385" i="1"/>
  <c r="C9385" i="1"/>
  <c r="M9385" i="1"/>
  <c r="B9386" i="1"/>
  <c r="C9386" i="1"/>
  <c r="M9386" i="1"/>
  <c r="B9387" i="1"/>
  <c r="C9387" i="1"/>
  <c r="M9387" i="1"/>
  <c r="B9388" i="1"/>
  <c r="C9388" i="1"/>
  <c r="M9388" i="1"/>
  <c r="B9389" i="1"/>
  <c r="C9389" i="1"/>
  <c r="M9389" i="1"/>
  <c r="B9390" i="1"/>
  <c r="C9390" i="1"/>
  <c r="M9390" i="1"/>
  <c r="B9391" i="1"/>
  <c r="C9391" i="1"/>
  <c r="M9391" i="1"/>
  <c r="B9392" i="1"/>
  <c r="C9392" i="1"/>
  <c r="M9392" i="1"/>
  <c r="B9393" i="1"/>
  <c r="C9393" i="1"/>
  <c r="M9393" i="1"/>
  <c r="B9394" i="1"/>
  <c r="C9394" i="1"/>
  <c r="M9394" i="1"/>
  <c r="B9395" i="1"/>
  <c r="C9395" i="1"/>
  <c r="M9395" i="1"/>
  <c r="B9396" i="1"/>
  <c r="C9396" i="1"/>
  <c r="M9396" i="1"/>
  <c r="B9397" i="1"/>
  <c r="C9397" i="1"/>
  <c r="M9397" i="1"/>
  <c r="B9398" i="1"/>
  <c r="C9398" i="1"/>
  <c r="M9398" i="1"/>
  <c r="B9399" i="1"/>
  <c r="C9399" i="1"/>
  <c r="M9399" i="1"/>
  <c r="B9400" i="1"/>
  <c r="C9400" i="1"/>
  <c r="M9400" i="1"/>
  <c r="B9401" i="1"/>
  <c r="C9401" i="1"/>
  <c r="M9401" i="1"/>
  <c r="B9402" i="1"/>
  <c r="C9402" i="1"/>
  <c r="M9402" i="1"/>
  <c r="B9403" i="1"/>
  <c r="C9403" i="1"/>
  <c r="M9403" i="1"/>
  <c r="B9404" i="1"/>
  <c r="C9404" i="1"/>
  <c r="M9404" i="1"/>
  <c r="B9405" i="1"/>
  <c r="C9405" i="1"/>
  <c r="M9405" i="1"/>
  <c r="B9406" i="1"/>
  <c r="C9406" i="1"/>
  <c r="M9406" i="1"/>
  <c r="B9407" i="1"/>
  <c r="C9407" i="1"/>
  <c r="M9407" i="1"/>
  <c r="B9408" i="1"/>
  <c r="C9408" i="1"/>
  <c r="M9408" i="1"/>
  <c r="B9409" i="1"/>
  <c r="C9409" i="1"/>
  <c r="M9409" i="1"/>
  <c r="B9410" i="1"/>
  <c r="C9410" i="1"/>
  <c r="M9410" i="1"/>
  <c r="B9411" i="1"/>
  <c r="C9411" i="1"/>
  <c r="M9411" i="1"/>
  <c r="B9412" i="1"/>
  <c r="C9412" i="1"/>
  <c r="M9412" i="1"/>
  <c r="B9413" i="1"/>
  <c r="C9413" i="1"/>
  <c r="M9413" i="1"/>
  <c r="B9414" i="1"/>
  <c r="C9414" i="1"/>
  <c r="M9414" i="1"/>
  <c r="B9415" i="1"/>
  <c r="C9415" i="1"/>
  <c r="M9415" i="1"/>
  <c r="B9416" i="1"/>
  <c r="C9416" i="1"/>
  <c r="M9416" i="1"/>
  <c r="B9417" i="1"/>
  <c r="C9417" i="1"/>
  <c r="M9417" i="1"/>
  <c r="B9418" i="1"/>
  <c r="C9418" i="1"/>
  <c r="M9418" i="1"/>
  <c r="B9419" i="1"/>
  <c r="C9419" i="1"/>
  <c r="M9419" i="1"/>
  <c r="B9420" i="1"/>
  <c r="C9420" i="1"/>
  <c r="M9420" i="1"/>
  <c r="B9421" i="1"/>
  <c r="C9421" i="1"/>
  <c r="M9421" i="1"/>
  <c r="B9422" i="1"/>
  <c r="C9422" i="1"/>
  <c r="M9422" i="1"/>
  <c r="B9423" i="1"/>
  <c r="C9423" i="1"/>
  <c r="M9423" i="1"/>
  <c r="B9424" i="1"/>
  <c r="C9424" i="1"/>
  <c r="M9424" i="1"/>
  <c r="B9425" i="1"/>
  <c r="C9425" i="1"/>
  <c r="M9425" i="1"/>
  <c r="B9426" i="1"/>
  <c r="C9426" i="1"/>
  <c r="M9426" i="1"/>
  <c r="B9427" i="1"/>
  <c r="C9427" i="1"/>
  <c r="M9427" i="1"/>
  <c r="B9428" i="1"/>
  <c r="C9428" i="1"/>
  <c r="M9428" i="1"/>
  <c r="B9429" i="1"/>
  <c r="C9429" i="1"/>
  <c r="M9429" i="1"/>
  <c r="B9430" i="1"/>
  <c r="C9430" i="1"/>
  <c r="M9430" i="1"/>
  <c r="B9431" i="1"/>
  <c r="C9431" i="1"/>
  <c r="M9431" i="1"/>
  <c r="B9432" i="1"/>
  <c r="C9432" i="1"/>
  <c r="M9432" i="1"/>
  <c r="B9433" i="1"/>
  <c r="C9433" i="1"/>
  <c r="M9433" i="1"/>
  <c r="B9434" i="1"/>
  <c r="C9434" i="1"/>
  <c r="M9434" i="1"/>
  <c r="B9435" i="1"/>
  <c r="C9435" i="1"/>
  <c r="M9435" i="1"/>
  <c r="B9436" i="1"/>
  <c r="C9436" i="1"/>
  <c r="M9436" i="1"/>
  <c r="B9437" i="1"/>
  <c r="C9437" i="1"/>
  <c r="M9437" i="1"/>
  <c r="B9438" i="1"/>
  <c r="C9438" i="1"/>
  <c r="M9438" i="1"/>
  <c r="B9439" i="1"/>
  <c r="C9439" i="1"/>
  <c r="M9439" i="1"/>
  <c r="B9440" i="1"/>
  <c r="C9440" i="1"/>
  <c r="M9440" i="1"/>
  <c r="B9441" i="1"/>
  <c r="C9441" i="1"/>
  <c r="M9441" i="1"/>
  <c r="B9442" i="1"/>
  <c r="C9442" i="1"/>
  <c r="M9442" i="1"/>
  <c r="B9443" i="1"/>
  <c r="C9443" i="1"/>
  <c r="M9443" i="1"/>
  <c r="B9444" i="1"/>
  <c r="C9444" i="1"/>
  <c r="M9444" i="1"/>
  <c r="B9445" i="1"/>
  <c r="C9445" i="1"/>
  <c r="M9445" i="1"/>
  <c r="B9446" i="1"/>
  <c r="C9446" i="1"/>
  <c r="M9446" i="1"/>
  <c r="B9447" i="1"/>
  <c r="C9447" i="1"/>
  <c r="M9447" i="1"/>
  <c r="B9448" i="1"/>
  <c r="C9448" i="1"/>
  <c r="M9448" i="1"/>
  <c r="B9449" i="1"/>
  <c r="C9449" i="1"/>
  <c r="M9449" i="1"/>
  <c r="B9450" i="1"/>
  <c r="C9450" i="1"/>
  <c r="M9450" i="1"/>
  <c r="B9451" i="1"/>
  <c r="C9451" i="1"/>
  <c r="M9451" i="1"/>
  <c r="B9452" i="1"/>
  <c r="C9452" i="1"/>
  <c r="M9452" i="1"/>
  <c r="B9453" i="1"/>
  <c r="C9453" i="1"/>
  <c r="M9453" i="1"/>
  <c r="B9454" i="1"/>
  <c r="C9454" i="1"/>
  <c r="M9454" i="1"/>
  <c r="B9455" i="1"/>
  <c r="C9455" i="1"/>
  <c r="M9455" i="1"/>
  <c r="B9456" i="1"/>
  <c r="C9456" i="1"/>
  <c r="M9456" i="1"/>
  <c r="B9457" i="1"/>
  <c r="C9457" i="1"/>
  <c r="M9457" i="1"/>
  <c r="B9458" i="1"/>
  <c r="C9458" i="1"/>
  <c r="M9458" i="1"/>
  <c r="B9459" i="1"/>
  <c r="C9459" i="1"/>
  <c r="M9459" i="1"/>
  <c r="B9460" i="1"/>
  <c r="C9460" i="1"/>
  <c r="M9460" i="1"/>
  <c r="B9461" i="1"/>
  <c r="C9461" i="1"/>
  <c r="M9461" i="1"/>
  <c r="B9462" i="1"/>
  <c r="C9462" i="1"/>
  <c r="M9462" i="1"/>
  <c r="B9463" i="1"/>
  <c r="C9463" i="1"/>
  <c r="M9463" i="1"/>
  <c r="B9464" i="1"/>
  <c r="C9464" i="1"/>
  <c r="M9464" i="1"/>
  <c r="B9465" i="1"/>
  <c r="C9465" i="1"/>
  <c r="M9465" i="1"/>
  <c r="B9466" i="1"/>
  <c r="C9466" i="1"/>
  <c r="M9466" i="1"/>
  <c r="B9467" i="1"/>
  <c r="C9467" i="1"/>
  <c r="M9467" i="1"/>
  <c r="B9468" i="1"/>
  <c r="C9468" i="1"/>
  <c r="M9468" i="1"/>
  <c r="B9469" i="1"/>
  <c r="C9469" i="1"/>
  <c r="M9469" i="1"/>
  <c r="B9470" i="1"/>
  <c r="C9470" i="1"/>
  <c r="M9470" i="1"/>
  <c r="B9471" i="1"/>
  <c r="C9471" i="1"/>
  <c r="M9471" i="1"/>
  <c r="B9472" i="1"/>
  <c r="C9472" i="1"/>
  <c r="M9472" i="1"/>
  <c r="B9473" i="1"/>
  <c r="C9473" i="1"/>
  <c r="M9473" i="1"/>
  <c r="B9474" i="1"/>
  <c r="C9474" i="1"/>
  <c r="M9474" i="1"/>
  <c r="B9475" i="1"/>
  <c r="C9475" i="1"/>
  <c r="M9475" i="1"/>
  <c r="B9476" i="1"/>
  <c r="C9476" i="1"/>
  <c r="M9476" i="1"/>
  <c r="B9477" i="1"/>
  <c r="C9477" i="1"/>
  <c r="M9477" i="1"/>
  <c r="B9478" i="1"/>
  <c r="C9478" i="1"/>
  <c r="M9478" i="1"/>
  <c r="B9479" i="1"/>
  <c r="C9479" i="1"/>
  <c r="M9479" i="1"/>
  <c r="B9480" i="1"/>
  <c r="C9480" i="1"/>
  <c r="M9480" i="1"/>
  <c r="B9481" i="1"/>
  <c r="C9481" i="1"/>
  <c r="M9481" i="1"/>
  <c r="B9482" i="1"/>
  <c r="C9482" i="1"/>
  <c r="M9482" i="1"/>
  <c r="B9483" i="1"/>
  <c r="C9483" i="1"/>
  <c r="M9483" i="1"/>
  <c r="B9484" i="1"/>
  <c r="C9484" i="1"/>
  <c r="M9484" i="1"/>
  <c r="B9485" i="1"/>
  <c r="C9485" i="1"/>
  <c r="M9485" i="1"/>
  <c r="B9486" i="1"/>
  <c r="C9486" i="1"/>
  <c r="M9486" i="1"/>
  <c r="B9487" i="1"/>
  <c r="C9487" i="1"/>
  <c r="M9487" i="1"/>
  <c r="B9488" i="1"/>
  <c r="C9488" i="1"/>
  <c r="M9488" i="1"/>
  <c r="B9489" i="1"/>
  <c r="C9489" i="1"/>
  <c r="M9489" i="1"/>
  <c r="B9490" i="1"/>
  <c r="C9490" i="1"/>
  <c r="M9490" i="1"/>
  <c r="B9491" i="1"/>
  <c r="C9491" i="1"/>
  <c r="M9491" i="1"/>
  <c r="B9492" i="1"/>
  <c r="C9492" i="1"/>
  <c r="M9492" i="1"/>
  <c r="B9493" i="1"/>
  <c r="C9493" i="1"/>
  <c r="M9493" i="1"/>
  <c r="B9494" i="1"/>
  <c r="C9494" i="1"/>
  <c r="M9494" i="1"/>
  <c r="B9495" i="1"/>
  <c r="C9495" i="1"/>
  <c r="M9495" i="1"/>
  <c r="B9496" i="1"/>
  <c r="C9496" i="1"/>
  <c r="M9496" i="1"/>
  <c r="B9497" i="1"/>
  <c r="C9497" i="1"/>
  <c r="M9497" i="1"/>
  <c r="B9498" i="1"/>
  <c r="C9498" i="1"/>
  <c r="M9498" i="1"/>
  <c r="B9499" i="1"/>
  <c r="C9499" i="1"/>
  <c r="M9499" i="1"/>
  <c r="B9500" i="1"/>
  <c r="C9500" i="1"/>
  <c r="M9500" i="1"/>
  <c r="B9501" i="1"/>
  <c r="C9501" i="1"/>
  <c r="M9501" i="1"/>
  <c r="B9502" i="1"/>
  <c r="C9502" i="1"/>
  <c r="M9502" i="1"/>
  <c r="B9503" i="1"/>
  <c r="C9503" i="1"/>
  <c r="M9503" i="1"/>
  <c r="B9504" i="1"/>
  <c r="C9504" i="1"/>
  <c r="M9504" i="1"/>
  <c r="B9505" i="1"/>
  <c r="C9505" i="1"/>
  <c r="M9505" i="1"/>
  <c r="B9506" i="1"/>
  <c r="C9506" i="1"/>
  <c r="M9506" i="1"/>
  <c r="B9507" i="1"/>
  <c r="C9507" i="1"/>
  <c r="M9507" i="1"/>
  <c r="B9508" i="1"/>
  <c r="C9508" i="1"/>
  <c r="M9508" i="1"/>
  <c r="B9509" i="1"/>
  <c r="C9509" i="1"/>
  <c r="M9509" i="1"/>
  <c r="B9510" i="1"/>
  <c r="C9510" i="1"/>
  <c r="M9510" i="1"/>
  <c r="B9511" i="1"/>
  <c r="C9511" i="1"/>
  <c r="M9511" i="1"/>
  <c r="B9512" i="1"/>
  <c r="C9512" i="1"/>
  <c r="M9512" i="1"/>
  <c r="B9513" i="1"/>
  <c r="C9513" i="1"/>
  <c r="M9513" i="1"/>
  <c r="B9514" i="1"/>
  <c r="C9514" i="1"/>
  <c r="M9514" i="1"/>
  <c r="B9515" i="1"/>
  <c r="C9515" i="1"/>
  <c r="M9515" i="1"/>
  <c r="B9516" i="1"/>
  <c r="C9516" i="1"/>
  <c r="M9516" i="1"/>
  <c r="B9517" i="1"/>
  <c r="C9517" i="1"/>
  <c r="M9517" i="1"/>
  <c r="B9518" i="1"/>
  <c r="C9518" i="1"/>
  <c r="M9518" i="1"/>
  <c r="B9519" i="1"/>
  <c r="C9519" i="1"/>
  <c r="M9519" i="1"/>
  <c r="B9520" i="1"/>
  <c r="C9520" i="1"/>
  <c r="M9520" i="1"/>
  <c r="B9521" i="1"/>
  <c r="C9521" i="1"/>
  <c r="M9521" i="1"/>
  <c r="B9522" i="1"/>
  <c r="C9522" i="1"/>
  <c r="M9522" i="1"/>
  <c r="B9523" i="1"/>
  <c r="C9523" i="1"/>
  <c r="M9523" i="1"/>
  <c r="B9524" i="1"/>
  <c r="C9524" i="1"/>
  <c r="M9524" i="1"/>
  <c r="B9525" i="1"/>
  <c r="C9525" i="1"/>
  <c r="M9525" i="1"/>
  <c r="B9526" i="1"/>
  <c r="C9526" i="1"/>
  <c r="M9526" i="1"/>
  <c r="B9527" i="1"/>
  <c r="C9527" i="1"/>
  <c r="M9527" i="1"/>
  <c r="B9528" i="1"/>
  <c r="C9528" i="1"/>
  <c r="M9528" i="1"/>
  <c r="B9529" i="1"/>
  <c r="C9529" i="1"/>
  <c r="M9529" i="1"/>
  <c r="B9530" i="1"/>
  <c r="C9530" i="1"/>
  <c r="M9530" i="1"/>
  <c r="B9531" i="1"/>
  <c r="C9531" i="1"/>
  <c r="M9531" i="1"/>
  <c r="B9532" i="1"/>
  <c r="C9532" i="1"/>
  <c r="M9532" i="1"/>
  <c r="B9533" i="1"/>
  <c r="C9533" i="1"/>
  <c r="M9533" i="1"/>
  <c r="B9534" i="1"/>
  <c r="C9534" i="1"/>
  <c r="M9534" i="1"/>
  <c r="B9535" i="1"/>
  <c r="C9535" i="1"/>
  <c r="M9535" i="1"/>
  <c r="B9536" i="1"/>
  <c r="C9536" i="1"/>
  <c r="M9536" i="1"/>
  <c r="B9537" i="1"/>
  <c r="C9537" i="1"/>
  <c r="M9537" i="1"/>
  <c r="B9538" i="1"/>
  <c r="C9538" i="1"/>
  <c r="M9538" i="1"/>
  <c r="B9539" i="1"/>
  <c r="C9539" i="1"/>
  <c r="M9539" i="1"/>
  <c r="B9540" i="1"/>
  <c r="C9540" i="1"/>
  <c r="M9540" i="1"/>
  <c r="B9541" i="1"/>
  <c r="C9541" i="1"/>
  <c r="M9541" i="1"/>
  <c r="B9542" i="1"/>
  <c r="C9542" i="1"/>
  <c r="M9542" i="1"/>
  <c r="B9543" i="1"/>
  <c r="C9543" i="1"/>
  <c r="M9543" i="1"/>
  <c r="B9544" i="1"/>
  <c r="C9544" i="1"/>
  <c r="M9544" i="1"/>
  <c r="B9545" i="1"/>
  <c r="C9545" i="1"/>
  <c r="M9545" i="1"/>
  <c r="B9546" i="1"/>
  <c r="C9546" i="1"/>
  <c r="M9546" i="1"/>
  <c r="B9547" i="1"/>
  <c r="C9547" i="1"/>
  <c r="M9547" i="1"/>
  <c r="B9548" i="1"/>
  <c r="C9548" i="1"/>
  <c r="M9548" i="1"/>
  <c r="B9549" i="1"/>
  <c r="C9549" i="1"/>
  <c r="M9549" i="1"/>
  <c r="B9550" i="1"/>
  <c r="C9550" i="1"/>
  <c r="M9550" i="1"/>
  <c r="B9551" i="1"/>
  <c r="C9551" i="1"/>
  <c r="M9551" i="1"/>
  <c r="B9552" i="1"/>
  <c r="C9552" i="1"/>
  <c r="M9552" i="1"/>
  <c r="B9553" i="1"/>
  <c r="C9553" i="1"/>
  <c r="M9553" i="1"/>
  <c r="B9554" i="1"/>
  <c r="C9554" i="1"/>
  <c r="M9554" i="1"/>
  <c r="B9555" i="1"/>
  <c r="C9555" i="1"/>
  <c r="M9555" i="1"/>
  <c r="B9556" i="1"/>
  <c r="C9556" i="1"/>
  <c r="M9556" i="1"/>
  <c r="B9557" i="1"/>
  <c r="C9557" i="1"/>
  <c r="M9557" i="1"/>
  <c r="B9558" i="1"/>
  <c r="C9558" i="1"/>
  <c r="M9558" i="1"/>
  <c r="B9559" i="1"/>
  <c r="C9559" i="1"/>
  <c r="M9559" i="1"/>
  <c r="B9560" i="1"/>
  <c r="C9560" i="1"/>
  <c r="M9560" i="1"/>
  <c r="B9561" i="1"/>
  <c r="C9561" i="1"/>
  <c r="M9561" i="1"/>
  <c r="B9562" i="1"/>
  <c r="C9562" i="1"/>
  <c r="M9562" i="1"/>
  <c r="B9563" i="1"/>
  <c r="C9563" i="1"/>
  <c r="M9563" i="1"/>
  <c r="B9564" i="1"/>
  <c r="C9564" i="1"/>
  <c r="M9564" i="1"/>
  <c r="B9565" i="1"/>
  <c r="C9565" i="1"/>
  <c r="M9565" i="1"/>
  <c r="B9566" i="1"/>
  <c r="C9566" i="1"/>
  <c r="M9566" i="1"/>
  <c r="B9567" i="1"/>
  <c r="C9567" i="1"/>
  <c r="M9567" i="1"/>
  <c r="B9568" i="1"/>
  <c r="C9568" i="1"/>
  <c r="M9568" i="1"/>
  <c r="B9569" i="1"/>
  <c r="C9569" i="1"/>
  <c r="M9569" i="1"/>
  <c r="B9570" i="1"/>
  <c r="C9570" i="1"/>
  <c r="M9570" i="1"/>
  <c r="B9571" i="1"/>
  <c r="C9571" i="1"/>
  <c r="M9571" i="1"/>
  <c r="B9572" i="1"/>
  <c r="C9572" i="1"/>
  <c r="M9572" i="1"/>
  <c r="B9573" i="1"/>
  <c r="C9573" i="1"/>
  <c r="M9573" i="1"/>
  <c r="B9574" i="1"/>
  <c r="C9574" i="1"/>
  <c r="M9574" i="1"/>
  <c r="B9575" i="1"/>
  <c r="C9575" i="1"/>
  <c r="M9575" i="1"/>
  <c r="B9576" i="1"/>
  <c r="C9576" i="1"/>
  <c r="M9576" i="1"/>
  <c r="B9577" i="1"/>
  <c r="C9577" i="1"/>
  <c r="M9577" i="1"/>
  <c r="B9578" i="1"/>
  <c r="C9578" i="1"/>
  <c r="M9578" i="1"/>
  <c r="B9579" i="1"/>
  <c r="C9579" i="1"/>
  <c r="M9579" i="1"/>
  <c r="B9580" i="1"/>
  <c r="C9580" i="1"/>
  <c r="M9580" i="1"/>
  <c r="B9581" i="1"/>
  <c r="C9581" i="1"/>
  <c r="M9581" i="1"/>
  <c r="B9582" i="1"/>
  <c r="C9582" i="1"/>
  <c r="M9582" i="1"/>
  <c r="B9583" i="1"/>
  <c r="C9583" i="1"/>
  <c r="M9583" i="1"/>
  <c r="B9584" i="1"/>
  <c r="C9584" i="1"/>
  <c r="M9584" i="1"/>
  <c r="B9585" i="1"/>
  <c r="C9585" i="1"/>
  <c r="M9585" i="1"/>
  <c r="B9586" i="1"/>
  <c r="C9586" i="1"/>
  <c r="M9586" i="1"/>
  <c r="B9587" i="1"/>
  <c r="C9587" i="1"/>
  <c r="M9587" i="1"/>
  <c r="B9588" i="1"/>
  <c r="C9588" i="1"/>
  <c r="M9588" i="1"/>
  <c r="B9589" i="1"/>
  <c r="C9589" i="1"/>
  <c r="M9589" i="1"/>
  <c r="B9590" i="1"/>
  <c r="C9590" i="1"/>
  <c r="M9590" i="1"/>
  <c r="B9591" i="1"/>
  <c r="C9591" i="1"/>
  <c r="M9591" i="1"/>
  <c r="B9592" i="1"/>
  <c r="C9592" i="1"/>
  <c r="M9592" i="1"/>
  <c r="B9593" i="1"/>
  <c r="C9593" i="1"/>
  <c r="M9593" i="1"/>
  <c r="B9594" i="1"/>
  <c r="C9594" i="1"/>
  <c r="M9594" i="1"/>
  <c r="B9595" i="1"/>
  <c r="C9595" i="1"/>
  <c r="M9595" i="1"/>
  <c r="B9596" i="1"/>
  <c r="C9596" i="1"/>
  <c r="M9596" i="1"/>
  <c r="B9597" i="1"/>
  <c r="C9597" i="1"/>
  <c r="M9597" i="1"/>
  <c r="B9598" i="1"/>
  <c r="C9598" i="1"/>
  <c r="M9598" i="1"/>
  <c r="B9599" i="1"/>
  <c r="C9599" i="1"/>
  <c r="M9599" i="1"/>
  <c r="B9600" i="1"/>
  <c r="C9600" i="1"/>
  <c r="M9600" i="1"/>
  <c r="B9601" i="1"/>
  <c r="C9601" i="1"/>
  <c r="M9601" i="1"/>
  <c r="B9602" i="1"/>
  <c r="C9602" i="1"/>
  <c r="M9602" i="1"/>
  <c r="B9603" i="1"/>
  <c r="C9603" i="1"/>
  <c r="M9603" i="1"/>
  <c r="B9604" i="1"/>
  <c r="C9604" i="1"/>
  <c r="M9604" i="1"/>
  <c r="B9605" i="1"/>
  <c r="C9605" i="1"/>
  <c r="M9605" i="1"/>
  <c r="B9606" i="1"/>
  <c r="C9606" i="1"/>
  <c r="M9606" i="1"/>
  <c r="B9607" i="1"/>
  <c r="C9607" i="1"/>
  <c r="M9607" i="1"/>
  <c r="B9608" i="1"/>
  <c r="C9608" i="1"/>
  <c r="M9608" i="1"/>
  <c r="B9609" i="1"/>
  <c r="C9609" i="1"/>
  <c r="M9609" i="1"/>
  <c r="B9610" i="1"/>
  <c r="C9610" i="1"/>
  <c r="M9610" i="1"/>
  <c r="B9611" i="1"/>
  <c r="C9611" i="1"/>
  <c r="M9611" i="1"/>
  <c r="B9612" i="1"/>
  <c r="C9612" i="1"/>
  <c r="M9612" i="1"/>
  <c r="B9613" i="1"/>
  <c r="C9613" i="1"/>
  <c r="M9613" i="1"/>
  <c r="B9614" i="1"/>
  <c r="C9614" i="1"/>
  <c r="M9614" i="1"/>
  <c r="B9615" i="1"/>
  <c r="C9615" i="1"/>
  <c r="M9615" i="1"/>
  <c r="B9616" i="1"/>
  <c r="C9616" i="1"/>
  <c r="M9616" i="1"/>
  <c r="B9617" i="1"/>
  <c r="C9617" i="1"/>
  <c r="M9617" i="1"/>
  <c r="B9618" i="1"/>
  <c r="C9618" i="1"/>
  <c r="M9618" i="1"/>
  <c r="B9619" i="1"/>
  <c r="C9619" i="1"/>
  <c r="M9619" i="1"/>
  <c r="B9620" i="1"/>
  <c r="C9620" i="1"/>
  <c r="M9620" i="1"/>
  <c r="B9621" i="1"/>
  <c r="C9621" i="1"/>
  <c r="M9621" i="1"/>
  <c r="B9622" i="1"/>
  <c r="C9622" i="1"/>
  <c r="M9622" i="1"/>
  <c r="B9623" i="1"/>
  <c r="C9623" i="1"/>
  <c r="M9623" i="1"/>
  <c r="B9624" i="1"/>
  <c r="C9624" i="1"/>
  <c r="M9624" i="1"/>
  <c r="B9625" i="1"/>
  <c r="C9625" i="1"/>
  <c r="M9625" i="1"/>
  <c r="B9626" i="1"/>
  <c r="C9626" i="1"/>
  <c r="M9626" i="1"/>
  <c r="B9627" i="1"/>
  <c r="C9627" i="1"/>
  <c r="M9627" i="1"/>
  <c r="B9628" i="1"/>
  <c r="C9628" i="1"/>
  <c r="M9628" i="1"/>
  <c r="B9629" i="1"/>
  <c r="C9629" i="1"/>
  <c r="M9629" i="1"/>
  <c r="B9630" i="1"/>
  <c r="C9630" i="1"/>
  <c r="M9630" i="1"/>
  <c r="B9631" i="1"/>
  <c r="C9631" i="1"/>
  <c r="M9631" i="1"/>
  <c r="B9632" i="1"/>
  <c r="C9632" i="1"/>
  <c r="M9632" i="1"/>
  <c r="B9633" i="1"/>
  <c r="C9633" i="1"/>
  <c r="M9633" i="1"/>
  <c r="B9634" i="1"/>
  <c r="C9634" i="1"/>
  <c r="M9634" i="1"/>
  <c r="B9635" i="1"/>
  <c r="C9635" i="1"/>
  <c r="M9635" i="1"/>
  <c r="B9636" i="1"/>
  <c r="C9636" i="1"/>
  <c r="M9636" i="1"/>
  <c r="B9637" i="1"/>
  <c r="C9637" i="1"/>
  <c r="M9637" i="1"/>
  <c r="B9638" i="1"/>
  <c r="C9638" i="1"/>
  <c r="M9638" i="1"/>
  <c r="B9639" i="1"/>
  <c r="C9639" i="1"/>
  <c r="M9639" i="1"/>
  <c r="B9640" i="1"/>
  <c r="C9640" i="1"/>
  <c r="M9640" i="1"/>
  <c r="B9641" i="1"/>
  <c r="C9641" i="1"/>
  <c r="M9641" i="1"/>
  <c r="B9642" i="1"/>
  <c r="C9642" i="1"/>
  <c r="M9642" i="1"/>
  <c r="B9643" i="1"/>
  <c r="C9643" i="1"/>
  <c r="M9643" i="1"/>
  <c r="B9644" i="1"/>
  <c r="C9644" i="1"/>
  <c r="M9644" i="1"/>
  <c r="B9645" i="1"/>
  <c r="C9645" i="1"/>
  <c r="M9645" i="1"/>
  <c r="B9646" i="1"/>
  <c r="C9646" i="1"/>
  <c r="M9646" i="1"/>
  <c r="B9647" i="1"/>
  <c r="C9647" i="1"/>
  <c r="M9647" i="1"/>
  <c r="B9648" i="1"/>
  <c r="C9648" i="1"/>
  <c r="M9648" i="1"/>
  <c r="B9649" i="1"/>
  <c r="C9649" i="1"/>
  <c r="M9649" i="1"/>
  <c r="B9650" i="1"/>
  <c r="C9650" i="1"/>
  <c r="M9650" i="1"/>
  <c r="B9651" i="1"/>
  <c r="C9651" i="1"/>
  <c r="M9651" i="1"/>
  <c r="B9652" i="1"/>
  <c r="C9652" i="1"/>
  <c r="M9652" i="1"/>
  <c r="B9653" i="1"/>
  <c r="C9653" i="1"/>
  <c r="M9653" i="1"/>
  <c r="B9654" i="1"/>
  <c r="C9654" i="1"/>
  <c r="M9654" i="1"/>
  <c r="B9655" i="1"/>
  <c r="C9655" i="1"/>
  <c r="M9655" i="1"/>
  <c r="B9656" i="1"/>
  <c r="C9656" i="1"/>
  <c r="M9656" i="1"/>
  <c r="B9657" i="1"/>
  <c r="C9657" i="1"/>
  <c r="M9657" i="1"/>
  <c r="B9658" i="1"/>
  <c r="C9658" i="1"/>
  <c r="M9658" i="1"/>
  <c r="B9659" i="1"/>
  <c r="C9659" i="1"/>
  <c r="M9659" i="1"/>
  <c r="B9660" i="1"/>
  <c r="C9660" i="1"/>
  <c r="M9660" i="1"/>
  <c r="B9661" i="1"/>
  <c r="C9661" i="1"/>
  <c r="M9661" i="1"/>
  <c r="B9662" i="1"/>
  <c r="C9662" i="1"/>
  <c r="M9662" i="1"/>
  <c r="B9663" i="1"/>
  <c r="C9663" i="1"/>
  <c r="M9663" i="1"/>
  <c r="B9664" i="1"/>
  <c r="C9664" i="1"/>
  <c r="M9664" i="1"/>
  <c r="B9665" i="1"/>
  <c r="C9665" i="1"/>
  <c r="M9665" i="1"/>
  <c r="B9666" i="1"/>
  <c r="C9666" i="1"/>
  <c r="M9666" i="1"/>
  <c r="B9667" i="1"/>
  <c r="C9667" i="1"/>
  <c r="M9667" i="1"/>
  <c r="B9668" i="1"/>
  <c r="C9668" i="1"/>
  <c r="M9668" i="1"/>
  <c r="B9669" i="1"/>
  <c r="C9669" i="1"/>
  <c r="M9669" i="1"/>
  <c r="B9670" i="1"/>
  <c r="C9670" i="1"/>
  <c r="M9670" i="1"/>
  <c r="B9671" i="1"/>
  <c r="C9671" i="1"/>
  <c r="M9671" i="1"/>
  <c r="B9672" i="1"/>
  <c r="C9672" i="1"/>
  <c r="M9672" i="1"/>
  <c r="B9673" i="1"/>
  <c r="C9673" i="1"/>
  <c r="M9673" i="1"/>
  <c r="B9674" i="1"/>
  <c r="C9674" i="1"/>
  <c r="M9674" i="1"/>
  <c r="B9675" i="1"/>
  <c r="C9675" i="1"/>
  <c r="M9675" i="1"/>
  <c r="B9676" i="1"/>
  <c r="C9676" i="1"/>
  <c r="M9676" i="1"/>
  <c r="B9677" i="1"/>
  <c r="C9677" i="1"/>
  <c r="M9677" i="1"/>
  <c r="B9678" i="1"/>
  <c r="C9678" i="1"/>
  <c r="M9678" i="1"/>
  <c r="B9679" i="1"/>
  <c r="C9679" i="1"/>
  <c r="M9679" i="1"/>
  <c r="B9680" i="1"/>
  <c r="C9680" i="1"/>
  <c r="M9680" i="1"/>
  <c r="B9681" i="1"/>
  <c r="C9681" i="1"/>
  <c r="M9681" i="1"/>
  <c r="B9682" i="1"/>
  <c r="C9682" i="1"/>
  <c r="M9682" i="1"/>
  <c r="B9683" i="1"/>
  <c r="C9683" i="1"/>
  <c r="M9683" i="1"/>
  <c r="B9684" i="1"/>
  <c r="C9684" i="1"/>
  <c r="M9684" i="1"/>
  <c r="B9685" i="1"/>
  <c r="C9685" i="1"/>
  <c r="M9685" i="1"/>
  <c r="B9686" i="1"/>
  <c r="C9686" i="1"/>
  <c r="M9686" i="1"/>
  <c r="B9687" i="1"/>
  <c r="C9687" i="1"/>
  <c r="M9687" i="1"/>
  <c r="B9688" i="1"/>
  <c r="C9688" i="1"/>
  <c r="M9688" i="1"/>
  <c r="B9689" i="1"/>
  <c r="C9689" i="1"/>
  <c r="M9689" i="1"/>
  <c r="B9690" i="1"/>
  <c r="C9690" i="1"/>
  <c r="M9690" i="1"/>
  <c r="B9691" i="1"/>
  <c r="C9691" i="1"/>
  <c r="M9691" i="1"/>
  <c r="B9692" i="1"/>
  <c r="C9692" i="1"/>
  <c r="M9692" i="1"/>
  <c r="B9693" i="1"/>
  <c r="C9693" i="1"/>
  <c r="M9693" i="1"/>
  <c r="B9694" i="1"/>
  <c r="C9694" i="1"/>
  <c r="M9694" i="1"/>
  <c r="B9695" i="1"/>
  <c r="C9695" i="1"/>
  <c r="M9695" i="1"/>
  <c r="B9696" i="1"/>
  <c r="C9696" i="1"/>
  <c r="M9696" i="1"/>
  <c r="B9697" i="1"/>
  <c r="C9697" i="1"/>
  <c r="M9697" i="1"/>
  <c r="B9698" i="1"/>
  <c r="C9698" i="1"/>
  <c r="M9698" i="1"/>
  <c r="B9699" i="1"/>
  <c r="C9699" i="1"/>
  <c r="M9699" i="1"/>
  <c r="B9700" i="1"/>
  <c r="C9700" i="1"/>
  <c r="M9700" i="1"/>
  <c r="B9701" i="1"/>
  <c r="C9701" i="1"/>
  <c r="M9701" i="1"/>
  <c r="B9702" i="1"/>
  <c r="C9702" i="1"/>
  <c r="M9702" i="1"/>
  <c r="B9703" i="1"/>
  <c r="C9703" i="1"/>
  <c r="M9703" i="1"/>
  <c r="B9704" i="1"/>
  <c r="C9704" i="1"/>
  <c r="M9704" i="1"/>
  <c r="B9705" i="1"/>
  <c r="C9705" i="1"/>
  <c r="M9705" i="1"/>
  <c r="B9706" i="1"/>
  <c r="C9706" i="1"/>
  <c r="M9706" i="1"/>
  <c r="B9707" i="1"/>
  <c r="C9707" i="1"/>
  <c r="M9707" i="1"/>
  <c r="B9708" i="1"/>
  <c r="C9708" i="1"/>
  <c r="M9708" i="1"/>
  <c r="B9709" i="1"/>
  <c r="C9709" i="1"/>
  <c r="M9709" i="1"/>
  <c r="B9710" i="1"/>
  <c r="C9710" i="1"/>
  <c r="M9710" i="1"/>
  <c r="B9711" i="1"/>
  <c r="C9711" i="1"/>
  <c r="M9711" i="1"/>
  <c r="B9712" i="1"/>
  <c r="C9712" i="1"/>
  <c r="M9712" i="1"/>
  <c r="B9713" i="1"/>
  <c r="C9713" i="1"/>
  <c r="M9713" i="1"/>
  <c r="B9714" i="1"/>
  <c r="C9714" i="1"/>
  <c r="M9714" i="1"/>
  <c r="B9715" i="1"/>
  <c r="C9715" i="1"/>
  <c r="M9715" i="1"/>
  <c r="B9716" i="1"/>
  <c r="C9716" i="1"/>
  <c r="M9716" i="1"/>
  <c r="B9717" i="1"/>
  <c r="C9717" i="1"/>
  <c r="M9717" i="1"/>
  <c r="B9718" i="1"/>
  <c r="C9718" i="1"/>
  <c r="M9718" i="1"/>
  <c r="B9719" i="1"/>
  <c r="C9719" i="1"/>
  <c r="M9719" i="1"/>
  <c r="B9720" i="1"/>
  <c r="C9720" i="1"/>
  <c r="M9720" i="1"/>
  <c r="B9721" i="1"/>
  <c r="C9721" i="1"/>
  <c r="M9721" i="1"/>
  <c r="B9722" i="1"/>
  <c r="C9722" i="1"/>
  <c r="M9722" i="1"/>
  <c r="B9723" i="1"/>
  <c r="C9723" i="1"/>
  <c r="M9723" i="1"/>
  <c r="B9724" i="1"/>
  <c r="C9724" i="1"/>
  <c r="M9724" i="1"/>
  <c r="B9725" i="1"/>
  <c r="C9725" i="1"/>
  <c r="M9725" i="1"/>
  <c r="B9726" i="1"/>
  <c r="C9726" i="1"/>
  <c r="M9726" i="1"/>
  <c r="B9727" i="1"/>
  <c r="C9727" i="1"/>
  <c r="M9727" i="1"/>
  <c r="B9728" i="1"/>
  <c r="C9728" i="1"/>
  <c r="M9728" i="1"/>
  <c r="B9729" i="1"/>
  <c r="C9729" i="1"/>
  <c r="M9729" i="1"/>
  <c r="B9730" i="1"/>
  <c r="C9730" i="1"/>
  <c r="M9730" i="1"/>
  <c r="B9731" i="1"/>
  <c r="C9731" i="1"/>
  <c r="M9731" i="1"/>
  <c r="B9732" i="1"/>
  <c r="C9732" i="1"/>
  <c r="M9732" i="1"/>
  <c r="B9733" i="1"/>
  <c r="C9733" i="1"/>
  <c r="M9733" i="1"/>
  <c r="B9734" i="1"/>
  <c r="C9734" i="1"/>
  <c r="M9734" i="1"/>
  <c r="B9735" i="1"/>
  <c r="C9735" i="1"/>
  <c r="M9735" i="1"/>
  <c r="B9736" i="1"/>
  <c r="C9736" i="1"/>
  <c r="M9736" i="1"/>
  <c r="B9737" i="1"/>
  <c r="C9737" i="1"/>
  <c r="M9737" i="1"/>
  <c r="B9738" i="1"/>
  <c r="C9738" i="1"/>
  <c r="M9738" i="1"/>
  <c r="B9739" i="1"/>
  <c r="C9739" i="1"/>
  <c r="M9739" i="1"/>
  <c r="B9740" i="1"/>
  <c r="C9740" i="1"/>
  <c r="M9740" i="1"/>
  <c r="B9741" i="1"/>
  <c r="C9741" i="1"/>
  <c r="M9741" i="1"/>
  <c r="B9742" i="1"/>
  <c r="C9742" i="1"/>
  <c r="M9742" i="1"/>
  <c r="B9743" i="1"/>
  <c r="C9743" i="1"/>
  <c r="M9743" i="1"/>
  <c r="B9744" i="1"/>
  <c r="C9744" i="1"/>
  <c r="M9744" i="1"/>
  <c r="B9745" i="1"/>
  <c r="C9745" i="1"/>
  <c r="M9745" i="1"/>
  <c r="B9746" i="1"/>
  <c r="C9746" i="1"/>
  <c r="M9746" i="1"/>
  <c r="B9747" i="1"/>
  <c r="C9747" i="1"/>
  <c r="M9747" i="1"/>
  <c r="B9748" i="1"/>
  <c r="C9748" i="1"/>
  <c r="M9748" i="1"/>
  <c r="B9749" i="1"/>
  <c r="C9749" i="1"/>
  <c r="M9749" i="1"/>
  <c r="B9750" i="1"/>
  <c r="C9750" i="1"/>
  <c r="M9750" i="1"/>
  <c r="B9751" i="1"/>
  <c r="C9751" i="1"/>
  <c r="M9751" i="1"/>
  <c r="B9752" i="1"/>
  <c r="C9752" i="1"/>
  <c r="M9752" i="1"/>
  <c r="B9753" i="1"/>
  <c r="C9753" i="1"/>
  <c r="M9753" i="1"/>
  <c r="B9754" i="1"/>
  <c r="C9754" i="1"/>
  <c r="M9754" i="1"/>
  <c r="B9755" i="1"/>
  <c r="C9755" i="1"/>
  <c r="M9755" i="1"/>
  <c r="B9756" i="1"/>
  <c r="C9756" i="1"/>
  <c r="M9756" i="1"/>
  <c r="B9757" i="1"/>
  <c r="C9757" i="1"/>
  <c r="M9757" i="1"/>
  <c r="B9758" i="1"/>
  <c r="C9758" i="1"/>
  <c r="M9758" i="1"/>
  <c r="B9759" i="1"/>
  <c r="C9759" i="1"/>
  <c r="M9759" i="1"/>
  <c r="B9760" i="1"/>
  <c r="C9760" i="1"/>
  <c r="M9760" i="1"/>
  <c r="B9761" i="1"/>
  <c r="C9761" i="1"/>
  <c r="M9761" i="1"/>
  <c r="B9762" i="1"/>
  <c r="C9762" i="1"/>
  <c r="M9762" i="1"/>
  <c r="B9763" i="1"/>
  <c r="C9763" i="1"/>
  <c r="M9763" i="1"/>
  <c r="B9764" i="1"/>
  <c r="C9764" i="1"/>
  <c r="M9764" i="1"/>
  <c r="B9765" i="1"/>
  <c r="C9765" i="1"/>
  <c r="M9765" i="1"/>
  <c r="B9766" i="1"/>
  <c r="C9766" i="1"/>
  <c r="M9766" i="1"/>
  <c r="B9767" i="1"/>
  <c r="C9767" i="1"/>
  <c r="M9767" i="1"/>
  <c r="B9768" i="1"/>
  <c r="C9768" i="1"/>
  <c r="M9768" i="1"/>
  <c r="B9769" i="1"/>
  <c r="C9769" i="1"/>
  <c r="M9769" i="1"/>
  <c r="B9770" i="1"/>
  <c r="C9770" i="1"/>
  <c r="M9770" i="1"/>
  <c r="B9771" i="1"/>
  <c r="C9771" i="1"/>
  <c r="M9771" i="1"/>
  <c r="B9772" i="1"/>
  <c r="C9772" i="1"/>
  <c r="M9772" i="1"/>
  <c r="B9773" i="1"/>
  <c r="C9773" i="1"/>
  <c r="M9773" i="1"/>
  <c r="B9774" i="1"/>
  <c r="C9774" i="1"/>
  <c r="M9774" i="1"/>
  <c r="B9775" i="1"/>
  <c r="C9775" i="1"/>
  <c r="M9775" i="1"/>
  <c r="B9776" i="1"/>
  <c r="C9776" i="1"/>
  <c r="M9776" i="1"/>
  <c r="B9777" i="1"/>
  <c r="C9777" i="1"/>
  <c r="M9777" i="1"/>
  <c r="B9778" i="1"/>
  <c r="C9778" i="1"/>
  <c r="M9778" i="1"/>
  <c r="B9779" i="1"/>
  <c r="C9779" i="1"/>
  <c r="M9779" i="1"/>
  <c r="B9780" i="1"/>
  <c r="C9780" i="1"/>
  <c r="M9780" i="1"/>
  <c r="B9781" i="1"/>
  <c r="C9781" i="1"/>
  <c r="M9781" i="1"/>
  <c r="B9782" i="1"/>
  <c r="C9782" i="1"/>
  <c r="M9782" i="1"/>
  <c r="B9783" i="1"/>
  <c r="C9783" i="1"/>
  <c r="M9783" i="1"/>
  <c r="B9784" i="1"/>
  <c r="C9784" i="1"/>
  <c r="M9784" i="1"/>
  <c r="B9785" i="1"/>
  <c r="C9785" i="1"/>
  <c r="M9785" i="1"/>
  <c r="B9786" i="1"/>
  <c r="C9786" i="1"/>
  <c r="M9786" i="1"/>
  <c r="B9787" i="1"/>
  <c r="C9787" i="1"/>
  <c r="M9787" i="1"/>
  <c r="B9788" i="1"/>
  <c r="C9788" i="1"/>
  <c r="M9788" i="1"/>
  <c r="B9789" i="1"/>
  <c r="C9789" i="1"/>
  <c r="M9789" i="1"/>
  <c r="B9790" i="1"/>
  <c r="C9790" i="1"/>
  <c r="M9790" i="1"/>
  <c r="B9791" i="1"/>
  <c r="C9791" i="1"/>
  <c r="M9791" i="1"/>
  <c r="B9792" i="1"/>
  <c r="C9792" i="1"/>
  <c r="M9792" i="1"/>
  <c r="B9793" i="1"/>
  <c r="C9793" i="1"/>
  <c r="M9793" i="1"/>
  <c r="B9794" i="1"/>
  <c r="C9794" i="1"/>
  <c r="M9794" i="1"/>
  <c r="B9795" i="1"/>
  <c r="C9795" i="1"/>
  <c r="M9795" i="1"/>
  <c r="B9796" i="1"/>
  <c r="C9796" i="1"/>
  <c r="M9796" i="1"/>
  <c r="B9797" i="1"/>
  <c r="C9797" i="1"/>
  <c r="M9797" i="1"/>
  <c r="B9798" i="1"/>
  <c r="C9798" i="1"/>
  <c r="M9798" i="1"/>
  <c r="B9799" i="1"/>
  <c r="C9799" i="1"/>
  <c r="M9799" i="1"/>
  <c r="B9800" i="1"/>
  <c r="C9800" i="1"/>
  <c r="M9800" i="1"/>
  <c r="B9801" i="1"/>
  <c r="C9801" i="1"/>
  <c r="M9801" i="1"/>
  <c r="B9802" i="1"/>
  <c r="C9802" i="1"/>
  <c r="M9802" i="1"/>
  <c r="B9803" i="1"/>
  <c r="C9803" i="1"/>
  <c r="M9803" i="1"/>
  <c r="B9804" i="1"/>
  <c r="C9804" i="1"/>
  <c r="M9804" i="1"/>
  <c r="B9805" i="1"/>
  <c r="C9805" i="1"/>
  <c r="M9805" i="1"/>
  <c r="B9806" i="1"/>
  <c r="C9806" i="1"/>
  <c r="M9806" i="1"/>
  <c r="B9807" i="1"/>
  <c r="C9807" i="1"/>
  <c r="M9807" i="1"/>
  <c r="B9808" i="1"/>
  <c r="C9808" i="1"/>
  <c r="M9808" i="1"/>
  <c r="B9809" i="1"/>
  <c r="C9809" i="1"/>
  <c r="M9809" i="1"/>
  <c r="B9810" i="1"/>
  <c r="C9810" i="1"/>
  <c r="M9810" i="1"/>
  <c r="B9811" i="1"/>
  <c r="C9811" i="1"/>
  <c r="M9811" i="1"/>
  <c r="B9812" i="1"/>
  <c r="C9812" i="1"/>
  <c r="M9812" i="1"/>
  <c r="B9813" i="1"/>
  <c r="C9813" i="1"/>
  <c r="M9813" i="1"/>
  <c r="B9814" i="1"/>
  <c r="C9814" i="1"/>
  <c r="M9814" i="1"/>
  <c r="B9815" i="1"/>
  <c r="C9815" i="1"/>
  <c r="M9815" i="1"/>
  <c r="B9816" i="1"/>
  <c r="C9816" i="1"/>
  <c r="M9816" i="1"/>
  <c r="B9817" i="1"/>
  <c r="C9817" i="1"/>
  <c r="M9817" i="1"/>
  <c r="B9818" i="1"/>
  <c r="C9818" i="1"/>
  <c r="M9818" i="1"/>
  <c r="B9819" i="1"/>
  <c r="C9819" i="1"/>
  <c r="M9819" i="1"/>
  <c r="B9820" i="1"/>
  <c r="C9820" i="1"/>
  <c r="M9820" i="1"/>
  <c r="B9821" i="1"/>
  <c r="C9821" i="1"/>
  <c r="M9821" i="1"/>
  <c r="B9822" i="1"/>
  <c r="C9822" i="1"/>
  <c r="M9822" i="1"/>
  <c r="B9823" i="1"/>
  <c r="C9823" i="1"/>
  <c r="M9823" i="1"/>
  <c r="B9824" i="1"/>
  <c r="C9824" i="1"/>
  <c r="M9824" i="1"/>
  <c r="B9825" i="1"/>
  <c r="C9825" i="1"/>
  <c r="M9825" i="1"/>
  <c r="B9826" i="1"/>
  <c r="C9826" i="1"/>
  <c r="M9826" i="1"/>
  <c r="B9827" i="1"/>
  <c r="C9827" i="1"/>
  <c r="M9827" i="1"/>
  <c r="B9828" i="1"/>
  <c r="C9828" i="1"/>
  <c r="M9828" i="1"/>
  <c r="B9829" i="1"/>
  <c r="C9829" i="1"/>
  <c r="M9829" i="1"/>
  <c r="B9830" i="1"/>
  <c r="C9830" i="1"/>
  <c r="M9830" i="1"/>
  <c r="B9831" i="1"/>
  <c r="C9831" i="1"/>
  <c r="M9831" i="1"/>
  <c r="B9832" i="1"/>
  <c r="C9832" i="1"/>
  <c r="M9832" i="1"/>
  <c r="B9833" i="1"/>
  <c r="C9833" i="1"/>
  <c r="M9833" i="1"/>
  <c r="B9834" i="1"/>
  <c r="C9834" i="1"/>
  <c r="M9834" i="1"/>
  <c r="B9835" i="1"/>
  <c r="C9835" i="1"/>
  <c r="M9835" i="1"/>
  <c r="B9836" i="1"/>
  <c r="C9836" i="1"/>
  <c r="M9836" i="1"/>
  <c r="B9837" i="1"/>
  <c r="C9837" i="1"/>
  <c r="M9837" i="1"/>
  <c r="B9838" i="1"/>
  <c r="C9838" i="1"/>
  <c r="M9838" i="1"/>
  <c r="B9839" i="1"/>
  <c r="C9839" i="1"/>
  <c r="M9839" i="1"/>
  <c r="B9840" i="1"/>
  <c r="C9840" i="1"/>
  <c r="M9840" i="1"/>
  <c r="B9841" i="1"/>
  <c r="C9841" i="1"/>
  <c r="M9841" i="1"/>
  <c r="B9842" i="1"/>
  <c r="C9842" i="1"/>
  <c r="M9842" i="1"/>
  <c r="B9843" i="1"/>
  <c r="C9843" i="1"/>
  <c r="M9843" i="1"/>
  <c r="B9844" i="1"/>
  <c r="C9844" i="1"/>
  <c r="M9844" i="1"/>
  <c r="B9845" i="1"/>
  <c r="C9845" i="1"/>
  <c r="M9845" i="1"/>
  <c r="B9846" i="1"/>
  <c r="C9846" i="1"/>
  <c r="M9846" i="1"/>
  <c r="B9847" i="1"/>
  <c r="C9847" i="1"/>
  <c r="M9847" i="1"/>
  <c r="B9848" i="1"/>
  <c r="C9848" i="1"/>
  <c r="M9848" i="1"/>
  <c r="B9849" i="1"/>
  <c r="C9849" i="1"/>
  <c r="M9849" i="1"/>
  <c r="B9850" i="1"/>
  <c r="C9850" i="1"/>
  <c r="M9850" i="1"/>
  <c r="B9851" i="1"/>
  <c r="C9851" i="1"/>
  <c r="M9851" i="1"/>
  <c r="B9852" i="1"/>
  <c r="C9852" i="1"/>
  <c r="M9852" i="1"/>
  <c r="B9853" i="1"/>
  <c r="C9853" i="1"/>
  <c r="M9853" i="1"/>
  <c r="B9854" i="1"/>
  <c r="C9854" i="1"/>
  <c r="M9854" i="1"/>
  <c r="B9855" i="1"/>
  <c r="C9855" i="1"/>
  <c r="M9855" i="1"/>
  <c r="B9856" i="1"/>
  <c r="C9856" i="1"/>
  <c r="M9856" i="1"/>
  <c r="B9857" i="1"/>
  <c r="C9857" i="1"/>
  <c r="M9857" i="1"/>
  <c r="B9858" i="1"/>
  <c r="C9858" i="1"/>
  <c r="M9858" i="1"/>
  <c r="B9859" i="1"/>
  <c r="C9859" i="1"/>
  <c r="M9859" i="1"/>
  <c r="B9860" i="1"/>
  <c r="C9860" i="1"/>
  <c r="M9860" i="1"/>
  <c r="B9861" i="1"/>
  <c r="C9861" i="1"/>
  <c r="M9861" i="1"/>
  <c r="B9862" i="1"/>
  <c r="C9862" i="1"/>
  <c r="M9862" i="1"/>
  <c r="B9863" i="1"/>
  <c r="C9863" i="1"/>
  <c r="M9863" i="1"/>
  <c r="B9864" i="1"/>
  <c r="C9864" i="1"/>
  <c r="M9864" i="1"/>
  <c r="B9865" i="1"/>
  <c r="C9865" i="1"/>
  <c r="M9865" i="1"/>
  <c r="B9866" i="1"/>
  <c r="C9866" i="1"/>
  <c r="M9866" i="1"/>
  <c r="B9867" i="1"/>
  <c r="C9867" i="1"/>
  <c r="M9867" i="1"/>
  <c r="B9868" i="1"/>
  <c r="C9868" i="1"/>
  <c r="M9868" i="1"/>
  <c r="B9869" i="1"/>
  <c r="C9869" i="1"/>
  <c r="M9869" i="1"/>
  <c r="B9870" i="1"/>
  <c r="C9870" i="1"/>
  <c r="M9870" i="1"/>
  <c r="B9871" i="1"/>
  <c r="C9871" i="1"/>
  <c r="M9871" i="1"/>
  <c r="B9872" i="1"/>
  <c r="C9872" i="1"/>
  <c r="M9872" i="1"/>
  <c r="B9873" i="1"/>
  <c r="C9873" i="1"/>
  <c r="M9873" i="1"/>
  <c r="B9874" i="1"/>
  <c r="C9874" i="1"/>
  <c r="M9874" i="1"/>
  <c r="B9875" i="1"/>
  <c r="C9875" i="1"/>
  <c r="M9875" i="1"/>
  <c r="B9876" i="1"/>
  <c r="C9876" i="1"/>
  <c r="M9876" i="1"/>
  <c r="B9877" i="1"/>
  <c r="C9877" i="1"/>
  <c r="M9877" i="1"/>
  <c r="B9878" i="1"/>
  <c r="C9878" i="1"/>
  <c r="M9878" i="1"/>
  <c r="B9879" i="1"/>
  <c r="C9879" i="1"/>
  <c r="M9879" i="1"/>
  <c r="B9880" i="1"/>
  <c r="C9880" i="1"/>
  <c r="M9880" i="1"/>
  <c r="B9881" i="1"/>
  <c r="C9881" i="1"/>
  <c r="M9881" i="1"/>
  <c r="B9882" i="1"/>
  <c r="C9882" i="1"/>
  <c r="M9882" i="1"/>
  <c r="B9883" i="1"/>
  <c r="C9883" i="1"/>
  <c r="M9883" i="1"/>
  <c r="B9884" i="1"/>
  <c r="C9884" i="1"/>
  <c r="M9884" i="1"/>
  <c r="B9885" i="1"/>
  <c r="C9885" i="1"/>
  <c r="M9885" i="1"/>
  <c r="B9886" i="1"/>
  <c r="C9886" i="1"/>
  <c r="M9886" i="1"/>
  <c r="B9887" i="1"/>
  <c r="C9887" i="1"/>
  <c r="M9887" i="1"/>
  <c r="B9888" i="1"/>
  <c r="C9888" i="1"/>
  <c r="M9888" i="1"/>
  <c r="B9889" i="1"/>
  <c r="C9889" i="1"/>
  <c r="M9889" i="1"/>
  <c r="B9890" i="1"/>
  <c r="C9890" i="1"/>
  <c r="M9890" i="1"/>
  <c r="B9891" i="1"/>
  <c r="C9891" i="1"/>
  <c r="M9891" i="1"/>
  <c r="B9892" i="1"/>
  <c r="C9892" i="1"/>
  <c r="M9892" i="1"/>
  <c r="B9893" i="1"/>
  <c r="C9893" i="1"/>
  <c r="M9893" i="1"/>
  <c r="B9894" i="1"/>
  <c r="C9894" i="1"/>
  <c r="M9894" i="1"/>
  <c r="B9895" i="1"/>
  <c r="C9895" i="1"/>
  <c r="M9895" i="1"/>
  <c r="B9896" i="1"/>
  <c r="C9896" i="1"/>
  <c r="M9896" i="1"/>
  <c r="B9897" i="1"/>
  <c r="C9897" i="1"/>
  <c r="M9897" i="1"/>
  <c r="B9898" i="1"/>
  <c r="C9898" i="1"/>
  <c r="M9898" i="1"/>
  <c r="B9899" i="1"/>
  <c r="C9899" i="1"/>
  <c r="M9899" i="1"/>
  <c r="B9900" i="1"/>
  <c r="C9900" i="1"/>
  <c r="M9900" i="1"/>
  <c r="B9901" i="1"/>
  <c r="C9901" i="1"/>
  <c r="M9901" i="1"/>
  <c r="B9902" i="1"/>
  <c r="C9902" i="1"/>
  <c r="M9902" i="1"/>
  <c r="B9903" i="1"/>
  <c r="C9903" i="1"/>
  <c r="M9903" i="1"/>
  <c r="B9904" i="1"/>
  <c r="C9904" i="1"/>
  <c r="M9904" i="1"/>
  <c r="B9905" i="1"/>
  <c r="C9905" i="1"/>
  <c r="M9905" i="1"/>
  <c r="B9906" i="1"/>
  <c r="C9906" i="1"/>
  <c r="M9906" i="1"/>
  <c r="B9907" i="1"/>
  <c r="C9907" i="1"/>
  <c r="M9907" i="1"/>
  <c r="B9908" i="1"/>
  <c r="C9908" i="1"/>
  <c r="M9908" i="1"/>
  <c r="B9909" i="1"/>
  <c r="C9909" i="1"/>
  <c r="M9909" i="1"/>
  <c r="B9910" i="1"/>
  <c r="C9910" i="1"/>
  <c r="M9910" i="1"/>
  <c r="B9911" i="1"/>
  <c r="C9911" i="1"/>
  <c r="M9911" i="1"/>
  <c r="B9912" i="1"/>
  <c r="C9912" i="1"/>
  <c r="M9912" i="1"/>
  <c r="B9913" i="1"/>
  <c r="C9913" i="1"/>
  <c r="M9913" i="1"/>
  <c r="B9914" i="1"/>
  <c r="C9914" i="1"/>
  <c r="M9914" i="1"/>
  <c r="B9915" i="1"/>
  <c r="C9915" i="1"/>
  <c r="M9915" i="1"/>
  <c r="B9916" i="1"/>
  <c r="C9916" i="1"/>
  <c r="M9916" i="1"/>
  <c r="B9917" i="1"/>
  <c r="C9917" i="1"/>
  <c r="M9917" i="1"/>
  <c r="B9918" i="1"/>
  <c r="C9918" i="1"/>
  <c r="M9918" i="1"/>
  <c r="B9919" i="1"/>
  <c r="C9919" i="1"/>
  <c r="M9919" i="1"/>
  <c r="B9920" i="1"/>
  <c r="C9920" i="1"/>
  <c r="M9920" i="1"/>
  <c r="B9921" i="1"/>
  <c r="C9921" i="1"/>
  <c r="M9921" i="1"/>
  <c r="B9922" i="1"/>
  <c r="C9922" i="1"/>
  <c r="M9922" i="1"/>
  <c r="B9923" i="1"/>
  <c r="C9923" i="1"/>
  <c r="M9923" i="1"/>
  <c r="B9924" i="1"/>
  <c r="C9924" i="1"/>
  <c r="M9924" i="1"/>
  <c r="B9925" i="1"/>
  <c r="C9925" i="1"/>
  <c r="M9925" i="1"/>
  <c r="B9926" i="1"/>
  <c r="C9926" i="1"/>
  <c r="M9926" i="1"/>
  <c r="B9927" i="1"/>
  <c r="C9927" i="1"/>
  <c r="M9927" i="1"/>
  <c r="B9928" i="1"/>
  <c r="C9928" i="1"/>
  <c r="M9928" i="1"/>
  <c r="B9929" i="1"/>
  <c r="C9929" i="1"/>
  <c r="M9929" i="1"/>
  <c r="B9930" i="1"/>
  <c r="C9930" i="1"/>
  <c r="M9930" i="1"/>
  <c r="B9931" i="1"/>
  <c r="C9931" i="1"/>
  <c r="M9931" i="1"/>
  <c r="B9932" i="1"/>
  <c r="C9932" i="1"/>
  <c r="M9932" i="1"/>
  <c r="B9933" i="1"/>
  <c r="C9933" i="1"/>
  <c r="M9933" i="1"/>
  <c r="B9934" i="1"/>
  <c r="C9934" i="1"/>
  <c r="M9934" i="1"/>
  <c r="B9935" i="1"/>
  <c r="C9935" i="1"/>
  <c r="M9935" i="1"/>
  <c r="B9936" i="1"/>
  <c r="C9936" i="1"/>
  <c r="M9936" i="1"/>
  <c r="B9937" i="1"/>
  <c r="C9937" i="1"/>
  <c r="M9937" i="1"/>
  <c r="B9938" i="1"/>
  <c r="C9938" i="1"/>
  <c r="M9938" i="1"/>
  <c r="B9939" i="1"/>
  <c r="C9939" i="1"/>
  <c r="M9939" i="1"/>
  <c r="B9940" i="1"/>
  <c r="C9940" i="1"/>
  <c r="M9940" i="1"/>
  <c r="B9941" i="1"/>
  <c r="C9941" i="1"/>
  <c r="M9941" i="1"/>
  <c r="B9942" i="1"/>
  <c r="C9942" i="1"/>
  <c r="M9942" i="1"/>
  <c r="B9943" i="1"/>
  <c r="C9943" i="1"/>
  <c r="M9943" i="1"/>
  <c r="B9944" i="1"/>
  <c r="C9944" i="1"/>
  <c r="M9944" i="1"/>
  <c r="B9945" i="1"/>
  <c r="C9945" i="1"/>
  <c r="M9945" i="1"/>
  <c r="B9946" i="1"/>
  <c r="C9946" i="1"/>
  <c r="M9946" i="1"/>
  <c r="B9947" i="1"/>
  <c r="C9947" i="1"/>
  <c r="M9947" i="1"/>
  <c r="B9948" i="1"/>
  <c r="C9948" i="1"/>
  <c r="M9948" i="1"/>
  <c r="B9949" i="1"/>
  <c r="C9949" i="1"/>
  <c r="M9949" i="1"/>
  <c r="B9950" i="1"/>
  <c r="C9950" i="1"/>
  <c r="M9950" i="1"/>
  <c r="B9951" i="1"/>
  <c r="C9951" i="1"/>
  <c r="M9951" i="1"/>
  <c r="B9952" i="1"/>
  <c r="C9952" i="1"/>
  <c r="M9952" i="1"/>
  <c r="B9953" i="1"/>
  <c r="C9953" i="1"/>
  <c r="M9953" i="1"/>
  <c r="B9954" i="1"/>
  <c r="C9954" i="1"/>
  <c r="M9954" i="1"/>
  <c r="B9955" i="1"/>
  <c r="C9955" i="1"/>
  <c r="M9955" i="1"/>
  <c r="B9956" i="1"/>
  <c r="C9956" i="1"/>
  <c r="M9956" i="1"/>
  <c r="B9957" i="1"/>
  <c r="C9957" i="1"/>
  <c r="M9957" i="1"/>
  <c r="B9958" i="1"/>
  <c r="C9958" i="1"/>
  <c r="M9958" i="1"/>
  <c r="B9959" i="1"/>
  <c r="C9959" i="1"/>
  <c r="M9959" i="1"/>
  <c r="B9960" i="1"/>
  <c r="C9960" i="1"/>
  <c r="M9960" i="1"/>
  <c r="B9961" i="1"/>
  <c r="C9961" i="1"/>
  <c r="M9961" i="1"/>
  <c r="B9962" i="1"/>
  <c r="C9962" i="1"/>
  <c r="M9962" i="1"/>
  <c r="B9963" i="1"/>
  <c r="C9963" i="1"/>
  <c r="M9963" i="1"/>
  <c r="B9964" i="1"/>
  <c r="C9964" i="1"/>
  <c r="M9964" i="1"/>
  <c r="B9965" i="1"/>
  <c r="C9965" i="1"/>
  <c r="M9965" i="1"/>
  <c r="B9966" i="1"/>
  <c r="C9966" i="1"/>
  <c r="M9966" i="1"/>
  <c r="B9967" i="1"/>
  <c r="C9967" i="1"/>
  <c r="M9967" i="1"/>
  <c r="B9968" i="1"/>
  <c r="C9968" i="1"/>
  <c r="M9968" i="1"/>
  <c r="B9969" i="1"/>
  <c r="C9969" i="1"/>
  <c r="M9969" i="1"/>
  <c r="B9970" i="1"/>
  <c r="C9970" i="1"/>
  <c r="M9970" i="1"/>
  <c r="B9971" i="1"/>
  <c r="C9971" i="1"/>
  <c r="M9971" i="1"/>
  <c r="B9972" i="1"/>
  <c r="C9972" i="1"/>
  <c r="M9972" i="1"/>
  <c r="B9973" i="1"/>
  <c r="C9973" i="1"/>
  <c r="M9973" i="1"/>
  <c r="B9974" i="1"/>
  <c r="C9974" i="1"/>
  <c r="M9974" i="1"/>
  <c r="B9975" i="1"/>
  <c r="C9975" i="1"/>
  <c r="M9975" i="1"/>
  <c r="B9976" i="1"/>
  <c r="C9976" i="1"/>
  <c r="M9976" i="1"/>
  <c r="B9977" i="1"/>
  <c r="C9977" i="1"/>
  <c r="M9977" i="1"/>
  <c r="B9978" i="1"/>
  <c r="C9978" i="1"/>
  <c r="M9978" i="1"/>
  <c r="B9979" i="1"/>
  <c r="C9979" i="1"/>
  <c r="M9979" i="1"/>
  <c r="B9980" i="1"/>
  <c r="C9980" i="1"/>
  <c r="M9980" i="1"/>
  <c r="B9981" i="1"/>
  <c r="C9981" i="1"/>
  <c r="M9981" i="1"/>
  <c r="B9982" i="1"/>
  <c r="C9982" i="1"/>
  <c r="M9982" i="1"/>
  <c r="B9983" i="1"/>
  <c r="C9983" i="1"/>
  <c r="M9983" i="1"/>
  <c r="B9984" i="1"/>
  <c r="C9984" i="1"/>
  <c r="M9984" i="1"/>
  <c r="B9985" i="1"/>
  <c r="C9985" i="1"/>
  <c r="M9985" i="1"/>
  <c r="B9986" i="1"/>
  <c r="C9986" i="1"/>
  <c r="M9986" i="1"/>
  <c r="B9987" i="1"/>
  <c r="C9987" i="1"/>
  <c r="M9987" i="1"/>
  <c r="B9988" i="1"/>
  <c r="C9988" i="1"/>
  <c r="M9988" i="1"/>
  <c r="B9989" i="1"/>
  <c r="C9989" i="1"/>
  <c r="M9989" i="1"/>
  <c r="B9990" i="1"/>
  <c r="C9990" i="1"/>
  <c r="M9990" i="1"/>
  <c r="B9991" i="1"/>
  <c r="C9991" i="1"/>
  <c r="M9991" i="1"/>
  <c r="B9992" i="1"/>
  <c r="C9992" i="1"/>
  <c r="M9992" i="1"/>
  <c r="B9993" i="1"/>
  <c r="C9993" i="1"/>
  <c r="M9993" i="1"/>
  <c r="B9994" i="1"/>
  <c r="C9994" i="1"/>
  <c r="M9994" i="1"/>
  <c r="B9995" i="1"/>
  <c r="C9995" i="1"/>
  <c r="M9995" i="1"/>
  <c r="B9996" i="1"/>
  <c r="C9996" i="1"/>
  <c r="M9996" i="1"/>
  <c r="B9997" i="1"/>
  <c r="C9997" i="1"/>
  <c r="M9997" i="1"/>
  <c r="B9998" i="1"/>
  <c r="C9998" i="1"/>
  <c r="M9998" i="1"/>
  <c r="B9999" i="1"/>
  <c r="C9999" i="1"/>
  <c r="M9999" i="1"/>
  <c r="B10000" i="1"/>
  <c r="C10000" i="1"/>
  <c r="M10000" i="1"/>
  <c r="B10001" i="1"/>
  <c r="C10001" i="1"/>
  <c r="M10001" i="1"/>
  <c r="B10002" i="1"/>
  <c r="C10002" i="1"/>
  <c r="M10002" i="1"/>
  <c r="B10003" i="1"/>
  <c r="C10003" i="1"/>
  <c r="M10003" i="1"/>
  <c r="B10004" i="1"/>
  <c r="C10004" i="1"/>
  <c r="M10004" i="1"/>
  <c r="B10005" i="1"/>
  <c r="C10005" i="1"/>
  <c r="M10005" i="1"/>
  <c r="B10006" i="1"/>
  <c r="C10006" i="1"/>
  <c r="M10006" i="1"/>
  <c r="B10007" i="1"/>
  <c r="C10007" i="1"/>
  <c r="M10007" i="1"/>
  <c r="B10008" i="1"/>
  <c r="C10008" i="1"/>
  <c r="M10008" i="1"/>
  <c r="B10009" i="1"/>
  <c r="C10009" i="1"/>
  <c r="M10009" i="1"/>
  <c r="B10010" i="1"/>
  <c r="C10010" i="1"/>
  <c r="M10010" i="1"/>
  <c r="B10011" i="1"/>
  <c r="C10011" i="1"/>
  <c r="M10011" i="1"/>
  <c r="B10012" i="1"/>
  <c r="C10012" i="1"/>
  <c r="M10012" i="1"/>
  <c r="B10013" i="1"/>
  <c r="C10013" i="1"/>
  <c r="M10013" i="1"/>
  <c r="B10014" i="1"/>
  <c r="C10014" i="1"/>
  <c r="M10014" i="1"/>
  <c r="B10015" i="1"/>
  <c r="C10015" i="1"/>
  <c r="M10015" i="1"/>
  <c r="B10016" i="1"/>
  <c r="C10016" i="1"/>
  <c r="M10016" i="1"/>
  <c r="B10017" i="1"/>
  <c r="C10017" i="1"/>
  <c r="M10017" i="1"/>
  <c r="B10018" i="1"/>
  <c r="C10018" i="1"/>
  <c r="M10018" i="1"/>
  <c r="B10019" i="1"/>
  <c r="C10019" i="1"/>
  <c r="M10019" i="1"/>
  <c r="B10020" i="1"/>
  <c r="C10020" i="1"/>
  <c r="M10020" i="1"/>
  <c r="B10021" i="1"/>
  <c r="C10021" i="1"/>
  <c r="M10021" i="1"/>
  <c r="B10022" i="1"/>
  <c r="C10022" i="1"/>
  <c r="M10022" i="1"/>
  <c r="B10023" i="1"/>
  <c r="C10023" i="1"/>
  <c r="M10023" i="1"/>
  <c r="B10024" i="1"/>
  <c r="C10024" i="1"/>
  <c r="M10024" i="1"/>
  <c r="B10025" i="1"/>
  <c r="C10025" i="1"/>
  <c r="M10025" i="1"/>
  <c r="B10026" i="1"/>
  <c r="C10026" i="1"/>
  <c r="M10026" i="1"/>
  <c r="B10027" i="1"/>
  <c r="C10027" i="1"/>
  <c r="M10027" i="1"/>
  <c r="B10028" i="1"/>
  <c r="C10028" i="1"/>
  <c r="M10028" i="1"/>
  <c r="B10029" i="1"/>
  <c r="C10029" i="1"/>
  <c r="M10029" i="1"/>
  <c r="B10030" i="1"/>
  <c r="C10030" i="1"/>
  <c r="M10030" i="1"/>
  <c r="B10031" i="1"/>
  <c r="C10031" i="1"/>
  <c r="M10031" i="1"/>
  <c r="B10032" i="1"/>
  <c r="C10032" i="1"/>
  <c r="M10032" i="1"/>
  <c r="B10033" i="1"/>
  <c r="C10033" i="1"/>
  <c r="M10033" i="1"/>
  <c r="B10034" i="1"/>
  <c r="C10034" i="1"/>
  <c r="M10034" i="1"/>
  <c r="B10035" i="1"/>
  <c r="C10035" i="1"/>
  <c r="M10035" i="1"/>
  <c r="B10036" i="1"/>
  <c r="C10036" i="1"/>
  <c r="M10036" i="1"/>
  <c r="B10037" i="1"/>
  <c r="C10037" i="1"/>
  <c r="M10037" i="1"/>
  <c r="B10038" i="1"/>
  <c r="C10038" i="1"/>
  <c r="M10038" i="1"/>
  <c r="B10039" i="1"/>
  <c r="C10039" i="1"/>
  <c r="M10039" i="1"/>
  <c r="B10040" i="1"/>
  <c r="C10040" i="1"/>
  <c r="M10040" i="1"/>
  <c r="B10041" i="1"/>
  <c r="C10041" i="1"/>
  <c r="M10041" i="1"/>
  <c r="B10042" i="1"/>
  <c r="C10042" i="1"/>
  <c r="M10042" i="1"/>
  <c r="B10043" i="1"/>
  <c r="C10043" i="1"/>
  <c r="M10043" i="1"/>
  <c r="B10044" i="1"/>
  <c r="C10044" i="1"/>
  <c r="M10044" i="1"/>
  <c r="B10045" i="1"/>
  <c r="C10045" i="1"/>
  <c r="M10045" i="1"/>
  <c r="B10046" i="1"/>
  <c r="C10046" i="1"/>
  <c r="M10046" i="1"/>
  <c r="B10047" i="1"/>
  <c r="C10047" i="1"/>
  <c r="M10047" i="1"/>
  <c r="B10048" i="1"/>
  <c r="C10048" i="1"/>
  <c r="M10048" i="1"/>
  <c r="B10049" i="1"/>
  <c r="C10049" i="1"/>
  <c r="M10049" i="1"/>
  <c r="B10050" i="1"/>
  <c r="C10050" i="1"/>
  <c r="M10050" i="1"/>
  <c r="B10051" i="1"/>
  <c r="C10051" i="1"/>
  <c r="M10051" i="1"/>
  <c r="B10052" i="1"/>
  <c r="C10052" i="1"/>
  <c r="M10052" i="1"/>
  <c r="B10053" i="1"/>
  <c r="C10053" i="1"/>
  <c r="M10053" i="1"/>
  <c r="B10054" i="1"/>
  <c r="C10054" i="1"/>
  <c r="M10054" i="1"/>
  <c r="B10055" i="1"/>
  <c r="C10055" i="1"/>
  <c r="M10055" i="1"/>
  <c r="B10056" i="1"/>
  <c r="C10056" i="1"/>
  <c r="M10056" i="1"/>
  <c r="B10057" i="1"/>
  <c r="C10057" i="1"/>
  <c r="M10057" i="1"/>
  <c r="B10058" i="1"/>
  <c r="C10058" i="1"/>
  <c r="M10058" i="1"/>
  <c r="B10059" i="1"/>
  <c r="C10059" i="1"/>
  <c r="M10059" i="1"/>
  <c r="B10060" i="1"/>
  <c r="C10060" i="1"/>
  <c r="M10060" i="1"/>
  <c r="B10061" i="1"/>
  <c r="C10061" i="1"/>
  <c r="M10061" i="1"/>
  <c r="B10062" i="1"/>
  <c r="C10062" i="1"/>
  <c r="M10062" i="1"/>
  <c r="B10063" i="1"/>
  <c r="C10063" i="1"/>
  <c r="M10063" i="1"/>
  <c r="B10064" i="1"/>
  <c r="C10064" i="1"/>
  <c r="M10064" i="1"/>
  <c r="B10065" i="1"/>
  <c r="C10065" i="1"/>
  <c r="M10065" i="1"/>
  <c r="B10066" i="1"/>
  <c r="C10066" i="1"/>
  <c r="M10066" i="1"/>
  <c r="B10067" i="1"/>
  <c r="C10067" i="1"/>
  <c r="M10067" i="1"/>
  <c r="B10068" i="1"/>
  <c r="C10068" i="1"/>
  <c r="M10068" i="1"/>
  <c r="B10069" i="1"/>
  <c r="C10069" i="1"/>
  <c r="M10069" i="1"/>
  <c r="B10070" i="1"/>
  <c r="C10070" i="1"/>
  <c r="M10070" i="1"/>
  <c r="B10071" i="1"/>
  <c r="C10071" i="1"/>
  <c r="M10071" i="1"/>
  <c r="B10072" i="1"/>
  <c r="C10072" i="1"/>
  <c r="M10072" i="1"/>
  <c r="B10073" i="1"/>
  <c r="C10073" i="1"/>
  <c r="M10073" i="1"/>
  <c r="B10074" i="1"/>
  <c r="C10074" i="1"/>
  <c r="M10074" i="1"/>
  <c r="B10075" i="1"/>
  <c r="C10075" i="1"/>
  <c r="M10075" i="1"/>
  <c r="B10076" i="1"/>
  <c r="C10076" i="1"/>
  <c r="M10076" i="1"/>
  <c r="B10077" i="1"/>
  <c r="C10077" i="1"/>
  <c r="M10077" i="1"/>
  <c r="B10078" i="1"/>
  <c r="C10078" i="1"/>
  <c r="M10078" i="1"/>
  <c r="B10079" i="1"/>
  <c r="C10079" i="1"/>
  <c r="M10079" i="1"/>
  <c r="B10080" i="1"/>
  <c r="C10080" i="1"/>
  <c r="M10080" i="1"/>
  <c r="B10081" i="1"/>
  <c r="C10081" i="1"/>
  <c r="M10081" i="1"/>
  <c r="B10082" i="1"/>
  <c r="C10082" i="1"/>
  <c r="M10082" i="1"/>
  <c r="B10083" i="1"/>
  <c r="C10083" i="1"/>
  <c r="M10083" i="1"/>
  <c r="B10084" i="1"/>
  <c r="C10084" i="1"/>
  <c r="M10084" i="1"/>
  <c r="B10085" i="1"/>
  <c r="C10085" i="1"/>
  <c r="M10085" i="1"/>
  <c r="B10086" i="1"/>
  <c r="C10086" i="1"/>
  <c r="M10086" i="1"/>
  <c r="B10087" i="1"/>
  <c r="C10087" i="1"/>
  <c r="M10087" i="1"/>
  <c r="B10088" i="1"/>
  <c r="C10088" i="1"/>
  <c r="M10088" i="1"/>
  <c r="B10089" i="1"/>
  <c r="C10089" i="1"/>
  <c r="M10089" i="1"/>
  <c r="B10090" i="1"/>
  <c r="C10090" i="1"/>
  <c r="M10090" i="1"/>
  <c r="B10091" i="1"/>
  <c r="C10091" i="1"/>
  <c r="M10091" i="1"/>
  <c r="B10092" i="1"/>
  <c r="C10092" i="1"/>
  <c r="M10092" i="1"/>
  <c r="B10093" i="1"/>
  <c r="C10093" i="1"/>
  <c r="M10093" i="1"/>
  <c r="B10094" i="1"/>
  <c r="C10094" i="1"/>
  <c r="M10094" i="1"/>
  <c r="B10095" i="1"/>
  <c r="C10095" i="1"/>
  <c r="M10095" i="1"/>
  <c r="B10096" i="1"/>
  <c r="C10096" i="1"/>
  <c r="M10096" i="1"/>
  <c r="B10097" i="1"/>
  <c r="C10097" i="1"/>
  <c r="M10097" i="1"/>
  <c r="B10098" i="1"/>
  <c r="C10098" i="1"/>
  <c r="M10098" i="1"/>
  <c r="B10099" i="1"/>
  <c r="C10099" i="1"/>
  <c r="M10099" i="1"/>
  <c r="B10100" i="1"/>
  <c r="C10100" i="1"/>
  <c r="M10100" i="1"/>
  <c r="B10101" i="1"/>
  <c r="C10101" i="1"/>
  <c r="M10101" i="1"/>
  <c r="B10102" i="1"/>
  <c r="C10102" i="1"/>
  <c r="M10102" i="1"/>
  <c r="B10103" i="1"/>
  <c r="C10103" i="1"/>
  <c r="M10103" i="1"/>
  <c r="B10104" i="1"/>
  <c r="C10104" i="1"/>
  <c r="M10104" i="1"/>
  <c r="B10105" i="1"/>
  <c r="C10105" i="1"/>
  <c r="M10105" i="1"/>
  <c r="B10106" i="1"/>
  <c r="C10106" i="1"/>
  <c r="M10106" i="1"/>
  <c r="B10107" i="1"/>
  <c r="C10107" i="1"/>
  <c r="M10107" i="1"/>
  <c r="B10108" i="1"/>
  <c r="C10108" i="1"/>
  <c r="M10108" i="1"/>
  <c r="B10109" i="1"/>
  <c r="C10109" i="1"/>
  <c r="M10109" i="1"/>
  <c r="B10110" i="1"/>
  <c r="C10110" i="1"/>
  <c r="M10110" i="1"/>
  <c r="B10111" i="1"/>
  <c r="C10111" i="1"/>
  <c r="M10111" i="1"/>
  <c r="B10112" i="1"/>
  <c r="C10112" i="1"/>
  <c r="M10112" i="1"/>
  <c r="B10113" i="1"/>
  <c r="C10113" i="1"/>
  <c r="M10113" i="1"/>
  <c r="B10114" i="1"/>
  <c r="C10114" i="1"/>
  <c r="M10114" i="1"/>
  <c r="B10115" i="1"/>
  <c r="C10115" i="1"/>
  <c r="M10115" i="1"/>
  <c r="B10116" i="1"/>
  <c r="C10116" i="1"/>
  <c r="M10116" i="1"/>
  <c r="B10117" i="1"/>
  <c r="C10117" i="1"/>
  <c r="M10117" i="1"/>
  <c r="B10118" i="1"/>
  <c r="C10118" i="1"/>
  <c r="M10118" i="1"/>
  <c r="B10119" i="1"/>
  <c r="C10119" i="1"/>
  <c r="M10119" i="1"/>
  <c r="B10120" i="1"/>
  <c r="C10120" i="1"/>
  <c r="M10120" i="1"/>
  <c r="B10121" i="1"/>
  <c r="C10121" i="1"/>
  <c r="M10121" i="1"/>
  <c r="B10122" i="1"/>
  <c r="C10122" i="1"/>
  <c r="M10122" i="1"/>
  <c r="B10123" i="1"/>
  <c r="C10123" i="1"/>
  <c r="M10123" i="1"/>
  <c r="B10124" i="1"/>
  <c r="C10124" i="1"/>
  <c r="M10124" i="1"/>
  <c r="B10125" i="1"/>
  <c r="C10125" i="1"/>
  <c r="M10125" i="1"/>
  <c r="B10126" i="1"/>
  <c r="C10126" i="1"/>
  <c r="M10126" i="1"/>
  <c r="B10127" i="1"/>
  <c r="C10127" i="1"/>
  <c r="M10127" i="1"/>
  <c r="B10128" i="1"/>
  <c r="C10128" i="1"/>
  <c r="M10128" i="1"/>
  <c r="B10129" i="1"/>
  <c r="C10129" i="1"/>
  <c r="M10129" i="1"/>
  <c r="B10130" i="1"/>
  <c r="C10130" i="1"/>
  <c r="M10130" i="1"/>
  <c r="B10131" i="1"/>
  <c r="C10131" i="1"/>
  <c r="M10131" i="1"/>
  <c r="B10132" i="1"/>
  <c r="C10132" i="1"/>
  <c r="M10132" i="1"/>
  <c r="B10133" i="1"/>
  <c r="C10133" i="1"/>
  <c r="M10133" i="1"/>
  <c r="B10134" i="1"/>
  <c r="C10134" i="1"/>
  <c r="M10134" i="1"/>
  <c r="B10135" i="1"/>
  <c r="C10135" i="1"/>
  <c r="M10135" i="1"/>
  <c r="B10136" i="1"/>
  <c r="C10136" i="1"/>
  <c r="M10136" i="1"/>
  <c r="B10137" i="1"/>
  <c r="C10137" i="1"/>
  <c r="M10137" i="1"/>
  <c r="B10138" i="1"/>
  <c r="C10138" i="1"/>
  <c r="M10138" i="1"/>
  <c r="B10139" i="1"/>
  <c r="C10139" i="1"/>
  <c r="M10139" i="1"/>
  <c r="B10140" i="1"/>
  <c r="C10140" i="1"/>
  <c r="M10140" i="1"/>
  <c r="B10141" i="1"/>
  <c r="C10141" i="1"/>
  <c r="M10141" i="1"/>
  <c r="B10142" i="1"/>
  <c r="C10142" i="1"/>
  <c r="M10142" i="1"/>
  <c r="B10143" i="1"/>
  <c r="C10143" i="1"/>
  <c r="M10143" i="1"/>
  <c r="B10144" i="1"/>
  <c r="C10144" i="1"/>
  <c r="M10144" i="1"/>
  <c r="B10145" i="1"/>
  <c r="C10145" i="1"/>
  <c r="M10145" i="1"/>
  <c r="B10146" i="1"/>
  <c r="C10146" i="1"/>
  <c r="M10146" i="1"/>
  <c r="B10147" i="1"/>
  <c r="C10147" i="1"/>
  <c r="M10147" i="1"/>
  <c r="B10148" i="1"/>
  <c r="C10148" i="1"/>
  <c r="M10148" i="1"/>
  <c r="B10149" i="1"/>
  <c r="C10149" i="1"/>
  <c r="M10149" i="1"/>
  <c r="B10150" i="1"/>
  <c r="C10150" i="1"/>
  <c r="M10150" i="1"/>
  <c r="B10151" i="1"/>
  <c r="C10151" i="1"/>
  <c r="M10151" i="1"/>
  <c r="B10152" i="1"/>
  <c r="C10152" i="1"/>
  <c r="M10152" i="1"/>
  <c r="B10153" i="1"/>
  <c r="C10153" i="1"/>
  <c r="M10153" i="1"/>
  <c r="B10154" i="1"/>
  <c r="C10154" i="1"/>
  <c r="M10154" i="1"/>
  <c r="B10155" i="1"/>
  <c r="C10155" i="1"/>
  <c r="M10155" i="1"/>
  <c r="B10156" i="1"/>
  <c r="C10156" i="1"/>
  <c r="M10156" i="1"/>
  <c r="B10157" i="1"/>
  <c r="C10157" i="1"/>
  <c r="M10157" i="1"/>
  <c r="B10158" i="1"/>
  <c r="C10158" i="1"/>
  <c r="M10158" i="1"/>
  <c r="B10159" i="1"/>
  <c r="C10159" i="1"/>
  <c r="M10159" i="1"/>
  <c r="B10160" i="1"/>
  <c r="C10160" i="1"/>
  <c r="M10160" i="1"/>
  <c r="B10161" i="1"/>
  <c r="C10161" i="1"/>
  <c r="M10161" i="1"/>
  <c r="B10162" i="1"/>
  <c r="C10162" i="1"/>
  <c r="M10162" i="1"/>
  <c r="B10163" i="1"/>
  <c r="C10163" i="1"/>
  <c r="M10163" i="1"/>
  <c r="B10164" i="1"/>
  <c r="C10164" i="1"/>
  <c r="M10164" i="1"/>
  <c r="B10165" i="1"/>
  <c r="C10165" i="1"/>
  <c r="M10165" i="1"/>
  <c r="B10166" i="1"/>
  <c r="C10166" i="1"/>
  <c r="M10166" i="1"/>
  <c r="B10167" i="1"/>
  <c r="C10167" i="1"/>
  <c r="M10167" i="1"/>
  <c r="B10168" i="1"/>
  <c r="C10168" i="1"/>
  <c r="M10168" i="1"/>
  <c r="B10169" i="1"/>
  <c r="C10169" i="1"/>
  <c r="M10169" i="1"/>
  <c r="B10170" i="1"/>
  <c r="C10170" i="1"/>
  <c r="M10170" i="1"/>
  <c r="B10171" i="1"/>
  <c r="C10171" i="1"/>
  <c r="M10171" i="1"/>
  <c r="B10172" i="1"/>
  <c r="C10172" i="1"/>
  <c r="M10172" i="1"/>
  <c r="B10173" i="1"/>
  <c r="C10173" i="1"/>
  <c r="M10173" i="1"/>
  <c r="B10174" i="1"/>
  <c r="C10174" i="1"/>
  <c r="M10174" i="1"/>
  <c r="B10175" i="1"/>
  <c r="C10175" i="1"/>
  <c r="M10175" i="1"/>
  <c r="B10176" i="1"/>
  <c r="C10176" i="1"/>
  <c r="M10176" i="1"/>
  <c r="B10177" i="1"/>
  <c r="C10177" i="1"/>
  <c r="M10177" i="1"/>
  <c r="B10178" i="1"/>
  <c r="C10178" i="1"/>
  <c r="M10178" i="1"/>
  <c r="B10179" i="1"/>
  <c r="C10179" i="1"/>
  <c r="M10179" i="1"/>
  <c r="B10180" i="1"/>
  <c r="C10180" i="1"/>
  <c r="M10180" i="1"/>
  <c r="B10181" i="1"/>
  <c r="C10181" i="1"/>
  <c r="M10181" i="1"/>
  <c r="B10182" i="1"/>
  <c r="C10182" i="1"/>
  <c r="M10182" i="1"/>
  <c r="B10183" i="1"/>
  <c r="C10183" i="1"/>
  <c r="M10183" i="1"/>
  <c r="B10184" i="1"/>
  <c r="C10184" i="1"/>
  <c r="M10184" i="1"/>
  <c r="B10185" i="1"/>
  <c r="C10185" i="1"/>
  <c r="M10185" i="1"/>
  <c r="B10186" i="1"/>
  <c r="C10186" i="1"/>
  <c r="M10186" i="1"/>
  <c r="B10187" i="1"/>
  <c r="C10187" i="1"/>
  <c r="M10187" i="1"/>
  <c r="B10188" i="1"/>
  <c r="C10188" i="1"/>
  <c r="M10188" i="1"/>
  <c r="B10189" i="1"/>
  <c r="C10189" i="1"/>
  <c r="M10189" i="1"/>
  <c r="B10190" i="1"/>
  <c r="C10190" i="1"/>
  <c r="M10190" i="1"/>
  <c r="B10191" i="1"/>
  <c r="C10191" i="1"/>
  <c r="M10191" i="1"/>
  <c r="B10192" i="1"/>
  <c r="C10192" i="1"/>
  <c r="M10192" i="1"/>
  <c r="B10193" i="1"/>
  <c r="C10193" i="1"/>
  <c r="M10193" i="1"/>
  <c r="B10194" i="1"/>
  <c r="C10194" i="1"/>
  <c r="M10194" i="1"/>
  <c r="B10195" i="1"/>
  <c r="C10195" i="1"/>
  <c r="M10195" i="1"/>
  <c r="B10196" i="1"/>
  <c r="C10196" i="1"/>
  <c r="M10196" i="1"/>
  <c r="B10197" i="1"/>
  <c r="C10197" i="1"/>
  <c r="M10197" i="1"/>
  <c r="B10198" i="1"/>
  <c r="C10198" i="1"/>
  <c r="M10198" i="1"/>
  <c r="B10199" i="1"/>
  <c r="C10199" i="1"/>
  <c r="M10199" i="1"/>
  <c r="B10200" i="1"/>
  <c r="C10200" i="1"/>
  <c r="M10200" i="1"/>
  <c r="B10201" i="1"/>
  <c r="C10201" i="1"/>
  <c r="M10201" i="1"/>
  <c r="B10202" i="1"/>
  <c r="C10202" i="1"/>
  <c r="M10202" i="1"/>
  <c r="B10203" i="1"/>
  <c r="C10203" i="1"/>
  <c r="M10203" i="1"/>
  <c r="B10204" i="1"/>
  <c r="C10204" i="1"/>
  <c r="M10204" i="1"/>
  <c r="B10205" i="1"/>
  <c r="C10205" i="1"/>
  <c r="M10205" i="1"/>
  <c r="B10206" i="1"/>
  <c r="C10206" i="1"/>
  <c r="M10206" i="1"/>
  <c r="B10207" i="1"/>
  <c r="C10207" i="1"/>
  <c r="M10207" i="1"/>
  <c r="B10208" i="1"/>
  <c r="C10208" i="1"/>
  <c r="M10208" i="1"/>
  <c r="B10209" i="1"/>
  <c r="C10209" i="1"/>
  <c r="M10209" i="1"/>
  <c r="B10210" i="1"/>
  <c r="C10210" i="1"/>
  <c r="M10210" i="1"/>
  <c r="B10211" i="1"/>
  <c r="C10211" i="1"/>
  <c r="M10211" i="1"/>
  <c r="B10212" i="1"/>
  <c r="C10212" i="1"/>
  <c r="M10212" i="1"/>
  <c r="B10213" i="1"/>
  <c r="C10213" i="1"/>
  <c r="M10213" i="1"/>
  <c r="B10214" i="1"/>
  <c r="C10214" i="1"/>
  <c r="M10214" i="1"/>
  <c r="B10215" i="1"/>
  <c r="C10215" i="1"/>
  <c r="M10215" i="1"/>
  <c r="B10216" i="1"/>
  <c r="C10216" i="1"/>
  <c r="M10216" i="1"/>
  <c r="B10217" i="1"/>
  <c r="C10217" i="1"/>
  <c r="M10217" i="1"/>
  <c r="B10218" i="1"/>
  <c r="C10218" i="1"/>
  <c r="M10218" i="1"/>
  <c r="B10219" i="1"/>
  <c r="C10219" i="1"/>
  <c r="M10219" i="1"/>
  <c r="B10220" i="1"/>
  <c r="C10220" i="1"/>
  <c r="M10220" i="1"/>
  <c r="B10221" i="1"/>
  <c r="C10221" i="1"/>
  <c r="M10221" i="1"/>
  <c r="B10222" i="1"/>
  <c r="C10222" i="1"/>
  <c r="M10222" i="1"/>
  <c r="B10223" i="1"/>
  <c r="C10223" i="1"/>
  <c r="M10223" i="1"/>
  <c r="B10224" i="1"/>
  <c r="C10224" i="1"/>
  <c r="M10224" i="1"/>
  <c r="B10225" i="1"/>
  <c r="C10225" i="1"/>
  <c r="M10225" i="1"/>
  <c r="B10226" i="1"/>
  <c r="C10226" i="1"/>
  <c r="M10226" i="1"/>
  <c r="B10227" i="1"/>
  <c r="C10227" i="1"/>
  <c r="M10227" i="1"/>
  <c r="B10228" i="1"/>
  <c r="C10228" i="1"/>
  <c r="M10228" i="1"/>
  <c r="B10229" i="1"/>
  <c r="C10229" i="1"/>
  <c r="M10229" i="1"/>
  <c r="B10230" i="1"/>
  <c r="C10230" i="1"/>
  <c r="M10230" i="1"/>
  <c r="B10231" i="1"/>
  <c r="C10231" i="1"/>
  <c r="M10231" i="1"/>
  <c r="B10232" i="1"/>
  <c r="C10232" i="1"/>
  <c r="M10232" i="1"/>
  <c r="B10233" i="1"/>
  <c r="C10233" i="1"/>
  <c r="M10233" i="1"/>
  <c r="B10234" i="1"/>
  <c r="C10234" i="1"/>
  <c r="M10234" i="1"/>
  <c r="B10235" i="1"/>
  <c r="C10235" i="1"/>
  <c r="M10235" i="1"/>
  <c r="B10236" i="1"/>
  <c r="C10236" i="1"/>
  <c r="M10236" i="1"/>
  <c r="B10237" i="1"/>
  <c r="C10237" i="1"/>
  <c r="M10237" i="1"/>
  <c r="B10238" i="1"/>
  <c r="C10238" i="1"/>
  <c r="M10238" i="1"/>
  <c r="B10239" i="1"/>
  <c r="C10239" i="1"/>
  <c r="M10239" i="1"/>
  <c r="B10240" i="1"/>
  <c r="C10240" i="1"/>
  <c r="M10240" i="1"/>
  <c r="B10241" i="1"/>
  <c r="C10241" i="1"/>
  <c r="M10241" i="1"/>
  <c r="B10242" i="1"/>
  <c r="C10242" i="1"/>
  <c r="M10242" i="1"/>
  <c r="B10243" i="1"/>
  <c r="C10243" i="1"/>
  <c r="M10243" i="1"/>
  <c r="B10244" i="1"/>
  <c r="C10244" i="1"/>
  <c r="M10244" i="1"/>
  <c r="B10245" i="1"/>
  <c r="C10245" i="1"/>
  <c r="M10245" i="1"/>
  <c r="B10246" i="1"/>
  <c r="C10246" i="1"/>
  <c r="M10246" i="1"/>
  <c r="B10247" i="1"/>
  <c r="C10247" i="1"/>
  <c r="M10247" i="1"/>
  <c r="B10248" i="1"/>
  <c r="C10248" i="1"/>
  <c r="M10248" i="1"/>
  <c r="B10249" i="1"/>
  <c r="C10249" i="1"/>
  <c r="M10249" i="1"/>
  <c r="B10250" i="1"/>
  <c r="C10250" i="1"/>
  <c r="M10250" i="1"/>
  <c r="B10251" i="1"/>
  <c r="C10251" i="1"/>
  <c r="M10251" i="1"/>
  <c r="B10252" i="1"/>
  <c r="C10252" i="1"/>
  <c r="M10252" i="1"/>
  <c r="B10253" i="1"/>
  <c r="C10253" i="1"/>
  <c r="M10253" i="1"/>
  <c r="B10254" i="1"/>
  <c r="C10254" i="1"/>
  <c r="M10254" i="1"/>
  <c r="B10255" i="1"/>
  <c r="C10255" i="1"/>
  <c r="M10255" i="1"/>
  <c r="B10256" i="1"/>
  <c r="C10256" i="1"/>
  <c r="M10256" i="1"/>
  <c r="B10257" i="1"/>
  <c r="C10257" i="1"/>
  <c r="M10257" i="1"/>
  <c r="B10258" i="1"/>
  <c r="C10258" i="1"/>
  <c r="M10258" i="1"/>
  <c r="B10259" i="1"/>
  <c r="C10259" i="1"/>
  <c r="M10259" i="1"/>
  <c r="B10260" i="1"/>
  <c r="C10260" i="1"/>
  <c r="M10260" i="1"/>
  <c r="B10261" i="1"/>
  <c r="C10261" i="1"/>
  <c r="M10261" i="1"/>
  <c r="B10262" i="1"/>
  <c r="C10262" i="1"/>
  <c r="M10262" i="1"/>
  <c r="B10263" i="1"/>
  <c r="C10263" i="1"/>
  <c r="M10263" i="1"/>
  <c r="B10264" i="1"/>
  <c r="C10264" i="1"/>
  <c r="M10264" i="1"/>
  <c r="B10265" i="1"/>
  <c r="C10265" i="1"/>
  <c r="M10265" i="1"/>
  <c r="B10266" i="1"/>
  <c r="C10266" i="1"/>
  <c r="M10266" i="1"/>
  <c r="B10267" i="1"/>
  <c r="C10267" i="1"/>
  <c r="M10267" i="1"/>
  <c r="B10268" i="1"/>
  <c r="C10268" i="1"/>
  <c r="M10268" i="1"/>
  <c r="B10269" i="1"/>
  <c r="C10269" i="1"/>
  <c r="M10269" i="1"/>
  <c r="B10270" i="1"/>
  <c r="C10270" i="1"/>
  <c r="M10270" i="1"/>
  <c r="B10271" i="1"/>
  <c r="C10271" i="1"/>
  <c r="M10271" i="1"/>
  <c r="B10272" i="1"/>
  <c r="C10272" i="1"/>
  <c r="M10272" i="1"/>
  <c r="B10273" i="1"/>
  <c r="C10273" i="1"/>
  <c r="M10273" i="1"/>
  <c r="B10274" i="1"/>
  <c r="C10274" i="1"/>
  <c r="M10274" i="1"/>
  <c r="B10275" i="1"/>
  <c r="C10275" i="1"/>
  <c r="M10275" i="1"/>
  <c r="B10276" i="1"/>
  <c r="C10276" i="1"/>
  <c r="M10276" i="1"/>
  <c r="B10277" i="1"/>
  <c r="C10277" i="1"/>
  <c r="M10277" i="1"/>
  <c r="B10278" i="1"/>
  <c r="C10278" i="1"/>
  <c r="M10278" i="1"/>
  <c r="B10279" i="1"/>
  <c r="C10279" i="1"/>
  <c r="M10279" i="1"/>
  <c r="B10280" i="1"/>
  <c r="C10280" i="1"/>
  <c r="M10280" i="1"/>
  <c r="B10281" i="1"/>
  <c r="C10281" i="1"/>
  <c r="M10281" i="1"/>
  <c r="B10282" i="1"/>
  <c r="C10282" i="1"/>
  <c r="M10282" i="1"/>
  <c r="B10283" i="1"/>
  <c r="C10283" i="1"/>
  <c r="M10283" i="1"/>
  <c r="B10284" i="1"/>
  <c r="C10284" i="1"/>
  <c r="M10284" i="1"/>
  <c r="B10285" i="1"/>
  <c r="C10285" i="1"/>
  <c r="M10285" i="1"/>
  <c r="B10286" i="1"/>
  <c r="C10286" i="1"/>
  <c r="M10286" i="1"/>
  <c r="B10287" i="1"/>
  <c r="C10287" i="1"/>
  <c r="M10287" i="1"/>
  <c r="B10288" i="1"/>
  <c r="C10288" i="1"/>
  <c r="M10288" i="1"/>
  <c r="B10289" i="1"/>
  <c r="C10289" i="1"/>
  <c r="M10289" i="1"/>
  <c r="B10290" i="1"/>
  <c r="C10290" i="1"/>
  <c r="M10290" i="1"/>
  <c r="B10291" i="1"/>
  <c r="C10291" i="1"/>
  <c r="M10291" i="1"/>
  <c r="B10292" i="1"/>
  <c r="C10292" i="1"/>
  <c r="M10292" i="1"/>
  <c r="B10293" i="1"/>
  <c r="C10293" i="1"/>
  <c r="M10293" i="1"/>
  <c r="B10294" i="1"/>
  <c r="C10294" i="1"/>
  <c r="M10294" i="1"/>
  <c r="B10295" i="1"/>
  <c r="C10295" i="1"/>
  <c r="M10295" i="1"/>
  <c r="B10296" i="1"/>
  <c r="C10296" i="1"/>
  <c r="M10296" i="1"/>
  <c r="B10297" i="1"/>
  <c r="C10297" i="1"/>
  <c r="M10297" i="1"/>
  <c r="B10298" i="1"/>
  <c r="C10298" i="1"/>
  <c r="M10298" i="1"/>
  <c r="B10299" i="1"/>
  <c r="C10299" i="1"/>
  <c r="M10299" i="1"/>
  <c r="B10300" i="1"/>
  <c r="C10300" i="1"/>
  <c r="M10300" i="1"/>
  <c r="B10301" i="1"/>
  <c r="C10301" i="1"/>
  <c r="M10301" i="1"/>
  <c r="B10302" i="1"/>
  <c r="C10302" i="1"/>
  <c r="M10302" i="1"/>
  <c r="B10303" i="1"/>
  <c r="C10303" i="1"/>
  <c r="M10303" i="1"/>
  <c r="B10304" i="1"/>
  <c r="C10304" i="1"/>
  <c r="M10304" i="1"/>
  <c r="B10305" i="1"/>
  <c r="C10305" i="1"/>
  <c r="M10305" i="1"/>
  <c r="B10306" i="1"/>
  <c r="C10306" i="1"/>
  <c r="M10306" i="1"/>
  <c r="B10307" i="1"/>
  <c r="C10307" i="1"/>
  <c r="M10307" i="1"/>
  <c r="B10308" i="1"/>
  <c r="C10308" i="1"/>
  <c r="M10308" i="1"/>
  <c r="B10309" i="1"/>
  <c r="C10309" i="1"/>
  <c r="M10309" i="1"/>
  <c r="B10310" i="1"/>
  <c r="C10310" i="1"/>
  <c r="M10310" i="1"/>
  <c r="B10311" i="1"/>
  <c r="C10311" i="1"/>
  <c r="M10311" i="1"/>
  <c r="B10312" i="1"/>
  <c r="C10312" i="1"/>
  <c r="M10312" i="1"/>
  <c r="B10313" i="1"/>
  <c r="C10313" i="1"/>
  <c r="M10313" i="1"/>
  <c r="B10314" i="1"/>
  <c r="C10314" i="1"/>
  <c r="M10314" i="1"/>
  <c r="B10315" i="1"/>
  <c r="C10315" i="1"/>
  <c r="M10315" i="1"/>
  <c r="B10316" i="1"/>
  <c r="C10316" i="1"/>
  <c r="M10316" i="1"/>
  <c r="B10317" i="1"/>
  <c r="C10317" i="1"/>
  <c r="M10317" i="1"/>
  <c r="B10318" i="1"/>
  <c r="C10318" i="1"/>
  <c r="M10318" i="1"/>
  <c r="B10319" i="1"/>
  <c r="C10319" i="1"/>
  <c r="M10319" i="1"/>
  <c r="B10320" i="1"/>
  <c r="C10320" i="1"/>
  <c r="M10320" i="1"/>
  <c r="B10321" i="1"/>
  <c r="C10321" i="1"/>
  <c r="M10321" i="1"/>
  <c r="B10322" i="1"/>
  <c r="C10322" i="1"/>
  <c r="M10322" i="1"/>
  <c r="B10323" i="1"/>
  <c r="C10323" i="1"/>
  <c r="M10323" i="1"/>
  <c r="B10324" i="1"/>
  <c r="C10324" i="1"/>
  <c r="M10324" i="1"/>
  <c r="B10325" i="1"/>
  <c r="C10325" i="1"/>
  <c r="M10325" i="1"/>
  <c r="B10326" i="1"/>
  <c r="C10326" i="1"/>
  <c r="M10326" i="1"/>
  <c r="B10327" i="1"/>
  <c r="C10327" i="1"/>
  <c r="M10327" i="1"/>
  <c r="B10328" i="1"/>
  <c r="C10328" i="1"/>
  <c r="M10328" i="1"/>
  <c r="B10329" i="1"/>
  <c r="C10329" i="1"/>
  <c r="M10329" i="1"/>
  <c r="B10330" i="1"/>
  <c r="C10330" i="1"/>
  <c r="M10330" i="1"/>
  <c r="B10331" i="1"/>
  <c r="C10331" i="1"/>
  <c r="M10331" i="1"/>
  <c r="B10332" i="1"/>
  <c r="C10332" i="1"/>
  <c r="M10332" i="1"/>
  <c r="B10333" i="1"/>
  <c r="C10333" i="1"/>
  <c r="M10333" i="1"/>
  <c r="B10334" i="1"/>
  <c r="C10334" i="1"/>
  <c r="M10334" i="1"/>
  <c r="B10335" i="1"/>
  <c r="C10335" i="1"/>
  <c r="M10335" i="1"/>
  <c r="B10336" i="1"/>
  <c r="C10336" i="1"/>
  <c r="M10336" i="1"/>
  <c r="B10337" i="1"/>
  <c r="C10337" i="1"/>
  <c r="M10337" i="1"/>
  <c r="B10338" i="1"/>
  <c r="C10338" i="1"/>
  <c r="M10338" i="1"/>
  <c r="B10339" i="1"/>
  <c r="C10339" i="1"/>
  <c r="M10339" i="1"/>
  <c r="B10340" i="1"/>
  <c r="C10340" i="1"/>
  <c r="M10340" i="1"/>
  <c r="B10341" i="1"/>
  <c r="C10341" i="1"/>
  <c r="M10341" i="1"/>
  <c r="B10342" i="1"/>
  <c r="C10342" i="1"/>
  <c r="M10342" i="1"/>
  <c r="B10343" i="1"/>
  <c r="C10343" i="1"/>
  <c r="M10343" i="1"/>
  <c r="B10344" i="1"/>
  <c r="C10344" i="1"/>
  <c r="M10344" i="1"/>
  <c r="B10345" i="1"/>
  <c r="C10345" i="1"/>
  <c r="M10345" i="1"/>
  <c r="B10346" i="1"/>
  <c r="C10346" i="1"/>
  <c r="M10346" i="1"/>
  <c r="B10347" i="1"/>
  <c r="C10347" i="1"/>
  <c r="M10347" i="1"/>
  <c r="B10348" i="1"/>
  <c r="C10348" i="1"/>
  <c r="M10348" i="1"/>
  <c r="B10349" i="1"/>
  <c r="C10349" i="1"/>
  <c r="M10349" i="1"/>
  <c r="B10350" i="1"/>
  <c r="C10350" i="1"/>
  <c r="M10350" i="1"/>
  <c r="B10351" i="1"/>
  <c r="C10351" i="1"/>
  <c r="M10351" i="1"/>
  <c r="B10352" i="1"/>
  <c r="C10352" i="1"/>
  <c r="M10352" i="1"/>
  <c r="B10353" i="1"/>
  <c r="C10353" i="1"/>
  <c r="M10353" i="1"/>
  <c r="B10354" i="1"/>
  <c r="C10354" i="1"/>
  <c r="M10354" i="1"/>
  <c r="B10355" i="1"/>
  <c r="C10355" i="1"/>
  <c r="M10355" i="1"/>
  <c r="B10356" i="1"/>
  <c r="C10356" i="1"/>
  <c r="M10356" i="1"/>
  <c r="B10357" i="1"/>
  <c r="C10357" i="1"/>
  <c r="M10357" i="1"/>
  <c r="B10358" i="1"/>
  <c r="C10358" i="1"/>
  <c r="M10358" i="1"/>
  <c r="B10359" i="1"/>
  <c r="C10359" i="1"/>
  <c r="M10359" i="1"/>
  <c r="B10360" i="1"/>
  <c r="C10360" i="1"/>
  <c r="M10360" i="1"/>
  <c r="B10361" i="1"/>
  <c r="C10361" i="1"/>
  <c r="M10361" i="1"/>
  <c r="B10362" i="1"/>
  <c r="C10362" i="1"/>
  <c r="M10362" i="1"/>
  <c r="B10363" i="1"/>
  <c r="C10363" i="1"/>
  <c r="M10363" i="1"/>
  <c r="B10364" i="1"/>
  <c r="C10364" i="1"/>
  <c r="M10364" i="1"/>
  <c r="B10365" i="1"/>
  <c r="C10365" i="1"/>
  <c r="M10365" i="1"/>
  <c r="B10366" i="1"/>
  <c r="C10366" i="1"/>
  <c r="M10366" i="1"/>
  <c r="B10367" i="1"/>
  <c r="C10367" i="1"/>
  <c r="M10367" i="1"/>
  <c r="B10368" i="1"/>
  <c r="C10368" i="1"/>
  <c r="M10368" i="1"/>
  <c r="B10369" i="1"/>
  <c r="C10369" i="1"/>
  <c r="M10369" i="1"/>
  <c r="B10370" i="1"/>
  <c r="C10370" i="1"/>
  <c r="M10370" i="1"/>
  <c r="B10371" i="1"/>
  <c r="C10371" i="1"/>
  <c r="M10371" i="1"/>
  <c r="B10372" i="1"/>
  <c r="C10372" i="1"/>
  <c r="M10372" i="1"/>
  <c r="B10373" i="1"/>
  <c r="C10373" i="1"/>
  <c r="M10373" i="1"/>
  <c r="B10374" i="1"/>
  <c r="C10374" i="1"/>
  <c r="M10374" i="1"/>
  <c r="B10375" i="1"/>
  <c r="C10375" i="1"/>
  <c r="M10375" i="1"/>
  <c r="B10376" i="1"/>
  <c r="C10376" i="1"/>
  <c r="M10376" i="1"/>
  <c r="B10377" i="1"/>
  <c r="C10377" i="1"/>
  <c r="M10377" i="1"/>
  <c r="B10378" i="1"/>
  <c r="C10378" i="1"/>
  <c r="M10378" i="1"/>
  <c r="B10379" i="1"/>
  <c r="C10379" i="1"/>
  <c r="M10379" i="1"/>
  <c r="B10380" i="1"/>
  <c r="C10380" i="1"/>
  <c r="M10380" i="1"/>
  <c r="B10381" i="1"/>
  <c r="C10381" i="1"/>
  <c r="M10381" i="1"/>
  <c r="B10382" i="1"/>
  <c r="C10382" i="1"/>
  <c r="M10382" i="1"/>
  <c r="B10383" i="1"/>
  <c r="C10383" i="1"/>
  <c r="M10383" i="1"/>
  <c r="B10384" i="1"/>
  <c r="C10384" i="1"/>
  <c r="M10384" i="1"/>
  <c r="B10385" i="1"/>
  <c r="C10385" i="1"/>
  <c r="M10385" i="1"/>
  <c r="B10386" i="1"/>
  <c r="C10386" i="1"/>
  <c r="M10386" i="1"/>
  <c r="B10387" i="1"/>
  <c r="C10387" i="1"/>
  <c r="M10387" i="1"/>
  <c r="B10388" i="1"/>
  <c r="C10388" i="1"/>
  <c r="M10388" i="1"/>
  <c r="B10389" i="1"/>
  <c r="C10389" i="1"/>
  <c r="M10389" i="1"/>
  <c r="B10390" i="1"/>
  <c r="C10390" i="1"/>
  <c r="M10390" i="1"/>
  <c r="B10391" i="1"/>
  <c r="C10391" i="1"/>
  <c r="M10391" i="1"/>
  <c r="B10392" i="1"/>
  <c r="C10392" i="1"/>
  <c r="M10392" i="1"/>
  <c r="B10393" i="1"/>
  <c r="C10393" i="1"/>
  <c r="M10393" i="1"/>
  <c r="B10394" i="1"/>
  <c r="C10394" i="1"/>
  <c r="M10394" i="1"/>
  <c r="B10395" i="1"/>
  <c r="C10395" i="1"/>
  <c r="M10395" i="1"/>
  <c r="B10396" i="1"/>
  <c r="C10396" i="1"/>
  <c r="M10396" i="1"/>
  <c r="B10397" i="1"/>
  <c r="C10397" i="1"/>
  <c r="M10397" i="1"/>
  <c r="B10398" i="1"/>
  <c r="C10398" i="1"/>
  <c r="M10398" i="1"/>
  <c r="B10399" i="1"/>
  <c r="C10399" i="1"/>
  <c r="M10399" i="1"/>
  <c r="B10400" i="1"/>
  <c r="C10400" i="1"/>
  <c r="M10400" i="1"/>
  <c r="B10401" i="1"/>
  <c r="C10401" i="1"/>
  <c r="M10401" i="1"/>
  <c r="B10402" i="1"/>
  <c r="C10402" i="1"/>
  <c r="M10402" i="1"/>
  <c r="B10403" i="1"/>
  <c r="C10403" i="1"/>
  <c r="M10403" i="1"/>
  <c r="B10404" i="1"/>
  <c r="C10404" i="1"/>
  <c r="M10404" i="1"/>
  <c r="B10405" i="1"/>
  <c r="C10405" i="1"/>
  <c r="M10405" i="1"/>
  <c r="B10406" i="1"/>
  <c r="C10406" i="1"/>
  <c r="M10406" i="1"/>
  <c r="B10407" i="1"/>
  <c r="C10407" i="1"/>
  <c r="M10407" i="1"/>
  <c r="B10408" i="1"/>
  <c r="C10408" i="1"/>
  <c r="M10408" i="1"/>
  <c r="B10409" i="1"/>
  <c r="C10409" i="1"/>
  <c r="M10409" i="1"/>
  <c r="B10410" i="1"/>
  <c r="C10410" i="1"/>
  <c r="M10410" i="1"/>
  <c r="B10411" i="1"/>
  <c r="C10411" i="1"/>
  <c r="M10411" i="1"/>
  <c r="B10412" i="1"/>
  <c r="C10412" i="1"/>
  <c r="M10412" i="1"/>
  <c r="B10413" i="1"/>
  <c r="C10413" i="1"/>
  <c r="M10413" i="1"/>
  <c r="B10414" i="1"/>
  <c r="C10414" i="1"/>
  <c r="M10414" i="1"/>
  <c r="B10415" i="1"/>
  <c r="C10415" i="1"/>
  <c r="M10415" i="1"/>
  <c r="B10416" i="1"/>
  <c r="C10416" i="1"/>
  <c r="M10416" i="1"/>
  <c r="B10417" i="1"/>
  <c r="C10417" i="1"/>
  <c r="M10417" i="1"/>
  <c r="B10418" i="1"/>
  <c r="C10418" i="1"/>
  <c r="M10418" i="1"/>
  <c r="B10419" i="1"/>
  <c r="C10419" i="1"/>
  <c r="M10419" i="1"/>
  <c r="B10420" i="1"/>
  <c r="C10420" i="1"/>
  <c r="M10420" i="1"/>
  <c r="B10421" i="1"/>
  <c r="C10421" i="1"/>
  <c r="M10421" i="1"/>
  <c r="B10422" i="1"/>
  <c r="C10422" i="1"/>
  <c r="M10422" i="1"/>
  <c r="B10423" i="1"/>
  <c r="C10423" i="1"/>
  <c r="M10423" i="1"/>
  <c r="B10424" i="1"/>
  <c r="C10424" i="1"/>
  <c r="M10424" i="1"/>
  <c r="B10425" i="1"/>
  <c r="C10425" i="1"/>
  <c r="M10425" i="1"/>
  <c r="B10426" i="1"/>
  <c r="C10426" i="1"/>
  <c r="M10426" i="1"/>
  <c r="B10427" i="1"/>
  <c r="C10427" i="1"/>
  <c r="M10427" i="1"/>
  <c r="B10428" i="1"/>
  <c r="C10428" i="1"/>
  <c r="M10428" i="1"/>
  <c r="B10429" i="1"/>
  <c r="C10429" i="1"/>
  <c r="M10429" i="1"/>
  <c r="B10430" i="1"/>
  <c r="C10430" i="1"/>
  <c r="M10430" i="1"/>
  <c r="B10431" i="1"/>
  <c r="C10431" i="1"/>
  <c r="M10431" i="1"/>
  <c r="B10432" i="1"/>
  <c r="C10432" i="1"/>
  <c r="M10432" i="1"/>
  <c r="B10433" i="1"/>
  <c r="C10433" i="1"/>
  <c r="M10433" i="1"/>
  <c r="B10434" i="1"/>
  <c r="C10434" i="1"/>
  <c r="M10434" i="1"/>
  <c r="B10435" i="1"/>
  <c r="C10435" i="1"/>
  <c r="M10435" i="1"/>
  <c r="B10436" i="1"/>
  <c r="C10436" i="1"/>
  <c r="M10436" i="1"/>
  <c r="B10437" i="1"/>
  <c r="C10437" i="1"/>
  <c r="M10437" i="1"/>
  <c r="B10438" i="1"/>
  <c r="C10438" i="1"/>
  <c r="M10438" i="1"/>
  <c r="B10439" i="1"/>
  <c r="C10439" i="1"/>
  <c r="M10439" i="1"/>
  <c r="B10440" i="1"/>
  <c r="C10440" i="1"/>
  <c r="M10440" i="1"/>
  <c r="B10441" i="1"/>
  <c r="C10441" i="1"/>
  <c r="M10441" i="1"/>
  <c r="B10442" i="1"/>
  <c r="C10442" i="1"/>
  <c r="M10442" i="1"/>
  <c r="B10443" i="1"/>
  <c r="C10443" i="1"/>
  <c r="M10443" i="1"/>
  <c r="B10444" i="1"/>
  <c r="C10444" i="1"/>
  <c r="M10444" i="1"/>
  <c r="B10445" i="1"/>
  <c r="C10445" i="1"/>
  <c r="M10445" i="1"/>
  <c r="B10446" i="1"/>
  <c r="C10446" i="1"/>
  <c r="M10446" i="1"/>
  <c r="B10447" i="1"/>
  <c r="C10447" i="1"/>
  <c r="M10447" i="1"/>
  <c r="B10448" i="1"/>
  <c r="C10448" i="1"/>
  <c r="M10448" i="1"/>
  <c r="B10449" i="1"/>
  <c r="C10449" i="1"/>
  <c r="M10449" i="1"/>
  <c r="B10450" i="1"/>
  <c r="C10450" i="1"/>
  <c r="M10450" i="1"/>
  <c r="B10451" i="1"/>
  <c r="C10451" i="1"/>
  <c r="M10451" i="1"/>
  <c r="B10452" i="1"/>
  <c r="C10452" i="1"/>
  <c r="M10452" i="1"/>
  <c r="B10453" i="1"/>
  <c r="C10453" i="1"/>
  <c r="M10453" i="1"/>
  <c r="B10454" i="1"/>
  <c r="C10454" i="1"/>
  <c r="M10454" i="1"/>
  <c r="B10455" i="1"/>
  <c r="C10455" i="1"/>
  <c r="M10455" i="1"/>
  <c r="B10456" i="1"/>
  <c r="C10456" i="1"/>
  <c r="M10456" i="1"/>
  <c r="B10457" i="1"/>
  <c r="C10457" i="1"/>
  <c r="M10457" i="1"/>
  <c r="B10458" i="1"/>
  <c r="C10458" i="1"/>
  <c r="M10458" i="1"/>
  <c r="B10459" i="1"/>
  <c r="C10459" i="1"/>
  <c r="M10459" i="1"/>
  <c r="B10460" i="1"/>
  <c r="C10460" i="1"/>
  <c r="M10460" i="1"/>
  <c r="B10461" i="1"/>
  <c r="C10461" i="1"/>
  <c r="M10461" i="1"/>
  <c r="B10462" i="1"/>
  <c r="C10462" i="1"/>
  <c r="M10462" i="1"/>
  <c r="B10463" i="1"/>
  <c r="C10463" i="1"/>
  <c r="M10463" i="1"/>
  <c r="B10464" i="1"/>
  <c r="C10464" i="1"/>
  <c r="M10464" i="1"/>
  <c r="B10465" i="1"/>
  <c r="C10465" i="1"/>
  <c r="M10465" i="1"/>
  <c r="B10466" i="1"/>
  <c r="C10466" i="1"/>
  <c r="M10466" i="1"/>
  <c r="B10467" i="1"/>
  <c r="C10467" i="1"/>
  <c r="M10467" i="1"/>
  <c r="B10468" i="1"/>
  <c r="C10468" i="1"/>
  <c r="M10468" i="1"/>
  <c r="B10469" i="1"/>
  <c r="C10469" i="1"/>
  <c r="M10469" i="1"/>
  <c r="B10470" i="1"/>
  <c r="C10470" i="1"/>
  <c r="M10470" i="1"/>
  <c r="B10471" i="1"/>
  <c r="C10471" i="1"/>
  <c r="M10471" i="1"/>
  <c r="B10472" i="1"/>
  <c r="C10472" i="1"/>
  <c r="M10472" i="1"/>
  <c r="B10473" i="1"/>
  <c r="C10473" i="1"/>
  <c r="M10473" i="1"/>
  <c r="B10474" i="1"/>
  <c r="C10474" i="1"/>
  <c r="M10474" i="1"/>
  <c r="B10475" i="1"/>
  <c r="C10475" i="1"/>
  <c r="M10475" i="1"/>
  <c r="B10476" i="1"/>
  <c r="C10476" i="1"/>
  <c r="M10476" i="1"/>
  <c r="B10477" i="1"/>
  <c r="C10477" i="1"/>
  <c r="M10477" i="1"/>
  <c r="B10478" i="1"/>
  <c r="C10478" i="1"/>
  <c r="M10478" i="1"/>
  <c r="B10479" i="1"/>
  <c r="C10479" i="1"/>
  <c r="M10479" i="1"/>
  <c r="B10480" i="1"/>
  <c r="C10480" i="1"/>
  <c r="M10480" i="1"/>
  <c r="B10481" i="1"/>
  <c r="C10481" i="1"/>
  <c r="M10481" i="1"/>
  <c r="B10482" i="1"/>
  <c r="C10482" i="1"/>
  <c r="M10482" i="1"/>
  <c r="B10483" i="1"/>
  <c r="C10483" i="1"/>
  <c r="M10483" i="1"/>
  <c r="B10484" i="1"/>
  <c r="C10484" i="1"/>
  <c r="M10484" i="1"/>
  <c r="B10485" i="1"/>
  <c r="C10485" i="1"/>
  <c r="M10485" i="1"/>
  <c r="B10486" i="1"/>
  <c r="C10486" i="1"/>
  <c r="M10486" i="1"/>
  <c r="B10487" i="1"/>
  <c r="C10487" i="1"/>
  <c r="M10487" i="1"/>
  <c r="B10488" i="1"/>
  <c r="C10488" i="1"/>
  <c r="M10488" i="1"/>
  <c r="B10489" i="1"/>
  <c r="C10489" i="1"/>
  <c r="M10489" i="1"/>
  <c r="B10490" i="1"/>
  <c r="C10490" i="1"/>
  <c r="M10490" i="1"/>
  <c r="B10491" i="1"/>
  <c r="C10491" i="1"/>
  <c r="M10491" i="1"/>
  <c r="B10492" i="1"/>
  <c r="C10492" i="1"/>
  <c r="M10492" i="1"/>
  <c r="B10493" i="1"/>
  <c r="C10493" i="1"/>
  <c r="M10493" i="1"/>
  <c r="B10494" i="1"/>
  <c r="C10494" i="1"/>
  <c r="M10494" i="1"/>
  <c r="B10495" i="1"/>
  <c r="C10495" i="1"/>
  <c r="M10495" i="1"/>
  <c r="B10496" i="1"/>
  <c r="C10496" i="1"/>
  <c r="M10496" i="1"/>
  <c r="B10497" i="1"/>
  <c r="C10497" i="1"/>
  <c r="M10497" i="1"/>
  <c r="B10498" i="1"/>
  <c r="C10498" i="1"/>
  <c r="M10498" i="1"/>
  <c r="B10499" i="1"/>
  <c r="C10499" i="1"/>
  <c r="M10499" i="1"/>
  <c r="B10500" i="1"/>
  <c r="C10500" i="1"/>
  <c r="M10500" i="1"/>
  <c r="B10501" i="1"/>
  <c r="C10501" i="1"/>
  <c r="M10501" i="1"/>
  <c r="B10502" i="1"/>
  <c r="C10502" i="1"/>
  <c r="M10502" i="1"/>
  <c r="B10503" i="1"/>
  <c r="C10503" i="1"/>
  <c r="M10503" i="1"/>
  <c r="B10504" i="1"/>
  <c r="C10504" i="1"/>
  <c r="M10504" i="1"/>
  <c r="B10505" i="1"/>
  <c r="C10505" i="1"/>
  <c r="M10505" i="1"/>
  <c r="B10506" i="1"/>
  <c r="C10506" i="1"/>
  <c r="M10506" i="1"/>
  <c r="B10507" i="1"/>
  <c r="C10507" i="1"/>
  <c r="M10507" i="1"/>
  <c r="B10508" i="1"/>
  <c r="C10508" i="1"/>
  <c r="M10508" i="1"/>
  <c r="B10509" i="1"/>
  <c r="C10509" i="1"/>
  <c r="M10509" i="1"/>
  <c r="B10510" i="1"/>
  <c r="C10510" i="1"/>
  <c r="M10510" i="1"/>
  <c r="B10511" i="1"/>
  <c r="C10511" i="1"/>
  <c r="M10511" i="1"/>
  <c r="B10512" i="1"/>
  <c r="C10512" i="1"/>
  <c r="M10512" i="1"/>
  <c r="B10513" i="1"/>
  <c r="C10513" i="1"/>
  <c r="M10513" i="1"/>
  <c r="B10514" i="1"/>
  <c r="C10514" i="1"/>
  <c r="M10514" i="1"/>
  <c r="B10515" i="1"/>
  <c r="C10515" i="1"/>
  <c r="M10515" i="1"/>
  <c r="B10516" i="1"/>
  <c r="C10516" i="1"/>
  <c r="M10516" i="1"/>
  <c r="B10517" i="1"/>
  <c r="C10517" i="1"/>
  <c r="M10517" i="1"/>
  <c r="B10518" i="1"/>
  <c r="C10518" i="1"/>
  <c r="M10518" i="1"/>
  <c r="B10519" i="1"/>
  <c r="C10519" i="1"/>
  <c r="M10519" i="1"/>
  <c r="B10520" i="1"/>
  <c r="C10520" i="1"/>
  <c r="M10520" i="1"/>
  <c r="B10521" i="1"/>
  <c r="C10521" i="1"/>
  <c r="M10521" i="1"/>
  <c r="B10522" i="1"/>
  <c r="C10522" i="1"/>
  <c r="M10522" i="1"/>
  <c r="B10523" i="1"/>
  <c r="C10523" i="1"/>
  <c r="M10523" i="1"/>
  <c r="B10524" i="1"/>
  <c r="C10524" i="1"/>
  <c r="M10524" i="1"/>
  <c r="B10525" i="1"/>
  <c r="C10525" i="1"/>
  <c r="M10525" i="1"/>
  <c r="B10526" i="1"/>
  <c r="C10526" i="1"/>
  <c r="M10526" i="1"/>
  <c r="B10527" i="1"/>
  <c r="C10527" i="1"/>
  <c r="M10527" i="1"/>
  <c r="B10528" i="1"/>
  <c r="C10528" i="1"/>
  <c r="M10528" i="1"/>
  <c r="B10529" i="1"/>
  <c r="C10529" i="1"/>
  <c r="M10529" i="1"/>
  <c r="B10530" i="1"/>
  <c r="C10530" i="1"/>
  <c r="M10530" i="1"/>
  <c r="B10531" i="1"/>
  <c r="C10531" i="1"/>
  <c r="M10531" i="1"/>
  <c r="B10532" i="1"/>
  <c r="C10532" i="1"/>
  <c r="M10532" i="1"/>
  <c r="B10533" i="1"/>
  <c r="C10533" i="1"/>
  <c r="M10533" i="1"/>
  <c r="B10534" i="1"/>
  <c r="C10534" i="1"/>
  <c r="M10534" i="1"/>
  <c r="B10535" i="1"/>
  <c r="C10535" i="1"/>
  <c r="M10535" i="1"/>
  <c r="B10536" i="1"/>
  <c r="C10536" i="1"/>
  <c r="M10536" i="1"/>
  <c r="B10537" i="1"/>
  <c r="C10537" i="1"/>
  <c r="M10537" i="1"/>
  <c r="B10538" i="1"/>
  <c r="C10538" i="1"/>
  <c r="M10538" i="1"/>
  <c r="B10539" i="1"/>
  <c r="C10539" i="1"/>
  <c r="M10539" i="1"/>
  <c r="B10540" i="1"/>
  <c r="C10540" i="1"/>
  <c r="M10540" i="1"/>
  <c r="B10541" i="1"/>
  <c r="C10541" i="1"/>
  <c r="M10541" i="1"/>
  <c r="B10542" i="1"/>
  <c r="C10542" i="1"/>
  <c r="M10542" i="1"/>
  <c r="B10543" i="1"/>
  <c r="C10543" i="1"/>
  <c r="M10543" i="1"/>
  <c r="B10544" i="1"/>
  <c r="C10544" i="1"/>
  <c r="M10544" i="1"/>
  <c r="B10545" i="1"/>
  <c r="C10545" i="1"/>
  <c r="M10545" i="1"/>
  <c r="B10546" i="1"/>
  <c r="C10546" i="1"/>
  <c r="M10546" i="1"/>
  <c r="B10547" i="1"/>
  <c r="C10547" i="1"/>
  <c r="M10547" i="1"/>
  <c r="B10548" i="1"/>
  <c r="C10548" i="1"/>
  <c r="M10548" i="1"/>
  <c r="B10549" i="1"/>
  <c r="C10549" i="1"/>
  <c r="M10549" i="1"/>
  <c r="B10550" i="1"/>
  <c r="C10550" i="1"/>
  <c r="M10550" i="1"/>
  <c r="B10551" i="1"/>
  <c r="C10551" i="1"/>
  <c r="M10551" i="1"/>
  <c r="B10552" i="1"/>
  <c r="C10552" i="1"/>
  <c r="M10552" i="1"/>
  <c r="B10553" i="1"/>
  <c r="C10553" i="1"/>
  <c r="M10553" i="1"/>
  <c r="B10554" i="1"/>
  <c r="C10554" i="1"/>
  <c r="M10554" i="1"/>
  <c r="B10555" i="1"/>
  <c r="C10555" i="1"/>
  <c r="M10555" i="1"/>
  <c r="B10556" i="1"/>
  <c r="C10556" i="1"/>
  <c r="M10556" i="1"/>
  <c r="B10557" i="1"/>
  <c r="C10557" i="1"/>
  <c r="M10557" i="1"/>
  <c r="B10558" i="1"/>
  <c r="C10558" i="1"/>
  <c r="M10558" i="1"/>
  <c r="B10559" i="1"/>
  <c r="C10559" i="1"/>
  <c r="M10559" i="1"/>
  <c r="B10560" i="1"/>
  <c r="C10560" i="1"/>
  <c r="M10560" i="1"/>
  <c r="B10561" i="1"/>
  <c r="C10561" i="1"/>
  <c r="M10561" i="1"/>
  <c r="B10562" i="1"/>
  <c r="C10562" i="1"/>
  <c r="M10562" i="1"/>
  <c r="B10563" i="1"/>
  <c r="C10563" i="1"/>
  <c r="M10563" i="1"/>
  <c r="B10564" i="1"/>
  <c r="C10564" i="1"/>
  <c r="M10564" i="1"/>
  <c r="B10565" i="1"/>
  <c r="C10565" i="1"/>
  <c r="M10565" i="1"/>
  <c r="B10566" i="1"/>
  <c r="C10566" i="1"/>
  <c r="M10566" i="1"/>
  <c r="B10567" i="1"/>
  <c r="C10567" i="1"/>
  <c r="M10567" i="1"/>
  <c r="B10568" i="1"/>
  <c r="C10568" i="1"/>
  <c r="M10568" i="1"/>
  <c r="B10569" i="1"/>
  <c r="C10569" i="1"/>
  <c r="M10569" i="1"/>
  <c r="B10570" i="1"/>
  <c r="C10570" i="1"/>
  <c r="M10570" i="1"/>
  <c r="B10571" i="1"/>
  <c r="C10571" i="1"/>
  <c r="M10571" i="1"/>
  <c r="B10572" i="1"/>
  <c r="C10572" i="1"/>
  <c r="M10572" i="1"/>
  <c r="B10573" i="1"/>
  <c r="C10573" i="1"/>
  <c r="M10573" i="1"/>
  <c r="B10574" i="1"/>
  <c r="C10574" i="1"/>
  <c r="M10574" i="1"/>
  <c r="B10575" i="1"/>
  <c r="C10575" i="1"/>
  <c r="M10575" i="1"/>
  <c r="B10576" i="1"/>
  <c r="C10576" i="1"/>
  <c r="M10576" i="1"/>
  <c r="B10577" i="1"/>
  <c r="C10577" i="1"/>
  <c r="M10577" i="1"/>
  <c r="B10578" i="1"/>
  <c r="C10578" i="1"/>
  <c r="M10578" i="1"/>
  <c r="B10579" i="1"/>
  <c r="C10579" i="1"/>
  <c r="M10579" i="1"/>
  <c r="B10580" i="1"/>
  <c r="C10580" i="1"/>
  <c r="M10580" i="1"/>
  <c r="B10581" i="1"/>
  <c r="C10581" i="1"/>
  <c r="M10581" i="1"/>
  <c r="B10582" i="1"/>
  <c r="C10582" i="1"/>
  <c r="M10582" i="1"/>
  <c r="B10583" i="1"/>
  <c r="C10583" i="1"/>
  <c r="M10583" i="1"/>
  <c r="B10584" i="1"/>
  <c r="C10584" i="1"/>
  <c r="M10584" i="1"/>
  <c r="B10585" i="1"/>
  <c r="C10585" i="1"/>
  <c r="M10585" i="1"/>
  <c r="B10586" i="1"/>
  <c r="C10586" i="1"/>
  <c r="M10586" i="1"/>
  <c r="B10587" i="1"/>
  <c r="C10587" i="1"/>
  <c r="M10587" i="1"/>
  <c r="B10588" i="1"/>
  <c r="C10588" i="1"/>
  <c r="M10588" i="1"/>
  <c r="B10589" i="1"/>
  <c r="C10589" i="1"/>
  <c r="M10589" i="1"/>
  <c r="B10590" i="1"/>
  <c r="C10590" i="1"/>
  <c r="M10590" i="1"/>
  <c r="B10591" i="1"/>
  <c r="C10591" i="1"/>
  <c r="M10591" i="1"/>
  <c r="B10592" i="1"/>
  <c r="C10592" i="1"/>
  <c r="M10592" i="1"/>
  <c r="B10593" i="1"/>
  <c r="C10593" i="1"/>
  <c r="M10593" i="1"/>
  <c r="B10594" i="1"/>
  <c r="C10594" i="1"/>
  <c r="M10594" i="1"/>
  <c r="B10595" i="1"/>
  <c r="C10595" i="1"/>
  <c r="M10595" i="1"/>
  <c r="B10596" i="1"/>
  <c r="C10596" i="1"/>
  <c r="M10596" i="1"/>
  <c r="B10597" i="1"/>
  <c r="C10597" i="1"/>
  <c r="M10597" i="1"/>
  <c r="B10598" i="1"/>
  <c r="C10598" i="1"/>
  <c r="M10598" i="1"/>
  <c r="B10599" i="1"/>
  <c r="C10599" i="1"/>
  <c r="M10599" i="1"/>
  <c r="B10600" i="1"/>
  <c r="C10600" i="1"/>
  <c r="M10600" i="1"/>
  <c r="B10601" i="1"/>
  <c r="C10601" i="1"/>
  <c r="M10601" i="1"/>
  <c r="B10602" i="1"/>
  <c r="C10602" i="1"/>
  <c r="M10602" i="1"/>
  <c r="B10603" i="1"/>
  <c r="C10603" i="1"/>
  <c r="M10603" i="1"/>
  <c r="B10604" i="1"/>
  <c r="C10604" i="1"/>
  <c r="M10604" i="1"/>
  <c r="B10605" i="1"/>
  <c r="C10605" i="1"/>
  <c r="M10605" i="1"/>
  <c r="B10606" i="1"/>
  <c r="C10606" i="1"/>
  <c r="M10606" i="1"/>
  <c r="B10607" i="1"/>
  <c r="C10607" i="1"/>
  <c r="M10607" i="1"/>
  <c r="B10608" i="1"/>
  <c r="C10608" i="1"/>
  <c r="M10608" i="1"/>
  <c r="B10609" i="1"/>
  <c r="C10609" i="1"/>
  <c r="M10609" i="1"/>
  <c r="B10610" i="1"/>
  <c r="C10610" i="1"/>
  <c r="M10610" i="1"/>
  <c r="B10611" i="1"/>
  <c r="C10611" i="1"/>
  <c r="M10611" i="1"/>
  <c r="B10612" i="1"/>
  <c r="C10612" i="1"/>
  <c r="M10612" i="1"/>
  <c r="B10613" i="1"/>
  <c r="C10613" i="1"/>
  <c r="M10613" i="1"/>
  <c r="B10614" i="1"/>
  <c r="C10614" i="1"/>
  <c r="M10614" i="1"/>
  <c r="B10615" i="1"/>
  <c r="C10615" i="1"/>
  <c r="M10615" i="1"/>
  <c r="B10616" i="1"/>
  <c r="C10616" i="1"/>
  <c r="M10616" i="1"/>
  <c r="B10617" i="1"/>
  <c r="C10617" i="1"/>
  <c r="M10617" i="1"/>
  <c r="B10618" i="1"/>
  <c r="C10618" i="1"/>
  <c r="M10618" i="1"/>
  <c r="B10619" i="1"/>
  <c r="C10619" i="1"/>
  <c r="M10619" i="1"/>
  <c r="B10620" i="1"/>
  <c r="C10620" i="1"/>
  <c r="M10620" i="1"/>
  <c r="B10621" i="1"/>
  <c r="C10621" i="1"/>
  <c r="M10621" i="1"/>
  <c r="B10622" i="1"/>
  <c r="C10622" i="1"/>
  <c r="M10622" i="1"/>
  <c r="B10623" i="1"/>
  <c r="C10623" i="1"/>
  <c r="M10623" i="1"/>
  <c r="B10624" i="1"/>
  <c r="C10624" i="1"/>
  <c r="M10624" i="1"/>
  <c r="B10625" i="1"/>
  <c r="C10625" i="1"/>
  <c r="M10625" i="1"/>
  <c r="B10626" i="1"/>
  <c r="C10626" i="1"/>
  <c r="M10626" i="1"/>
  <c r="B10627" i="1"/>
  <c r="C10627" i="1"/>
  <c r="M10627" i="1"/>
  <c r="B10628" i="1"/>
  <c r="C10628" i="1"/>
  <c r="M10628" i="1"/>
  <c r="B10629" i="1"/>
  <c r="C10629" i="1"/>
  <c r="M10629" i="1"/>
  <c r="B10630" i="1"/>
  <c r="C10630" i="1"/>
  <c r="M10630" i="1"/>
  <c r="B10631" i="1"/>
  <c r="C10631" i="1"/>
  <c r="M10631" i="1"/>
  <c r="B10632" i="1"/>
  <c r="C10632" i="1"/>
  <c r="M10632" i="1"/>
  <c r="B10633" i="1"/>
  <c r="C10633" i="1"/>
  <c r="M10633" i="1"/>
  <c r="B10634" i="1"/>
  <c r="C10634" i="1"/>
  <c r="M10634" i="1"/>
  <c r="B10635" i="1"/>
  <c r="C10635" i="1"/>
  <c r="M10635" i="1"/>
  <c r="B10636" i="1"/>
  <c r="C10636" i="1"/>
  <c r="M10636" i="1"/>
  <c r="B10637" i="1"/>
  <c r="C10637" i="1"/>
  <c r="M10637" i="1"/>
  <c r="B10638" i="1"/>
  <c r="C10638" i="1"/>
  <c r="M10638" i="1"/>
  <c r="B10639" i="1"/>
  <c r="C10639" i="1"/>
  <c r="M10639" i="1"/>
  <c r="B10640" i="1"/>
  <c r="C10640" i="1"/>
  <c r="M10640" i="1"/>
  <c r="B10641" i="1"/>
  <c r="C10641" i="1"/>
  <c r="M10641" i="1"/>
  <c r="B10642" i="1"/>
  <c r="C10642" i="1"/>
  <c r="M10642" i="1"/>
  <c r="B10643" i="1"/>
  <c r="C10643" i="1"/>
  <c r="M10643" i="1"/>
  <c r="B10644" i="1"/>
  <c r="C10644" i="1"/>
  <c r="M10644" i="1"/>
  <c r="B10645" i="1"/>
  <c r="C10645" i="1"/>
  <c r="M10645" i="1"/>
  <c r="B10646" i="1"/>
  <c r="C10646" i="1"/>
  <c r="M10646" i="1"/>
  <c r="B10647" i="1"/>
  <c r="C10647" i="1"/>
  <c r="M10647" i="1"/>
  <c r="B10648" i="1"/>
  <c r="C10648" i="1"/>
  <c r="M10648" i="1"/>
  <c r="B10649" i="1"/>
  <c r="C10649" i="1"/>
  <c r="M10649" i="1"/>
  <c r="B10650" i="1"/>
  <c r="C10650" i="1"/>
  <c r="M10650" i="1"/>
  <c r="B10651" i="1"/>
  <c r="C10651" i="1"/>
  <c r="M10651" i="1"/>
  <c r="B10652" i="1"/>
  <c r="C10652" i="1"/>
  <c r="M10652" i="1"/>
  <c r="B10653" i="1"/>
  <c r="C10653" i="1"/>
  <c r="M10653" i="1"/>
  <c r="B10654" i="1"/>
  <c r="C10654" i="1"/>
  <c r="M10654" i="1"/>
  <c r="B10655" i="1"/>
  <c r="C10655" i="1"/>
  <c r="M10655" i="1"/>
  <c r="B10656" i="1"/>
  <c r="C10656" i="1"/>
  <c r="M10656" i="1"/>
  <c r="B10657" i="1"/>
  <c r="C10657" i="1"/>
  <c r="M10657" i="1"/>
  <c r="B10658" i="1"/>
  <c r="C10658" i="1"/>
  <c r="M10658" i="1"/>
  <c r="B10659" i="1"/>
  <c r="C10659" i="1"/>
  <c r="M10659" i="1"/>
  <c r="B10660" i="1"/>
  <c r="C10660" i="1"/>
  <c r="M10660" i="1"/>
  <c r="B10661" i="1"/>
  <c r="C10661" i="1"/>
  <c r="M10661" i="1"/>
  <c r="B10662" i="1"/>
  <c r="C10662" i="1"/>
  <c r="M10662" i="1"/>
  <c r="B10663" i="1"/>
  <c r="C10663" i="1"/>
  <c r="M10663" i="1"/>
  <c r="B10664" i="1"/>
  <c r="C10664" i="1"/>
  <c r="M10664" i="1"/>
  <c r="B10665" i="1"/>
  <c r="C10665" i="1"/>
  <c r="M10665" i="1"/>
  <c r="B10666" i="1"/>
  <c r="C10666" i="1"/>
  <c r="M10666" i="1"/>
  <c r="B10667" i="1"/>
  <c r="C10667" i="1"/>
  <c r="M10667" i="1"/>
  <c r="B10668" i="1"/>
  <c r="C10668" i="1"/>
  <c r="M10668" i="1"/>
  <c r="B10669" i="1"/>
  <c r="C10669" i="1"/>
  <c r="M10669" i="1"/>
  <c r="B10670" i="1"/>
  <c r="C10670" i="1"/>
  <c r="M10670" i="1"/>
  <c r="B10671" i="1"/>
  <c r="C10671" i="1"/>
  <c r="M10671" i="1"/>
  <c r="B10672" i="1"/>
  <c r="C10672" i="1"/>
  <c r="M10672" i="1"/>
  <c r="B10673" i="1"/>
  <c r="C10673" i="1"/>
  <c r="M10673" i="1"/>
  <c r="B10674" i="1"/>
  <c r="C10674" i="1"/>
  <c r="M10674" i="1"/>
  <c r="B10675" i="1"/>
  <c r="C10675" i="1"/>
  <c r="M10675" i="1"/>
  <c r="B10676" i="1"/>
  <c r="C10676" i="1"/>
  <c r="M10676" i="1"/>
  <c r="B10677" i="1"/>
  <c r="C10677" i="1"/>
  <c r="M10677" i="1"/>
  <c r="B10678" i="1"/>
  <c r="C10678" i="1"/>
  <c r="M10678" i="1"/>
  <c r="B10679" i="1"/>
  <c r="C10679" i="1"/>
  <c r="M10679" i="1"/>
  <c r="B10680" i="1"/>
  <c r="C10680" i="1"/>
  <c r="M10680" i="1"/>
  <c r="B10681" i="1"/>
  <c r="C10681" i="1"/>
  <c r="M10681" i="1"/>
  <c r="B10682" i="1"/>
  <c r="C10682" i="1"/>
  <c r="M10682" i="1"/>
  <c r="B10683" i="1"/>
  <c r="C10683" i="1"/>
  <c r="M10683" i="1"/>
</calcChain>
</file>

<file path=xl/sharedStrings.xml><?xml version="1.0" encoding="utf-8"?>
<sst xmlns="http://schemas.openxmlformats.org/spreadsheetml/2006/main" count="74770" uniqueCount="8537">
  <si>
    <t>vendor nbr</t>
  </si>
  <si>
    <t>vendor name</t>
  </si>
  <si>
    <t>net expend amt</t>
  </si>
  <si>
    <t>trans dt</t>
  </si>
  <si>
    <t>account nbr</t>
  </si>
  <si>
    <t>cf_rsn</t>
  </si>
  <si>
    <t>abs amt</t>
  </si>
  <si>
    <t>fund descr</t>
  </si>
  <si>
    <t>org descr</t>
  </si>
  <si>
    <t>type cd</t>
  </si>
  <si>
    <t>acct per</t>
  </si>
  <si>
    <t xml:space="preserve">AMERICAN FAMILY LIFE </t>
  </si>
  <si>
    <t>N</t>
  </si>
  <si>
    <t>163-00-2153.00-022-600000</t>
  </si>
  <si>
    <t xml:space="preserve">SEP DED HEALTH </t>
  </si>
  <si>
    <t>PAYROLL</t>
  </si>
  <si>
    <t>AMER FAMILY LIFE ASR-</t>
  </si>
  <si>
    <t>D</t>
  </si>
  <si>
    <t>A. F. T.    #04905</t>
  </si>
  <si>
    <t>163-00-2159.00-018-600000</t>
  </si>
  <si>
    <t xml:space="preserve">SEP DED MISCELLANEOUS </t>
  </si>
  <si>
    <t>AFT DUES</t>
  </si>
  <si>
    <t>ATPE 07710</t>
  </si>
  <si>
    <t>163-00-2159.00-009-600000</t>
  </si>
  <si>
    <t>ATPE DUES</t>
  </si>
  <si>
    <t xml:space="preserve">ATTORNEY GENERAL OF </t>
  </si>
  <si>
    <t>163-00-2159.00-069-600000</t>
  </si>
  <si>
    <t>ATTORNEY GENERAL</t>
  </si>
  <si>
    <t>SUPERIOR VISION</t>
  </si>
  <si>
    <t>163-00-2153.00-011-600000</t>
  </si>
  <si>
    <t>Conversion Added</t>
  </si>
  <si>
    <t>C-CAUSE</t>
  </si>
  <si>
    <t>163-00-2159.00-104-600000</t>
  </si>
  <si>
    <t>INTERMEDIATE</t>
  </si>
  <si>
    <t xml:space="preserve">WASHINGTON NATIONAL </t>
  </si>
  <si>
    <t>163-00-2153.00-053-600000</t>
  </si>
  <si>
    <t>CONSECO ACCIDENT</t>
  </si>
  <si>
    <t>163-00-2153.00-026-600000</t>
  </si>
  <si>
    <t>CONSECO VARIABLE-CAN</t>
  </si>
  <si>
    <t xml:space="preserve">DEARBORN NATIONAL LIFE </t>
  </si>
  <si>
    <t>163-00-2153.00-109-600000</t>
  </si>
  <si>
    <t>SEP DED LIFE INSURANCE</t>
  </si>
  <si>
    <t>DEARBORN NATIONAL LIFE</t>
  </si>
  <si>
    <t>HUMANA/EMPLOYERS 42245</t>
  </si>
  <si>
    <t>163-00-2153.00-023-600000</t>
  </si>
  <si>
    <t>HUMANA DENTAL</t>
  </si>
  <si>
    <t xml:space="preserve">LOYAL AMERICAN LIFE </t>
  </si>
  <si>
    <t>163-00-2153.00-110-600000</t>
  </si>
  <si>
    <t>LOYAL AMERICAN LIFE</t>
  </si>
  <si>
    <t xml:space="preserve">NATIONAL BENEFIT </t>
  </si>
  <si>
    <t>163-00-2159.00-131-600000</t>
  </si>
  <si>
    <t>SEP DED TAX SHEL. ANNUITY</t>
  </si>
  <si>
    <t>PLAN MEMBER SERVICES</t>
  </si>
  <si>
    <t xml:space="preserve">STANDARD INSURANCE </t>
  </si>
  <si>
    <t>163-00-2159.00-111-600000</t>
  </si>
  <si>
    <t>STANDARD INSURANCE</t>
  </si>
  <si>
    <t>TASC</t>
  </si>
  <si>
    <t>163-00-2153.00-006-600000</t>
  </si>
  <si>
    <t>TASC UNREIMB MED</t>
  </si>
  <si>
    <t xml:space="preserve">TULOSO MIDWAY </t>
  </si>
  <si>
    <t>163-00-2159.00-106-600000</t>
  </si>
  <si>
    <t xml:space="preserve">TMPM INTERMEDIATE </t>
  </si>
  <si>
    <t>TULOSO MIDWAY PRIMARY</t>
  </si>
  <si>
    <t>163-00-2159.00-007-600000</t>
  </si>
  <si>
    <t>TMPM</t>
  </si>
  <si>
    <t>TULOSO MIDWAY ISD</t>
  </si>
  <si>
    <t>163-00-2159.00-100-600000</t>
  </si>
  <si>
    <t>FINGERPRINTING</t>
  </si>
  <si>
    <t xml:space="preserve">US DEPARTMENT OF </t>
  </si>
  <si>
    <t>163-00-2159.00-123-600000</t>
  </si>
  <si>
    <t>LANDSHARK</t>
  </si>
  <si>
    <t>163-00-2159.00-068-600000</t>
  </si>
  <si>
    <t xml:space="preserve">BAY AREA MEMBERSHIP </t>
  </si>
  <si>
    <t xml:space="preserve">CAREINGTON </t>
  </si>
  <si>
    <t>163-00-2159.00-129-600000</t>
  </si>
  <si>
    <t>TELADOC</t>
  </si>
  <si>
    <t>CINDY BOUDLOCHE,     20682</t>
  </si>
  <si>
    <t>163-00-2159.00-014-600000</t>
  </si>
  <si>
    <t>BOUDLOCHE, TRUSTEE</t>
  </si>
  <si>
    <t xml:space="preserve">JEFFERSON NATIONAL LIFE </t>
  </si>
  <si>
    <t>163-00-2153.00-024-600000</t>
  </si>
  <si>
    <t xml:space="preserve">JEFFERSON NATIONAL </t>
  </si>
  <si>
    <t xml:space="preserve">CORPUS CHRISTI ATHLETIC </t>
  </si>
  <si>
    <t>163-00-2159.00-117-600000</t>
  </si>
  <si>
    <t>H/S BAND</t>
  </si>
  <si>
    <t>FCSTAT</t>
  </si>
  <si>
    <t>163-00-2159.00-108-600000</t>
  </si>
  <si>
    <t xml:space="preserve">FAMILY AND CONSUMER </t>
  </si>
  <si>
    <t>UNITED STATES TREASURY</t>
  </si>
  <si>
    <t>163-00-2159.00-124-600000</t>
  </si>
  <si>
    <t>163-00-2159.00-032-600000</t>
  </si>
  <si>
    <t>WADDELL &amp; REED ANNUITY</t>
  </si>
  <si>
    <t>163-00-2159.00-033-600000</t>
  </si>
  <si>
    <t>JEFFERSON NATIONAL LIFE</t>
  </si>
  <si>
    <t>163-00-2159.00-041-600000</t>
  </si>
  <si>
    <t>MIDDLE SCHOOL</t>
  </si>
  <si>
    <t>163-00-2159.00-042-600000</t>
  </si>
  <si>
    <t>GREAT AMERICAN LIFE</t>
  </si>
  <si>
    <t>163-00-2159.00-044-600000</t>
  </si>
  <si>
    <t>ARAGON FINANCIAL SVCS</t>
  </si>
  <si>
    <t>163-00-2159.00-046-600000</t>
  </si>
  <si>
    <t>NORTHERN/RELIASTAR</t>
  </si>
  <si>
    <t>163-00-2159.00-058-600000</t>
  </si>
  <si>
    <t>LIFE INS CO OF THE SW</t>
  </si>
  <si>
    <t>163-00-2159.00-059-600000</t>
  </si>
  <si>
    <t>AVIVA</t>
  </si>
  <si>
    <t>163-00-2159.00-060-600000</t>
  </si>
  <si>
    <t>TRANSAMERICA</t>
  </si>
  <si>
    <t>163-00-2159.00-072-600000</t>
  </si>
  <si>
    <t>TRANSAMERICA LIFE</t>
  </si>
  <si>
    <t>163-00-2159.00-075-600000</t>
  </si>
  <si>
    <t xml:space="preserve">AMERICAN FUNDS SERVICE </t>
  </si>
  <si>
    <t>163-00-2159.00-078-600000</t>
  </si>
  <si>
    <t>PRIMERICA</t>
  </si>
  <si>
    <t>163-00-2159.00-107-600000</t>
  </si>
  <si>
    <t>CONVERSION ADDED</t>
  </si>
  <si>
    <t>163-00-2159.00-122-600000</t>
  </si>
  <si>
    <t>SEP DED ROTH ANNUITY</t>
  </si>
  <si>
    <t>LIFE INS COMPANY OF SW</t>
  </si>
  <si>
    <t>163-00-2159.00-130-600000</t>
  </si>
  <si>
    <t xml:space="preserve">SEP DED 457 DEFERRED </t>
  </si>
  <si>
    <t>TEXAS CHILD SUPPORT</t>
  </si>
  <si>
    <t>163-00-2159.00-125-600000</t>
  </si>
  <si>
    <t>TX CHILD SUPPORT SDU</t>
  </si>
  <si>
    <t>TEXAS GUARANTEED  #78428</t>
  </si>
  <si>
    <t>163-00-2159.00-061-600000</t>
  </si>
  <si>
    <t>TEXAS GUARANTEED</t>
  </si>
  <si>
    <t>TSTA 79562</t>
  </si>
  <si>
    <t>163-00-2159.00-005-600000</t>
  </si>
  <si>
    <t>SEP DED TSTA DUES</t>
  </si>
  <si>
    <t>TSTA</t>
  </si>
  <si>
    <t xml:space="preserve">TMISD EDUCATION </t>
  </si>
  <si>
    <t>163-00-2159.00-086-600000</t>
  </si>
  <si>
    <t>EDUCATION FOUNDATION</t>
  </si>
  <si>
    <t>163-00-2159.00-103-600000</t>
  </si>
  <si>
    <t>MISC REIMBURSEMENT</t>
  </si>
  <si>
    <t>ORTIZ, MARIA ELSA</t>
  </si>
  <si>
    <t>LOYAL AM CANCER REFUND</t>
  </si>
  <si>
    <t>RODRIGUEZ, ALEJANDRO</t>
  </si>
  <si>
    <t>GUERRA, MONICA</t>
  </si>
  <si>
    <t>163-00-2153.00-111-600000</t>
  </si>
  <si>
    <t>REFUND FOR DEDUCTION-</t>
  </si>
  <si>
    <t xml:space="preserve">OCT DED HEALTH </t>
  </si>
  <si>
    <t xml:space="preserve">OCT DED MISCELLANEOUS </t>
  </si>
  <si>
    <t xml:space="preserve">AMERICAN HERITAGE LIFE </t>
  </si>
  <si>
    <t>OCT DED LIFE INSURANCE</t>
  </si>
  <si>
    <t>OCT DED TAX SHEL. ANNUITY</t>
  </si>
  <si>
    <t>MONTANTEZ, MICHAEL</t>
  </si>
  <si>
    <t xml:space="preserve">MEDICAL DED TAKEN IN </t>
  </si>
  <si>
    <t>163-00-2159.00-091-600000</t>
  </si>
  <si>
    <t xml:space="preserve">GREAT AMERICAN </t>
  </si>
  <si>
    <t>OCT DED ROTH ANNUITY</t>
  </si>
  <si>
    <t xml:space="preserve">OCT DED 457 DEFERRED </t>
  </si>
  <si>
    <t>163-00-2159.00-099-600000</t>
  </si>
  <si>
    <t xml:space="preserve">OCT DED DEPENDENT CHILD </t>
  </si>
  <si>
    <t>TASC CHILD CARE</t>
  </si>
  <si>
    <t>TCTA 77030</t>
  </si>
  <si>
    <t>163-00-2159.00-048-600000</t>
  </si>
  <si>
    <t xml:space="preserve">TEX CLASSROOM TCH </t>
  </si>
  <si>
    <t>OCT DED TSTA DUES</t>
  </si>
  <si>
    <t>TEXAS TEACHERS</t>
  </si>
  <si>
    <t>163-00-2159.00-034-600000</t>
  </si>
  <si>
    <t xml:space="preserve">TX TEACHERS OF </t>
  </si>
  <si>
    <t xml:space="preserve">NOV DED HEALTH </t>
  </si>
  <si>
    <t xml:space="preserve">NOV DED MISCELLANEOUS </t>
  </si>
  <si>
    <t>NOV DED LIFE INSURANCE</t>
  </si>
  <si>
    <t>NOV DED TAX SHEL. ANNUITY</t>
  </si>
  <si>
    <t>NOV DED ROTH ANNUITY</t>
  </si>
  <si>
    <t xml:space="preserve">NOV DED 457 DEFERRED </t>
  </si>
  <si>
    <t xml:space="preserve">NOV DED DEPENDENT CHILD </t>
  </si>
  <si>
    <t>NOV DED TSTA DUES</t>
  </si>
  <si>
    <t xml:space="preserve">DEC DED HEALTH </t>
  </si>
  <si>
    <t xml:space="preserve">DEC DED MISCELLANEOUS </t>
  </si>
  <si>
    <t>DEC DED LIFE INSURANCE</t>
  </si>
  <si>
    <t>DEC DED TAX SHEL. ANNUITY</t>
  </si>
  <si>
    <t>ONE TIME VENDOR</t>
  </si>
  <si>
    <t>REFUND-SAMMY POSASA</t>
  </si>
  <si>
    <t xml:space="preserve">DEC DED 457 DEFERRED </t>
  </si>
  <si>
    <t>163-00-2159.00-136-600000</t>
  </si>
  <si>
    <t xml:space="preserve">DEC DED PAYROLL </t>
  </si>
  <si>
    <t xml:space="preserve">NATIONAL LIFE GROUP 457b </t>
  </si>
  <si>
    <t>163-00-2159.00-137-600000</t>
  </si>
  <si>
    <t xml:space="preserve">PLAN MEMBER SERVICES </t>
  </si>
  <si>
    <t xml:space="preserve">DEC DED DEPENDENT CHILD </t>
  </si>
  <si>
    <t>DEC DED TSTA DUES</t>
  </si>
  <si>
    <t>REFUND-STELLA HATCH</t>
  </si>
  <si>
    <t>163-00-2153.00-020-600000</t>
  </si>
  <si>
    <t>REFUND-SHIRLEY CARAWAN</t>
  </si>
  <si>
    <t>TRS ACTIVE CARE</t>
  </si>
  <si>
    <t xml:space="preserve">ADJ -PLAN MEMBER </t>
  </si>
  <si>
    <t xml:space="preserve">JAN DED HEALTH </t>
  </si>
  <si>
    <t xml:space="preserve">JAN DED MISCELLANEOUS </t>
  </si>
  <si>
    <t>JAN DED LIFE INSURANCE</t>
  </si>
  <si>
    <t>JAN DED TAX SHEL. ANNUITY</t>
  </si>
  <si>
    <t xml:space="preserve">JAN DED 457 DEFERRED </t>
  </si>
  <si>
    <t xml:space="preserve">JAN DED PAYROLL </t>
  </si>
  <si>
    <t xml:space="preserve">JAN DED DEPENDENT CHILD </t>
  </si>
  <si>
    <t>JAN DED TSTA DUES</t>
  </si>
  <si>
    <t xml:space="preserve">FEB DED HEALTH </t>
  </si>
  <si>
    <t xml:space="preserve">FEB DED MISCELLANEOUS </t>
  </si>
  <si>
    <t>FEB DED LIFE INSURANCE</t>
  </si>
  <si>
    <t>FEB DED TAX SHEL. ANNUITY</t>
  </si>
  <si>
    <t xml:space="preserve">FEB DED 457 DEFERRED </t>
  </si>
  <si>
    <t xml:space="preserve">FEB DED PAYROLL </t>
  </si>
  <si>
    <t xml:space="preserve">FEB DED DEPENDENT CHILD </t>
  </si>
  <si>
    <t>FEB DED TSTA DUES</t>
  </si>
  <si>
    <t xml:space="preserve">MAR DED HEALTH </t>
  </si>
  <si>
    <t xml:space="preserve">MAR DED MISCELLANEOUS </t>
  </si>
  <si>
    <t>MAR DED LIFE INSURANCE</t>
  </si>
  <si>
    <t>MAR DED TAX SHEL. ANNUITY</t>
  </si>
  <si>
    <t xml:space="preserve">MAR DED 457 DEFERRED </t>
  </si>
  <si>
    <t xml:space="preserve">MAR DED PAYROLL </t>
  </si>
  <si>
    <t xml:space="preserve">MAR DED DEPENDENT CHILD </t>
  </si>
  <si>
    <t>MAR DED TSTA DUES</t>
  </si>
  <si>
    <t>INCORRECT AMOUNT</t>
  </si>
  <si>
    <t>MONTHLY PAYMENT</t>
  </si>
  <si>
    <t xml:space="preserve">APR DED HEALTH </t>
  </si>
  <si>
    <t xml:space="preserve">APR DED MISCELLANEOUS </t>
  </si>
  <si>
    <t>APR DED LIFE INSURANCE</t>
  </si>
  <si>
    <t>APR DED TAX SHEL. ANNUITY</t>
  </si>
  <si>
    <t xml:space="preserve">APR DED 457 DEFERRED </t>
  </si>
  <si>
    <t xml:space="preserve">APR DED PAYROLL </t>
  </si>
  <si>
    <t xml:space="preserve">APR DED DEPENDENT CHILD </t>
  </si>
  <si>
    <t>APR DED TSTA DUES</t>
  </si>
  <si>
    <t xml:space="preserve">MAY DED HEALTH </t>
  </si>
  <si>
    <t xml:space="preserve">MAY DED MISCELLANEOUS </t>
  </si>
  <si>
    <t>MAY DED LIFE INSURANCE</t>
  </si>
  <si>
    <t>MAY DED TAX SHEL. ANNUITY</t>
  </si>
  <si>
    <t>INCORRECT VENDOR</t>
  </si>
  <si>
    <t xml:space="preserve">MAY DED 457 DEFERRED </t>
  </si>
  <si>
    <t xml:space="preserve">MAY DED PAYROLL </t>
  </si>
  <si>
    <t xml:space="preserve">MAY DED DEPENDENT CHILD </t>
  </si>
  <si>
    <t>MAY DED TSTA DUES</t>
  </si>
  <si>
    <t>DAILEY, ROSILYN J.</t>
  </si>
  <si>
    <t>163-00-1290.00-000-600000</t>
  </si>
  <si>
    <t>DISTRICT</t>
  </si>
  <si>
    <t xml:space="preserve">USB ENROLLMENT </t>
  </si>
  <si>
    <t>MONTHLY DED'S</t>
  </si>
  <si>
    <t xml:space="preserve">JUN DED HEALTH </t>
  </si>
  <si>
    <t>163-00-2153.00-135-600000</t>
  </si>
  <si>
    <t xml:space="preserve">SUMMER - DED AMER FAM </t>
  </si>
  <si>
    <t xml:space="preserve">JUN DED MISCELLANEOUS </t>
  </si>
  <si>
    <t>163-00-2153.00-127-600000</t>
  </si>
  <si>
    <t xml:space="preserve">SUMMER - WASHINGTON </t>
  </si>
  <si>
    <t>163-00-2153.00-112-600000</t>
  </si>
  <si>
    <t xml:space="preserve">SUMMER DED - BLOCK </t>
  </si>
  <si>
    <t>JUN DED LIFE INSURANCE</t>
  </si>
  <si>
    <t>163-00-2153.00-114-600000</t>
  </si>
  <si>
    <t xml:space="preserve">SUMMER DED - DEARBORN </t>
  </si>
  <si>
    <t>163-00-2153.00-115-600000</t>
  </si>
  <si>
    <t>HIGH SCHOOL CHOIR</t>
  </si>
  <si>
    <t>JUN DED TAX SHEL. ANNUITY</t>
  </si>
  <si>
    <t>163-00-2159.00-113-600000</t>
  </si>
  <si>
    <t xml:space="preserve">SUMMER DED - STANDARD </t>
  </si>
  <si>
    <t>163-00-2153.00-128-600000</t>
  </si>
  <si>
    <t xml:space="preserve">SUMMER - DED TASC </t>
  </si>
  <si>
    <t xml:space="preserve">JUN DED 457 DEFERRED </t>
  </si>
  <si>
    <t xml:space="preserve">JUN DED PAYROLL </t>
  </si>
  <si>
    <t xml:space="preserve">JUN DED DEPENDENT CHILD </t>
  </si>
  <si>
    <t>JUN DED TSTA DUES</t>
  </si>
  <si>
    <t>FLORES DE ROCHA, GLORIA</t>
  </si>
  <si>
    <t>REIMB-PREMIUM DEDUCTED</t>
  </si>
  <si>
    <t>JIMENEZ, MELISSA</t>
  </si>
  <si>
    <t>REIMB</t>
  </si>
  <si>
    <t>JUL DED HEALTH INSURANCE</t>
  </si>
  <si>
    <t xml:space="preserve">JUL DED MISCELLANEOUS </t>
  </si>
  <si>
    <t>JUL DED LIFE INSURANCE</t>
  </si>
  <si>
    <t>JUL DED TAX SHEL. ANNUITY</t>
  </si>
  <si>
    <t xml:space="preserve">JUL DED 457 DEFERRED </t>
  </si>
  <si>
    <t xml:space="preserve">JUL DED PAYROLL </t>
  </si>
  <si>
    <t xml:space="preserve">JUL DED DEPENDENT CHILD </t>
  </si>
  <si>
    <t>JUL DED TSTA DUES</t>
  </si>
  <si>
    <t>PAYROLL DED</t>
  </si>
  <si>
    <t xml:space="preserve">AUG DED HEALTH </t>
  </si>
  <si>
    <t xml:space="preserve">AUG DED MISCELLANEOUS </t>
  </si>
  <si>
    <t>AUG DED LIFE INSURANCE</t>
  </si>
  <si>
    <t>AUG DED TAX SHEL. ANNUITY</t>
  </si>
  <si>
    <t>163-00-2159.00-082-600000</t>
  </si>
  <si>
    <t>OPPENHEIMER FUNDS</t>
  </si>
  <si>
    <t xml:space="preserve">AUG DED 457 DEFERRED </t>
  </si>
  <si>
    <t xml:space="preserve">AUG DED PAYROLL </t>
  </si>
  <si>
    <t xml:space="preserve">AUG DED DEPENDENT CHILD </t>
  </si>
  <si>
    <t xml:space="preserve">TEXAS WORKFORCE </t>
  </si>
  <si>
    <t>163-00-2158.02-000-600000</t>
  </si>
  <si>
    <t xml:space="preserve">ARTURAL CLAIM QRTR END </t>
  </si>
  <si>
    <t>C</t>
  </si>
  <si>
    <t>MCNEIL HIGH SCHOOL</t>
  </si>
  <si>
    <t>181-36-6412.3C-001-691239</t>
  </si>
  <si>
    <t>HS CC Entry Fee / Ath</t>
  </si>
  <si>
    <t>ATHLETICS</t>
  </si>
  <si>
    <t>HIGH SCHOOL</t>
  </si>
  <si>
    <t>BEEVILLE ISD</t>
  </si>
  <si>
    <t>CC @ BEEVILLE 9/12/15</t>
  </si>
  <si>
    <t>181-36-6412.3C-041-691239</t>
  </si>
  <si>
    <t>CARROLL HIGH SCHOOL</t>
  </si>
  <si>
    <t>CC @ CARROLL 9/5/15</t>
  </si>
  <si>
    <t>BOONE, BRIAN</t>
  </si>
  <si>
    <t>181-00-1109.01-000-600000</t>
  </si>
  <si>
    <t xml:space="preserve">V/FB HOME GAMES TICKET </t>
  </si>
  <si>
    <t>181-00-1109.02-000-600000</t>
  </si>
  <si>
    <t>V/FB CALALLEN 9/11/15</t>
  </si>
  <si>
    <t>V/FB MOODY 10/2/15</t>
  </si>
  <si>
    <t>BSN SPORTS</t>
  </si>
  <si>
    <t>181-00-2110.15-000-600000</t>
  </si>
  <si>
    <t>MENS BASKETBALL</t>
  </si>
  <si>
    <t xml:space="preserve">BUTTER CHURN </t>
  </si>
  <si>
    <t>V/VB @ SINTON 8/22/15</t>
  </si>
  <si>
    <t>DAKTRONICS, INC</t>
  </si>
  <si>
    <t>ATENNA &amp; CARRYING CASE</t>
  </si>
  <si>
    <t xml:space="preserve">ESA AUSTIN NORTH </t>
  </si>
  <si>
    <t>181-36-6411.33-001-691039</t>
  </si>
  <si>
    <t>TISCA @ AUSTIN SEPT 18-20</t>
  </si>
  <si>
    <t>FIGUEROA, ANTONIO JR</t>
  </si>
  <si>
    <t xml:space="preserve">F/JV FB SINTON/MATHIS </t>
  </si>
  <si>
    <t>INCARNATE WORD ACADEMY</t>
  </si>
  <si>
    <t>181-36-6412.3Y-041-691239</t>
  </si>
  <si>
    <t>VB @ IWA SEPT 4-5</t>
  </si>
  <si>
    <t>LOPEZ, SAMUEL</t>
  </si>
  <si>
    <t>ORTIZ, RAUL</t>
  </si>
  <si>
    <t xml:space="preserve">F/JV/V VB FLOUR BLUFF </t>
  </si>
  <si>
    <t>RATLIFF, KIM</t>
  </si>
  <si>
    <t>SAENZ, MANUEL R.</t>
  </si>
  <si>
    <t>SANCHEZ, LARRY</t>
  </si>
  <si>
    <t>SCHWIRTLICH, RANDY</t>
  </si>
  <si>
    <t>SINTON ISD</t>
  </si>
  <si>
    <t>V/FB @ SINTON 8/28/15</t>
  </si>
  <si>
    <t>181-36-6412.3Y-001-691239</t>
  </si>
  <si>
    <t>F/JV VB @ SINTON 9/10 &amp; 9/12</t>
  </si>
  <si>
    <t xml:space="preserve">SWIM SHOPS OF THE </t>
  </si>
  <si>
    <t>WHATABURGER, INC</t>
  </si>
  <si>
    <t>CC @ MOODY 8/29/15</t>
  </si>
  <si>
    <t>181-36-6412.3F-001-691139</t>
  </si>
  <si>
    <t xml:space="preserve">JV/FB @ ORANGE GROVE </t>
  </si>
  <si>
    <t xml:space="preserve">V/FB @ ORANGE GROVE </t>
  </si>
  <si>
    <t>WINDHAM, BILL</t>
  </si>
  <si>
    <t>BADING, RYAN</t>
  </si>
  <si>
    <t>181-36-6219.3F-001-691039</t>
  </si>
  <si>
    <t>BELLFIELD, MARCELL JR</t>
  </si>
  <si>
    <t>181-36-6219.3Y-001-691039</t>
  </si>
  <si>
    <t>F/JV/V VB VICTORIA W 9/8/15</t>
  </si>
  <si>
    <t>F/JV/V VB CALALLEN 9/11/15</t>
  </si>
  <si>
    <t>CANTU, JAVIER</t>
  </si>
  <si>
    <t>CANTU, ROBERT G.</t>
  </si>
  <si>
    <t>CHAVERA, PEDRO</t>
  </si>
  <si>
    <t>CLEM, JAMES M.</t>
  </si>
  <si>
    <t>181-36-6219.3Y-041-691039</t>
  </si>
  <si>
    <t>VB CALALLEN 9/10/15</t>
  </si>
  <si>
    <t>CRUZ, JESSE</t>
  </si>
  <si>
    <t>CUSACK, JOSEPH L.</t>
  </si>
  <si>
    <t>ENGLISH, CHARLES</t>
  </si>
  <si>
    <t>ESPINOSA, GUY L.</t>
  </si>
  <si>
    <t>FLORES, JOSE H.</t>
  </si>
  <si>
    <t>FUDDRUCKERS</t>
  </si>
  <si>
    <t>181-36-6412.3Y-001-691139</t>
  </si>
  <si>
    <t>F/JV/V VB MOODY 9/1/15</t>
  </si>
  <si>
    <t>GARCIA, FELIPE DAVID</t>
  </si>
  <si>
    <t>GONZALEZ, MANUEL M</t>
  </si>
  <si>
    <t>GUERRA, JOHNNY L</t>
  </si>
  <si>
    <t>KIGHT, NORA LEA</t>
  </si>
  <si>
    <t>MANZANO, EDWARD III</t>
  </si>
  <si>
    <t>MARTINEZ, ENRIQUE</t>
  </si>
  <si>
    <t>MARTINEZ, RICK</t>
  </si>
  <si>
    <t>MAYO, CHOWAN</t>
  </si>
  <si>
    <t>OLIVARES, RICK</t>
  </si>
  <si>
    <t>ORANGE GROVE ISD</t>
  </si>
  <si>
    <t>181-00-5752.3F-001-600000</t>
  </si>
  <si>
    <t xml:space="preserve">PATTERSON MEDICAL </t>
  </si>
  <si>
    <t>181-36-6399.38-001-691039</t>
  </si>
  <si>
    <t>MEDICAL SUPPLIES</t>
  </si>
  <si>
    <t>CS SOLO DELUXE PKG</t>
  </si>
  <si>
    <t>SIMMS, GILBERT</t>
  </si>
  <si>
    <t>STARTZ, PAUL</t>
  </si>
  <si>
    <t>TAGLE, EDUARDO</t>
  </si>
  <si>
    <t xml:space="preserve">TEXAS A&amp;M UNIVERSITY </t>
  </si>
  <si>
    <t>CC @ KINGSVILLE 9/19/15</t>
  </si>
  <si>
    <t>ALERT SERVICES INC</t>
  </si>
  <si>
    <t>TUBICONFORM COMP</t>
  </si>
  <si>
    <t>V/FB MILLER 10/16/15</t>
  </si>
  <si>
    <t>VB GP 9/14/15</t>
  </si>
  <si>
    <t>M&amp;R HAYNES, INC.</t>
  </si>
  <si>
    <t>181-36-6412.3C-001-691139</t>
  </si>
  <si>
    <t>181-36-6412.3Y-041-691139</t>
  </si>
  <si>
    <t>VB TOURN 9/19/15</t>
  </si>
  <si>
    <t>DORSCH, ROBERT THOMAS</t>
  </si>
  <si>
    <t xml:space="preserve">FLOUR BLUFF ATHLETIC </t>
  </si>
  <si>
    <t>181-36-6412.3G-001-691239</t>
  </si>
  <si>
    <t xml:space="preserve">GOLF @ FLOUR BLUFF </t>
  </si>
  <si>
    <t>NORTHSIDE ISD</t>
  </si>
  <si>
    <t>GOLF @ SA OCT 16-17</t>
  </si>
  <si>
    <t>PABON, ARNALDO</t>
  </si>
  <si>
    <t>PEREZ, ALEXANDER JR</t>
  </si>
  <si>
    <t>PFEIFER, KIMBERLY A.</t>
  </si>
  <si>
    <t>CC @ TAMUCC 9/26/15</t>
  </si>
  <si>
    <t>VELAZQUEZ, RENE</t>
  </si>
  <si>
    <t xml:space="preserve">WALMART </t>
  </si>
  <si>
    <t>TRAINING SUPPLIES</t>
  </si>
  <si>
    <t>GREGORY PORTLAND ISD</t>
  </si>
  <si>
    <t>MS Volleyball ENtry Fee / ATH</t>
  </si>
  <si>
    <t>ROY MILLER HIGH SCHOOL</t>
  </si>
  <si>
    <t>CC @ WEST GUTH 10/10/15</t>
  </si>
  <si>
    <t>AED SUPERSTORE</t>
  </si>
  <si>
    <t>181-36-6399.38-001-691139</t>
  </si>
  <si>
    <t xml:space="preserve">DEBIBRILLATION </t>
  </si>
  <si>
    <t>ALANIZ, ANNA</t>
  </si>
  <si>
    <t>FROLLER ICE MASSAGE</t>
  </si>
  <si>
    <t>ATHLETICA, INC.</t>
  </si>
  <si>
    <t>181-36-6399.3Y-041-691039</t>
  </si>
  <si>
    <t>SHOE LACES</t>
  </si>
  <si>
    <t>CARTER, PATRICK G.</t>
  </si>
  <si>
    <t>181-36-6219.3F-041-691039</t>
  </si>
  <si>
    <t>FB CALALLEN 9/29/15</t>
  </si>
  <si>
    <t>CEBALLOS, JOSE</t>
  </si>
  <si>
    <t>F/JV/V VB GP 9/22/15</t>
  </si>
  <si>
    <t>CHAVERA, THOMAS M</t>
  </si>
  <si>
    <t>FB GP 9/15/15</t>
  </si>
  <si>
    <t>FB ALICE 9/22/15</t>
  </si>
  <si>
    <t>FB SINTON 10/6/15</t>
  </si>
  <si>
    <t>CHROBOCINSKI, THOMAS E</t>
  </si>
  <si>
    <t>F/JV/V VB VETERANS 9/18/15</t>
  </si>
  <si>
    <t>MM HAYNES, INC</t>
  </si>
  <si>
    <t>181-36-6412.3G-001-691139</t>
  </si>
  <si>
    <t>F/JV/V VB VICTORIA E 10/6/15</t>
  </si>
  <si>
    <t>ENTERPRISE RENT A CAR</t>
  </si>
  <si>
    <t>ANNA ALANIZ</t>
  </si>
  <si>
    <t>FERDIN, ROY C.</t>
  </si>
  <si>
    <t>GALVAN, GILBERT</t>
  </si>
  <si>
    <t>GANDY INK</t>
  </si>
  <si>
    <t>181-36-6399.3G-001-691039</t>
  </si>
  <si>
    <t>PORT AUTH PERFORMANCE</t>
  </si>
  <si>
    <t>GARCIA, FELIPE</t>
  </si>
  <si>
    <t>F/JV FB ALICE 9/24/15</t>
  </si>
  <si>
    <t>GREEN, ART</t>
  </si>
  <si>
    <t>HAMMITT, REAGAN</t>
  </si>
  <si>
    <t>HARROD, MARC B</t>
  </si>
  <si>
    <t xml:space="preserve">F/FB ARANSAS/ROCKPORT </t>
  </si>
  <si>
    <t>HOBBY LOBBY STORES INC</t>
  </si>
  <si>
    <t>TABLE COVERS</t>
  </si>
  <si>
    <t>JENDRUSCH, LYNN</t>
  </si>
  <si>
    <t>JENDRUSCH, PATRICK</t>
  </si>
  <si>
    <t>KRONK, EARL E., JR.</t>
  </si>
  <si>
    <t>LINDQUIST, ERIC RUDOLPH III</t>
  </si>
  <si>
    <t>MARROQUIN, AURELIO III</t>
  </si>
  <si>
    <t>DUPLICATE PAYMENT</t>
  </si>
  <si>
    <t>PATINO, JOHN EDWARD</t>
  </si>
  <si>
    <t>PEEBLES, GERALD</t>
  </si>
  <si>
    <t>PEREZ, JESSE JR</t>
  </si>
  <si>
    <t>REAVES, DANIEL C.</t>
  </si>
  <si>
    <t>REILING, MIKE</t>
  </si>
  <si>
    <t>RODRIGUEZ, WILLIAM L.</t>
  </si>
  <si>
    <t>SALINAS, RUBEN</t>
  </si>
  <si>
    <t>SMILEY, CODY</t>
  </si>
  <si>
    <t>V/FB @ ALICE 9/25/15</t>
  </si>
  <si>
    <t>STOFFERS, ERIC ROY</t>
  </si>
  <si>
    <t>SWIMMIN STUFF</t>
  </si>
  <si>
    <t>181-36-6399.3S-001-691039</t>
  </si>
  <si>
    <t>ALLIANCE JAMMER &amp; RACER</t>
  </si>
  <si>
    <t>TAC MED, INC</t>
  </si>
  <si>
    <t>181-36-6219.30-001-691039</t>
  </si>
  <si>
    <t>TEXAS FLEET FUEL, LTD.</t>
  </si>
  <si>
    <t>TREVINO,  PATRICK</t>
  </si>
  <si>
    <t>181-36-6412.3C-041-691139</t>
  </si>
  <si>
    <t>CC @ TAMUCC 9/24/15</t>
  </si>
  <si>
    <t>F/FB @ CALALLEN 9/10/15</t>
  </si>
  <si>
    <t>JV/FB @ CALALLEN 9/10/15</t>
  </si>
  <si>
    <t>181-36-6412.3F-041-691139</t>
  </si>
  <si>
    <t>FB @ GP 9/15/15</t>
  </si>
  <si>
    <t>FB @ ALICE 9/22/15</t>
  </si>
  <si>
    <t>181-36-6412.3T-001-691139</t>
  </si>
  <si>
    <t xml:space="preserve">V/TENNIS @ VETERANS </t>
  </si>
  <si>
    <t>V/TENNIS @ MOODY 9/16/15</t>
  </si>
  <si>
    <t xml:space="preserve">JV/V TENNIS @ ROCKPORT </t>
  </si>
  <si>
    <t>181-36-6412.3V-041-691139</t>
  </si>
  <si>
    <t xml:space="preserve">V/TENNIS @ CALALLEN </t>
  </si>
  <si>
    <t xml:space="preserve">F/JV/V VB @ VICTORIA E </t>
  </si>
  <si>
    <t>F/JV VB @ SINTON 9/12/15</t>
  </si>
  <si>
    <t>VB @ IWA 9/5/15</t>
  </si>
  <si>
    <t>VB @ ALICE 9/21/15</t>
  </si>
  <si>
    <t>WINKLE, JACQUE</t>
  </si>
  <si>
    <t>ALLEN, BILL</t>
  </si>
  <si>
    <t>V/FB FLOUR BLUFF 10/30/15</t>
  </si>
  <si>
    <t>ASICS RUNNING SHOE</t>
  </si>
  <si>
    <t>181-36-6399.3F-001-691039</t>
  </si>
  <si>
    <t>EQUIPMENT SUPPLIES</t>
  </si>
  <si>
    <t>CALZADA, RUDY</t>
  </si>
  <si>
    <t>CCISD AQUATICS</t>
  </si>
  <si>
    <t>181-36-6412.3S-001-691239</t>
  </si>
  <si>
    <t>SWIM/DIVE @ CCISD 10/23/15</t>
  </si>
  <si>
    <t>F/JV/V VB MOODY 10/2/15</t>
  </si>
  <si>
    <t>VB FLOUR BLUFF 9/28/15</t>
  </si>
  <si>
    <t>COASTAL BEND COACHES</t>
  </si>
  <si>
    <t>181-36-6495.30-001-691039</t>
  </si>
  <si>
    <t>2015-2016 MEMBERSHIP</t>
  </si>
  <si>
    <t>EWING,  MICHAEL L.</t>
  </si>
  <si>
    <t>GAINES, BILLY JR</t>
  </si>
  <si>
    <t>F/JV FB VICTORIA W 10/8/15</t>
  </si>
  <si>
    <t>GARCIA, DEBRA A</t>
  </si>
  <si>
    <t>181-36-6412.3D-001-691239</t>
  </si>
  <si>
    <t>F/VB @ GP NOV 12-14</t>
  </si>
  <si>
    <t>HARROD, DENNIS B</t>
  </si>
  <si>
    <t>HILLIARD, JOEL S JR</t>
  </si>
  <si>
    <t>LCISD ATHLETICS</t>
  </si>
  <si>
    <t xml:space="preserve">SWIM/DIVE @ ROSENBERG </t>
  </si>
  <si>
    <t>LINDSEY, LUTHER</t>
  </si>
  <si>
    <t>LOZANO, FRANCISCO JAMES</t>
  </si>
  <si>
    <t>NORRIS, CHARLES</t>
  </si>
  <si>
    <t>V/FB @ VICTORIA W 10/9/15</t>
  </si>
  <si>
    <t>ORTIZ, OSCAR</t>
  </si>
  <si>
    <t>181-36-6319.30-001-691039</t>
  </si>
  <si>
    <t>BATTERIES &amp; HEX NUTS</t>
  </si>
  <si>
    <t>181-36-6399.30-001-691039</t>
  </si>
  <si>
    <t>LAM SHEETS</t>
  </si>
  <si>
    <t>WHEEL &amp; BOLTS</t>
  </si>
  <si>
    <t>TOWELS, ICY HOT &amp; TOOLS</t>
  </si>
  <si>
    <t>POWELL, EDWARD M.</t>
  </si>
  <si>
    <t>RAMIREZ, ALEXANDER</t>
  </si>
  <si>
    <t>REYES, OSCAR R.</t>
  </si>
  <si>
    <t xml:space="preserve">ROGERS ATHLETIC </t>
  </si>
  <si>
    <t>181-36-6399.3F-041-691039</t>
  </si>
  <si>
    <t>1 MAN JV LEV SLED</t>
  </si>
  <si>
    <t>SANTA GERTRUDIS ISD</t>
  </si>
  <si>
    <t xml:space="preserve">V/GBK @ SANTA GERTRU </t>
  </si>
  <si>
    <t>TSHIRT XPRESS</t>
  </si>
  <si>
    <t xml:space="preserve">SCREENED WARRIOR FRONT </t>
  </si>
  <si>
    <t>WALSH, JOHN PATRICK</t>
  </si>
  <si>
    <t>WILLIAMS, MARCUS</t>
  </si>
  <si>
    <t>WITTE, KENNETH</t>
  </si>
  <si>
    <t>WRIGHT, AARON</t>
  </si>
  <si>
    <t>BUENO, ABEL JR.</t>
  </si>
  <si>
    <t>CHICK-FIL-A</t>
  </si>
  <si>
    <t xml:space="preserve">F/JV/V VB @ VICTORIA W </t>
  </si>
  <si>
    <t>DAIRY QUEEN OF PORTLAND</t>
  </si>
  <si>
    <t>VB @ GP 10/3/15</t>
  </si>
  <si>
    <t xml:space="preserve">DISTANCE BROTHERS </t>
  </si>
  <si>
    <t>181-36-6412.99-001-691039</t>
  </si>
  <si>
    <t>V/FB @ VICTORIA E 11/9/15</t>
  </si>
  <si>
    <t>IRC TEAM SPORTS</t>
  </si>
  <si>
    <t>181-36-6399.3T-001-691039</t>
  </si>
  <si>
    <t>NIKE SHIRTS &amp; SHORTS</t>
  </si>
  <si>
    <t>JASON'S DELI</t>
  </si>
  <si>
    <t xml:space="preserve">MCALLEN INDEPENDENT </t>
  </si>
  <si>
    <t>V/GBK @ MCALLEN NOV 19-21</t>
  </si>
  <si>
    <t>PIONEER ATHLETICS</t>
  </si>
  <si>
    <t>BRITE STRIPE WHITE</t>
  </si>
  <si>
    <t>RAY GOLF ACTIVITY FUND</t>
  </si>
  <si>
    <t>GOLF @ RAY 11/9/15</t>
  </si>
  <si>
    <t xml:space="preserve">RIDDELL/ALL AMERICAN </t>
  </si>
  <si>
    <t>SPEED CLASSIC HELMET</t>
  </si>
  <si>
    <t>VICTORIA ISD</t>
  </si>
  <si>
    <t>AGUIRRE, PETE</t>
  </si>
  <si>
    <t>FB ALICE 10/13/15</t>
  </si>
  <si>
    <t>ALICE ISD</t>
  </si>
  <si>
    <t>VB ALICE 10/12/15</t>
  </si>
  <si>
    <t>BENAVIDES, OSCAR</t>
  </si>
  <si>
    <t>181-36-6399.3B-001-691039</t>
  </si>
  <si>
    <t>SUBLINE MENS UNIFORMS</t>
  </si>
  <si>
    <t>181-36-6399.3B-041-691039</t>
  </si>
  <si>
    <t xml:space="preserve">DRIFIT LONG &amp; NO SLEEVE </t>
  </si>
  <si>
    <t xml:space="preserve">POLOS, BALL CART &amp; </t>
  </si>
  <si>
    <t>GOLF @ CARROLL NOV 13-14</t>
  </si>
  <si>
    <t xml:space="preserve">CORNISH MEDICAL </t>
  </si>
  <si>
    <t xml:space="preserve">VINYL UPHOLSTERY FLAT </t>
  </si>
  <si>
    <t>DAVILA, LOUIE</t>
  </si>
  <si>
    <t>F/JV/V VB MILLER 10/16/15</t>
  </si>
  <si>
    <t>GREEN, WILLIAM J.</t>
  </si>
  <si>
    <t>181-36-6219.3S-001-691039</t>
  </si>
  <si>
    <t xml:space="preserve">SWIM/DIVE FLOUR BLUFF </t>
  </si>
  <si>
    <t xml:space="preserve">SWIM/DIVE </t>
  </si>
  <si>
    <t>SWIM/DIVE ALICE 10/13/15</t>
  </si>
  <si>
    <t>V/FB @ GP 10/23/15</t>
  </si>
  <si>
    <t>HARDBERGER, MELISSA</t>
  </si>
  <si>
    <t>VB GRANT 10/19/15</t>
  </si>
  <si>
    <t>HERNANDEZ, CHARLES A.</t>
  </si>
  <si>
    <t>HOLIDAY, JAMES E. III</t>
  </si>
  <si>
    <t>HOWE, CARL</t>
  </si>
  <si>
    <t>KELL, LARRY</t>
  </si>
  <si>
    <t>M-F ATHLETIC COMPANY INC</t>
  </si>
  <si>
    <t>ECLIPSE TENTS</t>
  </si>
  <si>
    <t>MIRA'S SPORTS &amp; MORE</t>
  </si>
  <si>
    <t>181-36-6399.3A-001-691039</t>
  </si>
  <si>
    <t>BADGER SHIRTS</t>
  </si>
  <si>
    <t>YOUTH ACTIVITIES TSHIRTS</t>
  </si>
  <si>
    <t>UA LOCKER LONGSLEEVE</t>
  </si>
  <si>
    <t>MORALES, MATHEW</t>
  </si>
  <si>
    <t>NELSON, PATRICK</t>
  </si>
  <si>
    <t>NIETO, SAMUEL H.</t>
  </si>
  <si>
    <t>FB GP 10/20/15</t>
  </si>
  <si>
    <t>PEREZ, EMILY</t>
  </si>
  <si>
    <t>RAMIREZ, CANDELARIO</t>
  </si>
  <si>
    <t>REVILLA, ROGER</t>
  </si>
  <si>
    <t>SANCHEZ, CAROL</t>
  </si>
  <si>
    <t>SWEET, TIM</t>
  </si>
  <si>
    <t>TRAMMELL, MARK</t>
  </si>
  <si>
    <t>UNDERBRINK, GARY</t>
  </si>
  <si>
    <t>WALLETT, MICHAEL L.</t>
  </si>
  <si>
    <t>DETERGENT</t>
  </si>
  <si>
    <t>OFFICE SUPPLIES</t>
  </si>
  <si>
    <t>BANK OF AMERICA</t>
  </si>
  <si>
    <t>TWO WAY RADIOS</t>
  </si>
  <si>
    <t>CASTILLO, EDUARDO</t>
  </si>
  <si>
    <t>181-36-6412.09-001-691039</t>
  </si>
  <si>
    <t>CC @ ROUND ROCK NOV 6-7</t>
  </si>
  <si>
    <t xml:space="preserve">D &amp; W ENGRAVING &amp; </t>
  </si>
  <si>
    <t>181-36-6499.99-001-691039</t>
  </si>
  <si>
    <t>VOLLEYBALL ON WOOD BASE</t>
  </si>
  <si>
    <t xml:space="preserve">HOME DEPOT CREDIT </t>
  </si>
  <si>
    <t>VINYL BLIND</t>
  </si>
  <si>
    <t>LA QUINTA INN &amp; SUITES</t>
  </si>
  <si>
    <t>WHATABURGER OF ALICE, LP</t>
  </si>
  <si>
    <t>TENNIS @ ALICE 10/8/15</t>
  </si>
  <si>
    <t>F/JV/V VB @ ALICE 9/25/15</t>
  </si>
  <si>
    <t>JV/FB @ MOODY 10/1/15</t>
  </si>
  <si>
    <t>F/FB @ MOODY 10/1/15</t>
  </si>
  <si>
    <t>F/FB @ MILLER 10/15/15</t>
  </si>
  <si>
    <t>JV/FB @ MILLER 10/15/15</t>
  </si>
  <si>
    <t>FB @ ALICE 10/6/15</t>
  </si>
  <si>
    <t>FB @ CALALLEN 9/29/15</t>
  </si>
  <si>
    <t>FB @ ALICE 10/13/15</t>
  </si>
  <si>
    <t>FB @ GP 10/20/15</t>
  </si>
  <si>
    <t>181-36-6412.3S-001-691139</t>
  </si>
  <si>
    <t xml:space="preserve">SWIM/DIVE @ VICTORIA </t>
  </si>
  <si>
    <t>JV/TENNIS @ KING 10/8/15</t>
  </si>
  <si>
    <t>JV/TENNIS @ GP 10/1/15</t>
  </si>
  <si>
    <t>V/TENNIS @ ALICE 10/3/15</t>
  </si>
  <si>
    <t>TENNIS @ GP 10/15/15</t>
  </si>
  <si>
    <t xml:space="preserve">TENNIS @ KINGSVILLE </t>
  </si>
  <si>
    <t xml:space="preserve">F/JV/V VB @ VETERANS </t>
  </si>
  <si>
    <t>F/JV/V VB @ FBLUFF 9/29/15</t>
  </si>
  <si>
    <t>VB @ GP 10/5/15</t>
  </si>
  <si>
    <t xml:space="preserve">WEST HIGH SCHOOL GOLF </t>
  </si>
  <si>
    <t>GOLF @ VICTORIA DEC 4-5</t>
  </si>
  <si>
    <t>ALANIZ, JIMMIE</t>
  </si>
  <si>
    <t>AMERICA TEAM SPORTS</t>
  </si>
  <si>
    <t>181-36-6399.3K-001-691039</t>
  </si>
  <si>
    <t>POLOS &amp; HOODIES</t>
  </si>
  <si>
    <t>F/JV/V VB ALICE 10/27/15</t>
  </si>
  <si>
    <t>BIG HOUSE BARBQ</t>
  </si>
  <si>
    <t>V/VB @ FALFURRIAS 11/7/15</t>
  </si>
  <si>
    <t xml:space="preserve">FOOTBALL SHOULDER PAD </t>
  </si>
  <si>
    <t>TRAINING SLED HARNESS</t>
  </si>
  <si>
    <t>FB FLOUR BLUFF 10/27/15</t>
  </si>
  <si>
    <t>MD HAYNES INC.</t>
  </si>
  <si>
    <t>COLLEGE STATION ISD</t>
  </si>
  <si>
    <t>181-36-6412.3B-001-691239</t>
  </si>
  <si>
    <t xml:space="preserve">V/BBK @ COLLEGE STATN </t>
  </si>
  <si>
    <t xml:space="preserve">THERAPUETIC MODALITIES </t>
  </si>
  <si>
    <t>CRAIG, BOBBY</t>
  </si>
  <si>
    <t>181-36-6412.3B-001-691139</t>
  </si>
  <si>
    <t>DOMINO'S PIZZA</t>
  </si>
  <si>
    <t xml:space="preserve">V/FB @ VICTORIA WEST </t>
  </si>
  <si>
    <t xml:space="preserve">DREAM MAKER </t>
  </si>
  <si>
    <t>SCOREBOOKS</t>
  </si>
  <si>
    <t>EDDIE CASTILLO</t>
  </si>
  <si>
    <t>FELAN, JOSEPH E.</t>
  </si>
  <si>
    <t>FIGUEROA, STACIE</t>
  </si>
  <si>
    <t xml:space="preserve">VB SCOUTING @ LAREDO </t>
  </si>
  <si>
    <t xml:space="preserve">CC REGIONALS @ TAMUCC </t>
  </si>
  <si>
    <t xml:space="preserve">FUNDRAISING SOLUTIONS, </t>
  </si>
  <si>
    <t>COACHES SHIRTS</t>
  </si>
  <si>
    <t>GARCIA, LINO</t>
  </si>
  <si>
    <t>GREER, KENNETH E</t>
  </si>
  <si>
    <t>GULF COAST SPECIALITIES</t>
  </si>
  <si>
    <t>CC BRONZE FIGURE</t>
  </si>
  <si>
    <t>HERNANDEZ, CARLA</t>
  </si>
  <si>
    <t>HM KING HIGH SCHOOL</t>
  </si>
  <si>
    <t>181-36-6412.3T-001-691239</t>
  </si>
  <si>
    <t xml:space="preserve">JV/TENNIS @ KINGSVILLE </t>
  </si>
  <si>
    <t xml:space="preserve">SWIM/DIVE JPII/CALLEN </t>
  </si>
  <si>
    <t>LANDPHAIR, HARLOW</t>
  </si>
  <si>
    <t>LOPEZ, JOSEPH C.</t>
  </si>
  <si>
    <t>F/JV FB GP 10/22/15</t>
  </si>
  <si>
    <t>MALDONADO, TONY</t>
  </si>
  <si>
    <t>MORISH, ROBBIE</t>
  </si>
  <si>
    <t>NEWTON, ROBERT</t>
  </si>
  <si>
    <t>V/FB @ VICTORIA E 11/6/15</t>
  </si>
  <si>
    <t>F/JV FB VICTORIA E 11/5/15</t>
  </si>
  <si>
    <t>POWELL, CHRISTOPHER</t>
  </si>
  <si>
    <t>R &amp; R AWARDS</t>
  </si>
  <si>
    <t>RINCON, RANDY</t>
  </si>
  <si>
    <t>S &amp; J BAKERY &amp; CATERING</t>
  </si>
  <si>
    <t>181-36-6498.30-001-691039</t>
  </si>
  <si>
    <t>CC MEETING 10/9/15</t>
  </si>
  <si>
    <t>SCHAUER, HOWARD L.</t>
  </si>
  <si>
    <t>V/FB 10/2/15,10/16/15,10/30/15</t>
  </si>
  <si>
    <t>TEAM EXPRESS, INC.</t>
  </si>
  <si>
    <t>181-36-6399.3P-001-691039</t>
  </si>
  <si>
    <t xml:space="preserve">DOUBLE PLAY SCARIFER </t>
  </si>
  <si>
    <t>JUGS PITCHERS SCREEN</t>
  </si>
  <si>
    <t xml:space="preserve">TEXAS HIGH SCHOOL </t>
  </si>
  <si>
    <t>POWERLIFTING MEMBERSHIP</t>
  </si>
  <si>
    <t>UNDERBRINK, CRAIG</t>
  </si>
  <si>
    <t xml:space="preserve">SWIM/DIVE @ VICTORIA NOV </t>
  </si>
  <si>
    <t xml:space="preserve">WELDON, WILLIAMS &amp; LICK </t>
  </si>
  <si>
    <t>ROLL TICKETS</t>
  </si>
  <si>
    <t>WILLIAMS, FARRIN</t>
  </si>
  <si>
    <t>V/VB @ LAREDO 11/2/15</t>
  </si>
  <si>
    <t>V/VB @ WEST OSO 11/10/15</t>
  </si>
  <si>
    <t>CALALLEN ISD</t>
  </si>
  <si>
    <t>181-36-6412.3D-041-691239</t>
  </si>
  <si>
    <t>GBK @ CALALLEN NOV 20-21</t>
  </si>
  <si>
    <t>SWIM/DIVE @ CCISD NOV 20-</t>
  </si>
  <si>
    <t>181-36-6412.3D-001-691139</t>
  </si>
  <si>
    <t>VB @ CALALLEN 11/2/15</t>
  </si>
  <si>
    <t>DELGADO, JOHN</t>
  </si>
  <si>
    <t>181-36-6219.3B-041-691039</t>
  </si>
  <si>
    <t>BBK ODEM 11/12/15</t>
  </si>
  <si>
    <t>EL CAMPO ISD</t>
  </si>
  <si>
    <t>V/BBK @ EL CAMPO DEC 28-</t>
  </si>
  <si>
    <t>EUROSPORT</t>
  </si>
  <si>
    <t>181-36-6399.3N-001-691039</t>
  </si>
  <si>
    <t>SOCCER NET</t>
  </si>
  <si>
    <t>GONZALES, ROY</t>
  </si>
  <si>
    <t>FB FUNDRAISER 11/3/15</t>
  </si>
  <si>
    <t>181-36-6412.3B-041-691239</t>
  </si>
  <si>
    <t>BBK @ IWA NOV 20-21</t>
  </si>
  <si>
    <t xml:space="preserve">CC DISTRICT @ GUTH </t>
  </si>
  <si>
    <t>LUCAS, CRISTOBAL</t>
  </si>
  <si>
    <t>SINARD, WADE</t>
  </si>
  <si>
    <t>7/20/15-10/23/15 MILEAGE</t>
  </si>
  <si>
    <t>SUBWAY #38704</t>
  </si>
  <si>
    <t>F/GBK @ GP 11/14/15</t>
  </si>
  <si>
    <t xml:space="preserve">COACH CLINIC @ WACO JAN </t>
  </si>
  <si>
    <t>TEXAS HIGH SCHOOL</t>
  </si>
  <si>
    <t>ANNUAL MEMBERSHIP</t>
  </si>
  <si>
    <t>TSHIRT GALLERY &amp; SPORTS</t>
  </si>
  <si>
    <t>BADGER DRIVER TEEES</t>
  </si>
  <si>
    <t>F/GBK @ GP 11/13/15</t>
  </si>
  <si>
    <t>V/GBK @ TAFT 11/7/15</t>
  </si>
  <si>
    <t>181-36-6412.3D-041-691139</t>
  </si>
  <si>
    <t>GBK @ ST JAMES 11/12/15</t>
  </si>
  <si>
    <t xml:space="preserve">F/FB @ FLOUR BLUFF </t>
  </si>
  <si>
    <t xml:space="preserve">JV/FB @ FLOUR BLUFF </t>
  </si>
  <si>
    <t>FB @ FLOUR BLUFF 10/27/15</t>
  </si>
  <si>
    <t>GOLF @ CARROLL 11/14/15</t>
  </si>
  <si>
    <t xml:space="preserve">SWIM/DIVE @ ROSENBURG </t>
  </si>
  <si>
    <t xml:space="preserve">F/JV TENNIS @ KNGVILLE </t>
  </si>
  <si>
    <t xml:space="preserve">F/JV TENNIS @ KNGVILE </t>
  </si>
  <si>
    <t>F/JV/V VB @ GP 10/23/15</t>
  </si>
  <si>
    <t>VB @ FLOUR BLUFF 10/26/15</t>
  </si>
  <si>
    <t>BROWNSVILLE ISD</t>
  </si>
  <si>
    <t xml:space="preserve">SWIM/DIVE @ BRNSVILE DEC </t>
  </si>
  <si>
    <t xml:space="preserve">G SERIES PERFORMANCE </t>
  </si>
  <si>
    <t>GBK @ ALICE NOV 13-14</t>
  </si>
  <si>
    <t>SOCCER EQUIP &amp; UNIFORMS</t>
  </si>
  <si>
    <t>BAILEY, RANDY W.</t>
  </si>
  <si>
    <t>181-36-6219.3B-001-691039</t>
  </si>
  <si>
    <t xml:space="preserve">F/JV/V BBK WEST OSO </t>
  </si>
  <si>
    <t>181-36-6219.3D-001-691039</t>
  </si>
  <si>
    <t xml:space="preserve">F/JV/V GBK ORG GROVE </t>
  </si>
  <si>
    <t>CANTU, FRANK</t>
  </si>
  <si>
    <t>GBK @ CALALLEN 11/21/15</t>
  </si>
  <si>
    <t>CORPUS CHRISTI I.S.D.</t>
  </si>
  <si>
    <t>181-36-6412.3K-001-691239</t>
  </si>
  <si>
    <t>JV/GSC @ CCISD JAN 22-23</t>
  </si>
  <si>
    <t>DAIRY QUEEN OF ROCKPORT</t>
  </si>
  <si>
    <t>V/GBK @ ROCKPORT 12/3/15</t>
  </si>
  <si>
    <t>EDWIN WATTS GOLF, LLC</t>
  </si>
  <si>
    <t>BAGS &amp; TSHIRTS</t>
  </si>
  <si>
    <t>EVANS, JUSTEN J</t>
  </si>
  <si>
    <t>181-36-6219.3D-041-691039</t>
  </si>
  <si>
    <t xml:space="preserve">GBK ORANGE GROVE </t>
  </si>
  <si>
    <t>FALFURRIAS ISD</t>
  </si>
  <si>
    <t>FIRST TO THE FINISH</t>
  </si>
  <si>
    <t>181-36-6399.3W-001-691039</t>
  </si>
  <si>
    <t xml:space="preserve">UNDER ARMOUR RAIN </t>
  </si>
  <si>
    <t>181-36-6399.3X-001-691039</t>
  </si>
  <si>
    <t>UNDER ARMOUR RAIN PANTS</t>
  </si>
  <si>
    <t>GBK @ FLOUR BLUFF DE 4-5</t>
  </si>
  <si>
    <t>V/VB @ TAMUCC 11/13/15</t>
  </si>
  <si>
    <t>SWIM/DIVE @ CCISD 11/20/15</t>
  </si>
  <si>
    <t>GLOVER, DEIRA</t>
  </si>
  <si>
    <t>STOP PAYMENT 1/13/2016</t>
  </si>
  <si>
    <t>GBK ALICE 11/30/15</t>
  </si>
  <si>
    <t>HATCH, JAMES</t>
  </si>
  <si>
    <t>HILL, JESSICA</t>
  </si>
  <si>
    <t>HOFFMAN, CHRIS</t>
  </si>
  <si>
    <t>BBK GP 11/19/15</t>
  </si>
  <si>
    <t>KING, ROREY</t>
  </si>
  <si>
    <t>MORIN, JOSEPH A.</t>
  </si>
  <si>
    <t>SUBWAY  #46676</t>
  </si>
  <si>
    <t>V/GBK @ ROCKPORT 12/4/15</t>
  </si>
  <si>
    <t>V/GBK @ ROCKPORT 12/5/15</t>
  </si>
  <si>
    <t>TEXAS THRONE LLC</t>
  </si>
  <si>
    <t>TENNIS TOURN @ TM NOV 13-</t>
  </si>
  <si>
    <t>TREVINO, MALOREE JAYDE</t>
  </si>
  <si>
    <t>TTCA</t>
  </si>
  <si>
    <t>TTCA @ LONGVIEW DEC 10-</t>
  </si>
  <si>
    <t>BERNAL, IAN</t>
  </si>
  <si>
    <t>F/JV/V GBK CALALLEN 12/1/15</t>
  </si>
  <si>
    <t>181-36-6399.3D-041-691039</t>
  </si>
  <si>
    <t>ARMOUR FUSE JERSEYS</t>
  </si>
  <si>
    <t>STIRRUP-TEEN</t>
  </si>
  <si>
    <t>SWIM/DIVE @ CCISD 12/19/15</t>
  </si>
  <si>
    <t>COLLINS, CHARLES III</t>
  </si>
  <si>
    <t>SWIM/DIVE REINDEER 12/4/15</t>
  </si>
  <si>
    <t xml:space="preserve">CUP GRAPHICS &amp; </t>
  </si>
  <si>
    <t>GIRLS TRACK</t>
  </si>
  <si>
    <t>DAIRY BURGER #2</t>
  </si>
  <si>
    <t>V/BBK @ ALICE 12/8/15</t>
  </si>
  <si>
    <t>DAIRY QUEEN</t>
  </si>
  <si>
    <t>GBK @ ALICE 11/14/15</t>
  </si>
  <si>
    <t>ERICKSON, SUSAN M.</t>
  </si>
  <si>
    <t>SWIM/DIVE REINDEER 12/5/15</t>
  </si>
  <si>
    <t>GARCIA, JESUS M. III</t>
  </si>
  <si>
    <t>HANNIGAN, CASEY EDWARD</t>
  </si>
  <si>
    <t>HARDEMAN, SYLVESTER</t>
  </si>
  <si>
    <t xml:space="preserve">HAZLEWOOD-COOPER, </t>
  </si>
  <si>
    <t>HILL, DUSTIN</t>
  </si>
  <si>
    <t>BBK CALALLEN 12/10/15</t>
  </si>
  <si>
    <t>HILTON WACO</t>
  </si>
  <si>
    <t>MUNOZ, DENISE C.</t>
  </si>
  <si>
    <t>GBK CALALLEN 12/7/15</t>
  </si>
  <si>
    <t>MURRAY, LEVY</t>
  </si>
  <si>
    <t>NICKLESON, GUY</t>
  </si>
  <si>
    <t>PERRY, MICHAEL KEVIN</t>
  </si>
  <si>
    <t>PERRY, TELISHA</t>
  </si>
  <si>
    <t>LYSOL SPRAY &amp; OXI CLEAN</t>
  </si>
  <si>
    <t xml:space="preserve">DISTRICT VB MEETING </t>
  </si>
  <si>
    <t>ENGRAVED PLATES</t>
  </si>
  <si>
    <t xml:space="preserve">TITAN SUPPORT SYSTEMS </t>
  </si>
  <si>
    <t>181-36-6399.3M-001-691039</t>
  </si>
  <si>
    <t>POWERLIFTING UNIFORMS</t>
  </si>
  <si>
    <t>181-36-6399.3C-041-691039</t>
  </si>
  <si>
    <t>BIONIC JACEKT &amp; PANT</t>
  </si>
  <si>
    <t>ZIP JACKETS &amp; TEES</t>
  </si>
  <si>
    <t>181-36-6399.3X-041-691039</t>
  </si>
  <si>
    <t>WARD, YUKO YOSHIDA</t>
  </si>
  <si>
    <t>F/JV BBK @ ALICE 12/8/15</t>
  </si>
  <si>
    <t>BBK @ ALICE 11/14/15</t>
  </si>
  <si>
    <t>V/BBK @ MOODY 11/7/15</t>
  </si>
  <si>
    <t>181-36-6412.3B-041-691139</t>
  </si>
  <si>
    <t>BBK @ ALICE 12/3/15</t>
  </si>
  <si>
    <t>BBK @ IWA 11/20/15</t>
  </si>
  <si>
    <t>GBK @ GP 11/19/15</t>
  </si>
  <si>
    <t>GBK @ FLOUR BLUFF 12/5/15</t>
  </si>
  <si>
    <t>GBK @ ALICE 11/13/15</t>
  </si>
  <si>
    <t>SWIM/DIVE @ CCISD 11/21/15</t>
  </si>
  <si>
    <t xml:space="preserve">TENNIS TOURN @ TM </t>
  </si>
  <si>
    <t>ZAMORA, ANTHONY</t>
  </si>
  <si>
    <t>Track Equipment / HS</t>
  </si>
  <si>
    <t>HS Football Equip / HS</t>
  </si>
  <si>
    <t>Swim Entry Fee / ATH</t>
  </si>
  <si>
    <t>Coaches Clinic / ATH</t>
  </si>
  <si>
    <t>EASTBAY - DEPT 978835</t>
  </si>
  <si>
    <t>181-36-6399.3C-001-691039</t>
  </si>
  <si>
    <t>HS CC Equipment/ ATH</t>
  </si>
  <si>
    <t>HS G Track Uniforms / HS</t>
  </si>
  <si>
    <t>WADE SINARD/DEC 10-14</t>
  </si>
  <si>
    <t>181-36-6412.3G-001-691339</t>
  </si>
  <si>
    <t>PACHECO/NOV 12-16</t>
  </si>
  <si>
    <t>HS B/G Track Uniforms / ATH</t>
  </si>
  <si>
    <t>GREEN, JOE</t>
  </si>
  <si>
    <t>Mileage / ATH</t>
  </si>
  <si>
    <t>181-36-6399.3U-001-691039</t>
  </si>
  <si>
    <t>HS Tennis Sportswear / HS</t>
  </si>
  <si>
    <t>Football Equipment / ATh</t>
  </si>
  <si>
    <t xml:space="preserve">SAN DIEGO POWERLIFTING </t>
  </si>
  <si>
    <t>181-36-6412.3M-001-691239</t>
  </si>
  <si>
    <t>Powerlifting ENtry Fee / ATH</t>
  </si>
  <si>
    <t>Laundry Soap / ATH</t>
  </si>
  <si>
    <t>AGUILAR-LANDIN, NORMA</t>
  </si>
  <si>
    <t>F/JV/V BBK MOODY 12/15/15</t>
  </si>
  <si>
    <t>F/JV/V GBK MOODY 12/15/15</t>
  </si>
  <si>
    <t>BPL &amp; GPL @ ALICE 1/23/16</t>
  </si>
  <si>
    <t xml:space="preserve">F/JV/V BBK FLOUR BLUFF </t>
  </si>
  <si>
    <t>CANALES, JUAN R</t>
  </si>
  <si>
    <t xml:space="preserve">F/JV/V GBK FLOUR BLUFF </t>
  </si>
  <si>
    <t>DENNIS, RONALD</t>
  </si>
  <si>
    <t>F/JV/V BBK MILLER 12/22/15</t>
  </si>
  <si>
    <t>F/JV/V GBK MILLER 12/22/15</t>
  </si>
  <si>
    <t>HAMMITT, COURTNEY</t>
  </si>
  <si>
    <t>HEATLEY, LAWRENCE</t>
  </si>
  <si>
    <t>MATA, JOHNNY</t>
  </si>
  <si>
    <t>BBK HAAS 12/17/15</t>
  </si>
  <si>
    <t>PABON, KRYSTAL</t>
  </si>
  <si>
    <t>RANGEL, JOHNATHAN</t>
  </si>
  <si>
    <t>RUIZ, ANASTASIA</t>
  </si>
  <si>
    <t>SANDATE, RICHARD</t>
  </si>
  <si>
    <t>TREVINO, RICHARD R.</t>
  </si>
  <si>
    <t>WEST OSO HIGH SCHOOL</t>
  </si>
  <si>
    <t xml:space="preserve">BPL &amp; GPL @ WEST OSO </t>
  </si>
  <si>
    <t>JERSEYS, SHORTS &amp; SOCKS</t>
  </si>
  <si>
    <t>181-36-6412.3K-001-691139</t>
  </si>
  <si>
    <t>JV/GSC @ BISHOP 1/9/16</t>
  </si>
  <si>
    <t>181-36-6412.3N-001-691139</t>
  </si>
  <si>
    <t>JV/BSC @ BISHOP 1/9/16</t>
  </si>
  <si>
    <t>SWIM/DIVE @ TM 1/9/16</t>
  </si>
  <si>
    <t>CORPUS CHRISTI GOLF CARS</t>
  </si>
  <si>
    <t>GOLF CART REPAIRS</t>
  </si>
  <si>
    <t>F/JV GBK @ ALICE 12/11/15</t>
  </si>
  <si>
    <t>SWIM/DIVE CCISD 11/20/15</t>
  </si>
  <si>
    <t>TENNIS @ CALALLEN 11/14/15</t>
  </si>
  <si>
    <t>VICTORIA EAST GIRLS GOLF</t>
  </si>
  <si>
    <t>GOLF @ VICTORIA FEB 5-6</t>
  </si>
  <si>
    <t>181-36-6412.3U-001-691239</t>
  </si>
  <si>
    <t>V/TENNIS @ VICTORIA 1/29/16</t>
  </si>
  <si>
    <t>F/JV BBK @ GP 1/2/16</t>
  </si>
  <si>
    <t>V/BBK @ GP 1/2/16</t>
  </si>
  <si>
    <t xml:space="preserve">V/BBK @ COLLEGE STN </t>
  </si>
  <si>
    <t>V/BBK @ VICTORIA W 12/8/15</t>
  </si>
  <si>
    <t xml:space="preserve">F/JV BBK @ VICTORIA W </t>
  </si>
  <si>
    <t>BBK @ FLOUR BLUFF 1/7/16</t>
  </si>
  <si>
    <t xml:space="preserve">GBK @ VETS MEMORIAL </t>
  </si>
  <si>
    <t>F/JV/V BBK @ GP 1/2/16</t>
  </si>
  <si>
    <t xml:space="preserve">F/JV/V BBK @ VICTORIA </t>
  </si>
  <si>
    <t>AYARZAGOTIA, JOSE</t>
  </si>
  <si>
    <t>181-36-6411.30-001-691039</t>
  </si>
  <si>
    <t>7/7/15-1/11/16 MILEAGE</t>
  </si>
  <si>
    <t xml:space="preserve">SWIM/DIVE COASTAL BEND </t>
  </si>
  <si>
    <t>CURTIS, GARY</t>
  </si>
  <si>
    <t>DUVALL, ANNETTE</t>
  </si>
  <si>
    <t>GODOY, RICHARD</t>
  </si>
  <si>
    <t>GBK FLOUR BLUFF 1/7/16</t>
  </si>
  <si>
    <t>BPL &amp; GPL @ GP 2/6/16</t>
  </si>
  <si>
    <t xml:space="preserve">HASSON, CHRISTOPHER </t>
  </si>
  <si>
    <t>HASSON, JACKIE ANN</t>
  </si>
  <si>
    <t>HODGES, HAYDEN</t>
  </si>
  <si>
    <t xml:space="preserve">SWIM/DIVE VETERANS MEM </t>
  </si>
  <si>
    <t>JAMES, MIKE</t>
  </si>
  <si>
    <t>MARSELLO, DAVID</t>
  </si>
  <si>
    <t>MENDOZA, KEVIN</t>
  </si>
  <si>
    <t>MILES, CHARLES</t>
  </si>
  <si>
    <t>BBK GP 1/11/16</t>
  </si>
  <si>
    <t>GOLF @ SA 2/17/16</t>
  </si>
  <si>
    <t>PERRY, TRISTAN</t>
  </si>
  <si>
    <t>SHOUDEL, CARL</t>
  </si>
  <si>
    <t>BBK ALICE 1/21/16</t>
  </si>
  <si>
    <t>WHITE &amp; MAROON TSHIRTS</t>
  </si>
  <si>
    <t>MONOGRAMMING</t>
  </si>
  <si>
    <t>VALDEZ, CAESAR LORENZO</t>
  </si>
  <si>
    <t>SWIM/DIVE @ CCISD FEV 5-6</t>
  </si>
  <si>
    <t>SWIM/DIVE @ CCISD FEB 5-6</t>
  </si>
  <si>
    <t>F/JV/V BBK VETERANS 1/15/16</t>
  </si>
  <si>
    <t xml:space="preserve">F/JV/V GBK VETERANS </t>
  </si>
  <si>
    <t>AVALOS, JOSHUA</t>
  </si>
  <si>
    <t>181-36-6219.3N-001-691039</t>
  </si>
  <si>
    <t>JV/V BSC ROCKPORT 1/8/16</t>
  </si>
  <si>
    <t>181-36-6412.3V-041-691239</t>
  </si>
  <si>
    <t>TENNIS @ CALALLEN 1/30/16</t>
  </si>
  <si>
    <t>CCBOA</t>
  </si>
  <si>
    <t>V/BBK SCRIMMAGE 11/14/15</t>
  </si>
  <si>
    <t>181-36-6412.3M-001-691139</t>
  </si>
  <si>
    <t xml:space="preserve">BPL &amp; GPL @ SAN DIEGO </t>
  </si>
  <si>
    <t>GBK @ ALICE 1/25/16</t>
  </si>
  <si>
    <t>ELLEDGE, PATRICK</t>
  </si>
  <si>
    <t>FLOUR BLUFF ISD</t>
  </si>
  <si>
    <t xml:space="preserve">JV/TENNIS @ FLOUR BLUFF </t>
  </si>
  <si>
    <t>GARCIA, JOSE R. JR.</t>
  </si>
  <si>
    <t>GONZALEZ, JOHN M</t>
  </si>
  <si>
    <t>181-36-6219.3K-001-691039</t>
  </si>
  <si>
    <t>JV/V GSC RAY 1/12/16</t>
  </si>
  <si>
    <t>GTM SPORTSWEAR</t>
  </si>
  <si>
    <t>INTRIGUE &amp; WARM UP PANTS</t>
  </si>
  <si>
    <t>WARM UP JACKETS</t>
  </si>
  <si>
    <t>HENDERSON, STEPHEN</t>
  </si>
  <si>
    <t>LINDSEY, LINDA</t>
  </si>
  <si>
    <t>MORAN, ALBERT</t>
  </si>
  <si>
    <t>OLALDE, JORGE</t>
  </si>
  <si>
    <t>PACHECO, MATIAS</t>
  </si>
  <si>
    <t>GOLF @ SA FEB 16-17</t>
  </si>
  <si>
    <t>VALADEZ, IGNACIO</t>
  </si>
  <si>
    <t>V/BSC CALALLEN 1/15/16</t>
  </si>
  <si>
    <t>VALADEZ, JOSE J</t>
  </si>
  <si>
    <t>VALADEZ, JOSE R</t>
  </si>
  <si>
    <t xml:space="preserve">F/JV/V BBK VICTOIRA W </t>
  </si>
  <si>
    <t xml:space="preserve">F/JV/V GBK VICTOIRA W </t>
  </si>
  <si>
    <t>BALDAZO, EVERARDO</t>
  </si>
  <si>
    <t>V/GSC MOODY 1/26/16</t>
  </si>
  <si>
    <t xml:space="preserve">JV/GSC @ VICTORIA W </t>
  </si>
  <si>
    <t>V/BSC MOODY 1/26/16</t>
  </si>
  <si>
    <t>JV/BSC @ VICTORIA W 1/30/16</t>
  </si>
  <si>
    <t>F/JV/V BBK ALICE 1/19/16</t>
  </si>
  <si>
    <t>F/JV/V GBK ALICE 1/19/16</t>
  </si>
  <si>
    <t>BRYNESTAD, STEPHEN</t>
  </si>
  <si>
    <t>JV/GSC VETERANS 1/21/16</t>
  </si>
  <si>
    <t>JV/BSC VETERANS 1/21/16</t>
  </si>
  <si>
    <t>181-36-6399.3D-001-691039</t>
  </si>
  <si>
    <t>BASKETBALL SUPPLIES</t>
  </si>
  <si>
    <t>ELECTRIC INFLATOR</t>
  </si>
  <si>
    <t xml:space="preserve">ADULT &amp; YOUTH FOOTBALL </t>
  </si>
  <si>
    <t>PANTS, BELTS &amp; BOTTLES</t>
  </si>
  <si>
    <t xml:space="preserve">FOOTBALL JERSEYS &amp; </t>
  </si>
  <si>
    <t>MOUTHGUARDS W/STRAP</t>
  </si>
  <si>
    <t>SOFTBALL GAME JERSEYS</t>
  </si>
  <si>
    <t>181-36-6399.3W-041-691039</t>
  </si>
  <si>
    <t xml:space="preserve">FITNESS STEP &amp; STEP OVER </t>
  </si>
  <si>
    <t>BPL &amp; GPL @ CALALLEN</t>
  </si>
  <si>
    <t>CARTER, CLINT R.</t>
  </si>
  <si>
    <t>CRAIN, GERALD LEWIS</t>
  </si>
  <si>
    <t>DAIRY QUEEN OF VICTORIA</t>
  </si>
  <si>
    <t>V/GSC @ VICTORIA W 1/29/16</t>
  </si>
  <si>
    <t>DAVID MARSELLO</t>
  </si>
  <si>
    <t>SOCCER SUPPLIES</t>
  </si>
  <si>
    <t xml:space="preserve">DUTCHER SOCCER SET </t>
  </si>
  <si>
    <t>SOCCER CLIPBOARD</t>
  </si>
  <si>
    <t>GOLF SUPPLIES</t>
  </si>
  <si>
    <t>FLORES, JASON</t>
  </si>
  <si>
    <t>GBK ST JAMES 2/1/16</t>
  </si>
  <si>
    <t>F/JV/V BBK @ MILLER 1/29/16</t>
  </si>
  <si>
    <t>SWIM/DIVE @ CCISD 1/30/16</t>
  </si>
  <si>
    <t>GREEN, LEE M</t>
  </si>
  <si>
    <t>JV/GSC VICTORIA W 1/30/16</t>
  </si>
  <si>
    <t>JV/BSC VICTORIA W 1/30/16</t>
  </si>
  <si>
    <t>HILL, DARJON</t>
  </si>
  <si>
    <t xml:space="preserve">INTERSTATE BATTERIES OF </t>
  </si>
  <si>
    <t>90WH LIT G3 YELLOW</t>
  </si>
  <si>
    <t>KING, COREY</t>
  </si>
  <si>
    <t>OLMOS, RUDY</t>
  </si>
  <si>
    <t>PETER PIPER PIZZA</t>
  </si>
  <si>
    <t>V/GSC @ VICTORIA W 1/30/16</t>
  </si>
  <si>
    <t>SOSA, JOSEPH A</t>
  </si>
  <si>
    <t>ALERT TAPE</t>
  </si>
  <si>
    <t>ANZUALDA, ANTHONY M.</t>
  </si>
  <si>
    <t>F/JV/V BBK GP 2/2/16</t>
  </si>
  <si>
    <t>F/JV/V GBK GP 2/2/16</t>
  </si>
  <si>
    <t>F/JV/V BBK VICTOIRA E 2/9/16</t>
  </si>
  <si>
    <t>F/JV/V GBK VICTOIRA E 2/9/16</t>
  </si>
  <si>
    <t>JV/GSC GP 2/6/16</t>
  </si>
  <si>
    <t>JV/BSC GP 2/6/16</t>
  </si>
  <si>
    <t xml:space="preserve">BARCELONA SPORTING </t>
  </si>
  <si>
    <t>TAPER PANTS &amp; JERSEYS</t>
  </si>
  <si>
    <t>BSB &amp; SB FIELDS MATERIALS</t>
  </si>
  <si>
    <t>PORTABLE BENCH W/BACK</t>
  </si>
  <si>
    <t>F/JV/V GBK @ FBLUFF 2/5/16</t>
  </si>
  <si>
    <t>GBK @ FLOUR BLUFF 2/8/16</t>
  </si>
  <si>
    <t>181-36-6412.3U-001-691139</t>
  </si>
  <si>
    <t>DELEON, SALLY</t>
  </si>
  <si>
    <t>181-36-6412.3P-001-691139</t>
  </si>
  <si>
    <t>V/SB @ JUDSON FEB 25-27</t>
  </si>
  <si>
    <t>EL TROPICANO RIVERWALK</t>
  </si>
  <si>
    <t xml:space="preserve">STATE BASKETBALL @ SA </t>
  </si>
  <si>
    <t>GOLF @ VICTORIA MAR 11-12</t>
  </si>
  <si>
    <t>KUNKEL, ROBERT</t>
  </si>
  <si>
    <t>181-36-6412.3A-001-691139</t>
  </si>
  <si>
    <t xml:space="preserve">V/BSB @ PORT ISABEL FEB </t>
  </si>
  <si>
    <t>MOODY HIGH SCHOOL</t>
  </si>
  <si>
    <t>181-36-6412.3A-001-691239</t>
  </si>
  <si>
    <t>F/BSB @ MOODY FEB 25-27</t>
  </si>
  <si>
    <t>MOORE, TYREE</t>
  </si>
  <si>
    <t xml:space="preserve">ORANGE GROVE BULLDOG </t>
  </si>
  <si>
    <t xml:space="preserve">GPL @ ORANGE GROVE </t>
  </si>
  <si>
    <t>MEN'S NIKE SHOES</t>
  </si>
  <si>
    <t>PORT ISABEL ATHLETICS</t>
  </si>
  <si>
    <t>GOLF @ RAY MAR 4-5</t>
  </si>
  <si>
    <t>ROCKPORT FULTON ISD</t>
  </si>
  <si>
    <t>181-36-6412.3W-001-691239</t>
  </si>
  <si>
    <t>BTRK @ ROCKPORT 3/11/16</t>
  </si>
  <si>
    <t>181-36-6412.3X-001-691239</t>
  </si>
  <si>
    <t>GTRK @ ROCKPORT 3/11/16</t>
  </si>
  <si>
    <t>ROSSER, JEFFERY ALAN</t>
  </si>
  <si>
    <t>SALINAS, CHRIS R</t>
  </si>
  <si>
    <t>SKIDMORE-TYNAN ISD</t>
  </si>
  <si>
    <t>BPL @ SKIDMORE 2/27/16</t>
  </si>
  <si>
    <t>V/GSC MILLER 2/2/16</t>
  </si>
  <si>
    <t>V/BSC MILLER 2/2/16</t>
  </si>
  <si>
    <t>WILLIAMS, ELLA MAE</t>
  </si>
  <si>
    <t>EDCOUCH ELSA ISD</t>
  </si>
  <si>
    <t>GPL @ WESLACO MAR 4-5</t>
  </si>
  <si>
    <t xml:space="preserve">HOLIDAY INN EXPRESS </t>
  </si>
  <si>
    <t>ROUSSEL, GREG</t>
  </si>
  <si>
    <t xml:space="preserve">AGILE SPORTS </t>
  </si>
  <si>
    <t>181-36-6396.30-001-691039</t>
  </si>
  <si>
    <t>GSC ONLINE VIDEO EDITING</t>
  </si>
  <si>
    <t>ALICE HIGH SCHOOL</t>
  </si>
  <si>
    <t>BTRK @ ALICE 3/5/16</t>
  </si>
  <si>
    <t>GTRK @ ALICE 3/5/16</t>
  </si>
  <si>
    <t>APUSEN, PRUDENCIO K</t>
  </si>
  <si>
    <t>F/JV/V BBK CALALLEN 2/12/16</t>
  </si>
  <si>
    <t>ATZENHOFFER, DENA L.</t>
  </si>
  <si>
    <t>BARRERA, JUAN JR.</t>
  </si>
  <si>
    <t>181-36-6219.3A-001-691039</t>
  </si>
  <si>
    <t>V/BSB KINGSVILLE 2/22/16</t>
  </si>
  <si>
    <t>JV/V SB @ SINTON 2/9/16</t>
  </si>
  <si>
    <t>CORPUS CHRISTI ISD</t>
  </si>
  <si>
    <t>181-36-6412.3P-001-691239</t>
  </si>
  <si>
    <t>JV/SB @ CCISD FEB 25 &amp; 27</t>
  </si>
  <si>
    <t>V/TENNIS @ CCISD FEB 19-20</t>
  </si>
  <si>
    <t>V/GSC @ VICTORIA E 2/12/16</t>
  </si>
  <si>
    <t>MATT PACHECO</t>
  </si>
  <si>
    <t>GIDDENS, TRACY N.</t>
  </si>
  <si>
    <t>BTRK @ GP 2/20/16</t>
  </si>
  <si>
    <t>GTRK @ GP 2/20/16</t>
  </si>
  <si>
    <t>HERNANDEZ, MICHAEL</t>
  </si>
  <si>
    <t>JV/GSC VICTORIA E 2/13/16</t>
  </si>
  <si>
    <t>JV/BSC VICTORIA E 2/13/16</t>
  </si>
  <si>
    <t>BBK @ FLOUR BLUFF 2/11/16</t>
  </si>
  <si>
    <t>BPL @ WESLACO MAR 11-12</t>
  </si>
  <si>
    <t>181-36-6412.3S-041-691239</t>
  </si>
  <si>
    <t>SWIM/DIVE @ IWA 3/5/16</t>
  </si>
  <si>
    <t>INGLESIDE HIGH SCHOOL</t>
  </si>
  <si>
    <t>BTRK @ INGLESIDE 2/27/16</t>
  </si>
  <si>
    <t>GTRK @ INGLESIDE 2/27/16</t>
  </si>
  <si>
    <t>V/TENNIS @ TM 1/22/16</t>
  </si>
  <si>
    <t>KINGSVILLE ISD</t>
  </si>
  <si>
    <t xml:space="preserve">JV/V TENNIS @ KNGSVILLE </t>
  </si>
  <si>
    <t>JV/BSC ALICE 2/18/16</t>
  </si>
  <si>
    <t>MARTINEZ, CONSUELO A.</t>
  </si>
  <si>
    <t>MECA SPORTSWEAR</t>
  </si>
  <si>
    <t>LETTERMAN JACKETS</t>
  </si>
  <si>
    <t>MILLER, DAVID</t>
  </si>
  <si>
    <t xml:space="preserve">V/GSC VETERANS MEM </t>
  </si>
  <si>
    <t xml:space="preserve">V/BSC VETERANS MEM </t>
  </si>
  <si>
    <t>GOLF @ MOODY 3/7/16</t>
  </si>
  <si>
    <t>V/GSC ALICE 2/23/16</t>
  </si>
  <si>
    <t>V/BSC ALICE 2/23/16</t>
  </si>
  <si>
    <t>ORISE, KIANA</t>
  </si>
  <si>
    <t>V/BSC @ VICTORIA E 2/12/16</t>
  </si>
  <si>
    <t>TORRES, KELLY</t>
  </si>
  <si>
    <t>VILLARREAL, WILLIE</t>
  </si>
  <si>
    <t>WB RAY HIGH SCHOOL</t>
  </si>
  <si>
    <t>GOLF @ RAY 3/21/16</t>
  </si>
  <si>
    <t>WEBB, RICHARD L.</t>
  </si>
  <si>
    <t>181-36-6219.3P-001-691039</t>
  </si>
  <si>
    <t>JV/V SB CALALLEN 2/16/16</t>
  </si>
  <si>
    <t>WESLACO HIGH SCHOOL</t>
  </si>
  <si>
    <t>V/GSC @ ALICE 1/22/15</t>
  </si>
  <si>
    <t>F/JV BBK @ VICTORIA E 1/8/16</t>
  </si>
  <si>
    <t>V/BBK @ VICTORIA E 1/8/16</t>
  </si>
  <si>
    <t>F/JV BBK @ CALALLEN 1/12/16</t>
  </si>
  <si>
    <t>V/BBK @ CALALLEN 1/12/16</t>
  </si>
  <si>
    <t xml:space="preserve">F/JV BBK @ FLOUR BLUFF </t>
  </si>
  <si>
    <t>V/BBK @ FLOUR BLUFF 2/5/16</t>
  </si>
  <si>
    <t>BBK @ FLOUR BLUFF 2/6/16</t>
  </si>
  <si>
    <t>BBK @ CALLLEN 1/28/16</t>
  </si>
  <si>
    <t>BBK @ GP 1/14/16</t>
  </si>
  <si>
    <t>F/JV/V GBK @ MILLER 1/29/16</t>
  </si>
  <si>
    <t>F/JV/V GBK @ MOODY 1/22/16</t>
  </si>
  <si>
    <t xml:space="preserve">F/JV/V GBK @ VICTORIA E </t>
  </si>
  <si>
    <t>JV/GSC @ MOODY 1/28/16</t>
  </si>
  <si>
    <t xml:space="preserve">V/GSC @ VETERANS MEM </t>
  </si>
  <si>
    <t xml:space="preserve">JV/GSC @ FLOUR BLUFF </t>
  </si>
  <si>
    <t>V/GSC @ GP 2/5/16</t>
  </si>
  <si>
    <t>JV/BSC @ MOODY 1/28/16</t>
  </si>
  <si>
    <t xml:space="preserve">JV/BSC @ FLOUR BLUFF </t>
  </si>
  <si>
    <t xml:space="preserve">V/BSC @ VETERANS MEM </t>
  </si>
  <si>
    <t>V/BSC @ ALICE 1/22/16</t>
  </si>
  <si>
    <t>JV/BSC @ MILLER 2/4/16</t>
  </si>
  <si>
    <t>V/BSC @ GP 2/5/16</t>
  </si>
  <si>
    <t>JV/BSC @ CCISD 1/22/16</t>
  </si>
  <si>
    <t>V/BSC @ CALALLEN 2/16/16</t>
  </si>
  <si>
    <t>JV/SB @ BISHOP 2/12/16</t>
  </si>
  <si>
    <t>TENNIS @ TM 1/21/16</t>
  </si>
  <si>
    <t>HERNANDEZ, ESEQUIEL</t>
  </si>
  <si>
    <t>181-36-6412.3X-001-691139</t>
  </si>
  <si>
    <t>GAME PANTS</t>
  </si>
  <si>
    <t>MEDELLIN, MICHEAL</t>
  </si>
  <si>
    <t>RIVER HILLS COUNTRY CLUB</t>
  </si>
  <si>
    <t>181-36-6269.3G-001-691039</t>
  </si>
  <si>
    <t>GOLF YEARLY FEE</t>
  </si>
  <si>
    <t xml:space="preserve">GPL STATE MEET @ ABC MAR </t>
  </si>
  <si>
    <t>181-36-6399.3S-041-691039</t>
  </si>
  <si>
    <t xml:space="preserve">HP DOLFINE </t>
  </si>
  <si>
    <t>DOLFINE JAMMERS</t>
  </si>
  <si>
    <t>GBK HAAS 12/14/15</t>
  </si>
  <si>
    <t xml:space="preserve">AMERICAN SAFETY &amp; HEALTH </t>
  </si>
  <si>
    <t>TRAINERS MEMBERSHIP</t>
  </si>
  <si>
    <t>JV/V SB @ ALICE 3/1/16</t>
  </si>
  <si>
    <t>V/BSB @ ROCKPORT 3/1/16</t>
  </si>
  <si>
    <t>F/JV BSB ROCKPORT 2/29/16</t>
  </si>
  <si>
    <t>HUERTA, JUAN</t>
  </si>
  <si>
    <t>V/GSC VICTORIA W 3/1/16</t>
  </si>
  <si>
    <t>V/BSC VICTORIA W 3/1/16</t>
  </si>
  <si>
    <t>JV/GSC BEEVILLE 2/27/16</t>
  </si>
  <si>
    <t>JV/BSC MOODY 2/27/16</t>
  </si>
  <si>
    <t>GOLF @ VICTORIA 3/24/16</t>
  </si>
  <si>
    <t>RAMIREZ, BALDOMERO G</t>
  </si>
  <si>
    <t>TREJO, CESAR</t>
  </si>
  <si>
    <t xml:space="preserve">UNIVERSITY OF TEXAS AT </t>
  </si>
  <si>
    <t>GTRK @ AUSTIN APR 1-2</t>
  </si>
  <si>
    <t>VAZQUEZ, RICARDO</t>
  </si>
  <si>
    <t>JV/GSC ALICE 2/27/16</t>
  </si>
  <si>
    <t xml:space="preserve">JV/GSC BVILLE VS ALICE </t>
  </si>
  <si>
    <t>JV/GSC @ ALICE 2/20/16</t>
  </si>
  <si>
    <t>F/BSB @ VICTORIA 3/5/16</t>
  </si>
  <si>
    <t>F/BSB @ VICTORIA 3/3/16</t>
  </si>
  <si>
    <t xml:space="preserve">JV/BSB @ ARANSAS PASS </t>
  </si>
  <si>
    <t xml:space="preserve">F/JV BSB @ KINGSVILLE </t>
  </si>
  <si>
    <t>GOLF @ RAY 3/5/16</t>
  </si>
  <si>
    <t>V/GSC @ MILLER 3/4/16</t>
  </si>
  <si>
    <t xml:space="preserve">JV/GSC RCKPRT &amp; VTORIA </t>
  </si>
  <si>
    <t>JV/BSC @ CALALLEN 3/3/16</t>
  </si>
  <si>
    <t>JV/V SB @ VETERANS 2/23/16</t>
  </si>
  <si>
    <t>JV/V SB @ MCALLEN 3/4/16</t>
  </si>
  <si>
    <t xml:space="preserve">F/JV TENNIS @ CALALLEN </t>
  </si>
  <si>
    <t>V/TENNIS @ CCISD 2/20/16</t>
  </si>
  <si>
    <t>181-36-6412.3W-001-691139</t>
  </si>
  <si>
    <t>181-36-6412.3W-041-691139</t>
  </si>
  <si>
    <t>BTRK @ ALICE 3/3/16</t>
  </si>
  <si>
    <t>181-36-6412.3X-041-691139</t>
  </si>
  <si>
    <t>GTRK @ ALICE 3/3/16</t>
  </si>
  <si>
    <t>GTRK @ GP 2/25/16</t>
  </si>
  <si>
    <t>SHOULDER BRACE LG</t>
  </si>
  <si>
    <t>V/GSC @ FLOUR BLUFF 2/9/16</t>
  </si>
  <si>
    <t>JV/SB @ CCISD 2/27/16</t>
  </si>
  <si>
    <t>BPL @ GPL @ GP 2/6/16</t>
  </si>
  <si>
    <t>F/JV/V BBK @ MOODY 1/22/16</t>
  </si>
  <si>
    <t>JV/BSB @ CALALLEN 3/4/16</t>
  </si>
  <si>
    <t>181-36-6412.3S-041-691139</t>
  </si>
  <si>
    <t xml:space="preserve">CORPUS CHRISTI SOFTBALL </t>
  </si>
  <si>
    <t>JV/V SB PORT LAVACA 2/2/16</t>
  </si>
  <si>
    <t xml:space="preserve">V/SB CARROLL,KING,KVILE </t>
  </si>
  <si>
    <t xml:space="preserve">V/SB BISHOP, ROCKPORT </t>
  </si>
  <si>
    <t xml:space="preserve">V/SB SINTON,ST GERTRUDS </t>
  </si>
  <si>
    <t>V/BSB @ ALICE 3/11/16</t>
  </si>
  <si>
    <t>V/SB @ VICTORIA W 3/11/16</t>
  </si>
  <si>
    <t>ASICS THROW ASICS</t>
  </si>
  <si>
    <t>SABLE PANTS &amp; JACKET</t>
  </si>
  <si>
    <t>BROOKS SHOES</t>
  </si>
  <si>
    <t>BTRK SUPPLIES</t>
  </si>
  <si>
    <t>OMNI LITE PYRAMID</t>
  </si>
  <si>
    <t xml:space="preserve">POWERMAX RESISTANCE </t>
  </si>
  <si>
    <t>SABLE PANT</t>
  </si>
  <si>
    <t>HOLLOW JACKETS</t>
  </si>
  <si>
    <t xml:space="preserve">NIKE SHORTS &amp; BADGER </t>
  </si>
  <si>
    <t>NIKE SHORTS</t>
  </si>
  <si>
    <t>BBK @ FLOUR BLUFF FEB 5-6</t>
  </si>
  <si>
    <t xml:space="preserve">GOLDEN CORRAL </t>
  </si>
  <si>
    <t>GOLF @ RAY 3/4/16</t>
  </si>
  <si>
    <t>JV/GSC @ CCISD 1/22/16</t>
  </si>
  <si>
    <t>V/GSC @ MOODY 2/26/16</t>
  </si>
  <si>
    <t>V/TENNIS @ CALALLEN 2/5/16</t>
  </si>
  <si>
    <t>V/TENNIS @ CCISD 2/19/16</t>
  </si>
  <si>
    <t xml:space="preserve">BPL ST MEET @ ABILENE APR </t>
  </si>
  <si>
    <t>GOLF @ GP MAR 11-12</t>
  </si>
  <si>
    <t>LAUNDRY DETERGENT</t>
  </si>
  <si>
    <t xml:space="preserve">WHITTEN INN UNIVERSITY </t>
  </si>
  <si>
    <t>V/BSB MOODY 3/15/16</t>
  </si>
  <si>
    <t>BRANCH, BRIAN</t>
  </si>
  <si>
    <t>V/GSC VICTORIA E 3/15/16</t>
  </si>
  <si>
    <t>V/BSC VICTORIA E 3/15/16</t>
  </si>
  <si>
    <t>BROOKS, GREG</t>
  </si>
  <si>
    <t>JV/V SB MILLER 3/15/16</t>
  </si>
  <si>
    <t>V/GSC FLOUR BLUFF 3/11/16</t>
  </si>
  <si>
    <t>V/BSC FLOUR BLUFF 3/11/16</t>
  </si>
  <si>
    <t>JV/V SB MOODY 3/8/16</t>
  </si>
  <si>
    <t>CCBUA</t>
  </si>
  <si>
    <t>FEB BSB SCRIMMAGES</t>
  </si>
  <si>
    <t>JV/V SB FLOUR BLUFF 3/22/16</t>
  </si>
  <si>
    <t xml:space="preserve">COASTAL BEND SOCCER </t>
  </si>
  <si>
    <t>JV/GSC BEEVILLE 1/5/16</t>
  </si>
  <si>
    <t>DAIRY QUEEN OF BISHOP</t>
  </si>
  <si>
    <t>V/BSB @ VICTORIA W 3/18/16</t>
  </si>
  <si>
    <t>GARCIA, GERALD HECTOR</t>
  </si>
  <si>
    <t>F/JV BSB VICTORIA W 3/18/16</t>
  </si>
  <si>
    <t>GARCIA, VIDAL</t>
  </si>
  <si>
    <t xml:space="preserve">F/JV BSB VETERANS MEM </t>
  </si>
  <si>
    <t xml:space="preserve">JV/V TENNIS @ KINGSVILE </t>
  </si>
  <si>
    <t>LEMON, SHAUN</t>
  </si>
  <si>
    <t>JV/V SB FLOUR BLUFF 3/21/16</t>
  </si>
  <si>
    <t>V/GSC GP 3/8/16</t>
  </si>
  <si>
    <t>V/BSC GP 3/8/16</t>
  </si>
  <si>
    <t>181-36-6397.30-001-691039</t>
  </si>
  <si>
    <t>SPECTRUM CORPORATION</t>
  </si>
  <si>
    <t>RAMIREZ, DANIEL</t>
  </si>
  <si>
    <t>181-36-6249.30-001-691039</t>
  </si>
  <si>
    <t xml:space="preserve">RECERTIFICATIN OF </t>
  </si>
  <si>
    <t>HELMET DECALS</t>
  </si>
  <si>
    <t xml:space="preserve">JERSEYS &amp; PADDED </t>
  </si>
  <si>
    <t xml:space="preserve">SPEED HELMETS &amp; </t>
  </si>
  <si>
    <t>SOREL, DAVID</t>
  </si>
  <si>
    <t>F/BSB MOODY 3/14/16</t>
  </si>
  <si>
    <t>TREVINO, FRED ALEXANDER</t>
  </si>
  <si>
    <t>TREVINO, JUAN A</t>
  </si>
  <si>
    <t>SPORTSWEAR</t>
  </si>
  <si>
    <t>TRACK JERSEYS</t>
  </si>
  <si>
    <t>VALDEZ , JOHN JAY</t>
  </si>
  <si>
    <t>VANNATTER, KEVIN G.</t>
  </si>
  <si>
    <t>VATA</t>
  </si>
  <si>
    <t xml:space="preserve">ATH TRAINING @ MCALLEN </t>
  </si>
  <si>
    <t>GOLF @ VICTORIA APR 4-5</t>
  </si>
  <si>
    <t>JV/BSB @ RAY APR 10-12</t>
  </si>
  <si>
    <t>V/BSB FLOUR BLUFF 3/24/16</t>
  </si>
  <si>
    <t>ESCARENO, SAMUEL</t>
  </si>
  <si>
    <t>FLORES, XAVIER S.</t>
  </si>
  <si>
    <t>V/BSB MILLER 3/21/16</t>
  </si>
  <si>
    <t>F/JV BSB GP 3/23/16</t>
  </si>
  <si>
    <t>HOUSE OF BURGERS</t>
  </si>
  <si>
    <t xml:space="preserve">F/JV/V BBK @ VETERANS </t>
  </si>
  <si>
    <t>RESENDEZ, RICARDO JR.</t>
  </si>
  <si>
    <t>ROCCO, ROBERT W.</t>
  </si>
  <si>
    <t>SANTIAGO, STEVEN</t>
  </si>
  <si>
    <t xml:space="preserve">COMFORT INN NEAR </t>
  </si>
  <si>
    <t xml:space="preserve">GOLF REGIONALS @ SA APR </t>
  </si>
  <si>
    <t>JV/V SB VETERANS 4/1/16</t>
  </si>
  <si>
    <t>V/BSB CALALLEN 4/2/16</t>
  </si>
  <si>
    <t>JV/V SB ALICE 4/5/16</t>
  </si>
  <si>
    <t>V/BSC @ MOODY 2/26/16</t>
  </si>
  <si>
    <t>V/BSB @ VICTORIA E 4/1/16</t>
  </si>
  <si>
    <t>JV/V SB @ VICTORIA E 3/22/16</t>
  </si>
  <si>
    <t>BOBBY CRAIG</t>
  </si>
  <si>
    <t>GREG ROUSSEL</t>
  </si>
  <si>
    <t>F/BSB VICTORIA E 4/2/16</t>
  </si>
  <si>
    <t xml:space="preserve">SWIM/DIVE @ FLOUR BLUFF </t>
  </si>
  <si>
    <t>HARRIS RATING WEEKLY</t>
  </si>
  <si>
    <t>181-36-6329.30-001-691039</t>
  </si>
  <si>
    <t xml:space="preserve">WEEKLY RELEASES </t>
  </si>
  <si>
    <t>CABLE TIES</t>
  </si>
  <si>
    <t>GAME CAPS</t>
  </si>
  <si>
    <t xml:space="preserve">NOLAN'S ORIGINAL </t>
  </si>
  <si>
    <t xml:space="preserve">RECERTIFICATION OF </t>
  </si>
  <si>
    <t>RIOS, JOHNNY</t>
  </si>
  <si>
    <t>RODRIGUEZ, RAMON ELOY</t>
  </si>
  <si>
    <t>SILVA, EDUARDO</t>
  </si>
  <si>
    <t>V/BSB VETERANS 4/5/16</t>
  </si>
  <si>
    <t>SOLIS, JUAN</t>
  </si>
  <si>
    <t xml:space="preserve">BTRK &amp; GTRK @ LAREDO APR </t>
  </si>
  <si>
    <t>AMAYA, LARRY</t>
  </si>
  <si>
    <t>V/BSB ALICE 4/8/16</t>
  </si>
  <si>
    <t xml:space="preserve">SOFTBALL UNIFORMS &amp; </t>
  </si>
  <si>
    <t xml:space="preserve">BEST WESTERN BASTROP </t>
  </si>
  <si>
    <t xml:space="preserve">GOLF STATE @ BASTROP </t>
  </si>
  <si>
    <t>CAMP, BRENT A</t>
  </si>
  <si>
    <t>V/BSB VICTORIA W 4/12/16</t>
  </si>
  <si>
    <t>SWIM/DIVE @ CCISD 4/9/16</t>
  </si>
  <si>
    <t>BTRK @ ALICE 4/14/16</t>
  </si>
  <si>
    <t>BTRK @ CALALLEN 4/2/16</t>
  </si>
  <si>
    <t>GTRK @ ALICE 4/14/16</t>
  </si>
  <si>
    <t>GTRK @ CALALLEN 4/2/16</t>
  </si>
  <si>
    <t xml:space="preserve">CLARKE DISTRIBUTING </t>
  </si>
  <si>
    <t>TENNIS EQUIPMENT</t>
  </si>
  <si>
    <t>BTRK @ ALICE 4/15/16</t>
  </si>
  <si>
    <t>V/TENNIS @ HEB 4/2/16</t>
  </si>
  <si>
    <t>DUNNAHOO, ANTHONY J.</t>
  </si>
  <si>
    <t>F/JV BSB CALALLEN 4/11/16</t>
  </si>
  <si>
    <t>JV/V SB @ MOODY 4/8/16</t>
  </si>
  <si>
    <t xml:space="preserve">STATE BSKETBALL @ SA MAR </t>
  </si>
  <si>
    <t>LITTLE CAESARS</t>
  </si>
  <si>
    <t>BTRK @ ALICE 4/7/16</t>
  </si>
  <si>
    <t>SANTOS, RODOLFO</t>
  </si>
  <si>
    <t>JV/V SB VICTORIA W 4/9/16</t>
  </si>
  <si>
    <t>SMITH, JACOBY</t>
  </si>
  <si>
    <t>SUBWAY #17537</t>
  </si>
  <si>
    <t>TENNIS SUCCESS, INC.</t>
  </si>
  <si>
    <t>V/TENNIS @ HEB APR 1-2</t>
  </si>
  <si>
    <t>PANTS, SHORTS &amp; SINGLET</t>
  </si>
  <si>
    <t>PERFORMANCE TEES</t>
  </si>
  <si>
    <t>V/BSB @ ALICE 3/12/16</t>
  </si>
  <si>
    <t xml:space="preserve">F/JV BSB @ FLOUR BLUFF </t>
  </si>
  <si>
    <t>JV/BSB @ VICTORIA E 4/2/16</t>
  </si>
  <si>
    <t>V/BSB @ GP 3/22/16</t>
  </si>
  <si>
    <t>GOLF @ GP 3/12/16</t>
  </si>
  <si>
    <t>GOLF  @ VICTORIA 4/5/16</t>
  </si>
  <si>
    <t>JV/V SB @ GP 3/18/16</t>
  </si>
  <si>
    <t>V/TENNIS @ HEB 4/1/16</t>
  </si>
  <si>
    <t xml:space="preserve">BTRK @ FLOUR BLUFF </t>
  </si>
  <si>
    <t>GTRK @ CALALLEN 4/1/16</t>
  </si>
  <si>
    <t xml:space="preserve">BTRK &amp; GTRK RGNL@ SA APR </t>
  </si>
  <si>
    <t>UTILITY CART</t>
  </si>
  <si>
    <t>BURNETT, TRAVIS</t>
  </si>
  <si>
    <t>JV/V SB GP 4/16/16</t>
  </si>
  <si>
    <t>V/BSB GP 4/19/16</t>
  </si>
  <si>
    <t>ZEKE HERNANDEZ</t>
  </si>
  <si>
    <t>GILL, JAMIE</t>
  </si>
  <si>
    <t>RECKAWAY, SCOTT</t>
  </si>
  <si>
    <t>CHAIRS &amp; TABLES</t>
  </si>
  <si>
    <t>BRAUN, JASON</t>
  </si>
  <si>
    <t>POWER TANK W/CART</t>
  </si>
  <si>
    <t>LARGE PROFILE CONES</t>
  </si>
  <si>
    <t>GIRDLES</t>
  </si>
  <si>
    <t xml:space="preserve">BTRK &amp; GTRK @ AUSTIN MAY </t>
  </si>
  <si>
    <t>JV/V SB VICTORIA E 4/22/16</t>
  </si>
  <si>
    <t>V/BSB VICTORIA E 4/26/16</t>
  </si>
  <si>
    <t>EYE COACH LLC</t>
  </si>
  <si>
    <t>181-36-6399.3V-041-691039</t>
  </si>
  <si>
    <t>EYE COACH PRO</t>
  </si>
  <si>
    <t>V/SB @ CCISD 4/25/16</t>
  </si>
  <si>
    <t>GONZALEZ, RENE</t>
  </si>
  <si>
    <t>GOLF @ VICTORIA 4/5/16</t>
  </si>
  <si>
    <t>F/JV TENNIS @ TM 3/22/16</t>
  </si>
  <si>
    <t>V/TENNIS @ CALALLEN 4/7/16</t>
  </si>
  <si>
    <t>LETTERMAN JACKET</t>
  </si>
  <si>
    <t>TREVINO, JERRY</t>
  </si>
  <si>
    <t>VILLARREAL, ANDY</t>
  </si>
  <si>
    <t xml:space="preserve">V/BSB @ FLOUR BLUFF </t>
  </si>
  <si>
    <t>JV/V SB @ MILLER 4/12/16</t>
  </si>
  <si>
    <t xml:space="preserve">JV/V SB @ FLOUR BLUFF </t>
  </si>
  <si>
    <t>GTRK @ ALICE 4/15/16</t>
  </si>
  <si>
    <t>TEDA @ AUSTIN APR 17-18</t>
  </si>
  <si>
    <t>ROZYPAL, KELLI</t>
  </si>
  <si>
    <t>7/9/15-4/18/16 MILEAGE</t>
  </si>
  <si>
    <t>NELCO IRON SHOT</t>
  </si>
  <si>
    <t>181-36-6399.3Y-001-691039</t>
  </si>
  <si>
    <t>TRIPLE JERSEYS &amp; VNECKS</t>
  </si>
  <si>
    <t xml:space="preserve">WILSON WMNS </t>
  </si>
  <si>
    <t xml:space="preserve">PANTS, TEES, JACKETS, </t>
  </si>
  <si>
    <t>UA LONG SLEEVE</t>
  </si>
  <si>
    <t>M</t>
  </si>
  <si>
    <t>BREWER, LARRY M.</t>
  </si>
  <si>
    <t>181-36-6219.09-001-691039</t>
  </si>
  <si>
    <t xml:space="preserve">V/SB PLAYOFFS SOMERSET </t>
  </si>
  <si>
    <t>TENNIS BALLS</t>
  </si>
  <si>
    <t>V/SB PLAYOFFS 4/23/16-</t>
  </si>
  <si>
    <t>GONZALES, ANDRES</t>
  </si>
  <si>
    <t>SALAZAR, JAMES ALBERT</t>
  </si>
  <si>
    <t xml:space="preserve">GIRDLES, FOOTBALLS &amp; </t>
  </si>
  <si>
    <t>YOUTH FB PANTS</t>
  </si>
  <si>
    <t xml:space="preserve">CONES &amp; WIRE CONE </t>
  </si>
  <si>
    <t>JUMPSTAR ADIDAS</t>
  </si>
  <si>
    <t>HOLLOWAY SABLE PANTS</t>
  </si>
  <si>
    <t xml:space="preserve">WARM UP JACKETS </t>
  </si>
  <si>
    <t>ATH TRAINING @ SPI JUN 16-</t>
  </si>
  <si>
    <t xml:space="preserve">STAPLES BUSINESS </t>
  </si>
  <si>
    <t xml:space="preserve">HANGING FOLDERS &amp; FILE </t>
  </si>
  <si>
    <t>OVERPAYMENT IN ERROR</t>
  </si>
  <si>
    <t>LAMINATING</t>
  </si>
  <si>
    <t>TEAM POLOS</t>
  </si>
  <si>
    <t>PRO HEATHER TEES</t>
  </si>
  <si>
    <t>CASTANEDA, ERNEST</t>
  </si>
  <si>
    <t>CCCAT</t>
  </si>
  <si>
    <t>CC MEMBERSHIP</t>
  </si>
  <si>
    <t>COOPER, ADAM</t>
  </si>
  <si>
    <t>6/1/16-5/31/17 MEMBERSHIP</t>
  </si>
  <si>
    <t>181-36-6249.31-001-691039</t>
  </si>
  <si>
    <t>1/4/16-5/18/16 MILEAGE</t>
  </si>
  <si>
    <t>STOP PAYMENT</t>
  </si>
  <si>
    <t>FILE FOLDERS</t>
  </si>
  <si>
    <t>SHOES</t>
  </si>
  <si>
    <t>VB  SPORTSWEAR &amp; EQUIP</t>
  </si>
  <si>
    <t>LADIES JERSEYS</t>
  </si>
  <si>
    <t>CAPS</t>
  </si>
  <si>
    <t>BRITE STRIPE</t>
  </si>
  <si>
    <t>MILEAGE 1/12/16-6/13/16</t>
  </si>
  <si>
    <t>OFFICE DEPOT, INC</t>
  </si>
  <si>
    <t>181-36-6649.30-001-691039</t>
  </si>
  <si>
    <t>BOOKCASE</t>
  </si>
  <si>
    <t>CHAIR</t>
  </si>
  <si>
    <t>TASK CHAIR</t>
  </si>
  <si>
    <t xml:space="preserve">TEXAS DEPT OF STATE </t>
  </si>
  <si>
    <t xml:space="preserve">LICENSED ATHLETIC </t>
  </si>
  <si>
    <t xml:space="preserve">COACHING SCHOOL @ SA </t>
  </si>
  <si>
    <t>1/4/16-5/18/16  MILEAGE</t>
  </si>
  <si>
    <t xml:space="preserve">ALLEN INDEPENDENT </t>
  </si>
  <si>
    <t>VB @ ALLEN AUG 19-20</t>
  </si>
  <si>
    <t xml:space="preserve">GIRLS VOLLEYBALL </t>
  </si>
  <si>
    <t>FOOTBALL EPQUIMENT</t>
  </si>
  <si>
    <t xml:space="preserve">HYATT REGENCY SAN </t>
  </si>
  <si>
    <t>V/VB @ CCISD AUG 12-13</t>
  </si>
  <si>
    <t xml:space="preserve">INTERNATIONAL SPORTS </t>
  </si>
  <si>
    <t>181-36-6319.3S-001-691039</t>
  </si>
  <si>
    <t>SWIMMING POOL MAINT</t>
  </si>
  <si>
    <t>LEANDER I.S.D.</t>
  </si>
  <si>
    <t>V/VB @ LEANDER AUG 25-27</t>
  </si>
  <si>
    <t>LETTERMANS</t>
  </si>
  <si>
    <t>181-00-1109.00-000-600000</t>
  </si>
  <si>
    <t>INCREASE PETTY CASH</t>
  </si>
  <si>
    <t xml:space="preserve">COMPUTER SOFTWARE </t>
  </si>
  <si>
    <t>BROKERAGE STORE, INC THE</t>
  </si>
  <si>
    <t>181-00-1411.05-000-600000</t>
  </si>
  <si>
    <t xml:space="preserve">GROUP UIL </t>
  </si>
  <si>
    <t>PRICE, MADELINE</t>
  </si>
  <si>
    <t>ATH TRAIN @ S.PADRE 6/16-</t>
  </si>
  <si>
    <t xml:space="preserve">ATH. TRAINING SEMINAR @ </t>
  </si>
  <si>
    <t>ATH. TRAINER SUPPLIES</t>
  </si>
  <si>
    <t>GVB @ ALLEN AUG 19-20</t>
  </si>
  <si>
    <t>GONZALES INDEPENDENT</t>
  </si>
  <si>
    <t>V/JV @ GONZALES 8/20/16</t>
  </si>
  <si>
    <t>7/29/16-4/29/16</t>
  </si>
  <si>
    <t>SPORTS IMPORTS</t>
  </si>
  <si>
    <t>STUDENT VB EPQUIPMENT</t>
  </si>
  <si>
    <t>JV/FRESHMAN @ FB 8/11-8/13</t>
  </si>
  <si>
    <t xml:space="preserve">V TOURNEY @ LEANDER </t>
  </si>
  <si>
    <t>V-BALL TOUR @ ALLEN 8/18-</t>
  </si>
  <si>
    <t>KDL SHOULDER BRACE MD</t>
  </si>
  <si>
    <t>V/FB LAREDO NIXON 8/26/16</t>
  </si>
  <si>
    <t>BUENO, JAMES</t>
  </si>
  <si>
    <t>VB @ KING 8/8/16</t>
  </si>
  <si>
    <t>JV @ FLOUR BLUFF 8/11/16</t>
  </si>
  <si>
    <t>12V 12AH SLA 187 FASTON</t>
  </si>
  <si>
    <t xml:space="preserve">V/JV BOYS/GIRL @ MOODY </t>
  </si>
  <si>
    <t>RICHARDS, ALEX</t>
  </si>
  <si>
    <t>MILEAGE 4/19/16-8/16/16</t>
  </si>
  <si>
    <t>SALINAS, JOSE</t>
  </si>
  <si>
    <t>MILEAGE 6/22/16-8/11/16</t>
  </si>
  <si>
    <t xml:space="preserve">LOCKS/KEYS/PLATES/YOUTH </t>
  </si>
  <si>
    <t xml:space="preserve">CORPUS CHRISTI AREA </t>
  </si>
  <si>
    <t xml:space="preserve">VB VS. VETERANS @ CCAC </t>
  </si>
  <si>
    <t xml:space="preserve">DOME/ICECREAM SOCIAL </t>
  </si>
  <si>
    <t>TM VS CCISD @ CC 8/12/16</t>
  </si>
  <si>
    <t>KAUK, KANDY</t>
  </si>
  <si>
    <t>VB VS GP 8/15/16</t>
  </si>
  <si>
    <t>RANK ONE SPORT</t>
  </si>
  <si>
    <t>SCHEDULING SOFTWARE</t>
  </si>
  <si>
    <t xml:space="preserve">SOUTH TEXAS CHAPTER </t>
  </si>
  <si>
    <t>TM VS BEEVILLE 8/12/16</t>
  </si>
  <si>
    <t>LAUNDRY SUPPLIES</t>
  </si>
  <si>
    <t>F/V VB ALICE 8/23/16</t>
  </si>
  <si>
    <t>CHRISTIANSEN, HAROLD D.</t>
  </si>
  <si>
    <t>RICHMAR WINNER EVO CM4</t>
  </si>
  <si>
    <t>FRANCO, MANUEL JR</t>
  </si>
  <si>
    <t>GONZALEZ, DAVID</t>
  </si>
  <si>
    <t>KAPAUN, STEVEN</t>
  </si>
  <si>
    <t>MILEAGE 8/1/16-8/11/16</t>
  </si>
  <si>
    <t>KREITZER, ANTHONY R.</t>
  </si>
  <si>
    <t>JV/FB @ LAREDO NIXON</t>
  </si>
  <si>
    <t>F/FB @ LAREDO NIXON</t>
  </si>
  <si>
    <t>MUNIZ, ARNOLD</t>
  </si>
  <si>
    <t>V FB LAREDO NIXON 8/26/16</t>
  </si>
  <si>
    <t>V/FB ARANSAS PASS 8/18/16</t>
  </si>
  <si>
    <t>STANFIELD, STEVE</t>
  </si>
  <si>
    <t>V/FB BEEVILLE 8/12/16</t>
  </si>
  <si>
    <t>TIJERINA, JUSTIN</t>
  </si>
  <si>
    <t>BTRK @ MOODY 8/27/16</t>
  </si>
  <si>
    <t>B/CC @ GONZALES 8/20/16</t>
  </si>
  <si>
    <t>INCORRECT CHECK #</t>
  </si>
  <si>
    <t xml:space="preserve">V/JV @ ARANSAS PASS </t>
  </si>
  <si>
    <t>VB @ GOLIAD 8/5/16</t>
  </si>
  <si>
    <t>PO#164839</t>
  </si>
  <si>
    <t>PO#164840</t>
  </si>
  <si>
    <t>PO#164375</t>
  </si>
  <si>
    <t>PO#164802</t>
  </si>
  <si>
    <t>BELINFANTE, JANE</t>
  </si>
  <si>
    <t>182-36-6219.P1-001-691000</t>
  </si>
  <si>
    <t xml:space="preserve">V/VB SKIDMORE &amp; BISHOP </t>
  </si>
  <si>
    <t>ATHLETIC NEUTRAL GAMES</t>
  </si>
  <si>
    <t>FALDIK, NANCY JEAN</t>
  </si>
  <si>
    <t>HENRY, DAMARY</t>
  </si>
  <si>
    <t>RIGGS, LAURA B.</t>
  </si>
  <si>
    <t>UIL</t>
  </si>
  <si>
    <t>182-36-6499.99-999-691039</t>
  </si>
  <si>
    <t xml:space="preserve">LAREDO &amp; VICTORIA W </t>
  </si>
  <si>
    <t>DISTRICT WIDE EXPENSES</t>
  </si>
  <si>
    <t>MARTINEZ, GIL P.</t>
  </si>
  <si>
    <t>182-36-6219.P2-001-691000</t>
  </si>
  <si>
    <t xml:space="preserve">V/BBK VICTORIA VS LAREDO </t>
  </si>
  <si>
    <t>SERENIL, JOHNNY</t>
  </si>
  <si>
    <t>SHOEMAKER, MICHAEL</t>
  </si>
  <si>
    <t>AMAYA, ADRIAN JR.</t>
  </si>
  <si>
    <t>182-36-6219.P5-001-691000</t>
  </si>
  <si>
    <t xml:space="preserve">V/BSB ODEM VS GERTRUDIS </t>
  </si>
  <si>
    <t>182-36-6219.P6-001-691000</t>
  </si>
  <si>
    <t xml:space="preserve">V/SB RCKPORT VS BVILLE </t>
  </si>
  <si>
    <t>CAVAZOS, ARNOLDO III</t>
  </si>
  <si>
    <t>182-36-6219.P4-001-691000</t>
  </si>
  <si>
    <t xml:space="preserve">V/BSB ROBSTWN VS </t>
  </si>
  <si>
    <t>182-36-6219.P3-001-691000</t>
  </si>
  <si>
    <t xml:space="preserve">V/BSB APASS VS HBRNVILE </t>
  </si>
  <si>
    <t>FLORES, SEVERIANO</t>
  </si>
  <si>
    <t>MARTINEZ, NOE R.</t>
  </si>
  <si>
    <t>NAVA, MARK R.</t>
  </si>
  <si>
    <t>ROQUE, JOHN R.</t>
  </si>
  <si>
    <t>ROZYPAL, CALEB</t>
  </si>
  <si>
    <t>SANCHEZ, ROBERTO R.</t>
  </si>
  <si>
    <t>APOLLO TOWING SERVICE</t>
  </si>
  <si>
    <t>192-00-2110.15-000-600000</t>
  </si>
  <si>
    <t>BOX MOVED @ MS</t>
  </si>
  <si>
    <t>COMP ED</t>
  </si>
  <si>
    <t>BUS 30 @ GREATSTATE</t>
  </si>
  <si>
    <t>AUSTIN MAC REPAIR LLC</t>
  </si>
  <si>
    <t xml:space="preserve">MACBOOK AIR LCD </t>
  </si>
  <si>
    <t xml:space="preserve">IMAC SCREEN PANEL &amp; DIGI </t>
  </si>
  <si>
    <t xml:space="preserve">NUECES COUNTY JUVENILE </t>
  </si>
  <si>
    <t>192-95-6223.10-003-628029</t>
  </si>
  <si>
    <t>21 SCHOOL DAYS 2 CHAIRS</t>
  </si>
  <si>
    <t>JJAEP</t>
  </si>
  <si>
    <t>A &amp; W OFFICE SUPPLY, INC.</t>
  </si>
  <si>
    <t>FILE CABINET</t>
  </si>
  <si>
    <t>APPLE, INC.</t>
  </si>
  <si>
    <t>192-11-6399.00-002-626026</t>
  </si>
  <si>
    <t>IPAD AIR WIFI</t>
  </si>
  <si>
    <t xml:space="preserve">ACADEMIC CAREER </t>
  </si>
  <si>
    <t>MBAIR</t>
  </si>
  <si>
    <t>CDW GOVERNMENT, INC</t>
  </si>
  <si>
    <t>GRAPHING CALCULATOR</t>
  </si>
  <si>
    <t>KODAK ZOOM CCD</t>
  </si>
  <si>
    <t>DELL MARKETING L.P.</t>
  </si>
  <si>
    <t xml:space="preserve">DELL LATITUDE E5550/5550 </t>
  </si>
  <si>
    <t xml:space="preserve">DEVELOPMENTAL </t>
  </si>
  <si>
    <t>192-23-6411.10-002-626026</t>
  </si>
  <si>
    <t xml:space="preserve">MENTAL HLTH @ PHOENIX </t>
  </si>
  <si>
    <t>SAM'S CLUB/GEMB</t>
  </si>
  <si>
    <t>TV &amp; MOUNT</t>
  </si>
  <si>
    <t>192-11-6399.10-002-626026</t>
  </si>
  <si>
    <t>SCHOOL SUPPLIES</t>
  </si>
  <si>
    <t>ZENERGY CHAIRS</t>
  </si>
  <si>
    <t>GALLARDO, GLORIA</t>
  </si>
  <si>
    <t>192-11-6412.10-002-626026</t>
  </si>
  <si>
    <t>ACC @ SIX FLAGS 10/12/15</t>
  </si>
  <si>
    <t>HAY, CHRISTINE</t>
  </si>
  <si>
    <t>MCCLARREN, MELODIE</t>
  </si>
  <si>
    <t>ORIENTAL TRADING CO INC</t>
  </si>
  <si>
    <t>HALLOWEEN SUPPLIES</t>
  </si>
  <si>
    <t xml:space="preserve">ALTERNATIVE EDU @ FL MAR </t>
  </si>
  <si>
    <t>CURRICULUM ASSOCIATES</t>
  </si>
  <si>
    <t>192-11-6299.00-041-624024</t>
  </si>
  <si>
    <t>IRDY MAHT &amp; RDG D&amp;I</t>
  </si>
  <si>
    <t>192-11-6396.00-041-624024</t>
  </si>
  <si>
    <t>IRDY PD OS GET STARTED</t>
  </si>
  <si>
    <t>LATITUDE E6540</t>
  </si>
  <si>
    <t xml:space="preserve">EMBASSY SUITES NW SAN </t>
  </si>
  <si>
    <t>192-13-6411.10-002-626026</t>
  </si>
  <si>
    <t>BEHAVIORS @ SA 12/8/15</t>
  </si>
  <si>
    <t xml:space="preserve">JENSEN LEARNING </t>
  </si>
  <si>
    <t>192-21-6411.00-872-624027</t>
  </si>
  <si>
    <t xml:space="preserve">GAME CHANGERS @ SA JAN </t>
  </si>
  <si>
    <t>AT RISK COORDINATOR</t>
  </si>
  <si>
    <t>PESI, INC.</t>
  </si>
  <si>
    <t>192-21-6399.00-872-624027</t>
  </si>
  <si>
    <t xml:space="preserve">EDUCATION SERVICE </t>
  </si>
  <si>
    <t>WORKSHOP 1300582 10/20/15</t>
  </si>
  <si>
    <t>CHRISTINE HAY</t>
  </si>
  <si>
    <t>GLORIA GALLARDO</t>
  </si>
  <si>
    <t>GREG WOLF</t>
  </si>
  <si>
    <t>WOLFE, GREG</t>
  </si>
  <si>
    <t>IPAD CABLES &amp; SUPPLIES</t>
  </si>
  <si>
    <t>TAAE @ AUSTIN FEB 3-5</t>
  </si>
  <si>
    <t>16 SCHOOL DAYS 2 CHAIRS</t>
  </si>
  <si>
    <t xml:space="preserve">PERFECTION LEARNING </t>
  </si>
  <si>
    <t>192-11-6399.EC-001-624024</t>
  </si>
  <si>
    <t>ENGLISH REMEDIATION</t>
  </si>
  <si>
    <t xml:space="preserve">SIRIUS EDUCATION </t>
  </si>
  <si>
    <t>EOC MATERIALS &amp; TESTING</t>
  </si>
  <si>
    <t>BAEN, FRANCES</t>
  </si>
  <si>
    <t>BARNES &amp; NOBLE</t>
  </si>
  <si>
    <t>VARIOUS BOOKS</t>
  </si>
  <si>
    <t>GLYNLYON, INC</t>
  </si>
  <si>
    <t>192-11-6399.11-001-624024</t>
  </si>
  <si>
    <t xml:space="preserve">ODYSSEYWARE LIC </t>
  </si>
  <si>
    <t>192-11-6399.11-002-626026</t>
  </si>
  <si>
    <t>NASCO</t>
  </si>
  <si>
    <t>ART SUPPLIES</t>
  </si>
  <si>
    <t>14 SCHOOL DAYS 2 CHAIRS</t>
  </si>
  <si>
    <t>OMNI SAN ANTONIO HOTEL</t>
  </si>
  <si>
    <t xml:space="preserve">CROWNE PLAZA HOTEL </t>
  </si>
  <si>
    <t>19 SCHOOL DAYS 2 CHAIRS</t>
  </si>
  <si>
    <t>CABINET</t>
  </si>
  <si>
    <t>QUINTANILLA, ALEJANDRA</t>
  </si>
  <si>
    <t>192-13-6239.10-002-626026</t>
  </si>
  <si>
    <t xml:space="preserve">MATH/SCIENCE COOP </t>
  </si>
  <si>
    <t xml:space="preserve">RGNL SCHOOL </t>
  </si>
  <si>
    <t>TCMPC COOP SERVICES</t>
  </si>
  <si>
    <t>DISTANCE LEARNING COOP</t>
  </si>
  <si>
    <t>WORKSHOP 1308622 1/21/16</t>
  </si>
  <si>
    <t>WORKSHOP 1311718 1/29/16</t>
  </si>
  <si>
    <t>BROMLEY, MARSHA</t>
  </si>
  <si>
    <t>MEUNIER, ISABELLE</t>
  </si>
  <si>
    <t xml:space="preserve">TECH &amp; ENGAGING @ SA JUN </t>
  </si>
  <si>
    <t>192-21-6649.00-872-624027</t>
  </si>
  <si>
    <t xml:space="preserve">SAWGRASS MARRIOTT GOLF </t>
  </si>
  <si>
    <t>NAEA @ FL MAR 16-19</t>
  </si>
  <si>
    <t>DMAC &amp; DMAC FEES</t>
  </si>
  <si>
    <t>192-13-6411.24-001-624024</t>
  </si>
  <si>
    <t>WORKSHOP 1314524 2/10/16</t>
  </si>
  <si>
    <t>192-13-6411.24-101-630024</t>
  </si>
  <si>
    <t>WORKSHOP 1314860 2/26/16</t>
  </si>
  <si>
    <t>PRIMARY</t>
  </si>
  <si>
    <t>AT RISH STUDENT PACK</t>
  </si>
  <si>
    <t>17 SCHOOL DAYS 2 CHAIRS</t>
  </si>
  <si>
    <t>CORWIN PRESS, INC.</t>
  </si>
  <si>
    <t>EDUCATIONAL  BOOKS</t>
  </si>
  <si>
    <t xml:space="preserve">TEACH/ENGAGING @ SA JUN </t>
  </si>
  <si>
    <t>MELODIE MCCLARREN</t>
  </si>
  <si>
    <t xml:space="preserve">17 &amp; 21 SCHOOL DAYS 4 </t>
  </si>
  <si>
    <t>NAEA @ FL MAR 16-20</t>
  </si>
  <si>
    <t>HEB CREDIT RECEIVABLES</t>
  </si>
  <si>
    <t xml:space="preserve">EOC RETESTER STUDENT </t>
  </si>
  <si>
    <t xml:space="preserve">19 &amp; 3 SCHOOL DAYS 4 </t>
  </si>
  <si>
    <t>EBOOKS</t>
  </si>
  <si>
    <t>D &amp; H DISTRIBUTING</t>
  </si>
  <si>
    <t xml:space="preserve">GRAPHING CALCULATORS &amp; </t>
  </si>
  <si>
    <t>192-31-6411.10-002-626026</t>
  </si>
  <si>
    <t xml:space="preserve">ALGEBRA 1 READINESS &amp; </t>
  </si>
  <si>
    <t>192-11-6399.24-041-628028</t>
  </si>
  <si>
    <t>TECH SUPPLIES</t>
  </si>
  <si>
    <t>SCIENTIFIC LEARNING CORP.</t>
  </si>
  <si>
    <t>192-11-6399.12-002-626026</t>
  </si>
  <si>
    <t>7/1/16-7/1/17 SUBSCRIPTION</t>
  </si>
  <si>
    <t xml:space="preserve">TEXAS EDUCATIONAL </t>
  </si>
  <si>
    <t>CLASS NOVELS</t>
  </si>
  <si>
    <t>192-11-6396.10-002-626026</t>
  </si>
  <si>
    <t>USB SUPER DRIVES</t>
  </si>
  <si>
    <t>BUSSELL, ALLEN</t>
  </si>
  <si>
    <t>CENTRAL TEXAS COLLEGE</t>
  </si>
  <si>
    <t>EQUIVELENT COURSES</t>
  </si>
  <si>
    <t>192-11-6399.13-002-626026</t>
  </si>
  <si>
    <t>COLLINS, LAURA</t>
  </si>
  <si>
    <t xml:space="preserve">COMP/TECH SOFTWARE </t>
  </si>
  <si>
    <t xml:space="preserve">RELIANCE </t>
  </si>
  <si>
    <t>192-11-6294.10-002-626026</t>
  </si>
  <si>
    <t>8/2/16-8/1/17</t>
  </si>
  <si>
    <t xml:space="preserve">TV, HDMI, CABLES DVD </t>
  </si>
  <si>
    <t xml:space="preserve">ENGLISH 1-4 SUPPL. </t>
  </si>
  <si>
    <t>IMAC COMPUTER</t>
  </si>
  <si>
    <t>192-11-6649.00-001-624024</t>
  </si>
  <si>
    <t>LATITUDE E5570</t>
  </si>
  <si>
    <t>GRAYBAR ELECTRIC CO INC</t>
  </si>
  <si>
    <t xml:space="preserve">MOUNT PARTS ENO CLICK &amp; </t>
  </si>
  <si>
    <t xml:space="preserve">CHALK BOARD/WHITE </t>
  </si>
  <si>
    <t>SPECTRUM PRO20 CART</t>
  </si>
  <si>
    <t>1332291 8/9/16</t>
  </si>
  <si>
    <t>RESOURCES ENGLISH 1-4</t>
  </si>
  <si>
    <t>MILEAGE 8/17/15-6/6/16</t>
  </si>
  <si>
    <t>MORALES, AYME</t>
  </si>
  <si>
    <t>192-21-6411.LK-872-624027</t>
  </si>
  <si>
    <t>MILEAGE 8/2/16-8/18/16</t>
  </si>
  <si>
    <t>8 SCHOOL DAYS 2 CHAIRS</t>
  </si>
  <si>
    <t>AMP SERVICES, INC.</t>
  </si>
  <si>
    <t>198-51-6249.01-001-699000</t>
  </si>
  <si>
    <t xml:space="preserve">PARKING LOT ASPHALT </t>
  </si>
  <si>
    <t xml:space="preserve">M&amp;G CHAPTER 313 </t>
  </si>
  <si>
    <t>FACILITY SOLUTIONS GROUP</t>
  </si>
  <si>
    <t>198-51-6249.65-001-699C00</t>
  </si>
  <si>
    <t xml:space="preserve">REPLACE ELECTRICAL </t>
  </si>
  <si>
    <t xml:space="preserve">BARCOM CONSTRUCTION, </t>
  </si>
  <si>
    <t>198-51-6299.03-001-699000</t>
  </si>
  <si>
    <t xml:space="preserve">ADDTL LIGHTING &amp; </t>
  </si>
  <si>
    <t>GOVIND DEVELOPMENT, LLC</t>
  </si>
  <si>
    <t>198-51-6219.02-041-699000</t>
  </si>
  <si>
    <t>BOUNDARY SURVEY</t>
  </si>
  <si>
    <t>199-36-6412.09-001-699574</t>
  </si>
  <si>
    <t xml:space="preserve">SP OLYMPICS @ AUSTIN FEB </t>
  </si>
  <si>
    <t>GENERAL FUND</t>
  </si>
  <si>
    <t>199-36-6412.7B-001-699032</t>
  </si>
  <si>
    <t>UIL SOLO @ VICTORIA 2/6/16</t>
  </si>
  <si>
    <t>199-11-6412.V8-001-622022</t>
  </si>
  <si>
    <t xml:space="preserve">LIVESTOCK SHOW @ SA FEB </t>
  </si>
  <si>
    <t>STE DJ SERVICES</t>
  </si>
  <si>
    <t>199-36-6399.HC-001-699001</t>
  </si>
  <si>
    <t>HOMECOMING PARADE</t>
  </si>
  <si>
    <t>AT&amp;T</t>
  </si>
  <si>
    <t>199-00-2110.15-000-600000</t>
  </si>
  <si>
    <t>DISTRICT 8/15/15</t>
  </si>
  <si>
    <t>HEADSTART 8/15/15</t>
  </si>
  <si>
    <t>BOLSTER, NINA</t>
  </si>
  <si>
    <t>MILEAGE 7/20/15-8/19/15</t>
  </si>
  <si>
    <t>199-36-6412.8S-001-699001</t>
  </si>
  <si>
    <t xml:space="preserve">SPEECH TOURN @ CARROLL </t>
  </si>
  <si>
    <t>199-36-6412.8M-001-699033</t>
  </si>
  <si>
    <t xml:space="preserve">DRILL MEET @ CARROLL </t>
  </si>
  <si>
    <t>CHAPA, RAYMOND</t>
  </si>
  <si>
    <t>199-36-6412.7B-001-699132</t>
  </si>
  <si>
    <t xml:space="preserve">MARCHING @ MATHIS </t>
  </si>
  <si>
    <t>MARCHING @ GP 10/3/15</t>
  </si>
  <si>
    <t xml:space="preserve">EMBASSY SUITES SAN </t>
  </si>
  <si>
    <t>199-13-6411.PD-001-631034</t>
  </si>
  <si>
    <t xml:space="preserve">ADVISOR @ SANMARCOS </t>
  </si>
  <si>
    <t>FEDERAL EXPRESS</t>
  </si>
  <si>
    <t>WALMARTGEMB</t>
  </si>
  <si>
    <t xml:space="preserve">GREGORY PORTLAND BAND </t>
  </si>
  <si>
    <t>HARMON, JOSEPH WADE</t>
  </si>
  <si>
    <t>199-36-6411.8M-001-699133</t>
  </si>
  <si>
    <t>199-36-6412.8M-001-699133</t>
  </si>
  <si>
    <t>8/24/15-8/28/15 TRAFFIC CTRL</t>
  </si>
  <si>
    <t>MASBA</t>
  </si>
  <si>
    <t>199-41-6495.11-702-699093</t>
  </si>
  <si>
    <t>9/1/15-8/31/196 MEMBERSHIP</t>
  </si>
  <si>
    <t>BOARD OF TRUSTEES</t>
  </si>
  <si>
    <t>MATHIS HIGH SCHOOL BAND</t>
  </si>
  <si>
    <t>DID NOT ATTEND</t>
  </si>
  <si>
    <t xml:space="preserve">NUECES COUNTY APPRAISAL </t>
  </si>
  <si>
    <t>199-99-6213.10-703-699091</t>
  </si>
  <si>
    <t xml:space="preserve">2015 BUDGET ALLOCATION </t>
  </si>
  <si>
    <t>TAX COLLECTION</t>
  </si>
  <si>
    <t>PITNEY BOWES</t>
  </si>
  <si>
    <t>199-51-6264.10-934-699091</t>
  </si>
  <si>
    <t>10/1/15-12/31/15</t>
  </si>
  <si>
    <t>CENT REC/WAREHOUSE</t>
  </si>
  <si>
    <t>PRATT, WENDY</t>
  </si>
  <si>
    <t>199-36-6412.8S-001-699101</t>
  </si>
  <si>
    <t xml:space="preserve">SCRIPPS NATIONAL </t>
  </si>
  <si>
    <t>199-11-6399.45-101-611004</t>
  </si>
  <si>
    <t xml:space="preserve">EARYL BIRD ENROLLMENT </t>
  </si>
  <si>
    <t xml:space="preserve">SMITHSON VALLEY HIGH </t>
  </si>
  <si>
    <t xml:space="preserve">DRILL MEET @ SPRING </t>
  </si>
  <si>
    <t>SPRINT</t>
  </si>
  <si>
    <t>7/27/15-8/26/15</t>
  </si>
  <si>
    <t>TASA</t>
  </si>
  <si>
    <t>199-41-6417.10-702-699093</t>
  </si>
  <si>
    <t>TASA/TASB @ AUSTIN OCT 1-</t>
  </si>
  <si>
    <t>TASB, INC</t>
  </si>
  <si>
    <t>199-41-6299.11-702-699093</t>
  </si>
  <si>
    <t>BOARDBOOK MEMBERSHIP</t>
  </si>
  <si>
    <t>199-41-6495.10-702-699093</t>
  </si>
  <si>
    <t xml:space="preserve">9/1/15-8/31/16 POLICY </t>
  </si>
  <si>
    <t xml:space="preserve">9/1/15-8/31/16 ONLINE </t>
  </si>
  <si>
    <t>199-41-6495.10-730-699095</t>
  </si>
  <si>
    <t>10/1/15-9/30/16 HR SERVICES</t>
  </si>
  <si>
    <t>PERSONNEL</t>
  </si>
  <si>
    <t>TASBO</t>
  </si>
  <si>
    <t>199-41-6495.00-939-699087</t>
  </si>
  <si>
    <t xml:space="preserve">RODNEY SUMNER </t>
  </si>
  <si>
    <t xml:space="preserve">ASST SUPER SCH </t>
  </si>
  <si>
    <t>199-41-6495.11-701-699092</t>
  </si>
  <si>
    <t xml:space="preserve">SUZANNE NELSON </t>
  </si>
  <si>
    <t>SUPERINTENDENT</t>
  </si>
  <si>
    <t>199-36-6495.8T-001-699001</t>
  </si>
  <si>
    <t>9/1/15-8/31/16 MEMBERSHIP</t>
  </si>
  <si>
    <t>TASSP</t>
  </si>
  <si>
    <t>199-23-6495.10-001-699001</t>
  </si>
  <si>
    <t>TELLO, JASON PEREZ</t>
  </si>
  <si>
    <t>199-52-6219.00-101-699086</t>
  </si>
  <si>
    <t>8/31/15-9/1/15 TRAFFIC CTRL</t>
  </si>
  <si>
    <t>TEXAS ASSOCIATION OF</t>
  </si>
  <si>
    <t xml:space="preserve">2015-2016 INSTITUTIONAL </t>
  </si>
  <si>
    <t>TEXAS ASSOCIATION OF MID-</t>
  </si>
  <si>
    <t>TEXAS SCHOOL COALITION</t>
  </si>
  <si>
    <t>199-23-6411.10-001-699001</t>
  </si>
  <si>
    <t>IGNITING THE SPIRIT 9/25/15</t>
  </si>
  <si>
    <t>TROTT, SHARON L</t>
  </si>
  <si>
    <t>8/1/15-8/31/15 SERVICES</t>
  </si>
  <si>
    <t>199-36-6495.09-001-691091</t>
  </si>
  <si>
    <t xml:space="preserve">2015-2016 CONFERNCE 5A </t>
  </si>
  <si>
    <t>UIL MUSIC REGION 14</t>
  </si>
  <si>
    <t xml:space="preserve">MARCHING @ CALALLEN </t>
  </si>
  <si>
    <t>ACCENT AUDIO VIDEO</t>
  </si>
  <si>
    <t>GYM SOUND SYSTEM</t>
  </si>
  <si>
    <t>AISYS CONSULTING, LLC</t>
  </si>
  <si>
    <t>FIXED WALL MOUNT</t>
  </si>
  <si>
    <t>ALAN T. FISHER, PH.D.</t>
  </si>
  <si>
    <t>COUNSELING 8/28/15</t>
  </si>
  <si>
    <t xml:space="preserve">ALLPRO EQUIPMENT </t>
  </si>
  <si>
    <t>5400 AXLE &amp; SCRUB SKIRT</t>
  </si>
  <si>
    <t>T5 ECHO20 MODULE</t>
  </si>
  <si>
    <t xml:space="preserve">T5 SCRUBBER CIRCUIT </t>
  </si>
  <si>
    <t>BUS 33 @ CC FREIGHTLINER</t>
  </si>
  <si>
    <t xml:space="preserve">AQUATIC RENOVATIONS &amp; </t>
  </si>
  <si>
    <t>PULSAR BOOSTER CHLOR</t>
  </si>
  <si>
    <t>SODIUM BICARBONATE</t>
  </si>
  <si>
    <t>BARTOSH, ANN</t>
  </si>
  <si>
    <t>BIRDWELL, GAIL</t>
  </si>
  <si>
    <t>CINTAS CORPORATION # 539</t>
  </si>
  <si>
    <t>8/6/15 SERVICE</t>
  </si>
  <si>
    <t>8/13/15 SERVICE</t>
  </si>
  <si>
    <t>8/20/15 SERVICE</t>
  </si>
  <si>
    <t>8/27/15 SERVICE</t>
  </si>
  <si>
    <t>CITY OF CORPUS CHRISTI</t>
  </si>
  <si>
    <t>ADMIN WATER 7/16/15-8/17/15</t>
  </si>
  <si>
    <t>PRIMRY WATER 7/16/15-</t>
  </si>
  <si>
    <t>PRIMRY GAS 7/16/15-8/17/15</t>
  </si>
  <si>
    <t>INTER WATER 7/16/15-8/17/15</t>
  </si>
  <si>
    <t>INTER GAS 7/16/15-8/17/15</t>
  </si>
  <si>
    <t>MS WATER 7/16/15-8/17/15</t>
  </si>
  <si>
    <t>MS GAS 7/16/15-8/17/15</t>
  </si>
  <si>
    <t>HS WATER 7/20/15-8/19/15</t>
  </si>
  <si>
    <t>HS GAS 7/20/15-8/19/15</t>
  </si>
  <si>
    <t>FB FLD WATER 7/20/15-8/19/15</t>
  </si>
  <si>
    <t>ACC WATER 7/16/15-8/17/15</t>
  </si>
  <si>
    <t>MAINT WATER 7/16/15-8/17/15</t>
  </si>
  <si>
    <t>CORNELIUS, CAREN</t>
  </si>
  <si>
    <t>AUG 2015 OT BILLING</t>
  </si>
  <si>
    <t>CORPUS CHRISTI CALLER-</t>
  </si>
  <si>
    <t>DESTRUCTION RCDS 8/16-</t>
  </si>
  <si>
    <t>199-41-6419.10-702-699093</t>
  </si>
  <si>
    <t>199-00-1290.00-730-600000</t>
  </si>
  <si>
    <t>9/1/15-9/30/15</t>
  </si>
  <si>
    <t>10/1/15-10/31/15</t>
  </si>
  <si>
    <t>DESIGN SCIENCE, INC.</t>
  </si>
  <si>
    <t>199-11-6399.72-001-611001</t>
  </si>
  <si>
    <t>MATH TYPE SITE LICENSE</t>
  </si>
  <si>
    <t xml:space="preserve">MARCHING BAND PRACTICE </t>
  </si>
  <si>
    <t xml:space="preserve">RAC/TASA/TASB </t>
  </si>
  <si>
    <t xml:space="preserve">EDUCATIONAL THEATRE </t>
  </si>
  <si>
    <t>199-36-6495.7K-001-699001</t>
  </si>
  <si>
    <t>TROUPE RENEWAL</t>
  </si>
  <si>
    <t>EVINS GLASS SERVICE</t>
  </si>
  <si>
    <t xml:space="preserve">SCIENCE SAFETY </t>
  </si>
  <si>
    <t>199-34-6249.10-937-699082</t>
  </si>
  <si>
    <t>BUS 22 INSTALL 1/4 BRONZE</t>
  </si>
  <si>
    <t>TRANSPORTATION</t>
  </si>
  <si>
    <t>BUS 11 1/4 SOL LAMI</t>
  </si>
  <si>
    <t>LED WALL PACKS</t>
  </si>
  <si>
    <t>199-51-6319.MC-936-699081</t>
  </si>
  <si>
    <t>HPS 250W 2100K</t>
  </si>
  <si>
    <t>MAINTENANCE</t>
  </si>
  <si>
    <t>FAIRWAY SUPPLY, INC.</t>
  </si>
  <si>
    <t>SCHLAGE 6 PIN KEY BLANKS</t>
  </si>
  <si>
    <t>PRIVACY ATHENS LVR</t>
  </si>
  <si>
    <t>FALCON, REBECCA</t>
  </si>
  <si>
    <t>PRIORITY MAIL</t>
  </si>
  <si>
    <t>FASCLAMPITT</t>
  </si>
  <si>
    <t>ENVELOPES</t>
  </si>
  <si>
    <t>COLORED PAPER</t>
  </si>
  <si>
    <t>FEDERAL IRON &amp; PIPE</t>
  </si>
  <si>
    <t>1/4"X4" FLAT 20'</t>
  </si>
  <si>
    <t xml:space="preserve">GARDEN EQUIPMENT SALES </t>
  </si>
  <si>
    <t>MOWER 3 REPAIR</t>
  </si>
  <si>
    <t xml:space="preserve">HUDSON ENERGY SERVICES </t>
  </si>
  <si>
    <t>5/26/15-8/27/15</t>
  </si>
  <si>
    <t xml:space="preserve">CHEER @ V/FB SINTON </t>
  </si>
  <si>
    <t>BAND @ V/FB SINTON 8/28/15</t>
  </si>
  <si>
    <t>JW PEPPER &amp; SON INC</t>
  </si>
  <si>
    <t>SWEET GEORGIA BROWN</t>
  </si>
  <si>
    <t>199-41-6411.10-726-699091</t>
  </si>
  <si>
    <t>TIMELINE @ S PADRE SEP 22-</t>
  </si>
  <si>
    <t>FINANCE</t>
  </si>
  <si>
    <t>LENNOX INDUSTRIES, INC.</t>
  </si>
  <si>
    <t>MOTOR 1/3HP</t>
  </si>
  <si>
    <t>MAHER, CAROL</t>
  </si>
  <si>
    <t>199-23-6399.10-001-699001</t>
  </si>
  <si>
    <t>RAPTOR VISITOR BADGES</t>
  </si>
  <si>
    <t>199-36-6399.7C-001-699001</t>
  </si>
  <si>
    <t>INFLATABLE ADULT SUMO</t>
  </si>
  <si>
    <t>8/31/15-9/3/15 TRAFFIC CTRL</t>
  </si>
  <si>
    <t>NAPM-RIO GRANDE VALLEY</t>
  </si>
  <si>
    <t>199-41-6411.10-728-699091</t>
  </si>
  <si>
    <t>PURCHASING</t>
  </si>
  <si>
    <t xml:space="preserve">OFFICE OF SECRETARY OF </t>
  </si>
  <si>
    <t>199-41-6411.10-702-699093</t>
  </si>
  <si>
    <t xml:space="preserve">LAW SEMINAR @ AUSTIN DEC </t>
  </si>
  <si>
    <t xml:space="preserve">PENSKE TRUCK LEASING CO. </t>
  </si>
  <si>
    <t>PEREZ, ROSE</t>
  </si>
  <si>
    <t xml:space="preserve">PINNACLE MEDICAL MGMT </t>
  </si>
  <si>
    <t>PHYSICAL</t>
  </si>
  <si>
    <t>POST ACCIDENT TEST</t>
  </si>
  <si>
    <t>POSITIVE PROMOTIONS</t>
  </si>
  <si>
    <t xml:space="preserve">HOMELESS LIASON </t>
  </si>
  <si>
    <t>R &amp; R SYSTEMS</t>
  </si>
  <si>
    <t>REI COMPUTER ISSUES</t>
  </si>
  <si>
    <t xml:space="preserve">RAPTOR TECHNOLOGIES, </t>
  </si>
  <si>
    <t>199-23-6299.10-101-699004</t>
  </si>
  <si>
    <t xml:space="preserve">ALTERT MONITORING/TECH </t>
  </si>
  <si>
    <t>RECORD STAR</t>
  </si>
  <si>
    <t>DESTRUCTION RCDS 8/19-</t>
  </si>
  <si>
    <t>REPUBLIC SERVICES INC.</t>
  </si>
  <si>
    <t>199-51-6259.10-936-699073</t>
  </si>
  <si>
    <t>RHM CHEMICAL CO</t>
  </si>
  <si>
    <t>AUG 2015 SERVICE</t>
  </si>
  <si>
    <t>RIGATONI'S</t>
  </si>
  <si>
    <t>199-41-6498.10-701-699092</t>
  </si>
  <si>
    <t>PRINCIPALS MEETING 9/1/15</t>
  </si>
  <si>
    <t xml:space="preserve">SHI GOVERNMENT </t>
  </si>
  <si>
    <t xml:space="preserve">OFFICE PRO MICROSOFT </t>
  </si>
  <si>
    <t>SOUTHERN TIRE MART, LLC</t>
  </si>
  <si>
    <t>TM114 NEW TIRES</t>
  </si>
  <si>
    <t>BUS 19 FLAT REPAIR</t>
  </si>
  <si>
    <t>BUS 29 NEW TIRE</t>
  </si>
  <si>
    <t>TM111 NEW TIRE</t>
  </si>
  <si>
    <t>TM113 FLAT REPAIR</t>
  </si>
  <si>
    <t>STAPLES ADVANTAGE</t>
  </si>
  <si>
    <t>SELF INKING STAMP</t>
  </si>
  <si>
    <t>FILING CABINET</t>
  </si>
  <si>
    <t>TDINDUSTRIES, INC</t>
  </si>
  <si>
    <t>CHILLER STARTER PANEL</t>
  </si>
  <si>
    <t xml:space="preserve">CHILLER 3 OIL FILTER &amp; O </t>
  </si>
  <si>
    <t>TEXAS EDUCATION NEWS</t>
  </si>
  <si>
    <t>199-23-6399.10-002-699002</t>
  </si>
  <si>
    <t>ONE YEAR RENEWAL</t>
  </si>
  <si>
    <t xml:space="preserve">TOSHIBA BUSINESS </t>
  </si>
  <si>
    <t>8/2/15-9/1/15 EXCESS</t>
  </si>
  <si>
    <t>8/2/15-9/1/15</t>
  </si>
  <si>
    <t>199-11-6264.00-101-611004</t>
  </si>
  <si>
    <t>199-11-6264.00-104-611005</t>
  </si>
  <si>
    <t>199-11-6264.10-001-611001</t>
  </si>
  <si>
    <t>199-41-6264.10-933-699085</t>
  </si>
  <si>
    <t>PRINT SHOP</t>
  </si>
  <si>
    <t>AGENCY 405</t>
  </si>
  <si>
    <t>8/1/15-8/31/15</t>
  </si>
  <si>
    <t>AIRGAS SOUTHWEST</t>
  </si>
  <si>
    <t>AMERICAN BANK CENTER</t>
  </si>
  <si>
    <t>GRADUATION 5/22/15</t>
  </si>
  <si>
    <t>ANDY'S AUTO &amp; BUS AIR INC</t>
  </si>
  <si>
    <t xml:space="preserve">BUS 31 A/C NEW VALVE &amp; </t>
  </si>
  <si>
    <t>BUS 42 A/C COILS</t>
  </si>
  <si>
    <t xml:space="preserve">BUS 23 A/C NEW RELAY &amp; </t>
  </si>
  <si>
    <t xml:space="preserve">BUS 10 A/C NEW BLOWER </t>
  </si>
  <si>
    <t xml:space="preserve">BUS 32 A/C NEW </t>
  </si>
  <si>
    <t xml:space="preserve">BUS 11 A/C NEW BLOWER </t>
  </si>
  <si>
    <t xml:space="preserve">BUS 44 A/C NEW </t>
  </si>
  <si>
    <t>ARMSTRONG, VIVIAN</t>
  </si>
  <si>
    <t>199-11-6412.NP-001-622122</t>
  </si>
  <si>
    <t xml:space="preserve">PHARMACY @ KINGSVILLE </t>
  </si>
  <si>
    <t xml:space="preserve">BARBARA'S FLOWERS &amp; </t>
  </si>
  <si>
    <t>NINA BOLSTER</t>
  </si>
  <si>
    <t>199-23-6411.10-001-699101</t>
  </si>
  <si>
    <t xml:space="preserve">COASTAL BEND DISTRICT </t>
  </si>
  <si>
    <t>199-11-6411.V8-001-622022</t>
  </si>
  <si>
    <t xml:space="preserve">LDRSHIP CAMP @ ALICE </t>
  </si>
  <si>
    <t xml:space="preserve">CORPUS CHRISTI </t>
  </si>
  <si>
    <t>BUS 4 NEW BRAKE CHAMBER</t>
  </si>
  <si>
    <t>BUS 33 REPLACED STARTER</t>
  </si>
  <si>
    <t>DECA</t>
  </si>
  <si>
    <t>199-13-6411.VL-001-622022</t>
  </si>
  <si>
    <t>ADVISOR @ HOUSTON OCT 1-</t>
  </si>
  <si>
    <t xml:space="preserve">EASTSIDE HIGH SCHOOL </t>
  </si>
  <si>
    <t>NJROTC RIFLE POSTAL @ TM</t>
  </si>
  <si>
    <t xml:space="preserve">EINSTRUCTION </t>
  </si>
  <si>
    <t>199-11-6399.10-001-611001</t>
  </si>
  <si>
    <t xml:space="preserve">MOBI BOARD REPLACEMENT </t>
  </si>
  <si>
    <t>GOPHER SPORT</t>
  </si>
  <si>
    <t>199-11-6399.CE-001-611001</t>
  </si>
  <si>
    <t xml:space="preserve">ELEVAIR DELUXE </t>
  </si>
  <si>
    <t xml:space="preserve">INSIGHT PUBLIC SECTOR, </t>
  </si>
  <si>
    <t>HARD DRIVE 300GB</t>
  </si>
  <si>
    <t xml:space="preserve">AGENT BRANDED EQUIP &amp; </t>
  </si>
  <si>
    <t>1HR MAINT</t>
  </si>
  <si>
    <t>199-53-6639.02-880-699C80</t>
  </si>
  <si>
    <t>TECHNOLOGY</t>
  </si>
  <si>
    <t xml:space="preserve">SMARTNET EXTENDED </t>
  </si>
  <si>
    <t xml:space="preserve">STORAGE PRODUCTS &amp; </t>
  </si>
  <si>
    <t>199-53-6639.03-880-699C80</t>
  </si>
  <si>
    <t>SOFTWARE SUPPORT</t>
  </si>
  <si>
    <t xml:space="preserve">INTERQUEST DETECTION </t>
  </si>
  <si>
    <t>DETECTION SERVICE 8/17/15</t>
  </si>
  <si>
    <t xml:space="preserve">KOETTER FIRE PROTECTION </t>
  </si>
  <si>
    <t>199-51-6249.M6-936-699081</t>
  </si>
  <si>
    <t>ACC ALARM 9/1/15-8/31/16</t>
  </si>
  <si>
    <t xml:space="preserve">KONICA MINOLTA BUSINESS </t>
  </si>
  <si>
    <t>199-00-1291.05-000-600000</t>
  </si>
  <si>
    <t>9/1/15-9/30/15 MAINT CLICKS</t>
  </si>
  <si>
    <t>9/1/15-9/30/15 DCA RECORD</t>
  </si>
  <si>
    <t>199-41-6245.10-933-699085</t>
  </si>
  <si>
    <t>MOVIE LICENSING USA</t>
  </si>
  <si>
    <t>199-12-6249.7U-001-611001</t>
  </si>
  <si>
    <t>9/10/15-9/9/16</t>
  </si>
  <si>
    <t>199-12-6398.7U-041-611003</t>
  </si>
  <si>
    <t>10/1/15-9/30/16</t>
  </si>
  <si>
    <t>199-36-6269.7B-001-699032</t>
  </si>
  <si>
    <t xml:space="preserve">BAND @ V/FB ORG GROVE </t>
  </si>
  <si>
    <t>PURCHASE POWER</t>
  </si>
  <si>
    <t>199-00-1415.01-000-600000</t>
  </si>
  <si>
    <t>9/1/15 POSTAGE REFILL</t>
  </si>
  <si>
    <t>BUS 25 &amp; REI AUDIO</t>
  </si>
  <si>
    <t>1YR SUBSCRIPTION</t>
  </si>
  <si>
    <t>PROPOSED TAX 8/13/15</t>
  </si>
  <si>
    <t>RIVERA, GUADALUPE JR.</t>
  </si>
  <si>
    <t>199-36-6411.7E-001-699031</t>
  </si>
  <si>
    <t>TMEA MEMBERSHIP</t>
  </si>
  <si>
    <t xml:space="preserve">ROB HOLLADAY </t>
  </si>
  <si>
    <t xml:space="preserve">ANI BULLYING ASSEMBLIES </t>
  </si>
  <si>
    <t xml:space="preserve">SANDFORD OIL SOUTH </t>
  </si>
  <si>
    <t>199-34-6311.10-937-699082</t>
  </si>
  <si>
    <t>2200 GALLONS UNLEADED</t>
  </si>
  <si>
    <t>5000 GALLONS DIESEL</t>
  </si>
  <si>
    <t>SCHOOL NURSE SUPPLY</t>
  </si>
  <si>
    <t>199-33-6399.8F-101-699004</t>
  </si>
  <si>
    <t>NURSE SUPPLIES</t>
  </si>
  <si>
    <t>TCEA</t>
  </si>
  <si>
    <t>199-53-6411.10-880-699080</t>
  </si>
  <si>
    <t>TCEA @ AUSTIN FEB 2-5</t>
  </si>
  <si>
    <t>199-13-6411.NL-001-622022</t>
  </si>
  <si>
    <t>CTE @ AUSTIN OCT 4-7</t>
  </si>
  <si>
    <t xml:space="preserve">TEXAS ACADEMIC </t>
  </si>
  <si>
    <t>199-36-6495.H1-001-631034</t>
  </si>
  <si>
    <t>2015-2016 REGISTRATION</t>
  </si>
  <si>
    <t>TIME WARNER CABLE</t>
  </si>
  <si>
    <t>199-51-6256.12-880-699080</t>
  </si>
  <si>
    <t>ADMIN CABLE 9/17/15-10/16/15</t>
  </si>
  <si>
    <t>199-51-6256.13-880-699080</t>
  </si>
  <si>
    <t>INTERNET 9/17/15-10/16/15</t>
  </si>
  <si>
    <t>199-51-6256.14-880-699080</t>
  </si>
  <si>
    <t>BROADBANDS 9/17/15-</t>
  </si>
  <si>
    <t>TMEA REGION 14</t>
  </si>
  <si>
    <t>199-36-6412.7E-001-699031</t>
  </si>
  <si>
    <t xml:space="preserve">DISTRICT AUDITION @ TM </t>
  </si>
  <si>
    <t xml:space="preserve">TMEA REGION XIV BAND </t>
  </si>
  <si>
    <t xml:space="preserve">JAZZ AUDITIONS @ KING </t>
  </si>
  <si>
    <t>TURNITIN, LLC</t>
  </si>
  <si>
    <t>199-11-6399.00-001-611001</t>
  </si>
  <si>
    <t>9/16/15-9/15/16 EDU LICENSE</t>
  </si>
  <si>
    <t>199-41-6399.10-726-699091</t>
  </si>
  <si>
    <t>HAGNING LEGAL FOLDERS</t>
  </si>
  <si>
    <t>199-41-6399.10-730-699095</t>
  </si>
  <si>
    <t>SHARPIES</t>
  </si>
  <si>
    <t xml:space="preserve">DIAGNOSTIC &amp; MILEAGE </t>
  </si>
  <si>
    <t>B &amp; H PHOTO VIDEO</t>
  </si>
  <si>
    <t>199-11-6399.H4-001-611001</t>
  </si>
  <si>
    <t>SANDISH ULTRA SD CARDS</t>
  </si>
  <si>
    <t>BAIN, CAROLYN</t>
  </si>
  <si>
    <t>199-11-6299.7E-041-611035</t>
  </si>
  <si>
    <t xml:space="preserve">HEAR AMERICA SINGING </t>
  </si>
  <si>
    <t>199-00-1416.00-000-600000</t>
  </si>
  <si>
    <t>CLINIC @ AUSTIN JUL 14-17</t>
  </si>
  <si>
    <t>KEYS, LEVEL &amp; TAPE</t>
  </si>
  <si>
    <t>PULLEY</t>
  </si>
  <si>
    <t>RELAY</t>
  </si>
  <si>
    <t>STEELCRAFT DOOR</t>
  </si>
  <si>
    <t>MOWER PARTS</t>
  </si>
  <si>
    <t>TIFWAY</t>
  </si>
  <si>
    <t>BOX FANS</t>
  </si>
  <si>
    <t>LAWN ROLLER DEPOSIT</t>
  </si>
  <si>
    <t>OUTLET, EXT CORD &amp; CONN</t>
  </si>
  <si>
    <t>IPAID AIR CASES</t>
  </si>
  <si>
    <t>199-23-6649.1T-001-699083</t>
  </si>
  <si>
    <t xml:space="preserve">MAGPUL INDUSTRIES IPAD </t>
  </si>
  <si>
    <t xml:space="preserve">IPAD AIR SCREEN </t>
  </si>
  <si>
    <t>EURYDICE SEPT 24-26</t>
  </si>
  <si>
    <t>199-51-6319.M2-936-699081</t>
  </si>
  <si>
    <t>RAID &amp; WASP KILLER</t>
  </si>
  <si>
    <t>LAWN ROLLER</t>
  </si>
  <si>
    <t>CYC OIL &amp; ACCESSORIES</t>
  </si>
  <si>
    <t>VAC CLEANSTREAM CART</t>
  </si>
  <si>
    <t xml:space="preserve">A/C, BATTERY, LEXAN SHEET, </t>
  </si>
  <si>
    <t>199-51-6399.TR-936-699082</t>
  </si>
  <si>
    <t>REGISTRATION</t>
  </si>
  <si>
    <t xml:space="preserve">BARRACUDA NETWORKS, </t>
  </si>
  <si>
    <t>199-11-6249.57-001-611080</t>
  </si>
  <si>
    <t>8/23/15-9/22/15 STORAGE</t>
  </si>
  <si>
    <t>9/23/15-10/22/15 STORAGE</t>
  </si>
  <si>
    <t>199-11-6249.57-041-611080</t>
  </si>
  <si>
    <t>199-11-6249.57-101-611080</t>
  </si>
  <si>
    <t>199-11-6249.57-104-611080</t>
  </si>
  <si>
    <t xml:space="preserve">BOUND TO STAY BOUND </t>
  </si>
  <si>
    <t>199-12-6329.7U-104-611005</t>
  </si>
  <si>
    <t>LIBRARY BOOKS</t>
  </si>
  <si>
    <t>BUECHLER &amp; ASSOCIATES P.</t>
  </si>
  <si>
    <t>7/25/15 GENERAL</t>
  </si>
  <si>
    <t xml:space="preserve">CLAY EWELL EDUCATIONAL </t>
  </si>
  <si>
    <t>199-11-6411.V8-001-622122</t>
  </si>
  <si>
    <t>AREA X @ MATHIS 10/5/15</t>
  </si>
  <si>
    <t>BUS 33 VARIOUS REPAIRS</t>
  </si>
  <si>
    <t>BUS 21 HOOD ASSY</t>
  </si>
  <si>
    <t>DEMCO, INC.</t>
  </si>
  <si>
    <t>199-11-6399.05-104-611005</t>
  </si>
  <si>
    <t>BACK BOOK POCKET</t>
  </si>
  <si>
    <t>199-36-6412.7B-001-699232</t>
  </si>
  <si>
    <t xml:space="preserve">CHEER/BAND @ V/FB VTORIA  </t>
  </si>
  <si>
    <t>DR. SUE NELSON</t>
  </si>
  <si>
    <t>199-41-6411.10-701-699092</t>
  </si>
  <si>
    <t xml:space="preserve">BACK TO SCHOOL @ ESC </t>
  </si>
  <si>
    <t xml:space="preserve">FERGUSON ENTERPRISES, </t>
  </si>
  <si>
    <t>CIRCULATING PUMPS</t>
  </si>
  <si>
    <t>HEXCO, INC - ACADEMIC</t>
  </si>
  <si>
    <t>199-36-6499.45-104-699005</t>
  </si>
  <si>
    <t xml:space="preserve">UIL WRITING &amp; SOCIAL </t>
  </si>
  <si>
    <t>HILLJE MUSIC CENTERS, LLC</t>
  </si>
  <si>
    <t>199-11-6249.7B-001-611032</t>
  </si>
  <si>
    <t>YAMAHA EUPHONIUM 376083</t>
  </si>
  <si>
    <t>199-11-6399.7B-001-611032</t>
  </si>
  <si>
    <t xml:space="preserve">STUDEIS FERLING &amp; </t>
  </si>
  <si>
    <t>INSTRUMENTS SUPPLIES</t>
  </si>
  <si>
    <t>REEDS &amp; FLIP FOLDERS</t>
  </si>
  <si>
    <t>HILTON AUSTIN AIRPORT</t>
  </si>
  <si>
    <t>JUNIOR LIBRARY GUILD</t>
  </si>
  <si>
    <t>199-12-6328.7U-001-611001</t>
  </si>
  <si>
    <t>YEARLY BOOKS</t>
  </si>
  <si>
    <t>199-12-6328.7U-104-611005</t>
  </si>
  <si>
    <t>199-11-6399.7E-001-611031</t>
  </si>
  <si>
    <t>CHOIR MUSIC</t>
  </si>
  <si>
    <t>MARCO PRODUCTS, INC.</t>
  </si>
  <si>
    <t>199-31-6399.7F-104-699005</t>
  </si>
  <si>
    <t>BOOKS</t>
  </si>
  <si>
    <t>9/14/15-9/18/15 TRAFFIC CTRL</t>
  </si>
  <si>
    <t xml:space="preserve">MILLER &amp; MILLER </t>
  </si>
  <si>
    <t>UNIT LIQUID LINE DRIER</t>
  </si>
  <si>
    <t>MORPHOTRUST USA LLC</t>
  </si>
  <si>
    <t>199-11-6399.AP-001-631034</t>
  </si>
  <si>
    <t>AP ENGLISH SUPPLIES</t>
  </si>
  <si>
    <t>RANDOM SELECTION TEST</t>
  </si>
  <si>
    <t>PRO-ED</t>
  </si>
  <si>
    <t>199-11-6339.45-101-611004</t>
  </si>
  <si>
    <t xml:space="preserve">EXAM REC &amp; ANSWER </t>
  </si>
  <si>
    <t xml:space="preserve">PROFESSIONAL TURF </t>
  </si>
  <si>
    <t>TINE SOLID 12MM &amp; ASM SIDE</t>
  </si>
  <si>
    <t xml:space="preserve">RENAISSANCE LEARNING, </t>
  </si>
  <si>
    <t>199-11-6249.01-104-611005</t>
  </si>
  <si>
    <t>10/1/15-9/30/16 AR &amp; STAR</t>
  </si>
  <si>
    <t>199-12-6299.7U-101-611004</t>
  </si>
  <si>
    <t>ROKOHL, BRUCE</t>
  </si>
  <si>
    <t>SCHOOL DUDE.COM</t>
  </si>
  <si>
    <t>199-51-6396.10-936-699081</t>
  </si>
  <si>
    <t>8/31/15-8/31/16 MAINT PRO</t>
  </si>
  <si>
    <t>SIGN XPRESS</t>
  </si>
  <si>
    <t>TRUCK DECALS &amp; NUMBERS</t>
  </si>
  <si>
    <t xml:space="preserve">3 SHELF MAHOGANY BOOK </t>
  </si>
  <si>
    <t xml:space="preserve">PC SPEAKERS &amp; FILE </t>
  </si>
  <si>
    <t>199-11-6399.N1-001-611001</t>
  </si>
  <si>
    <t>RED GEL PENS</t>
  </si>
  <si>
    <t>199-36-6399.8T-001-699001</t>
  </si>
  <si>
    <t>RAINBOW KRAFT ROLLS</t>
  </si>
  <si>
    <t xml:space="preserve">RAINBOW KRAFT ROLLS &amp; </t>
  </si>
  <si>
    <t>ROLLING ORGANIZER CART</t>
  </si>
  <si>
    <t>199-23-6495.10-041-699003</t>
  </si>
  <si>
    <t>9/21/15-9/23/15 TRAFFIC CTRL</t>
  </si>
  <si>
    <t>9/15/15-9/16/15 TRAFFIC CTRL</t>
  </si>
  <si>
    <t>199-23-6498.10-101-699004</t>
  </si>
  <si>
    <t>TRUCKERS EQUIPMENT INC</t>
  </si>
  <si>
    <t>199-51-6249.WF-936-699082</t>
  </si>
  <si>
    <t xml:space="preserve">TRUCK SUPPLIES &amp; </t>
  </si>
  <si>
    <t>UNIVAR USA INC</t>
  </si>
  <si>
    <t>TALSTAR PRO</t>
  </si>
  <si>
    <t>199-11-6399.00-104-623023</t>
  </si>
  <si>
    <t>CLASSROOM SUPPLIES</t>
  </si>
  <si>
    <t>LIFE SKILLS SUPPLIES</t>
  </si>
  <si>
    <t>CLASS INCENTIVES</t>
  </si>
  <si>
    <t>199-23-6498.99-041-699003</t>
  </si>
  <si>
    <t>MEETING SUPPLIES</t>
  </si>
  <si>
    <t xml:space="preserve">WILSON LANGUAGE </t>
  </si>
  <si>
    <t>STUDENT WORKBOOKS</t>
  </si>
  <si>
    <t xml:space="preserve">TEXAS ASSOCIATION FOR </t>
  </si>
  <si>
    <t>MEMBERSHIPS</t>
  </si>
  <si>
    <t xml:space="preserve">INTERNATIONAL </t>
  </si>
  <si>
    <t>MEMBERSHIP</t>
  </si>
  <si>
    <t>TCA</t>
  </si>
  <si>
    <t>199-31-6411.00-104-699094</t>
  </si>
  <si>
    <t xml:space="preserve">PROFNL GROWTH @ CC NOV </t>
  </si>
  <si>
    <t>HOLIDAY INN EXPRESS</t>
  </si>
  <si>
    <t xml:space="preserve">TRUCANCY @ PEARLAND </t>
  </si>
  <si>
    <t>ROBSTOWN ISD</t>
  </si>
  <si>
    <t xml:space="preserve">MARCHING @ ROBSTOWN </t>
  </si>
  <si>
    <t xml:space="preserve">TEXAS MUSIC EDUCATORS </t>
  </si>
  <si>
    <t>199-36-6495.7E-041-699035</t>
  </si>
  <si>
    <t>7/1/15-6/30/16 MEMBERSHIP</t>
  </si>
  <si>
    <t xml:space="preserve">REGION @ FLOUR BLUFF </t>
  </si>
  <si>
    <t xml:space="preserve">REGION @ ROCKPORT </t>
  </si>
  <si>
    <t>199-31-6219.00-875-623023</t>
  </si>
  <si>
    <t>COUNSELING 9/4/15</t>
  </si>
  <si>
    <t>SPECIAL EDUCATION</t>
  </si>
  <si>
    <t>COUNSELING 9/18/15</t>
  </si>
  <si>
    <t>COUNSELING 9/25/15</t>
  </si>
  <si>
    <t>DIAGNOSTIC 8/28/15</t>
  </si>
  <si>
    <t>APOGEE COMPONENTS, INC.</t>
  </si>
  <si>
    <t>199-11-6399.VR-001-622022</t>
  </si>
  <si>
    <t>AEROSCIENCE SUPPLIES</t>
  </si>
  <si>
    <t>IPAD AIR 2 WIFI CELL</t>
  </si>
  <si>
    <t>199-23-6649.1T-002-699083</t>
  </si>
  <si>
    <t>199-23-6649.1T-041-699083</t>
  </si>
  <si>
    <t>199-23-6649.1T-101-699083</t>
  </si>
  <si>
    <t>199-23-6649.1T-104-699083</t>
  </si>
  <si>
    <t>199-41-6649.1T-709-699083</t>
  </si>
  <si>
    <t>PEIMS COORDINATOR</t>
  </si>
  <si>
    <t>HOSA @ MISSION 10/17/15</t>
  </si>
  <si>
    <t>ASCD</t>
  </si>
  <si>
    <t>10/1/15-9/30/16 M CANALES</t>
  </si>
  <si>
    <t>10/1/15-9/30/16 G BIRDWELL</t>
  </si>
  <si>
    <t>10/1/15-9/30/16 B NORQUIS</t>
  </si>
  <si>
    <t>10/1/15-9/30/16 A BARTOSH</t>
  </si>
  <si>
    <t>199-23-6495.10-104-699005</t>
  </si>
  <si>
    <t>11/1/15-10/31/16 A MORALES</t>
  </si>
  <si>
    <t>11/1/15-10/31/16 G LERMA</t>
  </si>
  <si>
    <t>199-51-6256.10-880-699080</t>
  </si>
  <si>
    <t>DISTRICT 9/15/15</t>
  </si>
  <si>
    <t>199-51-6256.11-880-699080</t>
  </si>
  <si>
    <t>AUSTIN MARRIOTT NORTH</t>
  </si>
  <si>
    <t xml:space="preserve">ACCTNG @ ROUND ROCK </t>
  </si>
  <si>
    <t>F/JV/V FB @ ALICE 9/25/15</t>
  </si>
  <si>
    <t xml:space="preserve">CALALLEN MEDICAL &amp; </t>
  </si>
  <si>
    <t>199-11-6399.NM-001-622022</t>
  </si>
  <si>
    <t>CNA SUPPLIES</t>
  </si>
  <si>
    <t>199-11-6399.04-104-611005</t>
  </si>
  <si>
    <t>EPSON REPLACEMENT LAMP</t>
  </si>
  <si>
    <t>199-11-6399.10-001-611080</t>
  </si>
  <si>
    <t>CRUCIAL 4GB</t>
  </si>
  <si>
    <t>199-11-6399.10-101-611080</t>
  </si>
  <si>
    <t>CENGAGE LEARNING</t>
  </si>
  <si>
    <t>199-11-6399.NL-001-622022</t>
  </si>
  <si>
    <t>MANUAL, CD &amp; KIT</t>
  </si>
  <si>
    <t>199-11-6399.NP-001-622022</t>
  </si>
  <si>
    <t>199-51-6255.10-001-699073</t>
  </si>
  <si>
    <t>HS WATER 8/19/15-9/18/15</t>
  </si>
  <si>
    <t>199-51-6255.10-002-699073</t>
  </si>
  <si>
    <t>ACC WATER 8/17/15-9/17/15</t>
  </si>
  <si>
    <t>199-51-6255.10-041-699073</t>
  </si>
  <si>
    <t>MS WATER 8/17/15-9/17/15</t>
  </si>
  <si>
    <t>199-51-6255.10-101-699073</t>
  </si>
  <si>
    <t>PRIMRY WATER 8/17/15-</t>
  </si>
  <si>
    <t>199-51-6255.10-104-699073</t>
  </si>
  <si>
    <t>INTER WATER 8/17/15-9/17/15</t>
  </si>
  <si>
    <t>199-51-6255.10-935-699073</t>
  </si>
  <si>
    <t>ADMIN WATER 8/17/15-9/17/15</t>
  </si>
  <si>
    <t>ADMINISTRATION BUILDING</t>
  </si>
  <si>
    <t>199-51-6255.10-936-699073</t>
  </si>
  <si>
    <t>MAINT WATER 8/17/15-9/17/15</t>
  </si>
  <si>
    <t>199-51-6255.3F-877-699073</t>
  </si>
  <si>
    <t>FB FLD WATER 8/19/15-9/18/15</t>
  </si>
  <si>
    <t>ATHLETIC FIELDS</t>
  </si>
  <si>
    <t>199-51-6258.10-001-699073</t>
  </si>
  <si>
    <t>HS GAS 8/19/15-9/18/15</t>
  </si>
  <si>
    <t>199-51-6258.10-041-699073</t>
  </si>
  <si>
    <t>MS GAS 8/17/15-9/17/15</t>
  </si>
  <si>
    <t>199-51-6258.10-101-699073</t>
  </si>
  <si>
    <t>PRIMRY GAS 8/17/15-9/17/15</t>
  </si>
  <si>
    <t>199-51-6258.10-104-699073</t>
  </si>
  <si>
    <t>INTER GAS 8/17/15-9/17/15</t>
  </si>
  <si>
    <t xml:space="preserve">COASTAL OFFICE </t>
  </si>
  <si>
    <t>199-23-6399.8K-101-699004</t>
  </si>
  <si>
    <t>MID BACK CHAIRS</t>
  </si>
  <si>
    <t>199-31-6399.7F-101-699004</t>
  </si>
  <si>
    <t>COLWELL, ELAINE</t>
  </si>
  <si>
    <t>CORPUS CHRISTI BUILDER'S</t>
  </si>
  <si>
    <t>DOGGING KEYS</t>
  </si>
  <si>
    <t>BUS 40 NEW ENGINE</t>
  </si>
  <si>
    <t xml:space="preserve">BUS 32 RECALIBRATED </t>
  </si>
  <si>
    <t xml:space="preserve">BUS 20 NEW FUEL FILTER/O </t>
  </si>
  <si>
    <t>BUS 31 NEW ECM FUSE</t>
  </si>
  <si>
    <t xml:space="preserve">BUS 33 VALVES &amp; PANEL </t>
  </si>
  <si>
    <t>BUS 40 A/C LINE</t>
  </si>
  <si>
    <t xml:space="preserve">COLLEGE EXPO @ ABC </t>
  </si>
  <si>
    <t>199-11-6399.45-041-611003</t>
  </si>
  <si>
    <t>STAAR RDY MATH &amp; RDG</t>
  </si>
  <si>
    <t>199-11-6399.G2-041-611003</t>
  </si>
  <si>
    <t xml:space="preserve">CUSTOM FILTRATION &amp; </t>
  </si>
  <si>
    <t>199-51-6219.M7-936-699081</t>
  </si>
  <si>
    <t>GAS TEST P/TEXAS RR</t>
  </si>
  <si>
    <t>199-51-6249.MC-001-699081</t>
  </si>
  <si>
    <t>FIELDHOUSE WATER HEATER</t>
  </si>
  <si>
    <t>199-11-6649.00-101-611Z80</t>
  </si>
  <si>
    <t>OPTIPLEX 7020 MT BTX</t>
  </si>
  <si>
    <t>199-13-6411.11-041-611003</t>
  </si>
  <si>
    <t>JOYCE POLANCO</t>
  </si>
  <si>
    <t>BRUCE ROKOHL</t>
  </si>
  <si>
    <t>KOSTA MARAVELIAS</t>
  </si>
  <si>
    <t xml:space="preserve">ERNEST R. GARZA &amp; </t>
  </si>
  <si>
    <t>199-41-6212.10-726-699091</t>
  </si>
  <si>
    <t>FISCAL YEAR AUDIT 8/31/15</t>
  </si>
  <si>
    <t>MARQUEE LIGHTS</t>
  </si>
  <si>
    <t xml:space="preserve">MARQUEE LIGHTS </t>
  </si>
  <si>
    <t>BALLASTS</t>
  </si>
  <si>
    <t>MAINT SUPPLIES</t>
  </si>
  <si>
    <t>HPS 250W</t>
  </si>
  <si>
    <t>MC &amp; ALUM CABLES</t>
  </si>
  <si>
    <t>MED BIPINS</t>
  </si>
  <si>
    <t>9/25/15-10/2/15 TRAFFIC CTRL</t>
  </si>
  <si>
    <t>199-11-6399.11-001-611001</t>
  </si>
  <si>
    <t>PROJECTOR MOUNT</t>
  </si>
  <si>
    <t>GULF COAST PAPER CO INC</t>
  </si>
  <si>
    <t>199-00-1311.00-000-600000</t>
  </si>
  <si>
    <t>LABELS &amp; BINDERS</t>
  </si>
  <si>
    <t>GULF TRACTOR COMPANY</t>
  </si>
  <si>
    <t>199-51-6649.M2-936-699081</t>
  </si>
  <si>
    <t>199-11-6399.74-041-611003</t>
  </si>
  <si>
    <t>LIVER CUPS</t>
  </si>
  <si>
    <t>199-11-6399.VH-002-622022</t>
  </si>
  <si>
    <t>HFL SUPPLIES</t>
  </si>
  <si>
    <t>199-11-6499.11-001-611001</t>
  </si>
  <si>
    <t>ATTENDANCE GIFT CARDS</t>
  </si>
  <si>
    <t>SUB ORIENTATION 9/9/15</t>
  </si>
  <si>
    <t>199-53-6498.10-880-699080</t>
  </si>
  <si>
    <t>TENOR SAXOPHONE 112820</t>
  </si>
  <si>
    <t xml:space="preserve">GEMEINHARDT PICCOLO </t>
  </si>
  <si>
    <t>199-11-6399.7K-001-611001</t>
  </si>
  <si>
    <t>60 PAN</t>
  </si>
  <si>
    <t>HOSA, TA</t>
  </si>
  <si>
    <t>199-36-6411.NP-001-622022</t>
  </si>
  <si>
    <t>199-36-6412.NP-001-622022</t>
  </si>
  <si>
    <t xml:space="preserve">HOUGHTON MIFFLIN </t>
  </si>
  <si>
    <t>WJIII DBR</t>
  </si>
  <si>
    <t>HOUSE OF RIBBONS</t>
  </si>
  <si>
    <t>199-11-6399.00-101-611004</t>
  </si>
  <si>
    <t xml:space="preserve">CUSTOM RIBBONS &amp; </t>
  </si>
  <si>
    <t>JONES &amp; COOK STATIONERS</t>
  </si>
  <si>
    <t>MANILA FOLDERS</t>
  </si>
  <si>
    <t>LEGAL DIGEST</t>
  </si>
  <si>
    <t>199-53-6329.50-880-611080</t>
  </si>
  <si>
    <t>7/1/15-3/1/16 POSTSCRIPTS</t>
  </si>
  <si>
    <t xml:space="preserve">LINCOLN ELECTRIC </t>
  </si>
  <si>
    <t>199-11-6399.V8-001-622022</t>
  </si>
  <si>
    <t>1/8X14 FLEETWELD 5P</t>
  </si>
  <si>
    <t xml:space="preserve">LONE STAR COUNTRY </t>
  </si>
  <si>
    <t xml:space="preserve">DEWORMER &amp; PROBIOS </t>
  </si>
  <si>
    <t xml:space="preserve">DOORBELL, SENSOR &amp; </t>
  </si>
  <si>
    <t>LAW DAWG</t>
  </si>
  <si>
    <t>199-36-6399.09-001-699001</t>
  </si>
  <si>
    <t>GUNS OF AUGUST</t>
  </si>
  <si>
    <t>VARIOUS NOVELS</t>
  </si>
  <si>
    <t>MARK'S PLUMBING PARTS</t>
  </si>
  <si>
    <t xml:space="preserve">SEAL, GASKET &amp; UPPER </t>
  </si>
  <si>
    <t>9/21/15-9/25/15 TRAFFIC CTRL</t>
  </si>
  <si>
    <t>9/28/15-10/2/15 TRAFFIC CTRL</t>
  </si>
  <si>
    <t>MARTINEZ, ROSA</t>
  </si>
  <si>
    <t>199-33-6411.00-875-623123</t>
  </si>
  <si>
    <t>MILEAGE 8/24/15-9/25/15</t>
  </si>
  <si>
    <t>199-11-6399.V8-002-622022</t>
  </si>
  <si>
    <t xml:space="preserve">ULTRA KIBBLE &amp; </t>
  </si>
  <si>
    <t>WIPES &amp; MELLOW CREME</t>
  </si>
  <si>
    <t>MEDICAID CLAIM SOLUTIONS</t>
  </si>
  <si>
    <t>7/2/15 MEDICAID CLAIMS</t>
  </si>
  <si>
    <t>MOSTELLA, PAUL</t>
  </si>
  <si>
    <t xml:space="preserve">NUECES ELEVATOR </t>
  </si>
  <si>
    <t>199-51-6249.M1-936-699081</t>
  </si>
  <si>
    <t>SEPT 2015 MAINT</t>
  </si>
  <si>
    <t>PAD EASEL</t>
  </si>
  <si>
    <t>O'REILLY AUTO PARTS</t>
  </si>
  <si>
    <t>199-34-6399.11-937-699082</t>
  </si>
  <si>
    <t>BACKUP ALARM</t>
  </si>
  <si>
    <t>PAIZ, MICHELLE</t>
  </si>
  <si>
    <t>MILEAGE 7/20/15-8/21/15</t>
  </si>
  <si>
    <t>PEERLESS CLEANERS</t>
  </si>
  <si>
    <t>199-11-6249.8M-001-611033</t>
  </si>
  <si>
    <t>NJROTC UNIFORMS</t>
  </si>
  <si>
    <t>ONE YEAR SUBSCRIPTION</t>
  </si>
  <si>
    <t>199-33-6399.8F-001-699001</t>
  </si>
  <si>
    <t>STARLITE PPRMNT</t>
  </si>
  <si>
    <t>NJROTC @ OMNI 9/25/15</t>
  </si>
  <si>
    <t>CALK, DAVID</t>
  </si>
  <si>
    <t>LABELS &amp; PPR FSTNR</t>
  </si>
  <si>
    <t>XPR 8300 REPEATER</t>
  </si>
  <si>
    <t>REALLY GOOD STUFF</t>
  </si>
  <si>
    <t>WRITE AGAIN DRY ERASE</t>
  </si>
  <si>
    <t>199-41-6329.10-720-699091</t>
  </si>
  <si>
    <t>CENTRAL ADMINISTRATION</t>
  </si>
  <si>
    <t>CHOIR SUPPLIES</t>
  </si>
  <si>
    <t xml:space="preserve">SCHOLASTIC TESTING </t>
  </si>
  <si>
    <t>199-11-6339.GT-104-621021</t>
  </si>
  <si>
    <t>TEST BOOKLETS</t>
  </si>
  <si>
    <t xml:space="preserve">SCHOOL ADMINISTRATORS </t>
  </si>
  <si>
    <t xml:space="preserve">TEXAS LEGAL PDF </t>
  </si>
  <si>
    <t>199-23-6399.8K-104-699005</t>
  </si>
  <si>
    <t xml:space="preserve">WORDS FOR SCHOOL </t>
  </si>
  <si>
    <t>SCHOOL SPECIALTY INC.</t>
  </si>
  <si>
    <t>199-11-6399.07-101-611004</t>
  </si>
  <si>
    <t>BUS 14 NEW TIRES</t>
  </si>
  <si>
    <t>TM120 NEW TIRES</t>
  </si>
  <si>
    <t>MOWER TIRE</t>
  </si>
  <si>
    <t>TM118 NEW TIRES</t>
  </si>
  <si>
    <t xml:space="preserve">BASE VERSION POLICY </t>
  </si>
  <si>
    <t>TEPSA</t>
  </si>
  <si>
    <t>199-23-6495.10-101-699004</t>
  </si>
  <si>
    <t>9/1/15-8/31/16 L DAVILA</t>
  </si>
  <si>
    <t>9/1/15-8/31/16 D CALK</t>
  </si>
  <si>
    <t>9/1/15-8/31/16 C TREVINO</t>
  </si>
  <si>
    <t>9/1/15-8/31/16 R CHAPA</t>
  </si>
  <si>
    <t>TM114 FILL UP</t>
  </si>
  <si>
    <t>ANIMAL BUYING</t>
  </si>
  <si>
    <t>ANIMAL BUYING @ SA 9/25/15</t>
  </si>
  <si>
    <t>BAND @ V/FB ALICE 9/25/15</t>
  </si>
  <si>
    <t>TEXAS TECH UNIVERSITY</t>
  </si>
  <si>
    <t>199-11-6339.10-001-611001</t>
  </si>
  <si>
    <t>CREDIT BY EXAM</t>
  </si>
  <si>
    <t>TOWER HOBBIES, INC.</t>
  </si>
  <si>
    <t>199-11-6399.V2-001-622022</t>
  </si>
  <si>
    <t>ENGINEERING SUPPLIES</t>
  </si>
  <si>
    <t xml:space="preserve">TRACTOR SUPPLY CREDIT </t>
  </si>
  <si>
    <t>AG SUPPLIES</t>
  </si>
  <si>
    <t>TROPHYLAND, INC</t>
  </si>
  <si>
    <t>199-11-6399.8M-001-611033</t>
  </si>
  <si>
    <t>NAME TAGS</t>
  </si>
  <si>
    <t>199-41-6299.10-735-699096</t>
  </si>
  <si>
    <t xml:space="preserve">TULOSO MIDWAY FOOD </t>
  </si>
  <si>
    <t>199-41-6498.10-702-699093</t>
  </si>
  <si>
    <t>BOARD MEETING 8/21/15</t>
  </si>
  <si>
    <t>199-36-6299.HC-001-699001</t>
  </si>
  <si>
    <t xml:space="preserve">HOMECOMING PARADE </t>
  </si>
  <si>
    <t>10/5/15-10/9/15 TRAFFIC CTRL</t>
  </si>
  <si>
    <t xml:space="preserve">ACE HARDWARE WESTERN </t>
  </si>
  <si>
    <t>199-11-6399.VA-001-622022</t>
  </si>
  <si>
    <t>AUTO SUPPLIES</t>
  </si>
  <si>
    <t>199-41-6299.10-730-699095</t>
  </si>
  <si>
    <t>199-36-6412.H1-001-631034</t>
  </si>
  <si>
    <t>USAD EASY EXAM 9/24/15</t>
  </si>
  <si>
    <t>199-51-6248.M3-936-699081</t>
  </si>
  <si>
    <t>HS 5400 &amp; T5 MAINT</t>
  </si>
  <si>
    <t xml:space="preserve">MS T5 &amp; CLARKE RIDER </t>
  </si>
  <si>
    <t xml:space="preserve">INTER 5400 &amp; CLARKE L20 </t>
  </si>
  <si>
    <t xml:space="preserve">PRIMRY T5'S &amp; AUTO SCRUB </t>
  </si>
  <si>
    <t>ALTEX ELECTRONICS LTD</t>
  </si>
  <si>
    <t>199-11-6399.VC-001-622022</t>
  </si>
  <si>
    <t>CISCO SUPPLIES</t>
  </si>
  <si>
    <t>APC BACK UPS</t>
  </si>
  <si>
    <t xml:space="preserve">AUSTIN PUMP &amp; SUPPLY CO. </t>
  </si>
  <si>
    <t>RISER STAINLESS</t>
  </si>
  <si>
    <t>AUTOZONE, INC</t>
  </si>
  <si>
    <t xml:space="preserve">TURBO SAFEGLASS &amp; </t>
  </si>
  <si>
    <t>POWER STR PULLEY</t>
  </si>
  <si>
    <t xml:space="preserve">RUST OLEUM &amp; SEALED </t>
  </si>
  <si>
    <t>ACRON 20PC LUG</t>
  </si>
  <si>
    <t>WATT POWER &amp; RV BLADE</t>
  </si>
  <si>
    <t xml:space="preserve">BUNGEE CORDS &amp; RUB </t>
  </si>
  <si>
    <t>BARCOM COMMERCIAL, INC</t>
  </si>
  <si>
    <t>199-51-6249.65-001-699C81</t>
  </si>
  <si>
    <t>FB STADIUM REPAIRS</t>
  </si>
  <si>
    <t>BOWMAN, PAUL E</t>
  </si>
  <si>
    <t>199-11-6299.7E-001-611031</t>
  </si>
  <si>
    <t>BUCKEYE CLEANING CENTER</t>
  </si>
  <si>
    <t>MARAUDER CLEANER</t>
  </si>
  <si>
    <t>LEMON CLEANER</t>
  </si>
  <si>
    <t>MICROFIBER GRN STD DUTY</t>
  </si>
  <si>
    <t>CARROLL, PHILIP</t>
  </si>
  <si>
    <t>CC  BATTERY CO INC</t>
  </si>
  <si>
    <t xml:space="preserve">BUS 23 ALTERNATOR </t>
  </si>
  <si>
    <t>BUS 4 HORN INSTALL</t>
  </si>
  <si>
    <t>TM115 BATTERY</t>
  </si>
  <si>
    <t>TM118 BATTERY</t>
  </si>
  <si>
    <t>TM113 BATTERY</t>
  </si>
  <si>
    <t>CC DISTRIBUTORS, INC</t>
  </si>
  <si>
    <t>COCO ABSORB</t>
  </si>
  <si>
    <t>LEMON ABSORBANT</t>
  </si>
  <si>
    <t>CLARIO GREEN EARTH</t>
  </si>
  <si>
    <t xml:space="preserve">BAWYWEST TISSUE &amp; </t>
  </si>
  <si>
    <t>WHITE COPY PAPER</t>
  </si>
  <si>
    <t xml:space="preserve">BUFF PADS, BROOM &amp; </t>
  </si>
  <si>
    <t>CHRISSY K DESIGN</t>
  </si>
  <si>
    <t>199-11-6269.VA-001-622022</t>
  </si>
  <si>
    <t>9/3/15 SERVICE</t>
  </si>
  <si>
    <t>9/10/15 SERVICE</t>
  </si>
  <si>
    <t>9/17/15 SERVICE</t>
  </si>
  <si>
    <t>9/24/15 SERVICE</t>
  </si>
  <si>
    <t>SEPT 2015 OT BILLING</t>
  </si>
  <si>
    <t>199-41-6499.11-730-699095</t>
  </si>
  <si>
    <t>SUB ORIENTATION 9/6/15</t>
  </si>
  <si>
    <t>GROUNDS PERSON 9/13/15-</t>
  </si>
  <si>
    <t xml:space="preserve">COURTYARD AUSTIN </t>
  </si>
  <si>
    <t>TCEA @ AUSTIN OCT 28-30</t>
  </si>
  <si>
    <t>11/1/15-11/30/15</t>
  </si>
  <si>
    <t>BAND V/FB MOODY 10/2/15</t>
  </si>
  <si>
    <t>PRINCIPALS MEETING 10/6/15</t>
  </si>
  <si>
    <t>199-13-6411.00-001-625025</t>
  </si>
  <si>
    <t>WORKSHOP 1300849 9/29/15</t>
  </si>
  <si>
    <t>199-13-6411.00-041-625025</t>
  </si>
  <si>
    <t>WORKSHOP 1304415 9/22/15</t>
  </si>
  <si>
    <t>WORKSHOP 1298195 10/3/15</t>
  </si>
  <si>
    <t>199-31-6411.00-041-699094</t>
  </si>
  <si>
    <t>WORKSHOP 1304491 9/28/15</t>
  </si>
  <si>
    <t>199-34-6411.10-937-699082</t>
  </si>
  <si>
    <t>WORKSHOP 1295322 9/12/15</t>
  </si>
  <si>
    <t>WORKSHOP 1295324 10/3/15</t>
  </si>
  <si>
    <t>199-41-6411.LK-709-699083</t>
  </si>
  <si>
    <t>FELLERS, INC</t>
  </si>
  <si>
    <t>199-00-1312.00-000-600000</t>
  </si>
  <si>
    <t>STIMPSON BRASS SIZE 3</t>
  </si>
  <si>
    <t>ARLON</t>
  </si>
  <si>
    <t>POSTER 54X150</t>
  </si>
  <si>
    <t xml:space="preserve">POSTER 54X150 &amp; MESH </t>
  </si>
  <si>
    <t>CARSAFE 40X25 MAGNETIC</t>
  </si>
  <si>
    <t>ZEELON MATTE VINYL</t>
  </si>
  <si>
    <t>GABRILLO, AUSTIN</t>
  </si>
  <si>
    <t>GREY, LAURA</t>
  </si>
  <si>
    <t>PEP RALLY 10/9/15</t>
  </si>
  <si>
    <t>GUITAR CENTER</t>
  </si>
  <si>
    <t xml:space="preserve">MICROPHONE CABLE 20 </t>
  </si>
  <si>
    <t>GWOZDZ, FELIX LEE</t>
  </si>
  <si>
    <t>199-11-6299.7K-001-611001</t>
  </si>
  <si>
    <t xml:space="preserve">BEAUTY &amp; THE BEAST NOV </t>
  </si>
  <si>
    <t>YAMAHA CLARINET 021909</t>
  </si>
  <si>
    <t>DIAMETER &amp; BD/SD COVERS</t>
  </si>
  <si>
    <t>CORPS CLR TNR</t>
  </si>
  <si>
    <t>HUGHES, DEBBY</t>
  </si>
  <si>
    <t xml:space="preserve">INDUSTRIAL FIRE &amp; SAFETY </t>
  </si>
  <si>
    <t xml:space="preserve">FIRE EXTINGUISHER </t>
  </si>
  <si>
    <t>FIRE EXTINGUISHERS</t>
  </si>
  <si>
    <t xml:space="preserve">INTER ALARM SERVICE </t>
  </si>
  <si>
    <t xml:space="preserve">KONICA MINOLTA PREMIER </t>
  </si>
  <si>
    <t>9/1/15-9/30/15 LESSEE</t>
  </si>
  <si>
    <t>10/1/15-10/31/15 LESSEE</t>
  </si>
  <si>
    <t>8/15/15-9/14/15 LESSEE</t>
  </si>
  <si>
    <t>9/15/15-10/14/15 LESSEE</t>
  </si>
  <si>
    <t>199-41-6269.10-933-699085</t>
  </si>
  <si>
    <t>POSTSCRIPTS 3 ISSUES</t>
  </si>
  <si>
    <t>199-21-6216.00-875-623023</t>
  </si>
  <si>
    <t>9/10/15 MEDICAID CLAIMS</t>
  </si>
  <si>
    <t>9/24/15 MEDICAID CLAIMS</t>
  </si>
  <si>
    <t>MIGHTY MUSIC PUBLISHING</t>
  </si>
  <si>
    <t>199-11-6399.7K-041-611003</t>
  </si>
  <si>
    <t xml:space="preserve">MUSIC MEMORY VALUE </t>
  </si>
  <si>
    <t xml:space="preserve">MUSIC MEMORY BASIC </t>
  </si>
  <si>
    <t xml:space="preserve">MUSIC THEATRE </t>
  </si>
  <si>
    <t>199-11-6269.7K-001-611001</t>
  </si>
  <si>
    <t>ORANGE GROVE FCCLA</t>
  </si>
  <si>
    <t>199-11-6411.VH-001-622022</t>
  </si>
  <si>
    <t xml:space="preserve">FCCLA WRKSHP @ SANDIA </t>
  </si>
  <si>
    <t>199-11-6412.VH-001-622022</t>
  </si>
  <si>
    <t>PALADIUM BOWL, INC.</t>
  </si>
  <si>
    <t>199-11-6412.S6-001-623123</t>
  </si>
  <si>
    <t xml:space="preserve">SP OLYMPICS @ ALICE </t>
  </si>
  <si>
    <t>199-11-6412.S6-041-623123</t>
  </si>
  <si>
    <t>199-11-6412.S6-101-623123</t>
  </si>
  <si>
    <t>199-11-6412.S6-104-623023</t>
  </si>
  <si>
    <t>PEST PATROL, INC.</t>
  </si>
  <si>
    <t>199-51-6249.M9-936-699081</t>
  </si>
  <si>
    <t>KANIPES, RONALD</t>
  </si>
  <si>
    <t>199-11-6399.00-101-623023</t>
  </si>
  <si>
    <t>WIPES &amp; LYSOL</t>
  </si>
  <si>
    <t xml:space="preserve">POCKET NURSE </t>
  </si>
  <si>
    <t>EYE MODEL 6 PARTS</t>
  </si>
  <si>
    <t xml:space="preserve">1YR TECH SUPPORT &amp; TREK </t>
  </si>
  <si>
    <t>REICHENBACHER, DAVID L.</t>
  </si>
  <si>
    <t>199-36-6412.7E-001-699131</t>
  </si>
  <si>
    <t xml:space="preserve">RGN TREBLE @ FBLUFF </t>
  </si>
  <si>
    <t>SAFEGUARD SYSTEM, INC.</t>
  </si>
  <si>
    <t>CELL UNIT INSTALLATION</t>
  </si>
  <si>
    <t xml:space="preserve">CELL UNIT INSTALLATION </t>
  </si>
  <si>
    <t>SALAZAR, ANTHONY A.</t>
  </si>
  <si>
    <t>SAMANIEGO, JOHN</t>
  </si>
  <si>
    <t>SAMANIEGO, MARINA L</t>
  </si>
  <si>
    <t>9/1/15-9/25/15 SERVICES</t>
  </si>
  <si>
    <t xml:space="preserve">TOSHIBA TRANSMEMORY </t>
  </si>
  <si>
    <t>DRAMA SUPPLIES</t>
  </si>
  <si>
    <t>WIPES &amp; MELLOWCREM</t>
  </si>
  <si>
    <t>199-23-6498.10-002-699002</t>
  </si>
  <si>
    <t>SNACKS</t>
  </si>
  <si>
    <t>199-11-6339.10-104-611005</t>
  </si>
  <si>
    <t xml:space="preserve">TTCT FIGURAL A </t>
  </si>
  <si>
    <t xml:space="preserve">ADOBE ACROBAT PRO </t>
  </si>
  <si>
    <t>199-11-6399.72-041-611003</t>
  </si>
  <si>
    <t xml:space="preserve">SOUTH TEXAS ASSOCIATION </t>
  </si>
  <si>
    <t>SOUTH TEXAS RESTAURANT</t>
  </si>
  <si>
    <t>WASHER NEW DRAIN VALVE</t>
  </si>
  <si>
    <t>SOUTHERN FLORAL</t>
  </si>
  <si>
    <t>HOMECOMING 9/28/15-10/3/15</t>
  </si>
  <si>
    <t>SPICEWORKS, INC.</t>
  </si>
  <si>
    <t xml:space="preserve">SPICEWORLD @ AUSTIN NOV </t>
  </si>
  <si>
    <t xml:space="preserve">STEWART DEAN BEARING CO </t>
  </si>
  <si>
    <t>V BELTS</t>
  </si>
  <si>
    <t>SYN-TECH SYSTEMS, INC.</t>
  </si>
  <si>
    <t xml:space="preserve">9/26/15-9/25/16 FUELMSTR </t>
  </si>
  <si>
    <t>LOCALIZED UPDATE 102</t>
  </si>
  <si>
    <t>199-51-6411.10-936-699081</t>
  </si>
  <si>
    <t>9/1/15-8/31/15 MEMBERSHIP</t>
  </si>
  <si>
    <t>199-12-6411.00-001-611094</t>
  </si>
  <si>
    <t>TCEA @ AUSTIN FEB 1-5</t>
  </si>
  <si>
    <t>199-13-6411.VB-001-622022</t>
  </si>
  <si>
    <t>199-51-6249.M8-936-699081</t>
  </si>
  <si>
    <t>CHILLER LEAK</t>
  </si>
  <si>
    <t>CHILLERS MAINT</t>
  </si>
  <si>
    <t xml:space="preserve">CHILLERS INSULATION </t>
  </si>
  <si>
    <t>9/28/15-10/7/15 TRAFFIC CTRL</t>
  </si>
  <si>
    <t xml:space="preserve">GRAY'S PARLIAMENTARY </t>
  </si>
  <si>
    <t>FFA ONLINE SUBSCRIPTION</t>
  </si>
  <si>
    <t>ADMIN CABLE 10/17/15-</t>
  </si>
  <si>
    <t>INTERNET 10/17/15-11/16/15</t>
  </si>
  <si>
    <t>BROADBANDS 10/17/15-</t>
  </si>
  <si>
    <t>199-11-6264.10-041-611003</t>
  </si>
  <si>
    <t>9/2/15-10/1/15</t>
  </si>
  <si>
    <t>VASQUEZ, DANIEL</t>
  </si>
  <si>
    <t>WENDLAND, JENNIFER</t>
  </si>
  <si>
    <t>199-41-6411.00-709-699083</t>
  </si>
  <si>
    <t>TSDS PEIMS @ SA OCT 5-6</t>
  </si>
  <si>
    <t>ADDING MACHINE TAPE</t>
  </si>
  <si>
    <t>ASTROBRIGHTS PAPER</t>
  </si>
  <si>
    <t>DAILY APPOINTMENT BOOK</t>
  </si>
  <si>
    <t>ACP DIRECT</t>
  </si>
  <si>
    <t>TRRS ADAPTER</t>
  </si>
  <si>
    <t xml:space="preserve">ADVANCED FILTRATION </t>
  </si>
  <si>
    <t>199-51-6249.PM-936-699181</t>
  </si>
  <si>
    <t xml:space="preserve">ADMIN SEPT 2015 180 DAY </t>
  </si>
  <si>
    <t xml:space="preserve">INTER SEPT 2015 180 DAY </t>
  </si>
  <si>
    <t xml:space="preserve">MAINT SEPT 2015 180 DAY </t>
  </si>
  <si>
    <t xml:space="preserve">MS SEPT 2015 180 DAY </t>
  </si>
  <si>
    <t xml:space="preserve">PRMRY SEPT 2015 180 DAY </t>
  </si>
  <si>
    <t xml:space="preserve">SMART NOTBOOK MATH </t>
  </si>
  <si>
    <t>T5400 VACUUM MOTOR</t>
  </si>
  <si>
    <t>BUS 31 @ CC FREIGHTLINER</t>
  </si>
  <si>
    <t>AREA X ASSOCIATION</t>
  </si>
  <si>
    <t>199-11-6495.V8-001-622022</t>
  </si>
  <si>
    <t xml:space="preserve">2015-2016 FALL MEMERSHIP </t>
  </si>
  <si>
    <t xml:space="preserve">PHARMACY MTG @ AUSTIN </t>
  </si>
  <si>
    <t xml:space="preserve">ASSOCIATION OF AVIATION </t>
  </si>
  <si>
    <t>NJROTC ACADEMIC POSTAL</t>
  </si>
  <si>
    <t xml:space="preserve">BAY COFFEE SERVICE CO., </t>
  </si>
  <si>
    <t>199-23-6498.10-001-699001</t>
  </si>
  <si>
    <t>KCUP COFFEE</t>
  </si>
  <si>
    <t>BBK JR PRIDE 1/17/15</t>
  </si>
  <si>
    <t>CANALES, MARGARET</t>
  </si>
  <si>
    <t xml:space="preserve">MNG DISRUPTIVE @ SA OCT </t>
  </si>
  <si>
    <t>CHALK'S TRUCK PARTS, INC.</t>
  </si>
  <si>
    <t>BUS SUPPLIES</t>
  </si>
  <si>
    <t xml:space="preserve">2015-2016 FALL MEMBERSHIP </t>
  </si>
  <si>
    <t>CRAFT TRAINING CENTER</t>
  </si>
  <si>
    <t>199-11-6223.VT-001-622022</t>
  </si>
  <si>
    <t xml:space="preserve">ELECTRICAL TUITION 2015 </t>
  </si>
  <si>
    <t>DAHILL INDUSTRIES</t>
  </si>
  <si>
    <t>XER MAGNETA INK</t>
  </si>
  <si>
    <t>XER MAGENTA INK</t>
  </si>
  <si>
    <t>199-11-6412.VL-001-622022</t>
  </si>
  <si>
    <t xml:space="preserve">DECA LDRSHP @ AUSTIN </t>
  </si>
  <si>
    <t>199-36-6411.VL-001-622022</t>
  </si>
  <si>
    <t>199-12-6399.7U-101-611004</t>
  </si>
  <si>
    <t>LIBRARY SUPPLIES</t>
  </si>
  <si>
    <t>199-11-6223.VC-001-622022</t>
  </si>
  <si>
    <t xml:space="preserve">9/1/15-8/31/16 CISCO </t>
  </si>
  <si>
    <t xml:space="preserve">EVEREST COFFEE CORPUS </t>
  </si>
  <si>
    <t>199-41-6399.10-720-699091</t>
  </si>
  <si>
    <t>COFFEE SUPPLIES</t>
  </si>
  <si>
    <t>BUS 6 GREYLITE LAMI</t>
  </si>
  <si>
    <t>FASTENAL COMPANY</t>
  </si>
  <si>
    <t>199-51-6319.M3-936-699081</t>
  </si>
  <si>
    <t xml:space="preserve">DISPOSABLE RESPIRATOR </t>
  </si>
  <si>
    <t>FIVE POINTS AUTO CENTER</t>
  </si>
  <si>
    <t>TM118 CAMBER &amp; CASTERS</t>
  </si>
  <si>
    <t>TM115 OIL CHANGE</t>
  </si>
  <si>
    <t xml:space="preserve">TM112 CAB MOUNT </t>
  </si>
  <si>
    <t>FLAGHOUSE INC</t>
  </si>
  <si>
    <t>199-23-6399.12-041-699003</t>
  </si>
  <si>
    <t>WEIGHTED CONE SUPERSET</t>
  </si>
  <si>
    <t xml:space="preserve">FORT BEND INDEPENDENT </t>
  </si>
  <si>
    <t xml:space="preserve">DRILL MEET @ RICHMOND </t>
  </si>
  <si>
    <t>FOWLER LAW FIRM, P.C.</t>
  </si>
  <si>
    <t>199-41-6211.02-702-699093</t>
  </si>
  <si>
    <t>9/1/15-8/31/16 LAW PROGRAM</t>
  </si>
  <si>
    <t>HFL FABRIC</t>
  </si>
  <si>
    <t>BELT</t>
  </si>
  <si>
    <t xml:space="preserve">POETRY &amp; PROSE @ GP </t>
  </si>
  <si>
    <t>HARMON, JOSEPH WALTER</t>
  </si>
  <si>
    <t>IMAGINATION STATION, INC</t>
  </si>
  <si>
    <t>199-11-6649.00-104-611Z80</t>
  </si>
  <si>
    <t xml:space="preserve">READING WITH HOME </t>
  </si>
  <si>
    <t>199-41-6498.00-709-699083</t>
  </si>
  <si>
    <t>PEIMS MEETING 9/16/15</t>
  </si>
  <si>
    <t>JW MARRIOTT AUSTIN 2558</t>
  </si>
  <si>
    <t>KELLY SERVICES INC</t>
  </si>
  <si>
    <t xml:space="preserve">LAKESHORE LEARNING </t>
  </si>
  <si>
    <t>199-11-6399.01-101-611004</t>
  </si>
  <si>
    <t>LEARNING MATERIALS</t>
  </si>
  <si>
    <t xml:space="preserve">10/12/15-10/15/15 TRAFFIC </t>
  </si>
  <si>
    <t xml:space="preserve">MOORESVILLE GRADED </t>
  </si>
  <si>
    <t>5TH GRADE SUPPLIES</t>
  </si>
  <si>
    <t>MODEL EAR W/BASE</t>
  </si>
  <si>
    <t>MODEL SKIN</t>
  </si>
  <si>
    <t>SMILE FACES STRESS BALLS</t>
  </si>
  <si>
    <t>STRIPED BEACH BALL</t>
  </si>
  <si>
    <t>ORTIZ, VANESSA</t>
  </si>
  <si>
    <t>MILEAGE 8/24/15-10/13/15</t>
  </si>
  <si>
    <t xml:space="preserve">BEHAVIORS @ MCALLEN </t>
  </si>
  <si>
    <t>ROTC FLAG</t>
  </si>
  <si>
    <t>SALT BAG</t>
  </si>
  <si>
    <t>PEP RALLY 10/16/15</t>
  </si>
  <si>
    <t>199-36-6412.7C-001-699001</t>
  </si>
  <si>
    <t xml:space="preserve">CHEER @ V/FB VICTORIA </t>
  </si>
  <si>
    <t>TAGLE, ADRIANA</t>
  </si>
  <si>
    <t xml:space="preserve">LOCKS, WHISPER PHONES &amp; </t>
  </si>
  <si>
    <t>DEPT MEETING 9/24/15</t>
  </si>
  <si>
    <t>DIXIE PLATES</t>
  </si>
  <si>
    <t>199-34-6299.10-937-699082</t>
  </si>
  <si>
    <t>POETS FAMILY RESTAURANT</t>
  </si>
  <si>
    <t>INSERVICE LUNCH 11/2/15</t>
  </si>
  <si>
    <t>QUILL CORPORATION</t>
  </si>
  <si>
    <t>COLORED PENCILS</t>
  </si>
  <si>
    <t>PENCILS &amp; POINT PENS</t>
  </si>
  <si>
    <t>EXPO DRY ERASE MARKERS</t>
  </si>
  <si>
    <t>199-11-6399.PK-104-611005</t>
  </si>
  <si>
    <t xml:space="preserve">DUCK TAPE &amp; DRY ERASE </t>
  </si>
  <si>
    <t>TAGBOARDS</t>
  </si>
  <si>
    <t xml:space="preserve">MASKING TAPE &amp; WHITE </t>
  </si>
  <si>
    <t xml:space="preserve">CHORUS HOMAGE &amp; </t>
  </si>
  <si>
    <t>ITUNES &amp; PRIORITY MAIL</t>
  </si>
  <si>
    <t>SOUTHWEST ISD</t>
  </si>
  <si>
    <t>DRILL MEET @ SA 12/5/15</t>
  </si>
  <si>
    <t>199-11-6399.45-104-611005</t>
  </si>
  <si>
    <t>LABELS &amp; FOLDERS</t>
  </si>
  <si>
    <t>NEON LABELS</t>
  </si>
  <si>
    <t>RULERS</t>
  </si>
  <si>
    <t>199-11-6399.P1-001-611001</t>
  </si>
  <si>
    <t>LOGI WIRELESS PRESENTER</t>
  </si>
  <si>
    <t>199-21-6399.00-875-623023</t>
  </si>
  <si>
    <t>UNIVERSAL RIBBON</t>
  </si>
  <si>
    <t>199-51-6399.00-942-699088</t>
  </si>
  <si>
    <t>LAPDESK</t>
  </si>
  <si>
    <t xml:space="preserve">PERFORMANCE FACILITY </t>
  </si>
  <si>
    <t>REFUND PRICE GUARANTEE</t>
  </si>
  <si>
    <t>TAGLE, ADRIANNA</t>
  </si>
  <si>
    <t>199-11-6399.13-041-611003</t>
  </si>
  <si>
    <t>STUDEN INCENTIVES</t>
  </si>
  <si>
    <t>TAMEZ, LILIA</t>
  </si>
  <si>
    <t xml:space="preserve">10/13/15-10/14/15 TRAFFIC </t>
  </si>
  <si>
    <t>199-11-6321.10-001-611001</t>
  </si>
  <si>
    <t xml:space="preserve">GREAT GATSBY  &amp; THINGS </t>
  </si>
  <si>
    <t>FLIGHT &amp; KITE RUNNER</t>
  </si>
  <si>
    <t xml:space="preserve">MERRIAM INTERMEDIATE </t>
  </si>
  <si>
    <t>TEXAS FFA ASSOCIATION</t>
  </si>
  <si>
    <t>TRANSFINDER</t>
  </si>
  <si>
    <t>199-34-6396.11-937-699082</t>
  </si>
  <si>
    <t>11/22/15-11/21/16</t>
  </si>
  <si>
    <t>DISTRICT 10/15/15</t>
  </si>
  <si>
    <t>10/23/15-11/22/15 STORAGE</t>
  </si>
  <si>
    <t>CARRIZALES, LEO</t>
  </si>
  <si>
    <t>199-11-6411.LK-002-611002</t>
  </si>
  <si>
    <t>MILEAGE 8/17/15-10/23/15</t>
  </si>
  <si>
    <t xml:space="preserve">AUDITIONS @ MILLER </t>
  </si>
  <si>
    <t>1/4'X4' FLAT 20'</t>
  </si>
  <si>
    <t xml:space="preserve">HERITAGE FOOD SERVICE </t>
  </si>
  <si>
    <t>199-34-6399.10-937-699082</t>
  </si>
  <si>
    <t>SCOTSMAN ICE MACHINE</t>
  </si>
  <si>
    <t>SCOTSMAN TEMP SENSOR</t>
  </si>
  <si>
    <t>199-12-6329.7U-101-611004</t>
  </si>
  <si>
    <t>LIBRARY STORE, INC.</t>
  </si>
  <si>
    <t xml:space="preserve">STUDENT COUNCIL </t>
  </si>
  <si>
    <t xml:space="preserve">10/19/15-10/23/15 TRAFFIC </t>
  </si>
  <si>
    <t>199-36-6399.3A-001-691274</t>
  </si>
  <si>
    <t>BADGER SHORTS</t>
  </si>
  <si>
    <t>NCS PEARSON, INC.</t>
  </si>
  <si>
    <t>199-11-6339.GT-101-621021</t>
  </si>
  <si>
    <t>NNAT2 ALL LEVELS</t>
  </si>
  <si>
    <t xml:space="preserve">SMILE FACES SQUEEZE </t>
  </si>
  <si>
    <t>PLAYSCRIPTS, INC.</t>
  </si>
  <si>
    <t xml:space="preserve">THAT'S NOT HOW I </t>
  </si>
  <si>
    <t>199-21-6399.10-871-699094</t>
  </si>
  <si>
    <t xml:space="preserve">SITE BASED MEETING </t>
  </si>
  <si>
    <t>INSTRUCTIONAL SERVICES</t>
  </si>
  <si>
    <t xml:space="preserve">7200 GALLONS UNLEADED &amp; </t>
  </si>
  <si>
    <t xml:space="preserve">SCHOOL HEALTH </t>
  </si>
  <si>
    <t>199-33-6399.8F-041-699003</t>
  </si>
  <si>
    <t>199-51-6256.10-936-699081</t>
  </si>
  <si>
    <t>8/27/15-9/26/15</t>
  </si>
  <si>
    <t>199-31-6411.04-101-699023</t>
  </si>
  <si>
    <t xml:space="preserve">PROFNL GROWTH @ ABC </t>
  </si>
  <si>
    <t>TEXAS MULTI-CHEM LTD</t>
  </si>
  <si>
    <t>199-51-6249.M4-877-699081</t>
  </si>
  <si>
    <t>10/1/15 SPRAY APPLICATION</t>
  </si>
  <si>
    <t>DTOX</t>
  </si>
  <si>
    <t>TUNE IN</t>
  </si>
  <si>
    <t>ARTSMART</t>
  </si>
  <si>
    <t>SOCIAL LIVING SUPPLIES</t>
  </si>
  <si>
    <t xml:space="preserve">4TH GRADE SCIENCE </t>
  </si>
  <si>
    <t>5TH GRD SUPPLIES</t>
  </si>
  <si>
    <t>199-11-6399.11-041-611003</t>
  </si>
  <si>
    <t>CALCULATOR BATTERIES</t>
  </si>
  <si>
    <t>8TH GRD SCIENCE SUPPLIES</t>
  </si>
  <si>
    <t>7TH GRD SCIENCE SUPPLIES</t>
  </si>
  <si>
    <t>199-11-6399.7E-041-611035</t>
  </si>
  <si>
    <t>BINDERS</t>
  </si>
  <si>
    <t>CDR, DVDR &amp; BATTING</t>
  </si>
  <si>
    <t>THEATRE SUPPLIES</t>
  </si>
  <si>
    <t>199-11-6399.N9-001-611001</t>
  </si>
  <si>
    <t>SCIENCE LAB SUPPLIES</t>
  </si>
  <si>
    <t>199-11-6399.VH-001-622022</t>
  </si>
  <si>
    <t>199-11-6499.10-104-611005</t>
  </si>
  <si>
    <t xml:space="preserve">PERFECT ATTENDANCE </t>
  </si>
  <si>
    <t>199-12-6399.7U-104-611005</t>
  </si>
  <si>
    <t>199-23-6399.11-041-699003</t>
  </si>
  <si>
    <t>FILING BOXES</t>
  </si>
  <si>
    <t>PLC MEETINGS</t>
  </si>
  <si>
    <t>199-33-6399.8F-104-699005</t>
  </si>
  <si>
    <t>199-51-6498.10-936-699081</t>
  </si>
  <si>
    <t xml:space="preserve">CUSTODIAL APPRECIATION </t>
  </si>
  <si>
    <t>WEBPRO PRODUCTIONS, LLC</t>
  </si>
  <si>
    <t>199-11-6396.10-001-611080</t>
  </si>
  <si>
    <t>9/15/15-9/15/16 LICENSING</t>
  </si>
  <si>
    <t>199-11-6396.10-041-611080</t>
  </si>
  <si>
    <t>199-11-6396.10-101-611080</t>
  </si>
  <si>
    <t>199-11-6396.10-104-611080</t>
  </si>
  <si>
    <t>TONER CARTRIDGE</t>
  </si>
  <si>
    <t>CARTRIDGE TONER</t>
  </si>
  <si>
    <t>FILING SUPPLIES</t>
  </si>
  <si>
    <t>HIGHLIGHTERS</t>
  </si>
  <si>
    <t xml:space="preserve">COUNSELING 9/28/15 &amp; </t>
  </si>
  <si>
    <t xml:space="preserve">COUNSELING 10/5/15 &amp; </t>
  </si>
  <si>
    <t>DIAGNOSTIC 9/18/15</t>
  </si>
  <si>
    <t xml:space="preserve">COUNSELING 10/12/15 &amp; </t>
  </si>
  <si>
    <t>APPERSON</t>
  </si>
  <si>
    <t>STD BUBBLE</t>
  </si>
  <si>
    <t>199-11-6399.R1-001-611001</t>
  </si>
  <si>
    <t>199-51-6399.3S-878-699081</t>
  </si>
  <si>
    <t>NON FUMING POOL ACID</t>
  </si>
  <si>
    <t>NATATORIUM</t>
  </si>
  <si>
    <t>BOILER BOOSTER PUMP</t>
  </si>
  <si>
    <t>ASHBY, CURTIS</t>
  </si>
  <si>
    <t xml:space="preserve">BANC OF AMERICA PUBLIC </t>
  </si>
  <si>
    <t>199-71-6513.10-936-699075</t>
  </si>
  <si>
    <t>2008 ENERGY MANAGEMENT</t>
  </si>
  <si>
    <t>199-71-6523.10-936-699075</t>
  </si>
  <si>
    <t>199-00-1411.13-000-600000</t>
  </si>
  <si>
    <t>BACKDROP RENTAL</t>
  </si>
  <si>
    <t>199-11-6339.NL-001-622022</t>
  </si>
  <si>
    <t>FINGERPRINTS</t>
  </si>
  <si>
    <t>199-11-6399.8U-041-611003</t>
  </si>
  <si>
    <t>DELL LATITUDE BATTERIES</t>
  </si>
  <si>
    <t xml:space="preserve">DRY ERASE BOARDS &amp; </t>
  </si>
  <si>
    <t>199-12-6396.7U-001-611001</t>
  </si>
  <si>
    <t xml:space="preserve">ACCIDENT PROTECTION </t>
  </si>
  <si>
    <t xml:space="preserve">OMNIDIRECTIONAL </t>
  </si>
  <si>
    <t xml:space="preserve">SCANNER SMART STAND </t>
  </si>
  <si>
    <t>RODNEY SUMNER</t>
  </si>
  <si>
    <t>MOWERPARTS</t>
  </si>
  <si>
    <t xml:space="preserve">WHITE, GREEN &amp; GOLD </t>
  </si>
  <si>
    <t>2IN BRASS &amp; COIL ZINC</t>
  </si>
  <si>
    <t>XTHERM IGNITER</t>
  </si>
  <si>
    <t>REFRIGERATOR</t>
  </si>
  <si>
    <t xml:space="preserve">SANDPAPER &amp; SPONGE </t>
  </si>
  <si>
    <t>CAPACITOR</t>
  </si>
  <si>
    <t>TAG PAPER &amp; RING KEY</t>
  </si>
  <si>
    <t xml:space="preserve">SHELF, CEILING FAN &amp; DRILL </t>
  </si>
  <si>
    <t>TM107 TAGS</t>
  </si>
  <si>
    <t>CUSTODIAL APPRECIATION</t>
  </si>
  <si>
    <t>199-41-6211.10-730-699095</t>
  </si>
  <si>
    <t>8/5/15 &amp; 8/19/15 GENERAL</t>
  </si>
  <si>
    <t>GAS SPRING/PROP</t>
  </si>
  <si>
    <t xml:space="preserve">SWITCH KIT PUSH OUT </t>
  </si>
  <si>
    <t xml:space="preserve">AREA X LDE @ ROBSTOWN </t>
  </si>
  <si>
    <t>COASTAL DIESEL INJECTION</t>
  </si>
  <si>
    <t>BUS 11 INJECTORS</t>
  </si>
  <si>
    <t>BUS 11 FUEL LEAK</t>
  </si>
  <si>
    <t>BUS 40 REAR HEATER PUMP</t>
  </si>
  <si>
    <t>LOCK REPAIR REKEY CYLD</t>
  </si>
  <si>
    <t xml:space="preserve">NON STANDARD WOOD </t>
  </si>
  <si>
    <t xml:space="preserve">BUS 9 STOP SIGN GEAR BOX </t>
  </si>
  <si>
    <t xml:space="preserve">BUS 9 REPLACE ARM W/STOP </t>
  </si>
  <si>
    <t xml:space="preserve">BUS 47 LOWER MIRROR </t>
  </si>
  <si>
    <t xml:space="preserve">BUS 50 ENTRANCE DOOR </t>
  </si>
  <si>
    <t>BUS 49 DOOR NOT CLOSING</t>
  </si>
  <si>
    <t xml:space="preserve">BUS 9 BUZZER SWITCHES </t>
  </si>
  <si>
    <t>BUS 40 ANIFREEZE</t>
  </si>
  <si>
    <t>12/1/15-12/31/15</t>
  </si>
  <si>
    <t>199-41-6649.00-726-699091</t>
  </si>
  <si>
    <t>DELL 24' MONITOR</t>
  </si>
  <si>
    <t>199-51-6399.10-936-699081</t>
  </si>
  <si>
    <t xml:space="preserve">EDUCATIONAL </t>
  </si>
  <si>
    <t>PRIVACY RHODES</t>
  </si>
  <si>
    <t>LOCK LESS LOCK &amp; IC CORE</t>
  </si>
  <si>
    <t>IC COREO BITTED</t>
  </si>
  <si>
    <t>VARIOUS SUPPLIES</t>
  </si>
  <si>
    <t xml:space="preserve">SCHLARGE &amp; PRIMUS PIN </t>
  </si>
  <si>
    <t>FLINN SCIENTIFIC INC</t>
  </si>
  <si>
    <t xml:space="preserve">THERMOMETER &amp; </t>
  </si>
  <si>
    <t>9/14/15-9/30/16</t>
  </si>
  <si>
    <t>FREY SCIENTIFIC</t>
  </si>
  <si>
    <t>6TH GRD SCIENCE SUPPLIES</t>
  </si>
  <si>
    <t>199-51-6248.M2-936-699081</t>
  </si>
  <si>
    <t>JOHN DEERE REPAIR</t>
  </si>
  <si>
    <t xml:space="preserve">JOHN DEERE RESEAL </t>
  </si>
  <si>
    <t>BLADES, FUEL &amp; OIL FILTERS</t>
  </si>
  <si>
    <t>HANDY, CHERYL</t>
  </si>
  <si>
    <t>199-11-6412.V8-001-622122</t>
  </si>
  <si>
    <t xml:space="preserve">HIGHWAY BARRICADES &amp; </t>
  </si>
  <si>
    <t>199-51-6254.ME-936-699073</t>
  </si>
  <si>
    <t>8/13/15-9/28/15</t>
  </si>
  <si>
    <t>8/25/15-10/27/15</t>
  </si>
  <si>
    <t>199-11-6412.VL-001-622122</t>
  </si>
  <si>
    <t>199-52-6299.10-001-699001</t>
  </si>
  <si>
    <t>DETECTION SERVICE 9/21/15</t>
  </si>
  <si>
    <t>199-52-6299.10-041-699003</t>
  </si>
  <si>
    <t>DETECTION SERVICE 9/24/15</t>
  </si>
  <si>
    <t>JSJ SERVICES INC</t>
  </si>
  <si>
    <t>199-51-6259.10-936-699081</t>
  </si>
  <si>
    <t>BX DROP 4/30/15 P/U 9/14/15</t>
  </si>
  <si>
    <t>KONE INC</t>
  </si>
  <si>
    <t>10/15/15-11/14/15 LESSEE</t>
  </si>
  <si>
    <t>25LB CYLINDER</t>
  </si>
  <si>
    <t>HP MOTOR</t>
  </si>
  <si>
    <t xml:space="preserve">MC WELDING &amp; </t>
  </si>
  <si>
    <t>STADIUM BLEACHER REPAIR</t>
  </si>
  <si>
    <t>10/8/15 MEDICAID CLAIMS</t>
  </si>
  <si>
    <t xml:space="preserve">COMPRESSOR &amp; 5/16 FILTER </t>
  </si>
  <si>
    <t>MOBILE MINI 1 INC.</t>
  </si>
  <si>
    <t>199-51-6249.MC-104-699081</t>
  </si>
  <si>
    <t>10/27/15-11/23/15</t>
  </si>
  <si>
    <t>MORENO, MARGARITA</t>
  </si>
  <si>
    <t>199-00-1291.14-000-600000</t>
  </si>
  <si>
    <t xml:space="preserve">COMP TIME PAYOUT </t>
  </si>
  <si>
    <t xml:space="preserve">BUS 21 HORN, BUTTON &amp; </t>
  </si>
  <si>
    <t>MINI BULBS</t>
  </si>
  <si>
    <t>CAPSULES</t>
  </si>
  <si>
    <t>5GALTRACTOR</t>
  </si>
  <si>
    <t>BAND @ V/FB GP 10/23/15</t>
  </si>
  <si>
    <t xml:space="preserve">RECORDS CONSULTANTS, </t>
  </si>
  <si>
    <t>199-41-6299.00-932-699084</t>
  </si>
  <si>
    <t xml:space="preserve">RECORDS SHREDDED </t>
  </si>
  <si>
    <t>RECORDS MANAGEMENT</t>
  </si>
  <si>
    <t>SILVAS, AMANDA</t>
  </si>
  <si>
    <t>199-23-6411.8K-104-699005</t>
  </si>
  <si>
    <t>5/15/15-10/22/15 MILEAGE</t>
  </si>
  <si>
    <t>SINTON HIGH SCHOOL</t>
  </si>
  <si>
    <t xml:space="preserve">ACADEMIC @ SINTON </t>
  </si>
  <si>
    <t>199-36-6412.H1-001-631134</t>
  </si>
  <si>
    <t>BUS 21 FLAT REPAIR</t>
  </si>
  <si>
    <t>TM115 FLAT REPAIR</t>
  </si>
  <si>
    <t>TM103 FLAT REPAIR</t>
  </si>
  <si>
    <t>9/27/15-10/26/15</t>
  </si>
  <si>
    <t>FASTNERS &amp; ENVELOPES</t>
  </si>
  <si>
    <t>9/1/15-8/31/16 A MORALES</t>
  </si>
  <si>
    <t>9/1/15-8/31/16 G LERMA</t>
  </si>
  <si>
    <t>TROTT, SHARON</t>
  </si>
  <si>
    <t>199-41-6399.10-735-699096</t>
  </si>
  <si>
    <t xml:space="preserve">FALL FESTIVAL &amp; GRANT </t>
  </si>
  <si>
    <t xml:space="preserve">GRANTS COMMITTEE MTG </t>
  </si>
  <si>
    <t>199-11-6399.10-041-611003</t>
  </si>
  <si>
    <t xml:space="preserve">JERSEY KNIT SHORTS &amp; </t>
  </si>
  <si>
    <t>199-34-6498.10-937-699082</t>
  </si>
  <si>
    <t xml:space="preserve">BUS DRIVERS BREAKFAST </t>
  </si>
  <si>
    <t>199-41-6299.11-730-699095</t>
  </si>
  <si>
    <t>US POSTAL SERVICE</t>
  </si>
  <si>
    <t>199-41-6269.10-720-699091</t>
  </si>
  <si>
    <t>12 MONTH BOX RENTAL</t>
  </si>
  <si>
    <t xml:space="preserve">PLASTIC BOX &amp; EVGA GF 210 </t>
  </si>
  <si>
    <t xml:space="preserve">SCREWDRIVER &amp; </t>
  </si>
  <si>
    <t>CRUCIAL 2GB &amp; 4GB</t>
  </si>
  <si>
    <t>CRUCIAL 4GB DIMM</t>
  </si>
  <si>
    <t>ANTEC 12V 380W PWR SUP</t>
  </si>
  <si>
    <t>TRIPP 25FT SLIM COAX</t>
  </si>
  <si>
    <t>CRUCIAL 4GB DIMM DDR3 PC</t>
  </si>
  <si>
    <t>199-11-6649.00-041-611Z80</t>
  </si>
  <si>
    <t>ACER V206HQL LED WIDE</t>
  </si>
  <si>
    <t>HS WATER 9/18/15-10/20/15</t>
  </si>
  <si>
    <t>ACC WATER 9/17/15-10/19/15</t>
  </si>
  <si>
    <t>MS WATER 9/17/15-10/19/15</t>
  </si>
  <si>
    <t>PRIMRY WATER 9/17/15-</t>
  </si>
  <si>
    <t>INTER WATER 9/17/15-</t>
  </si>
  <si>
    <t>ADMIN WATER 9/17/15-</t>
  </si>
  <si>
    <t>MAINT WATER 9/17/15-</t>
  </si>
  <si>
    <t>FB FLD WATER 9/18/15-</t>
  </si>
  <si>
    <t>HS GAS 9/18/15-10/20/15</t>
  </si>
  <si>
    <t>MS GAS 9/17/15-10/19/15</t>
  </si>
  <si>
    <t>PRIMRY GAS 9/17/15-10/19/15</t>
  </si>
  <si>
    <t>INTER GAS 9/17/15-10/19/15</t>
  </si>
  <si>
    <t>D.C. INVESTIGATIONS</t>
  </si>
  <si>
    <t>199-11-6299.76-041-611003</t>
  </si>
  <si>
    <t>SS @ CEMENTERY 11/13/15</t>
  </si>
  <si>
    <t>7/11/15-8/10/15</t>
  </si>
  <si>
    <t xml:space="preserve">FAMILY CAREER AND </t>
  </si>
  <si>
    <t>NATIONAL MEMBERSHIP</t>
  </si>
  <si>
    <t>HAMILTON, RICK</t>
  </si>
  <si>
    <t>10/14/15-10/22/15</t>
  </si>
  <si>
    <t>199-11-6399.00-001-623023</t>
  </si>
  <si>
    <t xml:space="preserve">FOOD &amp; SOCIAL LIVING </t>
  </si>
  <si>
    <t>199-11-6399.00-041-623023</t>
  </si>
  <si>
    <t>199-11-6399.LS-001-611001</t>
  </si>
  <si>
    <t>BIOLOGY LAB SUPPLIES</t>
  </si>
  <si>
    <t>199-11-6399.V1-001-622022</t>
  </si>
  <si>
    <t>WATER &amp; DIET COCA COLA</t>
  </si>
  <si>
    <t>VET TECH SUPPLIES</t>
  </si>
  <si>
    <t>SALEX TAX REFUND</t>
  </si>
  <si>
    <t xml:space="preserve">MEETING &amp; TRAINING </t>
  </si>
  <si>
    <t>SIX WEEKS CELEBRATION</t>
  </si>
  <si>
    <t>PLC MEETING</t>
  </si>
  <si>
    <t>199-41-6498.00-939-699087</t>
  </si>
  <si>
    <t>RECOGNITION SUPPLIES</t>
  </si>
  <si>
    <t>199-21-6397.00-875-623023</t>
  </si>
  <si>
    <t>CERTIFIED MAIL</t>
  </si>
  <si>
    <t>STORAGE BOXES</t>
  </si>
  <si>
    <t>199-21-6411.00-875-623123</t>
  </si>
  <si>
    <t>8/24/15-10/12/15 MILEAGE</t>
  </si>
  <si>
    <t>11/1/15-11/30/15 LESSEE</t>
  </si>
  <si>
    <t>11/2/15-11/6/15 TRAFFIC CTRL</t>
  </si>
  <si>
    <t>9/28/15-10/23/15 MILEAGE</t>
  </si>
  <si>
    <t>MOORE, JUDY</t>
  </si>
  <si>
    <t>199-36-6412.7E-041-699135</t>
  </si>
  <si>
    <t>ENGLISH SUPPLIES</t>
  </si>
  <si>
    <t>BATTERIES</t>
  </si>
  <si>
    <t>HOT &amp; COLD FOAM CUPS</t>
  </si>
  <si>
    <t>METTING SUPPLIES</t>
  </si>
  <si>
    <t>199-31-6399.7F-001-699001</t>
  </si>
  <si>
    <t xml:space="preserve">CALCULATOR &amp; ADDING </t>
  </si>
  <si>
    <t xml:space="preserve">10/20/15-11/4/15 TRAFFIC </t>
  </si>
  <si>
    <t>LANYARD STRAP W/CLIP</t>
  </si>
  <si>
    <t>OFFFICE SUPPLIES</t>
  </si>
  <si>
    <t>STAMP</t>
  </si>
  <si>
    <t>PADLOCK COMB</t>
  </si>
  <si>
    <t>199-53-6399.10-880-699080</t>
  </si>
  <si>
    <t>TIRES MOUNT OFF 3 DOLLYS</t>
  </si>
  <si>
    <t>10/1/15-10/29/15</t>
  </si>
  <si>
    <t>SAFETY CLEAR GLASSES</t>
  </si>
  <si>
    <t>MEASURE TAPE</t>
  </si>
  <si>
    <t xml:space="preserve">CONNECTOR QUICK </t>
  </si>
  <si>
    <t>BUS 41 EVAPORATOR COIL</t>
  </si>
  <si>
    <t>BUS 11 @ COASTAL DIESEL</t>
  </si>
  <si>
    <t>KEYBOARD</t>
  </si>
  <si>
    <t>199-11-6649.00-001-631Z80</t>
  </si>
  <si>
    <t xml:space="preserve">APPLECARE PROTECTION </t>
  </si>
  <si>
    <t>IMAC 21.5'</t>
  </si>
  <si>
    <t>199-11-6249.VA-001-622022</t>
  </si>
  <si>
    <t>RES POWER WASHER</t>
  </si>
  <si>
    <t>AUTO MECH SUPPLIES</t>
  </si>
  <si>
    <t>INNR TIE ROD TOOL</t>
  </si>
  <si>
    <t xml:space="preserve">TOGGLE SWITCH &amp; </t>
  </si>
  <si>
    <t>BLICK ART MATERIALS</t>
  </si>
  <si>
    <t>199-11-6399.7A-001-611001</t>
  </si>
  <si>
    <t>199-11-6399.7A-041-611003</t>
  </si>
  <si>
    <t>ALUM RULERS</t>
  </si>
  <si>
    <t xml:space="preserve">DYNASTY SAPPHIRE </t>
  </si>
  <si>
    <t>DIARY OF A WIMPY KID</t>
  </si>
  <si>
    <t>CUSTODIAL SUPPLIES</t>
  </si>
  <si>
    <t xml:space="preserve">CLEANER &amp; MICROFIBER </t>
  </si>
  <si>
    <t>CAREERSAFE</t>
  </si>
  <si>
    <t>199-11-6339.VL-001-622022</t>
  </si>
  <si>
    <t>OSHA 10 HOUR COURSE</t>
  </si>
  <si>
    <t>BUFF PADS</t>
  </si>
  <si>
    <t>WASTEBASKETS</t>
  </si>
  <si>
    <t>BUFF LINERS &amp; AEROSOL</t>
  </si>
  <si>
    <t xml:space="preserve">BLADE SCRAPER &amp; </t>
  </si>
  <si>
    <t>ABSORBANT</t>
  </si>
  <si>
    <t>FOAMING SKIN CLEANSER</t>
  </si>
  <si>
    <t xml:space="preserve">CHAD SWEIGART </t>
  </si>
  <si>
    <t>SEPT 2015 PT SERVICES</t>
  </si>
  <si>
    <t>OCT 2015 PT SERVICES</t>
  </si>
  <si>
    <t xml:space="preserve">ADAPTIVE @ PUMPKIN </t>
  </si>
  <si>
    <t>10/1/15 SERVICE</t>
  </si>
  <si>
    <t>10/8/15 SERVICE</t>
  </si>
  <si>
    <t>10/15/15 SERVICE</t>
  </si>
  <si>
    <t>10/22/15 SERVICE</t>
  </si>
  <si>
    <t>10/29/15 SERVICE</t>
  </si>
  <si>
    <t>OCT 2015 OT BILLING</t>
  </si>
  <si>
    <t>CUSTOMINK, LLC</t>
  </si>
  <si>
    <t>VETERANS TSHIRTS</t>
  </si>
  <si>
    <t>199-36-6412.3Y-001-699574</t>
  </si>
  <si>
    <t>V/VB @ LAREDO 11/3/15</t>
  </si>
  <si>
    <t>BAND V/FB MILLER 10/16/15</t>
  </si>
  <si>
    <t>POLICY OVERVIEW 11/10/15</t>
  </si>
  <si>
    <t>WORKSHOP 1287608 11/03/15</t>
  </si>
  <si>
    <t>199-12-6411.00-104-611094</t>
  </si>
  <si>
    <t>199-13-6411.04-001-611023</t>
  </si>
  <si>
    <t>WORKSHOP 1305989 10/09/15</t>
  </si>
  <si>
    <t>WORKSHOP 1308518 10/27/15</t>
  </si>
  <si>
    <t>WORKSHOP 1295401 10/17/15</t>
  </si>
  <si>
    <t>199-41-6239.11-726-699091</t>
  </si>
  <si>
    <t xml:space="preserve">SCHOOL BUSINESS </t>
  </si>
  <si>
    <t>DEBBY HUGHES</t>
  </si>
  <si>
    <t>PHILIP CARROLL</t>
  </si>
  <si>
    <t>OUTSIDE LIGHTS</t>
  </si>
  <si>
    <t>GLASS LENS LAMPS</t>
  </si>
  <si>
    <t>LED A LAMP</t>
  </si>
  <si>
    <t>HINGE SET SCRANTON</t>
  </si>
  <si>
    <t>199-11-6411.00-001-623123</t>
  </si>
  <si>
    <t>7/16/15-10/14/15 MILEAGE</t>
  </si>
  <si>
    <t>199-11-6411.00-041-623123</t>
  </si>
  <si>
    <t>199-11-6411.00-101-623123</t>
  </si>
  <si>
    <t>199-11-6411.00-104-623123</t>
  </si>
  <si>
    <t>FLEETPRIDE</t>
  </si>
  <si>
    <t>BUS 5 DOOR LINKAGE</t>
  </si>
  <si>
    <t>NYLON PUSH ON MALE CONN</t>
  </si>
  <si>
    <t>FLORES, PATRICIA</t>
  </si>
  <si>
    <t xml:space="preserve">HOSA LDERSHP @ AUSTIN </t>
  </si>
  <si>
    <t xml:space="preserve">FOLLETT SCHOOL </t>
  </si>
  <si>
    <t>MANILLA FOLDERS</t>
  </si>
  <si>
    <t>BADGE CLIP W/STRAPS</t>
  </si>
  <si>
    <t>CONSTRUCTION PAPER</t>
  </si>
  <si>
    <t>COLOR PAPER</t>
  </si>
  <si>
    <t>18X18X18 BOXES</t>
  </si>
  <si>
    <t>INSIGHT INVESTMENTS, LLC</t>
  </si>
  <si>
    <t>PCD DELL 990</t>
  </si>
  <si>
    <t>PCD DELL 790</t>
  </si>
  <si>
    <t>DETECTION SERVICE 10/8/15</t>
  </si>
  <si>
    <t>MS ALARM SERVICE 10/22/15</t>
  </si>
  <si>
    <t xml:space="preserve">PRIMRY ALARM SERVICE </t>
  </si>
  <si>
    <t>HS ALARM SERVICE 11/4/15</t>
  </si>
  <si>
    <t>11/1/15-11/30/15 DCA RECORD</t>
  </si>
  <si>
    <t xml:space="preserve">10/1/15-10/30/15 MAINT </t>
  </si>
  <si>
    <t>MOUSE/RAT GLUE TRAPS</t>
  </si>
  <si>
    <t>IPAD COVERS</t>
  </si>
  <si>
    <t xml:space="preserve">EXEMPTIONS MEETING </t>
  </si>
  <si>
    <t xml:space="preserve">11/9/15-11/13/15 TRAFFIC </t>
  </si>
  <si>
    <t>OCT 2015 MAINT</t>
  </si>
  <si>
    <t>BROKEN 2ND FLR BUTTON</t>
  </si>
  <si>
    <t>OFFICE SYSTEMS 2000, INC</t>
  </si>
  <si>
    <t>199-41-6399.10-728-699091</t>
  </si>
  <si>
    <t>INK CARTRIDGE</t>
  </si>
  <si>
    <t>10/1/15-10/30/15</t>
  </si>
  <si>
    <t>BULLETING BOARD SUPPLIES</t>
  </si>
  <si>
    <t>LIGHTNING CABLE</t>
  </si>
  <si>
    <t>199-23-6498.10-104-699005</t>
  </si>
  <si>
    <t xml:space="preserve">TRAINING &amp; AURTHOR </t>
  </si>
  <si>
    <t>OTHER TEST</t>
  </si>
  <si>
    <t>PRE-EMPLOYMENT TEST</t>
  </si>
  <si>
    <t>PROFORMA</t>
  </si>
  <si>
    <t>A/P LASER CHECKS</t>
  </si>
  <si>
    <t>10/23/15 POSTAGE REFILL</t>
  </si>
  <si>
    <t>REI REPAIRS</t>
  </si>
  <si>
    <t>OCT 2015 SERVICE</t>
  </si>
  <si>
    <t>199-36-6411.7E-001-699131</t>
  </si>
  <si>
    <t>FACULTY MEETING 10/14/15</t>
  </si>
  <si>
    <t xml:space="preserve">PRINCIPALS MEETING </t>
  </si>
  <si>
    <t>SANDERS, DIANE</t>
  </si>
  <si>
    <t>199-23-6411.10-041-699003</t>
  </si>
  <si>
    <t>9/1/15-11/10/15 MILEAGE</t>
  </si>
  <si>
    <t>1ST GRADE SUPPLIES</t>
  </si>
  <si>
    <t>199-11-6399.03-101-611004</t>
  </si>
  <si>
    <t>3RD GRADE SUPPLIES</t>
  </si>
  <si>
    <t xml:space="preserve">SOUTHEASTERN </t>
  </si>
  <si>
    <t>199-11-6398.7E-001-611031</t>
  </si>
  <si>
    <t>ORATORIO DRESSES</t>
  </si>
  <si>
    <t>FLORAL DESIGN SUPPLIES</t>
  </si>
  <si>
    <t>STUMP ENTERPRISES, LLC</t>
  </si>
  <si>
    <t>SEPTIC TANK 11/4/15</t>
  </si>
  <si>
    <t>SUMNER, RODNEY</t>
  </si>
  <si>
    <t>199-41-6411.00-939-699087</t>
  </si>
  <si>
    <t>9/1/15-11/7/15 MILEAGE</t>
  </si>
  <si>
    <t>SYLVIA'S PASTRIES</t>
  </si>
  <si>
    <t>STAFF DEVELOPMENT 11/2/15</t>
  </si>
  <si>
    <t>LOCALIZED UPDATE 103</t>
  </si>
  <si>
    <t>2016 TASB FEE</t>
  </si>
  <si>
    <t xml:space="preserve">LEGAL ASSISTANCE FUND </t>
  </si>
  <si>
    <t>TEACHER'S DISCOVERY</t>
  </si>
  <si>
    <t>ADMIN CABLE 11/17/15-</t>
  </si>
  <si>
    <t>INTERNET 11/17/15-12/16/15</t>
  </si>
  <si>
    <t>BROADBANDS 11/17/15-</t>
  </si>
  <si>
    <t>199-00-5749.00-000-600000</t>
  </si>
  <si>
    <t>ARAMARK DONATION</t>
  </si>
  <si>
    <t>10/2/15-11/1/15</t>
  </si>
  <si>
    <t>199-36-6399.09-101-699004</t>
  </si>
  <si>
    <t>RIBBONS</t>
  </si>
  <si>
    <t>UIL MATERIALS</t>
  </si>
  <si>
    <t>STUDY MATERIALS BOOKLET</t>
  </si>
  <si>
    <t>VARGAS, CELINA</t>
  </si>
  <si>
    <t>AQUATIC SCIENCE SUPPLIES</t>
  </si>
  <si>
    <t>DRILL MEET @ RAY 1/30/16</t>
  </si>
  <si>
    <t>WILTSHIRE, DAVID</t>
  </si>
  <si>
    <t>9/1/15-11/11/15 MILEAGE</t>
  </si>
  <si>
    <t xml:space="preserve">WORKERS ASSISTANCE </t>
  </si>
  <si>
    <t xml:space="preserve">PALS LDRSHP @ MANOR JAN </t>
  </si>
  <si>
    <t xml:space="preserve">ACADEMIC THERAPY </t>
  </si>
  <si>
    <t>199-11-6396.05-101-611023</t>
  </si>
  <si>
    <t>THS R KIT</t>
  </si>
  <si>
    <t>ACC OCT 2015 90 DAY FILTER</t>
  </si>
  <si>
    <t xml:space="preserve">MAINT OCT 2015 90 DAY </t>
  </si>
  <si>
    <t>MS OCT 2015 90 DAY FILTER</t>
  </si>
  <si>
    <t xml:space="preserve">TRANS OCT 2015 90 DAY </t>
  </si>
  <si>
    <t>HS OCT 2015 90 DAY FILTER</t>
  </si>
  <si>
    <t>HS OCT 2015 180 DAY FILTER</t>
  </si>
  <si>
    <t xml:space="preserve">HS 5400 SCRUBBER VACUUM </t>
  </si>
  <si>
    <t xml:space="preserve">CENTERING RINGS &amp; BALSA </t>
  </si>
  <si>
    <t xml:space="preserve">TEACHING W/POVERTY IN </t>
  </si>
  <si>
    <t>DISTRICT 11/15/15</t>
  </si>
  <si>
    <t xml:space="preserve">PROTETOR FILTER &amp; LENS </t>
  </si>
  <si>
    <t>199-00-1291.13-000-600000</t>
  </si>
  <si>
    <t xml:space="preserve">CERTIFICATION @ UTRGV </t>
  </si>
  <si>
    <t>199-11-6399.24-001-628028</t>
  </si>
  <si>
    <t xml:space="preserve">SUPERSCANNER V METAL </t>
  </si>
  <si>
    <t xml:space="preserve">KIDNEY SECT NEPHRONS </t>
  </si>
  <si>
    <t xml:space="preserve">BESSELS &amp; RENAL </t>
  </si>
  <si>
    <t xml:space="preserve">GLENCOE LITERATURE TX </t>
  </si>
  <si>
    <t>199-11-6399.SR-001-611001</t>
  </si>
  <si>
    <t>CRAYOLA CRAYONS CASE</t>
  </si>
  <si>
    <t xml:space="preserve">PROTECTION PLAN </t>
  </si>
  <si>
    <t>199-13-6411.7K-001-611001</t>
  </si>
  <si>
    <t xml:space="preserve">THEATREFEST @ DALLAS </t>
  </si>
  <si>
    <t>GUN CABINET</t>
  </si>
  <si>
    <t>UIL SUPPLIES</t>
  </si>
  <si>
    <t xml:space="preserve">VETERANS LUNCHEON </t>
  </si>
  <si>
    <t>BOARD MEETING 11/11/15</t>
  </si>
  <si>
    <t xml:space="preserve">MOWER PARTS &amp; ENGINE </t>
  </si>
  <si>
    <t>GV DISTILLED &amp; VINEGAR</t>
  </si>
  <si>
    <t>MOUSE TRAPS</t>
  </si>
  <si>
    <t>TAPE &amp; DISPENSER GUN</t>
  </si>
  <si>
    <t>199-51-6319.MS-936-699081</t>
  </si>
  <si>
    <t>SECURITY SPOTLIGHT</t>
  </si>
  <si>
    <t>199-51-6495.10-936-699081</t>
  </si>
  <si>
    <t>ALAM BEAN MEMBERSHIP</t>
  </si>
  <si>
    <t xml:space="preserve">INTERMEDIATE MOVE OCT </t>
  </si>
  <si>
    <t>8/24/15-11/13/15 MILEAGE</t>
  </si>
  <si>
    <t>199-23-6411.10-101-699104</t>
  </si>
  <si>
    <t>9/1/15-11/19/15 MILEAGE</t>
  </si>
  <si>
    <t>CORE EXCHANGE</t>
  </si>
  <si>
    <t xml:space="preserve">RGN CLINIC @ FBLUFF DEC </t>
  </si>
  <si>
    <t xml:space="preserve">RGN AUDITIONS @ FBLUFF </t>
  </si>
  <si>
    <t>BUS 41 AIR BRAKE VALVE</t>
  </si>
  <si>
    <t xml:space="preserve">BUS 1 AIR PUMP &amp; BRAKE </t>
  </si>
  <si>
    <t>199-11-6399.02-101-611004</t>
  </si>
  <si>
    <t>DECA DISTRICT 1</t>
  </si>
  <si>
    <t xml:space="preserve">CAREER DEVEL @ MCALLEN </t>
  </si>
  <si>
    <t>OPTIPLEX 9020 MINI TOWER</t>
  </si>
  <si>
    <t>DOOR DIRECT</t>
  </si>
  <si>
    <t>VARIOUS DOOR MAINT</t>
  </si>
  <si>
    <t>199-51-6249.MC-002-699081</t>
  </si>
  <si>
    <t xml:space="preserve">ALARM KEYPADS ENTRY </t>
  </si>
  <si>
    <t>ECOLAB</t>
  </si>
  <si>
    <t xml:space="preserve">LAUNDRI DESTAINER &amp; </t>
  </si>
  <si>
    <t>BUS 1 BRONZE LAMI</t>
  </si>
  <si>
    <t>BB BATTERIES</t>
  </si>
  <si>
    <t xml:space="preserve">HID LAMPS &amp; WIRE </t>
  </si>
  <si>
    <t>DOOR HARDWARE INSWING</t>
  </si>
  <si>
    <t>DOGGING SCREW PACKAGE</t>
  </si>
  <si>
    <t>199-41-6397.11-720-699091</t>
  </si>
  <si>
    <t xml:space="preserve">MCCALL PARKHURST &amp; </t>
  </si>
  <si>
    <t>FCCLA</t>
  </si>
  <si>
    <t>8/17/15-10/19/15 MILEAGE</t>
  </si>
  <si>
    <t xml:space="preserve">TM111 OIL CHANGE &amp; </t>
  </si>
  <si>
    <t>TM103 HEATER CORE</t>
  </si>
  <si>
    <t>TM109 COLUMN STEERING</t>
  </si>
  <si>
    <t>199-11-6399.8J-001-611001</t>
  </si>
  <si>
    <t xml:space="preserve">SOCCER, VOLLEYBALLS &amp; </t>
  </si>
  <si>
    <t>MASTER PADLOCKS</t>
  </si>
  <si>
    <t xml:space="preserve">ADJUSTABLE EXTENSION </t>
  </si>
  <si>
    <t>ISM</t>
  </si>
  <si>
    <t>199-41-6495.10-728-699091</t>
  </si>
  <si>
    <t>1/1/16-12/31/16 MEMBERSHIP</t>
  </si>
  <si>
    <t>STAFF MEETING 10/2/15</t>
  </si>
  <si>
    <t>JOHNSTONE SUPPLY</t>
  </si>
  <si>
    <t>FOCUSPRO</t>
  </si>
  <si>
    <t>VAL8637 TXV R410</t>
  </si>
  <si>
    <t>RELAY, BELT &amp; ADHESIVE</t>
  </si>
  <si>
    <t>CONDENSATE PUMP</t>
  </si>
  <si>
    <t>199-31-6399.7F-041-699003</t>
  </si>
  <si>
    <t>CHIOR SUPPLIES</t>
  </si>
  <si>
    <t>CHRISTMAS JOY</t>
  </si>
  <si>
    <t>AFRICAN NOEL</t>
  </si>
  <si>
    <t>BELLS</t>
  </si>
  <si>
    <t>BELLS &amp; CHRISTMAS SHOES</t>
  </si>
  <si>
    <t xml:space="preserve">BELLS &amp; TEXT ME MERRY </t>
  </si>
  <si>
    <t>NIGHT BEFORE CHRISTMAS</t>
  </si>
  <si>
    <t>GROW UP CHRISTMAS LIST</t>
  </si>
  <si>
    <t>KADUCEUS HOLDINGS INC</t>
  </si>
  <si>
    <t>199-11-6329.NM-001-622022</t>
  </si>
  <si>
    <t xml:space="preserve">PHARMTECH STUDENT </t>
  </si>
  <si>
    <t>ANIMAL SUPPLIES</t>
  </si>
  <si>
    <t xml:space="preserve">SHOWER HEAD, BRASS &amp; </t>
  </si>
  <si>
    <t>WALL MOUNT SINK FAUCET</t>
  </si>
  <si>
    <t xml:space="preserve">11/16/15-11/20/15 TRAFFIC </t>
  </si>
  <si>
    <t>10/29/15 MEDICAID CLAIMS</t>
  </si>
  <si>
    <t>11/5/15 MEDICAID CLAIMS</t>
  </si>
  <si>
    <t>11/19/15 MEDICAID CLAIMS</t>
  </si>
  <si>
    <t>11/24/15-12/21/15</t>
  </si>
  <si>
    <t>911 SECURITY CAMERAS, INC</t>
  </si>
  <si>
    <t>199-52-6395.00-880-699080</t>
  </si>
  <si>
    <t>VIDEO SOFTWARE LICENSES</t>
  </si>
  <si>
    <t>NUECES COUNTY TAX</t>
  </si>
  <si>
    <t>199-41-6213.11-703-699091</t>
  </si>
  <si>
    <t>AD VALOREM TAXES</t>
  </si>
  <si>
    <t>NOV 2015 MAINT</t>
  </si>
  <si>
    <t>CALENDAR &amp; XMAS DECOR</t>
  </si>
  <si>
    <t xml:space="preserve">BAND @ V/FB VICTORIA </t>
  </si>
  <si>
    <t>1/1/16-3/31/16</t>
  </si>
  <si>
    <t>199-23-6649.00-101-699004</t>
  </si>
  <si>
    <t>REPLACEMENT BATTERIES</t>
  </si>
  <si>
    <t>REI &amp; RADIO REMOVALS</t>
  </si>
  <si>
    <t>UNIFORM SUPPLIES</t>
  </si>
  <si>
    <t>199-36-6412.7E-001-699574</t>
  </si>
  <si>
    <t>HONOR CHOIR @ MO MAR 3-</t>
  </si>
  <si>
    <t xml:space="preserve">7115 GALLONS UNLEADED &amp; </t>
  </si>
  <si>
    <t xml:space="preserve">SCHNEIDER ELECTRIC </t>
  </si>
  <si>
    <t>VISTA 5.1 &amp; REMOTE INSTALL</t>
  </si>
  <si>
    <t>SOLID BORDER, INC</t>
  </si>
  <si>
    <t xml:space="preserve">BARRACUDA SPAM </t>
  </si>
  <si>
    <t xml:space="preserve">MICE/MEN &amp; FAULT IN OUR </t>
  </si>
  <si>
    <t xml:space="preserve">TEXAS HIGH SCHOOL MOCK </t>
  </si>
  <si>
    <t xml:space="preserve">MOCK TRAIL DEBATE @ CC </t>
  </si>
  <si>
    <t>11/15/15 SPRAY APPLICATION</t>
  </si>
  <si>
    <t>4TH GRADE SUPPLIES</t>
  </si>
  <si>
    <t>ADULT PONCHOS</t>
  </si>
  <si>
    <t>199-11-6399.76-041-611003</t>
  </si>
  <si>
    <t>7TH GRADE SUPPLIES</t>
  </si>
  <si>
    <t>BAND SUPPLIES</t>
  </si>
  <si>
    <t>24X40 TARP</t>
  </si>
  <si>
    <t>199-11-6399.7P-001-611001</t>
  </si>
  <si>
    <t>HEALTH SUPPLIES</t>
  </si>
  <si>
    <t>PALS CLASSROOM SUPPLIES</t>
  </si>
  <si>
    <t>FASTENERS</t>
  </si>
  <si>
    <t>PHYSICS SUPPLIES</t>
  </si>
  <si>
    <t>PHYSIC LAB SUPPLIES</t>
  </si>
  <si>
    <t>199-11-6499.11-002-611002</t>
  </si>
  <si>
    <t>ATTENDANCE INCENTIVES</t>
  </si>
  <si>
    <t>MICROWAVE</t>
  </si>
  <si>
    <t>LONG NOSE PLIERS</t>
  </si>
  <si>
    <t>AIR COMPRESSOR</t>
  </si>
  <si>
    <t>USB MALE TO PS2 FEMALE</t>
  </si>
  <si>
    <t>ANGLE OUTLETS</t>
  </si>
  <si>
    <t>BAND SHOPPE</t>
  </si>
  <si>
    <t>199-11-6649.7B-001-611032</t>
  </si>
  <si>
    <t xml:space="preserve">JARVIS DRILL FIELD </t>
  </si>
  <si>
    <t xml:space="preserve">BATTERY, ADAPTER &amp; </t>
  </si>
  <si>
    <t>11/23/15-12/22/15 STORAGE</t>
  </si>
  <si>
    <t>ENZYME ODOR ELIMINATOR</t>
  </si>
  <si>
    <t>WIPES POP UP BOX</t>
  </si>
  <si>
    <t>SPRAY BOTTLES</t>
  </si>
  <si>
    <t>11/5/15 SERVICE</t>
  </si>
  <si>
    <t>11/12/15 SERVICE</t>
  </si>
  <si>
    <t>11/19/15 SERVICE</t>
  </si>
  <si>
    <t>11/26/15 SERVICE</t>
  </si>
  <si>
    <t>HS WATER 10/20/15-11/18/15</t>
  </si>
  <si>
    <t>ACC WATER 10/19/15-11/17/15</t>
  </si>
  <si>
    <t>MS WATER 10/19/15-11/17/15</t>
  </si>
  <si>
    <t>PRIMRY WATER 10/19/15-</t>
  </si>
  <si>
    <t>INTER WATER 10/19/15-</t>
  </si>
  <si>
    <t>ADMIN WATER 10/19/15-</t>
  </si>
  <si>
    <t>MAINT WATER 10/19/15-</t>
  </si>
  <si>
    <t>FB FLD WATER 10/20/15-</t>
  </si>
  <si>
    <t>MS GAS 10/19/15-11/17/15</t>
  </si>
  <si>
    <t>PRIMRY GAS 10/19/15-</t>
  </si>
  <si>
    <t>INTER GAS 10/19/15-11/17/15</t>
  </si>
  <si>
    <t xml:space="preserve">CORPUS CHRISTI CALLER </t>
  </si>
  <si>
    <t>199-12-6329.7U-001-611001</t>
  </si>
  <si>
    <t>12 MONTHS RENEWAL</t>
  </si>
  <si>
    <t>1/1/16-1/31/16</t>
  </si>
  <si>
    <t>ECOLAB, INC</t>
  </si>
  <si>
    <t xml:space="preserve">LAUNDRY DESTAINER &amp; </t>
  </si>
  <si>
    <t>WORKSHOP 1295568 11/7/15</t>
  </si>
  <si>
    <t>199-41-6239.11-701-699092</t>
  </si>
  <si>
    <t xml:space="preserve">LEADERSHIP SERVICES </t>
  </si>
  <si>
    <t>CORNER STALL FLOOR</t>
  </si>
  <si>
    <t>TM115 ENGINE HEAD GASKET</t>
  </si>
  <si>
    <t>TM115 SEAT BELT</t>
  </si>
  <si>
    <t xml:space="preserve">TM109 TURN SIGNAL </t>
  </si>
  <si>
    <t>TM115 A/C COMPRESSOR</t>
  </si>
  <si>
    <t>GARIBAY, NELDA</t>
  </si>
  <si>
    <t>9/3/15-9/15/15 MILEAGE</t>
  </si>
  <si>
    <t>GCR TIRE CENTERS</t>
  </si>
  <si>
    <t xml:space="preserve">TRLR01 FLAT @ VICTORIA </t>
  </si>
  <si>
    <t>GREATSTATE TRANSMISSION</t>
  </si>
  <si>
    <t>BUS 1 TRANSMISSION</t>
  </si>
  <si>
    <t xml:space="preserve">FOOD SOCIAL LIVING </t>
  </si>
  <si>
    <t>BATTERIES &amp; CLX WIPES</t>
  </si>
  <si>
    <t>SONIC GIFT CARDS</t>
  </si>
  <si>
    <t>STAFF LUNCHEON 11/18/15</t>
  </si>
  <si>
    <t>10/13/15-11/25/15</t>
  </si>
  <si>
    <t>199-36-6411.VL-001-622122</t>
  </si>
  <si>
    <t>BINDER CLIPS</t>
  </si>
  <si>
    <t>8/26/15-12/2/15 MILEAGE</t>
  </si>
  <si>
    <t xml:space="preserve">11/30/15-12/4/15 TRAFFIC </t>
  </si>
  <si>
    <t xml:space="preserve">WINTERWONDERLAND </t>
  </si>
  <si>
    <t>199-52-6399.00-002-699080</t>
  </si>
  <si>
    <t>OUTDOOR MOUNTING L-</t>
  </si>
  <si>
    <t xml:space="preserve">2016 BUDGET ALLOCATION </t>
  </si>
  <si>
    <t>RIVETER &amp; SEALED BEAM</t>
  </si>
  <si>
    <t>THRIFT PACK &amp; DRILL BITS</t>
  </si>
  <si>
    <t>EXTERIOR MOUNTING TAPE</t>
  </si>
  <si>
    <t>SCHOLARS LUNCH PLATES</t>
  </si>
  <si>
    <t>ALUMINUM FRAMED MARKER</t>
  </si>
  <si>
    <t xml:space="preserve">EXPO WHITE BOARD </t>
  </si>
  <si>
    <t>NOV 2015 SERVICE</t>
  </si>
  <si>
    <t>8/17/15-12/11/15 MILEAGE</t>
  </si>
  <si>
    <t>FACULTY MEETING 11/2/15</t>
  </si>
  <si>
    <t>PRINCIPALS MEETING 11/9/15</t>
  </si>
  <si>
    <t xml:space="preserve">SOUTH TEXAS BAND &amp; </t>
  </si>
  <si>
    <t>199-11-6398.7E-041-611035</t>
  </si>
  <si>
    <t xml:space="preserve">FINALE DRESS &amp; TUXEDO </t>
  </si>
  <si>
    <t xml:space="preserve">SOUTH TEXAS MUSIC MART </t>
  </si>
  <si>
    <t>199-11-6249.7B-041-611036</t>
  </si>
  <si>
    <t>SAX 684028 &amp; 010535A</t>
  </si>
  <si>
    <t>YAMAHA SAX 029654</t>
  </si>
  <si>
    <t>BUS 21 NEW TIRES</t>
  </si>
  <si>
    <t>BUS 21 TIRE CHANGE</t>
  </si>
  <si>
    <t>BUS 5 NEW TIRE</t>
  </si>
  <si>
    <t>TM107 NEW TIRES</t>
  </si>
  <si>
    <t>TM115 NEW TIRE</t>
  </si>
  <si>
    <t xml:space="preserve">PULLEY, SHAFTING &amp; </t>
  </si>
  <si>
    <t>TSPRA</t>
  </si>
  <si>
    <t>199-41-6495.10-735-699096</t>
  </si>
  <si>
    <t>MEMBERSHIP RENEW</t>
  </si>
  <si>
    <t>VWR SARGENT WELCH</t>
  </si>
  <si>
    <t>199-11-6399.NC-001-611001</t>
  </si>
  <si>
    <t>CHEMISTRY CLASS SUPPLIES</t>
  </si>
  <si>
    <t>SODIUM HYDROXIDE BEAD</t>
  </si>
  <si>
    <t>CRUCIBLE COVER STEEL</t>
  </si>
  <si>
    <t>WALKER, KATHERIN</t>
  </si>
  <si>
    <t>11/12/15 MILEAGE</t>
  </si>
  <si>
    <t>WALLACE, DON</t>
  </si>
  <si>
    <t>199-11-6249.8C-104-611005</t>
  </si>
  <si>
    <t>PIANO TUNE</t>
  </si>
  <si>
    <t>199-41-6499.00-709-699083</t>
  </si>
  <si>
    <t>9/1/15-12/31/15</t>
  </si>
  <si>
    <t>XEROX CORPORATION</t>
  </si>
  <si>
    <t>199-00-1411.15-000-600000</t>
  </si>
  <si>
    <t>1/31/16-1/31/17</t>
  </si>
  <si>
    <t>1/31/14-1/31/16</t>
  </si>
  <si>
    <t>199-41-6395.00-932-699084</t>
  </si>
  <si>
    <t>HANGING FOLDERS</t>
  </si>
  <si>
    <t>CORNER DESK</t>
  </si>
  <si>
    <t xml:space="preserve">DELIVERY &amp; HAZMAT </t>
  </si>
  <si>
    <t xml:space="preserve">COUNSELING 11/9/15 &amp; </t>
  </si>
  <si>
    <t>MOTOR &amp; MECHANICAL SEAL</t>
  </si>
  <si>
    <t xml:space="preserve">SULFURIC ACID &amp; PUMP </t>
  </si>
  <si>
    <t>WEBSTERS THESAURUS</t>
  </si>
  <si>
    <t>10/23/15-11/13/15 MILEAGE</t>
  </si>
  <si>
    <t>CRAYOLA CLR PENCILS SET</t>
  </si>
  <si>
    <t>BOWERS, LINDSEY</t>
  </si>
  <si>
    <t>9/10/15 MILEAGE</t>
  </si>
  <si>
    <t>JANITORIAL SUPPLIES</t>
  </si>
  <si>
    <t>LINERS</t>
  </si>
  <si>
    <t>9/16/15-11/16/15 MILEAGE</t>
  </si>
  <si>
    <t>11/3/15-12/15/15 MILEAGE</t>
  </si>
  <si>
    <t>AIR DISPENSER</t>
  </si>
  <si>
    <t>HAUPPAUGE WINTV HVR</t>
  </si>
  <si>
    <t>GIGAWORKS T20 SERIES</t>
  </si>
  <si>
    <t>199-11-6399.10-104-611080</t>
  </si>
  <si>
    <t>GIGABIT SWITCH 5PT</t>
  </si>
  <si>
    <t>TRIPP KVM CONSOLE</t>
  </si>
  <si>
    <t>NOV 2015 PT SERVICES</t>
  </si>
  <si>
    <t>FALSE ALARM 9/14/15</t>
  </si>
  <si>
    <t>BUS 5 FUEL HOSES REPAIR</t>
  </si>
  <si>
    <t>BUS 21 WATER &amp; AIR PUMP</t>
  </si>
  <si>
    <t>CONSTANTE, HORTENCIA</t>
  </si>
  <si>
    <t>STAFF LUNCHEON 12/11/15</t>
  </si>
  <si>
    <t>NOV 2015 OT BILLING</t>
  </si>
  <si>
    <t>DEL MAR COLLEGE</t>
  </si>
  <si>
    <t>CTE TUITION</t>
  </si>
  <si>
    <t xml:space="preserve">DRAMATISTS PLAY SERVICE </t>
  </si>
  <si>
    <t>SEVERAL SCRIPTS</t>
  </si>
  <si>
    <t>199-00-1411.11-000-600000</t>
  </si>
  <si>
    <t>TXEIS SERVICES</t>
  </si>
  <si>
    <t>PE LPI M6 LIGHT</t>
  </si>
  <si>
    <t>TIME DELAY FUSE</t>
  </si>
  <si>
    <t xml:space="preserve">MOUNTAIN ROSE </t>
  </si>
  <si>
    <t>FOIL LINED ENVELOPES</t>
  </si>
  <si>
    <t>DESERT STORM PAPER</t>
  </si>
  <si>
    <t>LEADERSHIP @ ABC FEB 13-</t>
  </si>
  <si>
    <t>199-36-6411.VH-001-622022</t>
  </si>
  <si>
    <t>BUS 21 OIL CHANGE</t>
  </si>
  <si>
    <t>BUS 25 OIL CHANGE</t>
  </si>
  <si>
    <t>BUS 48 OIL CHANGE</t>
  </si>
  <si>
    <t>BUS 50 OIL CHANGE</t>
  </si>
  <si>
    <t>199-41-6211.10-726-699091</t>
  </si>
  <si>
    <t>BLADE NOTCHED</t>
  </si>
  <si>
    <t>WINTER CONCERT 12/8/15</t>
  </si>
  <si>
    <t xml:space="preserve">HOLTON FRENCH HORN </t>
  </si>
  <si>
    <t>HOLTON FRENCH HORN 9827</t>
  </si>
  <si>
    <t>CONN FRENCH HORN 20011</t>
  </si>
  <si>
    <t>YAMAHA EUPHONIUM CASE</t>
  </si>
  <si>
    <t>199-11-6396.50-001-611080</t>
  </si>
  <si>
    <t xml:space="preserve">6/15/16--6/15/17 </t>
  </si>
  <si>
    <t>199-11-6396.50-041-611080</t>
  </si>
  <si>
    <t>199-11-6396.50-101-611080</t>
  </si>
  <si>
    <t>199-11-6396.50-104-611080</t>
  </si>
  <si>
    <t>199-11-6649.00-999-611Z80</t>
  </si>
  <si>
    <t xml:space="preserve">NETWORK ADAPTER 4 </t>
  </si>
  <si>
    <t>DETECTION SERVICE 11/13,</t>
  </si>
  <si>
    <t>199-11-6411.LK-041-611003</t>
  </si>
  <si>
    <t>9/1/15-12/15/15 MILEAGE</t>
  </si>
  <si>
    <t>BX DROP 9/14/15 P/U 12/1/15</t>
  </si>
  <si>
    <t>MS ALARM SERVICE 12/1/15</t>
  </si>
  <si>
    <t xml:space="preserve">11/1/15-11/30/15 MAINT </t>
  </si>
  <si>
    <t>12/1/15-12/31/15 DCA RECORD</t>
  </si>
  <si>
    <t>12/1/15-12/31/15 LESSEE</t>
  </si>
  <si>
    <t>199-12-6399.7U-001-611001</t>
  </si>
  <si>
    <t>HDMI MALE TO VGA FEMALE</t>
  </si>
  <si>
    <t>199-36-6399.8S-001-699001</t>
  </si>
  <si>
    <t>FORENSICS FILES</t>
  </si>
  <si>
    <t xml:space="preserve">12/7/15-12/11/15 TRAFFIC </t>
  </si>
  <si>
    <t>MAZZATENTA, MICHAEL</t>
  </si>
  <si>
    <t xml:space="preserve">WINTER WONDERLAND </t>
  </si>
  <si>
    <t>OIL DIFFUSERS</t>
  </si>
  <si>
    <t>11/27/15 MEDICAID CLAIMS</t>
  </si>
  <si>
    <t>199-11-6399.7A-002-611002</t>
  </si>
  <si>
    <t>199-11-6339.00-001-623023</t>
  </si>
  <si>
    <t>RECORD FORMS</t>
  </si>
  <si>
    <t>199-11-6339.00-041-623023</t>
  </si>
  <si>
    <t>199-11-6339.00-101-623023</t>
  </si>
  <si>
    <t>199-11-6339.00-104-623023</t>
  </si>
  <si>
    <t>NXTEC USA LLC</t>
  </si>
  <si>
    <t>ABSORBENT VOMIT BAGS</t>
  </si>
  <si>
    <t>10/15/15-12/4/15 MILEAGE</t>
  </si>
  <si>
    <t xml:space="preserve">PARK PLACE RECREATION </t>
  </si>
  <si>
    <t xml:space="preserve">WOOD FIBER SURFACING </t>
  </si>
  <si>
    <t>DVD WRITER</t>
  </si>
  <si>
    <t xml:space="preserve">STAFF WORKING GBK </t>
  </si>
  <si>
    <t xml:space="preserve">FOOD SAFETY MGMT </t>
  </si>
  <si>
    <t>ETIQUETTE UNIT FOOD</t>
  </si>
  <si>
    <t>WINTER MEETING SUPPLIES</t>
  </si>
  <si>
    <t>STAFF THANKSGIVING</t>
  </si>
  <si>
    <t>VOCAB KIT &amp; JOURNAL ELEM</t>
  </si>
  <si>
    <t>SIPES, DIANA</t>
  </si>
  <si>
    <t xml:space="preserve">THANKSGIVING &amp; XMAS </t>
  </si>
  <si>
    <t>10/27/15-11/26/15</t>
  </si>
  <si>
    <t>SHEET PROTECTORS</t>
  </si>
  <si>
    <t xml:space="preserve">10X13 OPEN &amp; SEAL </t>
  </si>
  <si>
    <t>POWERLITE PROJECTORS</t>
  </si>
  <si>
    <t>SCOTCH TAPE</t>
  </si>
  <si>
    <t>TAGLE, KIMBERLY</t>
  </si>
  <si>
    <t>9/1/15-12/7/15 MILEAGE</t>
  </si>
  <si>
    <t xml:space="preserve">RGN AUDITIONS @ ALICE </t>
  </si>
  <si>
    <t>ADMIN CABLE 12/17/15-1/16/16</t>
  </si>
  <si>
    <t>INTERNET 12/17/15-1/16/16</t>
  </si>
  <si>
    <t>BROADBAQNDS 12/17/15-</t>
  </si>
  <si>
    <t>UIL SOLO @ TAMUK 2/6/16</t>
  </si>
  <si>
    <t xml:space="preserve">TX A&amp;M HEALTH SCIENCE </t>
  </si>
  <si>
    <t>199-36-6412.03-104-699005</t>
  </si>
  <si>
    <t>SCIENCE FAIR @ TAMUCC</t>
  </si>
  <si>
    <t>199-36-6495.09-101-699004</t>
  </si>
  <si>
    <t>CBTASBO</t>
  </si>
  <si>
    <t>199-41-6495.10-726-699091</t>
  </si>
  <si>
    <t>9/1/15-8/31/16</t>
  </si>
  <si>
    <t xml:space="preserve">BUDGET ACADEMY @ SA JAN </t>
  </si>
  <si>
    <t>RED ROOF INN</t>
  </si>
  <si>
    <t>199-13-6411.V8-001-622022</t>
  </si>
  <si>
    <t>AREA II REGION I BPA</t>
  </si>
  <si>
    <t>199-11-6412.VB-001-622022</t>
  </si>
  <si>
    <t xml:space="preserve">RGNL LEADERSHIP @ TM </t>
  </si>
  <si>
    <t>HOSA, INC.</t>
  </si>
  <si>
    <t xml:space="preserve">HOSA AREA @ MCALLEN JAN </t>
  </si>
  <si>
    <t>199-13-6411.VA-001-622022</t>
  </si>
  <si>
    <t>TIVA @ SA JAN 27-30</t>
  </si>
  <si>
    <t>199-36-6412.09-001-699001</t>
  </si>
  <si>
    <t xml:space="preserve">UIL MEET @ FLOUR BLUFF </t>
  </si>
  <si>
    <t>DUPLICATED PAYMENT</t>
  </si>
  <si>
    <t>HOELSCHER, GWYNETTA</t>
  </si>
  <si>
    <t xml:space="preserve">ACADEMIC DECA @ KING JAN </t>
  </si>
  <si>
    <t>HYATT REGENCY DALLAS</t>
  </si>
  <si>
    <t>199-51-6411.00-942-699088</t>
  </si>
  <si>
    <t xml:space="preserve">RADISSON HOTEL &amp; SUITES  </t>
  </si>
  <si>
    <t>TCEA @ AUSTIN JAN 31-FEB 4</t>
  </si>
  <si>
    <t xml:space="preserve">CX DEBATE @ VICTORIA </t>
  </si>
  <si>
    <t>REVERSAL</t>
  </si>
  <si>
    <t>INCORRECT PRINT</t>
  </si>
  <si>
    <t>Tech Supplies</t>
  </si>
  <si>
    <t>Supplies</t>
  </si>
  <si>
    <t>199-00-1291.01-000-600000</t>
  </si>
  <si>
    <t>LYNDA.COM INC</t>
  </si>
  <si>
    <t xml:space="preserve">SPEECH COMM APP </t>
  </si>
  <si>
    <t>199-11-6399.10-002-611002</t>
  </si>
  <si>
    <t>PO Created by Req: 601520</t>
  </si>
  <si>
    <t>199-11-6399.CA-001-611001</t>
  </si>
  <si>
    <t>199-11-6411.8C-101-611004</t>
  </si>
  <si>
    <t>Registration Fees</t>
  </si>
  <si>
    <t>199-13-6411.7B-001-611032</t>
  </si>
  <si>
    <t>Airline Reservations</t>
  </si>
  <si>
    <t>Dist. Use Supplies</t>
  </si>
  <si>
    <t>VOID</t>
  </si>
  <si>
    <t>ALREADY PAID(PETTY CASH)</t>
  </si>
  <si>
    <t xml:space="preserve">PO created by RSTK Req: </t>
  </si>
  <si>
    <t>12/3/15, 12/10/15 &amp; 12/17/15</t>
  </si>
  <si>
    <t>WATER</t>
  </si>
  <si>
    <t>GAS</t>
  </si>
  <si>
    <t>OT CONSULTANT SERVICES</t>
  </si>
  <si>
    <t>199-11-6229.NM-001-622022</t>
  </si>
  <si>
    <t>Tuition for CNA HS Program</t>
  </si>
  <si>
    <t>DELUXE</t>
  </si>
  <si>
    <t>DEPOSIT BOOKS</t>
  </si>
  <si>
    <t xml:space="preserve">DOUBLETREE SUITES BY </t>
  </si>
  <si>
    <t>HOSA Area Conf/Competition</t>
  </si>
  <si>
    <t>COFFEE AND SUPPLIES</t>
  </si>
  <si>
    <t>contract services</t>
  </si>
  <si>
    <t>199-51-6249.MC-041-699081</t>
  </si>
  <si>
    <t>Bldg.Maint Supplies</t>
  </si>
  <si>
    <t>maint supplies-district use</t>
  </si>
  <si>
    <t>Maint. Supplies Dsit. Use</t>
  </si>
  <si>
    <t>maint supplies HS</t>
  </si>
  <si>
    <t xml:space="preserve">TM109 SWITCH &amp; OIL </t>
  </si>
  <si>
    <t>grounds supplies</t>
  </si>
  <si>
    <t xml:space="preserve">ADAPTIVE ED/MIDDLE </t>
  </si>
  <si>
    <t>Open PO HFL Supplies</t>
  </si>
  <si>
    <t>PO Created by Req: 601989</t>
  </si>
  <si>
    <t>PO Created by Req: 602102</t>
  </si>
  <si>
    <t>Misc. Office Items</t>
  </si>
  <si>
    <t>199-41-6498.00-726-699091</t>
  </si>
  <si>
    <t>Recognition - cards and gifts</t>
  </si>
  <si>
    <t>Staff Meeting</t>
  </si>
  <si>
    <t>DIST WIDE ENERGY SERIVES-</t>
  </si>
  <si>
    <t>IXL LEARNING</t>
  </si>
  <si>
    <t>TAMMY SMITH</t>
  </si>
  <si>
    <t>PLANNER  &amp; PENS</t>
  </si>
  <si>
    <t>REIMBURSE</t>
  </si>
  <si>
    <t>KELLY, JOYCE KIM</t>
  </si>
  <si>
    <t>MILEAGE REIMBURSEMENT</t>
  </si>
  <si>
    <t>MAGAZINE SUBSCRIPTIONS</t>
  </si>
  <si>
    <t>199-11-6329.VA-001-622022</t>
  </si>
  <si>
    <t>Magazine Subcriptions</t>
  </si>
  <si>
    <t xml:space="preserve">NOTARY ASSOCIATION OF </t>
  </si>
  <si>
    <t>PO Created by Req: 602144</t>
  </si>
  <si>
    <t>DEC 2015 MAINT</t>
  </si>
  <si>
    <t>Bus Supplies</t>
  </si>
  <si>
    <t>Contract Services Pest Control</t>
  </si>
  <si>
    <t>CHECKS</t>
  </si>
  <si>
    <t>199-41-6499.10-726-699091</t>
  </si>
  <si>
    <t>LEGAL AD/SCHOOL FIRST</t>
  </si>
  <si>
    <t>PO Created by Req: 601196</t>
  </si>
  <si>
    <t>SOSA, MARICELA</t>
  </si>
  <si>
    <t>199-11-6499.00-001-625025</t>
  </si>
  <si>
    <t xml:space="preserve">Reimburse TEA Examination </t>
  </si>
  <si>
    <t xml:space="preserve">SOUTHERN CHARM HOME </t>
  </si>
  <si>
    <t>PO Created by Req: 601667</t>
  </si>
  <si>
    <t>11/27/15-12/26/15</t>
  </si>
  <si>
    <t>COUNSELOR SUPPLIES</t>
  </si>
  <si>
    <t xml:space="preserve">SUPER DUPER </t>
  </si>
  <si>
    <t>ADINA GONZALES</t>
  </si>
  <si>
    <t>TEXAS CHORAL DIRECTORS</t>
  </si>
  <si>
    <t>199-13-6411.7E-001-611031</t>
  </si>
  <si>
    <t>DIRECTOR MEMBERSHIP</t>
  </si>
  <si>
    <t xml:space="preserve">STUDENT NOVELS FOR </t>
  </si>
  <si>
    <t>BAND STUDENT REG. FEES</t>
  </si>
  <si>
    <t xml:space="preserve">RAMONA RAMON/NELDA </t>
  </si>
  <si>
    <t>CBI</t>
  </si>
  <si>
    <t xml:space="preserve">CLASSROOM SUPPLIES FOR </t>
  </si>
  <si>
    <t>Supplies Floral Design</t>
  </si>
  <si>
    <t>HFL Supplies</t>
  </si>
  <si>
    <t>PO Created by Req: 601641</t>
  </si>
  <si>
    <t>PO Created by Req: 601873</t>
  </si>
  <si>
    <t>PO Created by Req: 602028</t>
  </si>
  <si>
    <t>PO Created by Req: 601700</t>
  </si>
  <si>
    <t>PO Created by Req: 601990</t>
  </si>
  <si>
    <t>PO Created by Req: 602101</t>
  </si>
  <si>
    <t>PO Created by Req: 602042</t>
  </si>
  <si>
    <t>Local Function</t>
  </si>
  <si>
    <t>WIRE MIG ARCPLUS</t>
  </si>
  <si>
    <t>DECEMBER SERVICES</t>
  </si>
  <si>
    <t xml:space="preserve">EMBASSY SUITES HOTEL </t>
  </si>
  <si>
    <t>HILTON HOTEL IN AUSTIN</t>
  </si>
  <si>
    <t>TAMS @ AUSTIN JAN 22-25</t>
  </si>
  <si>
    <t>199-36-6495.7B-041-699036</t>
  </si>
  <si>
    <t>RGN AUDITIONS @ GP 1/23/16</t>
  </si>
  <si>
    <t>UTILITY LIGHTER &amp; PADLOCK</t>
  </si>
  <si>
    <t>199-36-6399.3K-001-691274</t>
  </si>
  <si>
    <t xml:space="preserve">MACBOOK PRO &amp; APPLE </t>
  </si>
  <si>
    <t>REMOTE CONTROL</t>
  </si>
  <si>
    <t xml:space="preserve">SECTY CAMERA </t>
  </si>
  <si>
    <t>SIDEWALK REPAIRS</t>
  </si>
  <si>
    <t>12/23/15-1/22/16</t>
  </si>
  <si>
    <t>EXCEL FURNITURE KIT</t>
  </si>
  <si>
    <t>BOONE, AMANDA</t>
  </si>
  <si>
    <t xml:space="preserve">ESL/SUPPLEMENTAL </t>
  </si>
  <si>
    <t>DISINFECTANT &amp; LINERS</t>
  </si>
  <si>
    <t>HANDLE TELESCOPIC</t>
  </si>
  <si>
    <t>10/20/15-11/12/15</t>
  </si>
  <si>
    <t>GARDEN TRACTOR BATTERY</t>
  </si>
  <si>
    <t>GAMING AUDIO HIFI</t>
  </si>
  <si>
    <t>CRUCIAL 4GB DDR</t>
  </si>
  <si>
    <t>HYPERX PREDATOR</t>
  </si>
  <si>
    <t>199-11-6399.VD-001-622022</t>
  </si>
  <si>
    <t>DRAFTING SUPPLIES</t>
  </si>
  <si>
    <t>STARTECH PCIE SATA</t>
  </si>
  <si>
    <t>HAUPPAGE WINTV HVR</t>
  </si>
  <si>
    <t>VIZIO 32 LED SMART TV</t>
  </si>
  <si>
    <t>ZOTAC GT 730 PCIE</t>
  </si>
  <si>
    <t>HP INK</t>
  </si>
  <si>
    <t>RECORDING FEE</t>
  </si>
  <si>
    <t xml:space="preserve">TM117 AIR FILTER &amp; </t>
  </si>
  <si>
    <t>199-51-6249.3S-878-699081</t>
  </si>
  <si>
    <t>POOL BOILER</t>
  </si>
  <si>
    <t>SWIMMING POOL BOILER</t>
  </si>
  <si>
    <t>IRRIGATION LINE @ SB FIELD</t>
  </si>
  <si>
    <t>HYDROJET MAIN SEWER LINE</t>
  </si>
  <si>
    <t xml:space="preserve">MAIN SEWER LINE @ AG </t>
  </si>
  <si>
    <t>HYDROJET @ AG BARN</t>
  </si>
  <si>
    <t xml:space="preserve">SEWER LINE BELLYS &amp; </t>
  </si>
  <si>
    <t>2/1/16-2/29/16</t>
  </si>
  <si>
    <t xml:space="preserve">DEMOULIN BROTHERS &amp; </t>
  </si>
  <si>
    <t>ACCY 1073A &amp; 1073C PEARL</t>
  </si>
  <si>
    <t xml:space="preserve">DEPARTMENT OF </t>
  </si>
  <si>
    <t>199-51-6256.15-880-699080</t>
  </si>
  <si>
    <t>PRINCIPALS MEETING 1/12/16</t>
  </si>
  <si>
    <t xml:space="preserve">EBSCO INFORMATION </t>
  </si>
  <si>
    <t>MAGAZINE RENEWAL</t>
  </si>
  <si>
    <t>VOC SUPPLIES</t>
  </si>
  <si>
    <t>12/1/15-12/30/15</t>
  </si>
  <si>
    <t>12/1/15-12/17/15</t>
  </si>
  <si>
    <t>12/1/15-12/15/15</t>
  </si>
  <si>
    <t>GALAVIZ, ELVIRA</t>
  </si>
  <si>
    <t>TABLE DECORATIONS</t>
  </si>
  <si>
    <t xml:space="preserve">DRILL MEET @ TOMBALL </t>
  </si>
  <si>
    <t>VOID-</t>
  </si>
  <si>
    <t>199-36-6499.7C-001-699001</t>
  </si>
  <si>
    <t>CHEER MID YER AWARDS</t>
  </si>
  <si>
    <t>HOLMES, LINDSEY</t>
  </si>
  <si>
    <t>199-41-6219.11-730-699095</t>
  </si>
  <si>
    <t xml:space="preserve">UIL MEET @ KINGSVILLE </t>
  </si>
  <si>
    <t>199-36-6412.09-101-699004</t>
  </si>
  <si>
    <t xml:space="preserve">12/1/15-12/31/15 MAINT </t>
  </si>
  <si>
    <t>1/1/16-1/31/16 DCA RECORD</t>
  </si>
  <si>
    <t>11/15/15-12/14/15 LESSEE</t>
  </si>
  <si>
    <t>12/15/15-1/14/16 LESSEE</t>
  </si>
  <si>
    <t>1/1/16-1/31/16 LESSEE</t>
  </si>
  <si>
    <t>1/4/16-1/6/16 TRAFFIC CTRL</t>
  </si>
  <si>
    <t>MECHANICAL KITS LTD.</t>
  </si>
  <si>
    <t>WOOD 2FT 50PK</t>
  </si>
  <si>
    <t>12/17/15 MEDICAID CLAIMS</t>
  </si>
  <si>
    <t>12/24/15 MEDICAID CLAIMS</t>
  </si>
  <si>
    <t>1/19/16-2/15/16</t>
  </si>
  <si>
    <t>JAN 2016 MAINT</t>
  </si>
  <si>
    <t>OIL PATCH PETROLEUM INC</t>
  </si>
  <si>
    <t>ROTELLA T3 15W40</t>
  </si>
  <si>
    <t>TERRACAIR 55 GAL DRUM</t>
  </si>
  <si>
    <t xml:space="preserve">MEDICAL TERMINOLOGY &amp; </t>
  </si>
  <si>
    <t>MUSIC STAND LIGHT</t>
  </si>
  <si>
    <t xml:space="preserve">TX FOOD MANAGER EXAM </t>
  </si>
  <si>
    <t xml:space="preserve">FOOD PERMIT &amp; </t>
  </si>
  <si>
    <t>199-36-6411.7A-001-699001</t>
  </si>
  <si>
    <t xml:space="preserve">BARBARA DUNLAP </t>
  </si>
  <si>
    <t>UIL ONE ACT PLAY</t>
  </si>
  <si>
    <t>BUS 10 REI WIFI MODULE</t>
  </si>
  <si>
    <t>REI PROBLEMS</t>
  </si>
  <si>
    <t xml:space="preserve">ANNUAL VSOFT ACCESS </t>
  </si>
  <si>
    <t>RBC MUSIC CO., INC.</t>
  </si>
  <si>
    <t>BAND MUSIC</t>
  </si>
  <si>
    <t>MARCH BOU SHU YAGISAWA</t>
  </si>
  <si>
    <t>199-11-6399.7B-041-611036</t>
  </si>
  <si>
    <t>XMAS MUSIC</t>
  </si>
  <si>
    <t>PAPPER FILE BOX CB</t>
  </si>
  <si>
    <t xml:space="preserve">ROCKPORT ART </t>
  </si>
  <si>
    <t xml:space="preserve">CNTR ARTS @ RCKPORT JAN </t>
  </si>
  <si>
    <t>199-11-6339.GT-041-621021</t>
  </si>
  <si>
    <t>SCORING SERV W/P</t>
  </si>
  <si>
    <t>BUS 23 NEW TIRES</t>
  </si>
  <si>
    <t>JOHN DEER TRACTOR TIRES</t>
  </si>
  <si>
    <t>SEPTIC TANK 1/12/16</t>
  </si>
  <si>
    <t>TIME FOR KIDS</t>
  </si>
  <si>
    <t>HALF YEAR SUBSCRIPTION</t>
  </si>
  <si>
    <t>ADMIN CABLE 1/17/16-2/16/16</t>
  </si>
  <si>
    <t>INTERNET 1/17/16-2/16/16</t>
  </si>
  <si>
    <t>BROADBANDS 1/17/16-2/16/16</t>
  </si>
  <si>
    <t>12/2/15-1/1/16</t>
  </si>
  <si>
    <t xml:space="preserve">TOYOTA LIFT OF SOUTH </t>
  </si>
  <si>
    <t>199-51-6248.MC-936-699081</t>
  </si>
  <si>
    <t>HYDRAULIC VENT &amp; BATTERY</t>
  </si>
  <si>
    <t>WEST MUSIC</t>
  </si>
  <si>
    <t>199-11-6399.8C-104-611005</t>
  </si>
  <si>
    <t>REMO DJ FELG</t>
  </si>
  <si>
    <t>GLOCK ALTO DIATONIC</t>
  </si>
  <si>
    <t>POCKET FOLDERS</t>
  </si>
  <si>
    <t>ACC JAN 2016 90 DAY FILTER</t>
  </si>
  <si>
    <t>HS JAN 2016 90 DAY FILTER</t>
  </si>
  <si>
    <t xml:space="preserve">MAINT JAN 2016 90 DAY </t>
  </si>
  <si>
    <t>MS JAN 2016 90 DAY FILTER</t>
  </si>
  <si>
    <t xml:space="preserve">TRANS JAN 2016 90 DAY </t>
  </si>
  <si>
    <t xml:space="preserve">COUNSELING 11/30/15 &amp; </t>
  </si>
  <si>
    <t>COUNSELING 11/16/15</t>
  </si>
  <si>
    <t>COUNSELING 12/9/15</t>
  </si>
  <si>
    <t>COUNSELING 1/4/16 &amp; 1/6/16</t>
  </si>
  <si>
    <t>DISTRICT 1/15/16</t>
  </si>
  <si>
    <t>199-11-6396.05-001-611023</t>
  </si>
  <si>
    <t>KITE RUNNER</t>
  </si>
  <si>
    <t>1/23/16-2/22/16</t>
  </si>
  <si>
    <t>BIO CORPORATION</t>
  </si>
  <si>
    <t>PLAIN SHARKS</t>
  </si>
  <si>
    <t>BRAIN POP LLC</t>
  </si>
  <si>
    <t>SCHOOL &amp; HOME ACCESS</t>
  </si>
  <si>
    <t>199-21-6211.00-875-623023</t>
  </si>
  <si>
    <t>10/1/15-11/30/15</t>
  </si>
  <si>
    <t>10/13/15-11/20/15</t>
  </si>
  <si>
    <t>TAEA MEMBERSHIP</t>
  </si>
  <si>
    <t>SVN 3Y LCD TV</t>
  </si>
  <si>
    <t>199-23-6299.10-041-699003</t>
  </si>
  <si>
    <t xml:space="preserve">DYMO LABEL WRITER &amp; </t>
  </si>
  <si>
    <t>CANON LASER FAX</t>
  </si>
  <si>
    <t xml:space="preserve">TRACTOR TECH @ </t>
  </si>
  <si>
    <t>FFA CDES @ KATY 2/4/16</t>
  </si>
  <si>
    <t>COCHRAN, JOHN</t>
  </si>
  <si>
    <t>CONSTANTE, ERNEST</t>
  </si>
  <si>
    <t>199-36-6412.7B-041-699136</t>
  </si>
  <si>
    <t xml:space="preserve">CLINIC CONTEST @ FB JAN </t>
  </si>
  <si>
    <t>INK CARTRIDGES</t>
  </si>
  <si>
    <t>DOOR 15 LOCK MECHANISM</t>
  </si>
  <si>
    <t xml:space="preserve">GLOSS TEXT, COVER &amp; </t>
  </si>
  <si>
    <t>TM120 OIL CHANGE</t>
  </si>
  <si>
    <t>TM121 OIL CHANGE</t>
  </si>
  <si>
    <t>TM101 OIL CHANGE</t>
  </si>
  <si>
    <t>TM108 OIL CHANGE</t>
  </si>
  <si>
    <t>TM110 OIL CHANGE</t>
  </si>
  <si>
    <t>TM113 OIL CHANGE</t>
  </si>
  <si>
    <t>TM123 OIL CHANGE</t>
  </si>
  <si>
    <t>TM112 OIL CHANGE</t>
  </si>
  <si>
    <t>TM114 OIL CHANGE</t>
  </si>
  <si>
    <t>TM122 OIL CHANGE</t>
  </si>
  <si>
    <t>TM118 OIL CHANGE</t>
  </si>
  <si>
    <t>TM103 OIL CHANGE</t>
  </si>
  <si>
    <t>TM119 OIL CHANGE</t>
  </si>
  <si>
    <t>TM116 OIL CHANGE</t>
  </si>
  <si>
    <t>TM127 OIL CHANGE</t>
  </si>
  <si>
    <t>TM126 OIL CHANGE</t>
  </si>
  <si>
    <t>TM124 OIL CHANGE</t>
  </si>
  <si>
    <t>TM111 OIL CHANGE</t>
  </si>
  <si>
    <t>TM107 OIL CHANGE</t>
  </si>
  <si>
    <t>TM125 OIL CHANGE</t>
  </si>
  <si>
    <t>BUS 46 OIL CHANGE</t>
  </si>
  <si>
    <t>BUS 47 OIL CHANGE</t>
  </si>
  <si>
    <t>BUS 5 OIL CHANGE</t>
  </si>
  <si>
    <t>BUS 43 OIL CHANGE</t>
  </si>
  <si>
    <t>BUS 42 OIL CHANGE</t>
  </si>
  <si>
    <t>BUS 41 OIL CHANGE</t>
  </si>
  <si>
    <t>BUS 40 OIL CHANGE</t>
  </si>
  <si>
    <t>BUS 9 OIL CHANGE</t>
  </si>
  <si>
    <t>BUS 1 OIL CHANGE</t>
  </si>
  <si>
    <t>BUS 6 OIL CHANGE</t>
  </si>
  <si>
    <t>BUS 4 OIL CHANGE</t>
  </si>
  <si>
    <t>BUS 32 OIL CHANGE</t>
  </si>
  <si>
    <t>BUS 31 OIL CHANGE</t>
  </si>
  <si>
    <t>BUS 29 OIL CHANGE</t>
  </si>
  <si>
    <t>BUS 28 OIL CHANGE</t>
  </si>
  <si>
    <t>BUS 14 OIL CHANGE</t>
  </si>
  <si>
    <t>BUS 30 OIL CHANGE</t>
  </si>
  <si>
    <t>BUS 22 OIL CHANGE</t>
  </si>
  <si>
    <t>BUS 11 OIL CHANGE</t>
  </si>
  <si>
    <t>BUS 10 OIL CHANGE</t>
  </si>
  <si>
    <t>BUS 19 OIL CHANGE</t>
  </si>
  <si>
    <t>BUS 23 OIL CHANGE</t>
  </si>
  <si>
    <t xml:space="preserve">BUS 33 OIL CHANGE &amp; AIR </t>
  </si>
  <si>
    <t>BUS 44 OIL CHANGE</t>
  </si>
  <si>
    <t>BUS 45 OIL CHANGE</t>
  </si>
  <si>
    <t>GALLET, JANA</t>
  </si>
  <si>
    <t>199-36-6411.09-001-699574</t>
  </si>
  <si>
    <t xml:space="preserve">STRUT ASSY &amp; CUTTER </t>
  </si>
  <si>
    <t>GRAND HYATT SAN ANTONIO</t>
  </si>
  <si>
    <t>TMEA @ SA FEB 11-14</t>
  </si>
  <si>
    <t>199-36-6411.7E-041-699035</t>
  </si>
  <si>
    <t>TMEA @ SA FEB 10-12</t>
  </si>
  <si>
    <t>GUTIERREZ, VIOLA</t>
  </si>
  <si>
    <t>SCHREIBER BASSOON 32363</t>
  </si>
  <si>
    <t>BACH TROMBONE 50719</t>
  </si>
  <si>
    <t>BACH TRUMPET 80909</t>
  </si>
  <si>
    <t>FOX CLARINET 29886</t>
  </si>
  <si>
    <t>REEDS &amp; PAC CASE</t>
  </si>
  <si>
    <t>KORG COMBO TURNER</t>
  </si>
  <si>
    <t>INSTRUMENT SUPPLIES</t>
  </si>
  <si>
    <t>CONTACT MIC</t>
  </si>
  <si>
    <t>199-11-6399.VL-001-622022</t>
  </si>
  <si>
    <t>199-36-6412.09-001-699101</t>
  </si>
  <si>
    <t xml:space="preserve">HYATT PLACE </t>
  </si>
  <si>
    <t>1/15/16-2/14/16 LESSEE</t>
  </si>
  <si>
    <t>LOZANO, BRENDA</t>
  </si>
  <si>
    <t>199-31-6411.00-875-623123</t>
  </si>
  <si>
    <t>7/15/15-12/18/15 MILEAGE</t>
  </si>
  <si>
    <t>DIAGNOSTIC PEN LIGHTS</t>
  </si>
  <si>
    <t>199-11-6399.DC-001-631034</t>
  </si>
  <si>
    <t>DC ON LINE CODE</t>
  </si>
  <si>
    <t>MARTINEZ, DENISE</t>
  </si>
  <si>
    <t>199-21-6495.00-875-623023</t>
  </si>
  <si>
    <t>LICENSE RENEWAL SPEECH</t>
  </si>
  <si>
    <t>MARTINEZ, ERASMO</t>
  </si>
  <si>
    <t>199-41-6499.10-701-699092</t>
  </si>
  <si>
    <t>ATTORNEY FEES</t>
  </si>
  <si>
    <t>1/18/16-1/22/16 TRAFFIC CTRL</t>
  </si>
  <si>
    <t>1/7/16 MEDICAID CLAIMS</t>
  </si>
  <si>
    <t>1/14/16 MEDICAID CLAIMS</t>
  </si>
  <si>
    <t>199-12-6396.7U-101-611004</t>
  </si>
  <si>
    <t>2/12/16-2/11/17</t>
  </si>
  <si>
    <t>SCAN SCOR RPT DOC</t>
  </si>
  <si>
    <t>FEB 2016 MAINT</t>
  </si>
  <si>
    <t>PLAY WITH A PURPOSE</t>
  </si>
  <si>
    <t>CARPETS</t>
  </si>
  <si>
    <t>TMEA @ SA FEB 10-14</t>
  </si>
  <si>
    <t xml:space="preserve">DRILL MEET @ MILLER </t>
  </si>
  <si>
    <t>SAMUEL FRENCH, INC.</t>
  </si>
  <si>
    <t>CAUCASIAN CHALK 3/4/16-</t>
  </si>
  <si>
    <t xml:space="preserve">SAN ANTONIO MARRIOTT </t>
  </si>
  <si>
    <t>TMEA @ SA FEB 11-13</t>
  </si>
  <si>
    <t>SPECIAL OLYMPICS TEXAS</t>
  </si>
  <si>
    <t>CYAN INK</t>
  </si>
  <si>
    <t>WASHABLE PAINTS</t>
  </si>
  <si>
    <t>PLASTIC DRAWER</t>
  </si>
  <si>
    <t>BRUSH PACK</t>
  </si>
  <si>
    <t>HEAVY WEIGHT STAPLES</t>
  </si>
  <si>
    <t>199-11-6399.8P-001-611001</t>
  </si>
  <si>
    <t>SEALMASTER PILLOW BLOCK</t>
  </si>
  <si>
    <t>TAEA</t>
  </si>
  <si>
    <t>199-36-6412.7A-001-699001</t>
  </si>
  <si>
    <t>VASE ART @ DELMAR 2/20/16</t>
  </si>
  <si>
    <t>1/10/16 SPRAY APPLICATION</t>
  </si>
  <si>
    <t>199-11-6339.11-041-611003</t>
  </si>
  <si>
    <t xml:space="preserve">TESTING &amp; MEETING </t>
  </si>
  <si>
    <t>TESTING MATERIAL</t>
  </si>
  <si>
    <t>COLORED OVERLAYS</t>
  </si>
  <si>
    <t>199-11-6399.8E-001-611001</t>
  </si>
  <si>
    <t>NHS PINS</t>
  </si>
  <si>
    <t>NCJLS SUPPLIES</t>
  </si>
  <si>
    <t>199-11-6649.10-041-611003</t>
  </si>
  <si>
    <t>KINDEL BOOKS</t>
  </si>
  <si>
    <t>TLA @ HOUSTON APR 18-22</t>
  </si>
  <si>
    <t>199-12-6411.00-041-611094</t>
  </si>
  <si>
    <t>199-12-6411.00-101-611094</t>
  </si>
  <si>
    <t xml:space="preserve">SP ED LAW @ BRAUNFELS </t>
  </si>
  <si>
    <t>OCTAVE PANPIPES</t>
  </si>
  <si>
    <t xml:space="preserve">MIJWIZ &amp; YOGA SINGING </t>
  </si>
  <si>
    <t>BONE POWER INLAY</t>
  </si>
  <si>
    <t>BAMBOO FLUTE</t>
  </si>
  <si>
    <t>CHINESE VIOLIN BOW</t>
  </si>
  <si>
    <t>UIL TEXAS LD SUPPLIES</t>
  </si>
  <si>
    <t>BOARD SUPPLIES</t>
  </si>
  <si>
    <t>199-51-6269.10-936-699081</t>
  </si>
  <si>
    <t>PUMP &amp; HOSE RENTAL</t>
  </si>
  <si>
    <t>HEAVY DUTY</t>
  </si>
  <si>
    <t>THERMOMETER</t>
  </si>
  <si>
    <t>199-51-6397.10-936-699081</t>
  </si>
  <si>
    <t>HERITAGE FOOD SERVICE</t>
  </si>
  <si>
    <t>POOL/SPA OPERATOR</t>
  </si>
  <si>
    <t>STAFF MEETING 12/15/15</t>
  </si>
  <si>
    <t>LUNCH MEETING 12/16/15</t>
  </si>
  <si>
    <t>TECH MEETING 1/6/16</t>
  </si>
  <si>
    <t xml:space="preserve">BB&amp;T GOVERNMENTAL </t>
  </si>
  <si>
    <t>199-71-6513.14-999-699075</t>
  </si>
  <si>
    <t>TAX REF BONDS SERIES 2014</t>
  </si>
  <si>
    <t>199-71-6523.14-999-699075</t>
  </si>
  <si>
    <t xml:space="preserve">JUDGING CONTST@ SINTON </t>
  </si>
  <si>
    <t xml:space="preserve">BUS 49 FORMED HEATER </t>
  </si>
  <si>
    <t xml:space="preserve">BUS 5 PASSENGER DOOR </t>
  </si>
  <si>
    <t>BUS 32 REB STARTER</t>
  </si>
  <si>
    <t>BUS 40 BAG/PISTON &amp; BRAKE</t>
  </si>
  <si>
    <t xml:space="preserve">BUS 33 SECURE BACK A/C </t>
  </si>
  <si>
    <t>4' VALVE BELOW CONCRETE</t>
  </si>
  <si>
    <t>199-11-6412.VL-001-622574</t>
  </si>
  <si>
    <t>STATE DECA @ SA FEB 25-27</t>
  </si>
  <si>
    <t xml:space="preserve">EMBASSY SUITES AUSTIN </t>
  </si>
  <si>
    <t xml:space="preserve">PRIN WRKSHOP @ AUSTIN </t>
  </si>
  <si>
    <t>SCIENCE SUPPLIES</t>
  </si>
  <si>
    <t>FREEMAN, PAULA</t>
  </si>
  <si>
    <t xml:space="preserve">GENERAL BINDING </t>
  </si>
  <si>
    <t>2/18/19-2/17/17</t>
  </si>
  <si>
    <t>STEREO MALE TO FEMALE</t>
  </si>
  <si>
    <t>199-51-6639.M2-936-699081</t>
  </si>
  <si>
    <t>ZERO TURN MOWER</t>
  </si>
  <si>
    <t>EDGER</t>
  </si>
  <si>
    <t xml:space="preserve">LIVESTOCK SHOW @ SA </t>
  </si>
  <si>
    <t>199-11-6399.10-041-611080</t>
  </si>
  <si>
    <t>12V 5AH SLA 250 FASTON</t>
  </si>
  <si>
    <t>199-23-6649.1T-041-699003</t>
  </si>
  <si>
    <t xml:space="preserve">XPR3500 &amp; XPR6550 </t>
  </si>
  <si>
    <t xml:space="preserve">JONES SCHOOL SUPPLY CO., </t>
  </si>
  <si>
    <t>RIBBONS &amp; EMBOSSED SEAL</t>
  </si>
  <si>
    <t>CHORAL FOLIO</t>
  </si>
  <si>
    <t>MUSIC CD'S</t>
  </si>
  <si>
    <t>ONLINE AUDIO ACCESS &amp; CD</t>
  </si>
  <si>
    <t xml:space="preserve">HS SPRINKLER SERVICE </t>
  </si>
  <si>
    <t>FUSES</t>
  </si>
  <si>
    <t>1/25/16-1/29/16 TRAFFIC CTRL</t>
  </si>
  <si>
    <t>PENCILS'N MORE</t>
  </si>
  <si>
    <t>TESTING PENCILS</t>
  </si>
  <si>
    <t>199-11-6399.SL-001-611001</t>
  </si>
  <si>
    <t>ASL SUPPLIES</t>
  </si>
  <si>
    <t>SITE BASE MTG 1/28/16</t>
  </si>
  <si>
    <t>LINENS</t>
  </si>
  <si>
    <t>199-11-6249.10-041-611003</t>
  </si>
  <si>
    <t>POPCORN MACHINE REPAIR</t>
  </si>
  <si>
    <t>ENERGIZER 4PK</t>
  </si>
  <si>
    <t>TEACHER SUPPLIES</t>
  </si>
  <si>
    <t>PK PPCD SUPPLIES</t>
  </si>
  <si>
    <t>11/5/15-11/16/15 SERVICES</t>
  </si>
  <si>
    <t>LARGE DECALS &amp; SIGNS</t>
  </si>
  <si>
    <t>SKILLS USA INC.</t>
  </si>
  <si>
    <t>199-11-6412.VC-001-622022</t>
  </si>
  <si>
    <t xml:space="preserve">SKILLS USA @ LAREDO FEB </t>
  </si>
  <si>
    <t>199-11-6412.VD-001-622022</t>
  </si>
  <si>
    <t>199-36-6411.VD-001-622022</t>
  </si>
  <si>
    <t>SKILLS USA TEXAS</t>
  </si>
  <si>
    <t>BUS 11 NEW TIRES</t>
  </si>
  <si>
    <t>BUS 43 NEW TIRES</t>
  </si>
  <si>
    <t>BUS 30 NEW TIRES</t>
  </si>
  <si>
    <t>BUS 19 NEW TIRES</t>
  </si>
  <si>
    <t xml:space="preserve">JOHN DEERE MOWER NEW </t>
  </si>
  <si>
    <t xml:space="preserve">GROUNDS TRAILER NEW </t>
  </si>
  <si>
    <t>12/27/15-1/26/16</t>
  </si>
  <si>
    <t xml:space="preserve">STANLEY STEEMER SOUTH </t>
  </si>
  <si>
    <t>199-51-6249.MC-935-699081</t>
  </si>
  <si>
    <t xml:space="preserve">ADMIN BLDG WATER </t>
  </si>
  <si>
    <t>199-36-6411.VH-001-622122</t>
  </si>
  <si>
    <t>DICTIONARIES &amp; THESAURUS</t>
  </si>
  <si>
    <t>US POSTMASTER</t>
  </si>
  <si>
    <t>199-51-6249.11-934-699091</t>
  </si>
  <si>
    <t>STANDARD MAIL PERMIT</t>
  </si>
  <si>
    <t>PAINT</t>
  </si>
  <si>
    <t>COUPLE 1/8'</t>
  </si>
  <si>
    <t xml:space="preserve">CHAIN LOOP &amp; PADLOCK </t>
  </si>
  <si>
    <t>SPRAY PAINT &amp; MSKG TAPE</t>
  </si>
  <si>
    <t>SPRAY PAINT</t>
  </si>
  <si>
    <t>DIAGNOSTIC 12/7/15</t>
  </si>
  <si>
    <t>MS T5 &amp; 5400 MAINT</t>
  </si>
  <si>
    <t xml:space="preserve">PRIMRY T5'S &amp; CLARKE </t>
  </si>
  <si>
    <t>SNAP ACTION SWITCH</t>
  </si>
  <si>
    <t>3.5 MM STEREO RCA PLGS</t>
  </si>
  <si>
    <t>ALVARADO, KRYSTAL</t>
  </si>
  <si>
    <t>BUS 5 @ FLEETPRIDE</t>
  </si>
  <si>
    <t>BUS 41 @ COASTAL DIESEL</t>
  </si>
  <si>
    <t>TM115  @ FIVE POINTS</t>
  </si>
  <si>
    <t>ROTOR HUNTER</t>
  </si>
  <si>
    <t>MODULE CONTROLLER</t>
  </si>
  <si>
    <t>CAREER CRUISING</t>
  </si>
  <si>
    <t>199-11-6329.V1-001-622022</t>
  </si>
  <si>
    <t xml:space="preserve">CAROLINA BIOLOGICAL </t>
  </si>
  <si>
    <t>199-11-6399.AY-001-611001</t>
  </si>
  <si>
    <t>ANATOMY SUPPLIES</t>
  </si>
  <si>
    <t>MUSCLE KIT</t>
  </si>
  <si>
    <t>BATTERY</t>
  </si>
  <si>
    <t>12 VOLT BATTERY</t>
  </si>
  <si>
    <t>12/24/15 SERVICE</t>
  </si>
  <si>
    <t>1/7/16 SERVICE</t>
  </si>
  <si>
    <t>1/14/16 SERVICE</t>
  </si>
  <si>
    <t>1/21/16 SERVICE</t>
  </si>
  <si>
    <t>HS WATER 12/17/15-1/19/16</t>
  </si>
  <si>
    <t>ACC WATER 12/16/15-1/18/16</t>
  </si>
  <si>
    <t>MS WATER 12/16/15-1/18/16</t>
  </si>
  <si>
    <t>PRIMRY WATER 12/16/15-</t>
  </si>
  <si>
    <t>INTER WATER 12/16/15-</t>
  </si>
  <si>
    <t>ADMIN WATER 12/16/15-</t>
  </si>
  <si>
    <t>MAINT WATER 12/16/15-</t>
  </si>
  <si>
    <t>FB FLD WATER 12/17/15-</t>
  </si>
  <si>
    <t>HS GAS 12/17/15-1/19/16</t>
  </si>
  <si>
    <t>MS GAS 12/16/15-1/18/16</t>
  </si>
  <si>
    <t>PRIMRY GAS 12/16/15-1/18/16</t>
  </si>
  <si>
    <t>INTER GAS 12/16/15-1/18/16</t>
  </si>
  <si>
    <t>BUS 6 FUEL LINES</t>
  </si>
  <si>
    <t>BUS 40 AIR LEAK</t>
  </si>
  <si>
    <t>BILINGUAL TEACHER 1/10-</t>
  </si>
  <si>
    <t>199-53-6219.10-880-699080</t>
  </si>
  <si>
    <t>WIRELESS SWITCH 1/15-1/22</t>
  </si>
  <si>
    <t>COURTYARD BY MARRIOTT</t>
  </si>
  <si>
    <t>BOYS NEXT DOOR ROYALTY</t>
  </si>
  <si>
    <t xml:space="preserve">BOYS NEXT DOOR ACTING </t>
  </si>
  <si>
    <t>199-11-6239.10-041-611094</t>
  </si>
  <si>
    <t>DE STREAMING</t>
  </si>
  <si>
    <t>199-13-6239.10-001-611094</t>
  </si>
  <si>
    <t>199-13-6239.10-041-611094</t>
  </si>
  <si>
    <t>TCMPC 3RD LEARNING FEES</t>
  </si>
  <si>
    <t>PARENT CONFERENCE 2/3/16</t>
  </si>
  <si>
    <t>WORKSHOP 1295585 1/30/16</t>
  </si>
  <si>
    <t>WORKSHOP 1295574 12/12/15</t>
  </si>
  <si>
    <t>199-41-6239.11-730-699095</t>
  </si>
  <si>
    <t xml:space="preserve">CB APPLICATION TRACKING </t>
  </si>
  <si>
    <t>199-53-6239.00-726-699091</t>
  </si>
  <si>
    <t>TXEIS BUSINESS</t>
  </si>
  <si>
    <t>LUPE RIVERA</t>
  </si>
  <si>
    <t>ESQUIVEL, LINDA</t>
  </si>
  <si>
    <t>OAP @ PAC 3/5/16</t>
  </si>
  <si>
    <t>LIQUID CREAMERS</t>
  </si>
  <si>
    <t>LIQUID CREAMERS &amp; COFFEE</t>
  </si>
  <si>
    <t>ANTISCALP ROLLER KIT</t>
  </si>
  <si>
    <t>CARLISLE TIRE</t>
  </si>
  <si>
    <t>GONZALES, ADINA G.</t>
  </si>
  <si>
    <t>LICENSE &amp; CERTIFICATION</t>
  </si>
  <si>
    <t>GRAINGER</t>
  </si>
  <si>
    <t>AIR COMPRESSOR PUMP</t>
  </si>
  <si>
    <t>LAMINATING FILM</t>
  </si>
  <si>
    <t>ATTENDANCE INCENTIVE</t>
  </si>
  <si>
    <t>199-41-6399.00-932-699084</t>
  </si>
  <si>
    <t xml:space="preserve">CONFETTI &amp; CHOCOLATE </t>
  </si>
  <si>
    <t>BOARDROOM SUPPLIES</t>
  </si>
  <si>
    <t>199-11-6639.7B-001-611032</t>
  </si>
  <si>
    <t>YAMAHA PRO ROTOR TUBA</t>
  </si>
  <si>
    <t>199-36-6412.TA-001-699574</t>
  </si>
  <si>
    <t xml:space="preserve">TACS CHALENGE @ RIVERA </t>
  </si>
  <si>
    <t>12/14/15-1/29/16</t>
  </si>
  <si>
    <t>1/1/16-1/31/16 MAINT CLICKS</t>
  </si>
  <si>
    <t>2/1/16-2/29/16 DCA RECORD</t>
  </si>
  <si>
    <t>2/1/16-2/29/16 LESSEE</t>
  </si>
  <si>
    <t>SWINGSPOUT</t>
  </si>
  <si>
    <t>2/1/16-2/5/16 TRAFFIC CTRL</t>
  </si>
  <si>
    <t>1/4/16-1/29/16 MILEAGE</t>
  </si>
  <si>
    <t>MULESHOE ISD</t>
  </si>
  <si>
    <t xml:space="preserve">MULTI-HEALTH SYSTEMS, </t>
  </si>
  <si>
    <t>RESPONSE BOOKLET ENG</t>
  </si>
  <si>
    <t xml:space="preserve">FOSSIL MOLDS &amp; OWL </t>
  </si>
  <si>
    <t>POTTS, JAMES</t>
  </si>
  <si>
    <t>199-11-6412.VC-001-622122</t>
  </si>
  <si>
    <t>199-11-6412.VD-001-622122</t>
  </si>
  <si>
    <t>199-13-6411.7K-001-611101</t>
  </si>
  <si>
    <t>12/18/15 POSTAGE REFILL</t>
  </si>
  <si>
    <t>199-41-6499.11-726-699091</t>
  </si>
  <si>
    <t>LATE &amp; FINANCE CHARGES</t>
  </si>
  <si>
    <t>BUS 44 DVR REPAIR</t>
  </si>
  <si>
    <t>BUS 45 DVR REPAIR</t>
  </si>
  <si>
    <t>RIGO'S RADIATORS</t>
  </si>
  <si>
    <t>BUS 23 RADIATOR</t>
  </si>
  <si>
    <t>199-52-6219.10-936-699081</t>
  </si>
  <si>
    <t>MIANT MOTION DETECTORS</t>
  </si>
  <si>
    <t>ACC WIRE DOOR REPAIR</t>
  </si>
  <si>
    <t xml:space="preserve">CAUCASIAN CHALK ACTING </t>
  </si>
  <si>
    <t xml:space="preserve">SAN ANTONIO COLLEGE- </t>
  </si>
  <si>
    <t>STATE DECA @ SA FEB 25-28</t>
  </si>
  <si>
    <t>11/20/15-1/29/16 MILEAGE</t>
  </si>
  <si>
    <t>SCANTRON CORPORATION</t>
  </si>
  <si>
    <t>DMAC STAAR</t>
  </si>
  <si>
    <t>STEAGALL, ANGELA</t>
  </si>
  <si>
    <t>199-36-6399.09-041-699003</t>
  </si>
  <si>
    <t>199-36-6412.09-041-699003</t>
  </si>
  <si>
    <t>VBELT</t>
  </si>
  <si>
    <t>9/30/15-8/31/16 SUE NELSON</t>
  </si>
  <si>
    <t>2/1/16 SPRAY APPLICATION</t>
  </si>
  <si>
    <t>1/28/16-1/31/16</t>
  </si>
  <si>
    <t>LIVESTOCK SHOW SUPPLIES</t>
  </si>
  <si>
    <t xml:space="preserve">UIL CONCERT @ FBLUFF </t>
  </si>
  <si>
    <t xml:space="preserve">VIRTUAL VILLAGE </t>
  </si>
  <si>
    <t xml:space="preserve">WEEKLY WRITER 1YR </t>
  </si>
  <si>
    <t>1/4/16-1/26/16</t>
  </si>
  <si>
    <t>199-11-6249.V8-001-622022</t>
  </si>
  <si>
    <t>TORCH GUN HOSE REPAIR</t>
  </si>
  <si>
    <t>LINER ASSEMBLY</t>
  </si>
  <si>
    <t xml:space="preserve">FFA SPRING MEMBERSHIP </t>
  </si>
  <si>
    <t>EGR TUBE &amp; SEAL</t>
  </si>
  <si>
    <t xml:space="preserve">DIGITAL MULTIMETER &amp; </t>
  </si>
  <si>
    <t>BLANCO, RODOLFO</t>
  </si>
  <si>
    <t>BURRIS, CELIA</t>
  </si>
  <si>
    <t xml:space="preserve">BUSINESS PROFESSIONALS </t>
  </si>
  <si>
    <t>BPA STATE @ ABC MAR 2-6</t>
  </si>
  <si>
    <t>199-36-6411.VB-001-622022</t>
  </si>
  <si>
    <t>CARLISLE INSURANCE</t>
  </si>
  <si>
    <t>199-00-1411.05-000-600000</t>
  </si>
  <si>
    <t>3/1/16-3/1/17 PCAT/CPAT</t>
  </si>
  <si>
    <t>JAN 2016 PT SERVICES</t>
  </si>
  <si>
    <t>LIFE SKILLS @ CICI'S 1/22/16</t>
  </si>
  <si>
    <t xml:space="preserve">CITIZENS FOR EDUCATIONAL </t>
  </si>
  <si>
    <t xml:space="preserve">DIRECTION LDRSHIP @ ESC </t>
  </si>
  <si>
    <t xml:space="preserve">ST TRACTOR @ HOUSTON </t>
  </si>
  <si>
    <t>COLLEGE BOARD, THE</t>
  </si>
  <si>
    <t>ACCUPLACER TEST UNITS</t>
  </si>
  <si>
    <t>JAN 2016 OT BILLING</t>
  </si>
  <si>
    <t>199-11-6649.11-041-611003</t>
  </si>
  <si>
    <t>TI 84 PLUS SCHOOL PACK</t>
  </si>
  <si>
    <t>DANCE SOPHISTICATES</t>
  </si>
  <si>
    <t>VEST, SHIRTS &amp; ZIPPER TIES</t>
  </si>
  <si>
    <t>199-11-6398.7E-001-611174</t>
  </si>
  <si>
    <t>3/1/16-3/31/16</t>
  </si>
  <si>
    <t>DIEGEL, CANDACE</t>
  </si>
  <si>
    <t xml:space="preserve">FFA LIVESTOCK @ HOUSTON </t>
  </si>
  <si>
    <t xml:space="preserve">TECHNOLOGY COOP </t>
  </si>
  <si>
    <t>MOGUEL CLEAR</t>
  </si>
  <si>
    <t>STEP LIGHTS</t>
  </si>
  <si>
    <t>70W LED CANOPY</t>
  </si>
  <si>
    <t>1/22/16-1/25/16</t>
  </si>
  <si>
    <t>GARZA, ORLANDO</t>
  </si>
  <si>
    <t>199-36-6299.7E-001-699031</t>
  </si>
  <si>
    <t xml:space="preserve">SOLO/ENSEMBLE </t>
  </si>
  <si>
    <t>HAAS RESOURCES, INC</t>
  </si>
  <si>
    <t>DUMPED MULCH</t>
  </si>
  <si>
    <t>HEDGEHOG LEARNING</t>
  </si>
  <si>
    <t>10 DAY STAAR REVIEW</t>
  </si>
  <si>
    <t>WJIII DRB PKG</t>
  </si>
  <si>
    <t>HOUSTON LIVESTOCK SHOW</t>
  </si>
  <si>
    <t>3HRS SUPPORT</t>
  </si>
  <si>
    <t xml:space="preserve">KANSAS CITY MARRIOTT </t>
  </si>
  <si>
    <t>HONOR CHOIR @ MO MAR 6-</t>
  </si>
  <si>
    <t>LA QUINTA HOLDINGS, INC</t>
  </si>
  <si>
    <t>199-36-6411.V8-001-622022</t>
  </si>
  <si>
    <t>ELECTRIC ELEMENT</t>
  </si>
  <si>
    <t>LOGITECH WIRELESS</t>
  </si>
  <si>
    <t>KEYS &amp; FILTER</t>
  </si>
  <si>
    <t>STEEL HELMET</t>
  </si>
  <si>
    <t>2/8/16-2/12/16 TRAFFIC CTRL</t>
  </si>
  <si>
    <t>2/19/16-3/14/16</t>
  </si>
  <si>
    <t>199-51-6249.10-934-699091</t>
  </si>
  <si>
    <t>1/2/16-1/1/17</t>
  </si>
  <si>
    <t>MICRO USB HEAVY</t>
  </si>
  <si>
    <t>YOGA PANTS TROUSERS</t>
  </si>
  <si>
    <t>GENERAL SUPPLIES</t>
  </si>
  <si>
    <t xml:space="preserve">MOVIES 1/29/16 &amp; STAFF </t>
  </si>
  <si>
    <t>PK SUPPLIES</t>
  </si>
  <si>
    <t>STICKERS</t>
  </si>
  <si>
    <t>COTTEN BALLS</t>
  </si>
  <si>
    <t>BABY WIPES</t>
  </si>
  <si>
    <t>SHOE STORAGE BOX</t>
  </si>
  <si>
    <t>199-21-6499.10-871-699094</t>
  </si>
  <si>
    <t>ACADEMIC REPORT 1/28/16</t>
  </si>
  <si>
    <t xml:space="preserve">STATEMENT OF REVENUES </t>
  </si>
  <si>
    <t>DEC 2015 SERVICE</t>
  </si>
  <si>
    <t>JAN 2016 SERVICE</t>
  </si>
  <si>
    <t>FEB 2016 SERVICE</t>
  </si>
  <si>
    <t>MEEETING SUPPLIES</t>
  </si>
  <si>
    <t>199-36-6499.8E-001-699001</t>
  </si>
  <si>
    <t>NHS BANQUET SUPPLIES</t>
  </si>
  <si>
    <t xml:space="preserve">SOUNDZABOUND MUSIC </t>
  </si>
  <si>
    <t>HF TRACKS ONLINE ACCESS</t>
  </si>
  <si>
    <t>STAYBRIDGE SUITES</t>
  </si>
  <si>
    <t xml:space="preserve">AWARDS DINNER @ SA </t>
  </si>
  <si>
    <t>199-13-6411.00-101-625025</t>
  </si>
  <si>
    <t xml:space="preserve">BILINGUAL @ KINGSVILLE </t>
  </si>
  <si>
    <t>199-13-6411.00-104-625025</t>
  </si>
  <si>
    <t>ADMIN CABLE 2/17/16-3/16/16</t>
  </si>
  <si>
    <t>INTERNET 2/17/16-3/16/16</t>
  </si>
  <si>
    <t>BROADBANDS 2/17/16-3/16/16</t>
  </si>
  <si>
    <t>1/2/16-2/1/16</t>
  </si>
  <si>
    <t>UIL @ DEL MAR APR 4/5/16</t>
  </si>
  <si>
    <t>VANDERBURG, ERNEST</t>
  </si>
  <si>
    <t>199-13-6411.VA-001-622122</t>
  </si>
  <si>
    <t>WALKER, SARAH</t>
  </si>
  <si>
    <t>WILLIAMS, MICHELLE</t>
  </si>
  <si>
    <t>COUNSELING 2/8/16 &amp; 2/10/16</t>
  </si>
  <si>
    <t>MS AUTO &amp; 5400 SCRUBBER</t>
  </si>
  <si>
    <t>MS 5400 SCRUBBER</t>
  </si>
  <si>
    <t>SPRING MEMBERSHIP DUES</t>
  </si>
  <si>
    <t>DISTRICT 2/15/16</t>
  </si>
  <si>
    <t xml:space="preserve">CRIMINAL JUSTICE </t>
  </si>
  <si>
    <t>199-11-6339.11-001-611001</t>
  </si>
  <si>
    <t>HYGLOSS CELLO SHEETS</t>
  </si>
  <si>
    <t>IPAD REPAIR</t>
  </si>
  <si>
    <t>DESKTOP USB CHARGER</t>
  </si>
  <si>
    <t xml:space="preserve">GAME CHANGERS @ SA JUN </t>
  </si>
  <si>
    <t>CAST @ FT WORTH NOV 11-</t>
  </si>
  <si>
    <t>199-23-6411.10-101-699Z04</t>
  </si>
  <si>
    <t xml:space="preserve">CANOPY 3YR PROTECTION </t>
  </si>
  <si>
    <t>PROJECTOR</t>
  </si>
  <si>
    <t>ARTIFICIAL VEGETABLES</t>
  </si>
  <si>
    <t>UIL ONE ACT PLAY SUPPLIES</t>
  </si>
  <si>
    <t>SALES TAX</t>
  </si>
  <si>
    <t>ARMY HELMETS</t>
  </si>
  <si>
    <t>TMEA @ SA FEB 10-13</t>
  </si>
  <si>
    <t>QUIKRETE CONCRETE MIX</t>
  </si>
  <si>
    <t>GRASS PALLETS</t>
  </si>
  <si>
    <t xml:space="preserve">PATRICK HERNANDEZ </t>
  </si>
  <si>
    <t>MOWER &amp; AIR COMPRESSOR</t>
  </si>
  <si>
    <t>WEED EATERS</t>
  </si>
  <si>
    <t>BAUDVILLE, INC.</t>
  </si>
  <si>
    <t>CHEER AWARDS</t>
  </si>
  <si>
    <t>199-51-6639.M3-936-699081</t>
  </si>
  <si>
    <t>FOCUS II BOOST</t>
  </si>
  <si>
    <t>199-51-6649.M3-936-699081</t>
  </si>
  <si>
    <t>RELIAVAC SINGLE MTR VAC</t>
  </si>
  <si>
    <t xml:space="preserve">CITY OF CORPUS CHRISTI </t>
  </si>
  <si>
    <t xml:space="preserve">FALSE ALARM NOV, DEC &amp; </t>
  </si>
  <si>
    <t>BUS 48 BATTERY</t>
  </si>
  <si>
    <t>ELECTRICAL 1 TUITION</t>
  </si>
  <si>
    <t xml:space="preserve">GAS LEAK REPAIR @ FLD </t>
  </si>
  <si>
    <t>SEWER LINE REPLACEMENT</t>
  </si>
  <si>
    <t>DOUBRAVA, LORRI</t>
  </si>
  <si>
    <t>199-13-6411.VB-001-622122</t>
  </si>
  <si>
    <t>RAY CHAPA</t>
  </si>
  <si>
    <t>LORRI DOUBRAVA</t>
  </si>
  <si>
    <t>ERNESTO CONSTANTE</t>
  </si>
  <si>
    <t>CURTIS ASHBY</t>
  </si>
  <si>
    <t>1/4' PLATE 4X8</t>
  </si>
  <si>
    <t>PRINT SHOP SUPPLIES</t>
  </si>
  <si>
    <t>LAMEX LUSTER</t>
  </si>
  <si>
    <t>SONNET MESH</t>
  </si>
  <si>
    <t>ARLON DPF</t>
  </si>
  <si>
    <t xml:space="preserve">TM118 DRIVER MIRROR </t>
  </si>
  <si>
    <t xml:space="preserve">FOLLETT HIGHER </t>
  </si>
  <si>
    <t>AUTO UPKEEP</t>
  </si>
  <si>
    <t>DUAL CREDIT TEXTBOOKS</t>
  </si>
  <si>
    <t xml:space="preserve">SAFETY, HEALTH &amp; </t>
  </si>
  <si>
    <t xml:space="preserve">ANEROID &amp; BAG/MATCHING </t>
  </si>
  <si>
    <t>199-11-6396.TX-001-611001</t>
  </si>
  <si>
    <t xml:space="preserve">4/1/16-3/31/17 LIBRARY </t>
  </si>
  <si>
    <t>199-11-6396.TX-041-611003</t>
  </si>
  <si>
    <t>DYING TO MEET YOU</t>
  </si>
  <si>
    <t>199-12-6396.7U-001-611101</t>
  </si>
  <si>
    <t>199-12-6396.7U-041-611003</t>
  </si>
  <si>
    <t>199-12-6396.7U-101-611104</t>
  </si>
  <si>
    <t>199-12-6396.7U-104-611005</t>
  </si>
  <si>
    <t>199-36-6398.H1-001-631034</t>
  </si>
  <si>
    <t xml:space="preserve">SWEATER &amp; TRICOLOR </t>
  </si>
  <si>
    <t>11/13/15-2/19/16 MILEAGE</t>
  </si>
  <si>
    <t xml:space="preserve">BUS 1 PEDAL SENSOR/SHAFT </t>
  </si>
  <si>
    <t>GULF RADIATOR WORKS INC</t>
  </si>
  <si>
    <t>BACH TROMBONE 29665</t>
  </si>
  <si>
    <t>YAMAHA BARITONE 066887</t>
  </si>
  <si>
    <t>YAMAHA BARITONE 375972</t>
  </si>
  <si>
    <t>YAMAHA BARITONE 006434</t>
  </si>
  <si>
    <t>YAMAHA BARITONE 375978</t>
  </si>
  <si>
    <t>1/15/16-2/29/16</t>
  </si>
  <si>
    <t>DETECTION SERVICE 12/4/15</t>
  </si>
  <si>
    <t>2/15/16-3/14/16 LESSEE</t>
  </si>
  <si>
    <t>CORDLESS CAR CODE</t>
  </si>
  <si>
    <t>2/15/16-2/19/16 TRAFFIC CTRL</t>
  </si>
  <si>
    <t>12/22/15-1/18/16</t>
  </si>
  <si>
    <t xml:space="preserve">NORTHWEST BUSINESS </t>
  </si>
  <si>
    <t>MEMBERSHIP DUES</t>
  </si>
  <si>
    <t>PETROLEUM SOLUTIONS INC</t>
  </si>
  <si>
    <t>199-34-6219.10-937-699082</t>
  </si>
  <si>
    <t xml:space="preserve">VEEDER ROOT &amp; FUEL </t>
  </si>
  <si>
    <t>4/1/16-6/30/16</t>
  </si>
  <si>
    <t>PRAXAIR DISTRIBUTION INC</t>
  </si>
  <si>
    <t>199-11-6399.12-041-611003</t>
  </si>
  <si>
    <t>RESALE CYLINDER &amp; HELIUM</t>
  </si>
  <si>
    <t>199-51-6249.MC-101-699081</t>
  </si>
  <si>
    <t>RM 215 INTERCOM CABLE</t>
  </si>
  <si>
    <t>PENCIL SHARPENERS</t>
  </si>
  <si>
    <t>WRAP UPS CLASS KIT</t>
  </si>
  <si>
    <t>MATH SUPPLIES</t>
  </si>
  <si>
    <t>199-11-6399.78-041-611003</t>
  </si>
  <si>
    <t xml:space="preserve">CARPET CLEAN &amp; </t>
  </si>
  <si>
    <t>LOAD LAMINATING FILM</t>
  </si>
  <si>
    <t>199-11-6399.8J-104-611005</t>
  </si>
  <si>
    <t>199-11-6399.8U-104-611005</t>
  </si>
  <si>
    <t>199-11-6399.CR-001-631034</t>
  </si>
  <si>
    <t xml:space="preserve">PLUS GRAPHING </t>
  </si>
  <si>
    <t>STATE COMPTROLLER</t>
  </si>
  <si>
    <t>SEPTIC TANK 1/26/16</t>
  </si>
  <si>
    <t xml:space="preserve">SUPER TEACHER </t>
  </si>
  <si>
    <t xml:space="preserve">1YR MEMBERSHIP SITE </t>
  </si>
  <si>
    <t xml:space="preserve">TEXAS STATE LIBRARY &amp; </t>
  </si>
  <si>
    <t>199-12-6396.7U-001-611201</t>
  </si>
  <si>
    <t>TEX QUEST PROGRAM</t>
  </si>
  <si>
    <t>199-12-6396.7U-041-611203</t>
  </si>
  <si>
    <t>199-12-6396.7U-101-611204</t>
  </si>
  <si>
    <t>199-12-6396.7U-104-611205</t>
  </si>
  <si>
    <t>TL ELECTRIC, INC</t>
  </si>
  <si>
    <t>PAC SOLAR LED LIGHTING</t>
  </si>
  <si>
    <t>199-36-6299.00-001-699174</t>
  </si>
  <si>
    <t>MANAGER FOR CONCESSION</t>
  </si>
  <si>
    <t>LATCH BOXES</t>
  </si>
  <si>
    <t>TESTING SUPPLIES</t>
  </si>
  <si>
    <t>FOOD &amp; SOCIAL LIVING</t>
  </si>
  <si>
    <t xml:space="preserve">5TH GRADE 	SCIENCE </t>
  </si>
  <si>
    <t>DIVIDERS</t>
  </si>
  <si>
    <t>NHS SUPPLIES</t>
  </si>
  <si>
    <t>LIFE SCIENCE LAB</t>
  </si>
  <si>
    <t>PHYSICS LAB SUPPLIES</t>
  </si>
  <si>
    <t>BUTCHER PAPER ROLL</t>
  </si>
  <si>
    <t>HFL ACTIVITY</t>
  </si>
  <si>
    <t>HFL CLASS</t>
  </si>
  <si>
    <t>SITE BASE MEETING</t>
  </si>
  <si>
    <t>TABLE CLOTHES</t>
  </si>
  <si>
    <t>199-31-6499.7F-001-631034</t>
  </si>
  <si>
    <t>FASFA NIGHT</t>
  </si>
  <si>
    <t>UIL OAP SUPPLIES</t>
  </si>
  <si>
    <t>SUB ORENTATION</t>
  </si>
  <si>
    <t>WATCHMINDER</t>
  </si>
  <si>
    <t>WATCHMINDER 3</t>
  </si>
  <si>
    <t xml:space="preserve">UIL CONTEST @ FBLUFF MAR </t>
  </si>
  <si>
    <t>INTERCOM SUPPLIES</t>
  </si>
  <si>
    <t>EVGA GF 210</t>
  </si>
  <si>
    <t>CISCO 8PT</t>
  </si>
  <si>
    <t>ELECTRIC DUSTER</t>
  </si>
  <si>
    <t>TANK FITTING ADAPTER</t>
  </si>
  <si>
    <t xml:space="preserve">RUST RELEASE PEN &amp; BOLT </t>
  </si>
  <si>
    <t>BALFOUR</t>
  </si>
  <si>
    <t>199-11-6499.7Q-001-611001</t>
  </si>
  <si>
    <t>DIPLOMA/TYPE OF SHEET</t>
  </si>
  <si>
    <t>2/23/16-3/22/16</t>
  </si>
  <si>
    <t>12/2/15-2/29/16 MILEAGE</t>
  </si>
  <si>
    <t>BWI COMPANIES, INC</t>
  </si>
  <si>
    <t>WEED &amp; FEED</t>
  </si>
  <si>
    <t>BERMUDA HULLED</t>
  </si>
  <si>
    <t>HS WATER 1/19/16-2/18/16</t>
  </si>
  <si>
    <t>ACC WATER 1/18/16-2/16/16</t>
  </si>
  <si>
    <t>MS WATER 1/18/16-2/16/16</t>
  </si>
  <si>
    <t>PRIMRY WATER 1/18/16-</t>
  </si>
  <si>
    <t>INTER WATER 1/18/16-2/16/16</t>
  </si>
  <si>
    <t>ADMIN WATER 1/18/16-2/16/16</t>
  </si>
  <si>
    <t>MAINT WATER 1/18/16-2/16/16</t>
  </si>
  <si>
    <t>FB FLD WATER 1/19/16-2/18/16</t>
  </si>
  <si>
    <t>HS GAS 1/19/16-2/18/16</t>
  </si>
  <si>
    <t>MS GAS 1/18/16-2/16/16</t>
  </si>
  <si>
    <t>PRIMRY GAS 1/18/16-2/16/16</t>
  </si>
  <si>
    <t>INTER GAS 1/18/16-2/16/16</t>
  </si>
  <si>
    <t>199-51-6258.11-001-699073</t>
  </si>
  <si>
    <t>AG BRN WATER 11/18/15-</t>
  </si>
  <si>
    <t xml:space="preserve">FFA CLINICS @ COL STN APR </t>
  </si>
  <si>
    <t>199-13-6239.01-001-625025</t>
  </si>
  <si>
    <t>BILINGUAL ESL COOP FEE</t>
  </si>
  <si>
    <t>199-13-6239.01-002-625025</t>
  </si>
  <si>
    <t>199-13-6239.01-041-625025</t>
  </si>
  <si>
    <t>199-13-6239.01-101-625025</t>
  </si>
  <si>
    <t>199-13-6239.01-104-625025</t>
  </si>
  <si>
    <t>ANN BARTOSH</t>
  </si>
  <si>
    <t>SARAH MOORE</t>
  </si>
  <si>
    <t>GWYNETTA HOELSCHER</t>
  </si>
  <si>
    <t xml:space="preserve">FCCLA STATE @ DALLAS APR </t>
  </si>
  <si>
    <t>199-11-6412.VH-001-622074</t>
  </si>
  <si>
    <t>BUS 32 HEATER SYSTEM</t>
  </si>
  <si>
    <t>BUS 6 FUEL &amp; OIL LEAK</t>
  </si>
  <si>
    <t xml:space="preserve">BUS 30 SPEEDOMETER &amp; </t>
  </si>
  <si>
    <t xml:space="preserve">BUS 6 SPEEDMETER &amp; </t>
  </si>
  <si>
    <t>BUS 23 OIL PRESSURE</t>
  </si>
  <si>
    <t>BUS 1 FINAL GEAR SHIFT</t>
  </si>
  <si>
    <t xml:space="preserve">BUS 33 SENSOR/STEER AXLE </t>
  </si>
  <si>
    <t>BUS 6 AIR TANK BRACKET</t>
  </si>
  <si>
    <t xml:space="preserve">BUS 32 BATTERIES </t>
  </si>
  <si>
    <t xml:space="preserve">BUS 33 STOP SIGN MICRO </t>
  </si>
  <si>
    <t>BUS 6 FILTER &amp; CABLE VALVE</t>
  </si>
  <si>
    <t>TRACTOR MOWER SHIFT</t>
  </si>
  <si>
    <t>4TH GRD SIX WEEKS</t>
  </si>
  <si>
    <t>NHS BANQUET</t>
  </si>
  <si>
    <t>NHS INDUCTION 2/4/16</t>
  </si>
  <si>
    <t>HERNANDEZ, PATRICK</t>
  </si>
  <si>
    <t xml:space="preserve">SHORTY WARDROVE BOX </t>
  </si>
  <si>
    <t>HILTON AMERICAS-HOUSTON</t>
  </si>
  <si>
    <t>OAP CLINIC @ HS 2/20/16</t>
  </si>
  <si>
    <t>JOB FAIR SUPPLIES</t>
  </si>
  <si>
    <t>2HRS SUPPORT</t>
  </si>
  <si>
    <t>2/1/16-2/29/16 MAINT CLICKS</t>
  </si>
  <si>
    <t>3/1/16-3/31/16 DCA RECORD</t>
  </si>
  <si>
    <t>3/1/16-3/31/16 LESSEE</t>
  </si>
  <si>
    <t>APPLE MAGIC MOUSE</t>
  </si>
  <si>
    <t>2/29/16-3/4/16 TRAFFIC CTRL</t>
  </si>
  <si>
    <t>199-11-6297.7E-041-611035</t>
  </si>
  <si>
    <t xml:space="preserve">REHEARSALS &amp; UIL SOLO </t>
  </si>
  <si>
    <t>MONARCH TROPHY STUDIO</t>
  </si>
  <si>
    <t>PIN UIL STOCK</t>
  </si>
  <si>
    <t>199-36-6411.7E-041-699135</t>
  </si>
  <si>
    <t>NASSP/NHS/NJHS</t>
  </si>
  <si>
    <t>INSTITUTIONAL MEMBERSHIP</t>
  </si>
  <si>
    <t xml:space="preserve">NOTARY PUBLIC </t>
  </si>
  <si>
    <t xml:space="preserve">KRYSTLE CARBAJAL NOTARY </t>
  </si>
  <si>
    <t>MAR 2016 MAINT</t>
  </si>
  <si>
    <t>WORN RAIL GUIDES</t>
  </si>
  <si>
    <t>SEALED REAR</t>
  </si>
  <si>
    <t>199-11-6339.NL-001-622222</t>
  </si>
  <si>
    <t>STUDENT DRUG TESTING</t>
  </si>
  <si>
    <t xml:space="preserve">APPALACHIAN SPRING </t>
  </si>
  <si>
    <t>LEAVERS MEETING 2/5/16</t>
  </si>
  <si>
    <t>SITE BASED MEETING 2/9/16</t>
  </si>
  <si>
    <t>SUBSTITUE MEETING 2/17/16</t>
  </si>
  <si>
    <t>PRINCIPALS MEETING 2/2/16</t>
  </si>
  <si>
    <t>SERNA, HECTOR</t>
  </si>
  <si>
    <t>199-11-6412.VJ-001-622122</t>
  </si>
  <si>
    <t xml:space="preserve">CAREER @ CCPD/COURTHSE </t>
  </si>
  <si>
    <t>SHEINBERG TOOL CO INC</t>
  </si>
  <si>
    <t>STEP LADER &amp; AUGER BIT</t>
  </si>
  <si>
    <t>FLORAL CLASS</t>
  </si>
  <si>
    <t>1/27/16-2/26/16</t>
  </si>
  <si>
    <t>PENCIL SHARPNER</t>
  </si>
  <si>
    <t xml:space="preserve">HAND HELD PENCIL </t>
  </si>
  <si>
    <t>FOLDERS</t>
  </si>
  <si>
    <t>EXPAND FOLDERS</t>
  </si>
  <si>
    <t>HAND HELD CALCULATORS</t>
  </si>
  <si>
    <t>FILLER PAPER</t>
  </si>
  <si>
    <t>DURACELL AA BATTERIES</t>
  </si>
  <si>
    <t>SCHOOL GLUE STICK</t>
  </si>
  <si>
    <t>OVERHEAD PROJECTORS</t>
  </si>
  <si>
    <t>POSTERBOARD</t>
  </si>
  <si>
    <t xml:space="preserve">COLORED PENCILS &amp; </t>
  </si>
  <si>
    <t>SAFETY SCISSORS</t>
  </si>
  <si>
    <t>PORTABLE STEREOPHONE</t>
  </si>
  <si>
    <t>FLASH DRIVE &amp; FOLDERS</t>
  </si>
  <si>
    <t>DURACELL BATTERIES</t>
  </si>
  <si>
    <t>EXPO DRY ERASERS</t>
  </si>
  <si>
    <t>199-11-6399.SE-001-611001</t>
  </si>
  <si>
    <t>YELLOW #2 PENCILS</t>
  </si>
  <si>
    <t>DOUBLESIDED TAPE</t>
  </si>
  <si>
    <t>DEPOSIT BAGS</t>
  </si>
  <si>
    <t>FOLDERS &amp; STAPLES</t>
  </si>
  <si>
    <t>2/2/16-3/1/16</t>
  </si>
  <si>
    <t>NHS BANQUETT 2/4/16</t>
  </si>
  <si>
    <t>UIL CONTEST @ GP APR 13-</t>
  </si>
  <si>
    <t xml:space="preserve">UIL CONTEST @ FBLUFF APR </t>
  </si>
  <si>
    <t>VANZANDT, DEBBIE</t>
  </si>
  <si>
    <t>199-36-6411.H1-001-631134</t>
  </si>
  <si>
    <t>VEGA, PRISCILLA</t>
  </si>
  <si>
    <t>199-36-6411.H1-001-631034</t>
  </si>
  <si>
    <t>INCORRECT DATE</t>
  </si>
  <si>
    <t>INCORRECT CHECK NUMBER</t>
  </si>
  <si>
    <t>WOODWIND BRASSWIND</t>
  </si>
  <si>
    <t xml:space="preserve">FINALE 2014 ACADEMIC </t>
  </si>
  <si>
    <t>ASPHALT REPAIRS</t>
  </si>
  <si>
    <t>BUS 32 @ FLEET PRIDE</t>
  </si>
  <si>
    <t>BUS 41 @ FLEET PRIDE</t>
  </si>
  <si>
    <t>TM115 @ FIVE POINTS AUTO</t>
  </si>
  <si>
    <t>IRRIGATION LINE REPAIR</t>
  </si>
  <si>
    <t>HANDLE 4/8' 2 SECTION</t>
  </si>
  <si>
    <t xml:space="preserve">BLUE CLEANING PADS &amp; </t>
  </si>
  <si>
    <t>LEMON QUAT DISINFECT</t>
  </si>
  <si>
    <t>HANDLE 60' SUPERGRIP</t>
  </si>
  <si>
    <t>C8 SCIENCES</t>
  </si>
  <si>
    <t>199-11-6396.00-001-611023</t>
  </si>
  <si>
    <t xml:space="preserve">UNLITIMED ACTIVATE </t>
  </si>
  <si>
    <t>199-11-6396.00-041-611023</t>
  </si>
  <si>
    <t>199-11-6396.00-101-611023</t>
  </si>
  <si>
    <t>199-11-6396.00-104-611023</t>
  </si>
  <si>
    <t>POLYWOOL DUSTERS</t>
  </si>
  <si>
    <t>DISPENSER</t>
  </si>
  <si>
    <t>BACK SUPPORT BELTS</t>
  </si>
  <si>
    <t>STAINLESS STEEL CLEANER</t>
  </si>
  <si>
    <t>GRAFFITI REMOVER</t>
  </si>
  <si>
    <t>POLYWOOL DUSTER</t>
  </si>
  <si>
    <t>ABSORBANT BOOM SOCK</t>
  </si>
  <si>
    <t xml:space="preserve">CUSTOM LEATHER SUPPORT </t>
  </si>
  <si>
    <t>199-51-6399.10-934-699091</t>
  </si>
  <si>
    <t>GUAGE WRAP</t>
  </si>
  <si>
    <t>FEB 2016 PT SERVICES</t>
  </si>
  <si>
    <t>12/31/15 SERVICE</t>
  </si>
  <si>
    <t>2/4/16 SERVICE</t>
  </si>
  <si>
    <t>2/11/16 SERVICE</t>
  </si>
  <si>
    <t>2/18/16 SERVICE</t>
  </si>
  <si>
    <t>2/25/16 SERVICE</t>
  </si>
  <si>
    <t>1/28/16 SERVICE</t>
  </si>
  <si>
    <t>COMPUTER SOLUTIONS</t>
  </si>
  <si>
    <t>199-51-6249.10-880-699080</t>
  </si>
  <si>
    <t>FIELD HOUSE FIBER REPAIR</t>
  </si>
  <si>
    <t>FEB 2016 OT BILLING</t>
  </si>
  <si>
    <t>4/1/30-4/30/16</t>
  </si>
  <si>
    <t>199-36-6412.7K-001-699101</t>
  </si>
  <si>
    <t xml:space="preserve">CLASSROOM LOCK LESS </t>
  </si>
  <si>
    <t>ENTRY LOCKSET</t>
  </si>
  <si>
    <t xml:space="preserve">EXHIBITS PRACTICE FLD CITY </t>
  </si>
  <si>
    <t>BUS 30 COTTER PIN</t>
  </si>
  <si>
    <t>PRE UIL EVAL @ GP MAR 31-</t>
  </si>
  <si>
    <t xml:space="preserve">JUDGE CLINIC @ COL STN </t>
  </si>
  <si>
    <t xml:space="preserve">UIL ACADEMICS @ FBLUFF </t>
  </si>
  <si>
    <t>HOLLAND, BRITTNEY</t>
  </si>
  <si>
    <t>199-36-6299.7C-001-699001</t>
  </si>
  <si>
    <t>CHEER TRYOUTS 3/18/16</t>
  </si>
  <si>
    <t>OAP @ PAC MAR 4-5</t>
  </si>
  <si>
    <t>GROUNDS SUPPLIES</t>
  </si>
  <si>
    <t xml:space="preserve">FLAT BRUSH &amp; GLOSS </t>
  </si>
  <si>
    <t>DRILL DRIVER KIT</t>
  </si>
  <si>
    <t>JUSTICE, KRISTY</t>
  </si>
  <si>
    <t>1/4/16-2/18/16 MILEAGE</t>
  </si>
  <si>
    <t xml:space="preserve">HS ALARM INSPECTION </t>
  </si>
  <si>
    <t xml:space="preserve">MS ALARM INSPECTION </t>
  </si>
  <si>
    <t xml:space="preserve">INTER ALARM INSPECTION </t>
  </si>
  <si>
    <t xml:space="preserve">INTER NEW BATTERIES </t>
  </si>
  <si>
    <t xml:space="preserve">PRMRY ALARM INSPECTION </t>
  </si>
  <si>
    <t xml:space="preserve">PRIMRY NEW BATTERIES </t>
  </si>
  <si>
    <t xml:space="preserve">ACC ALARM INSPECTION </t>
  </si>
  <si>
    <t xml:space="preserve">HEAD ALARM INSPECTION </t>
  </si>
  <si>
    <t>LEFEVRE, SUSAN</t>
  </si>
  <si>
    <t>UIL @ KINSGVILLE 2/13/16</t>
  </si>
  <si>
    <t>GLUE STICKS &amp; BATTERIES</t>
  </si>
  <si>
    <t>RAPTOR VISITORS BADGES</t>
  </si>
  <si>
    <t>HEALTH VIDEO</t>
  </si>
  <si>
    <t>HOMECOMING SUPPLIES</t>
  </si>
  <si>
    <t>SINGEL HANDLE LAVATORY</t>
  </si>
  <si>
    <t xml:space="preserve">HOLE SINGLE HANDLE </t>
  </si>
  <si>
    <t>MARTINEZ, JOSUE</t>
  </si>
  <si>
    <t>199-36-6411.7B-001-699032</t>
  </si>
  <si>
    <t>UIL CONTEST @ GP 4/13/16</t>
  </si>
  <si>
    <t>3/7/16-3/11/16 TRAFFIC CTRL</t>
  </si>
  <si>
    <t>2/1/16-2/19/16 MILEAGE</t>
  </si>
  <si>
    <t>3/15/16-4/11/16</t>
  </si>
  <si>
    <t>NEEL, DENISE</t>
  </si>
  <si>
    <t>EASTER SUPPLIES</t>
  </si>
  <si>
    <t>12/7/15-3/3/16 MILEAGE</t>
  </si>
  <si>
    <t>199-11-6411.HB-041-611374</t>
  </si>
  <si>
    <t>12/7/15-1/6/16 MILEAGE</t>
  </si>
  <si>
    <t>CERTIFIED COPY TITLE</t>
  </si>
  <si>
    <t>199-41-6397.10-730-699095</t>
  </si>
  <si>
    <t>9/23/15 MILEAGE</t>
  </si>
  <si>
    <t>9/22/15 MILEAGE</t>
  </si>
  <si>
    <t>199-41-6411.10-730-699195</t>
  </si>
  <si>
    <t>9/8/15-2/19/16 MILEAGE</t>
  </si>
  <si>
    <t>PHOTOFINISHING</t>
  </si>
  <si>
    <t>PRINCIPALS MEETING 1/26/16</t>
  </si>
  <si>
    <t>SPRING WATERS</t>
  </si>
  <si>
    <t>199-36-6499.7E-001-699031</t>
  </si>
  <si>
    <t>PATCHES</t>
  </si>
  <si>
    <t>NECK LANYARD W/ID CARDS</t>
  </si>
  <si>
    <t>SKILLS USA @ ABC MAR 31-</t>
  </si>
  <si>
    <t xml:space="preserve">OAP DISTRCT @ VICTORIA </t>
  </si>
  <si>
    <t>2/11/16 POSTAGE REFILL</t>
  </si>
  <si>
    <t>CRAYOLA MARKERS</t>
  </si>
  <si>
    <t>1 MINUTE SAND TIMER</t>
  </si>
  <si>
    <t>RUIZ, KANDICE</t>
  </si>
  <si>
    <t>PLASTIC FILE TOTE</t>
  </si>
  <si>
    <t>199-11-6399.CR-001-611001</t>
  </si>
  <si>
    <t xml:space="preserve">6000 GALLONS UNLEADED &amp; </t>
  </si>
  <si>
    <t xml:space="preserve">7203 GALLONS UNLEADED &amp; </t>
  </si>
  <si>
    <t>199-51-6249.MA-936-699081</t>
  </si>
  <si>
    <t>3/1/16-2/28/17 PASS FEES</t>
  </si>
  <si>
    <t>72X72 PROJECTION SCREEN</t>
  </si>
  <si>
    <t>ART KRAFT PAPER</t>
  </si>
  <si>
    <t>4/1/16-4/1/17 WEB MAINT FEE</t>
  </si>
  <si>
    <t>SUPER 8 MOTEL</t>
  </si>
  <si>
    <t xml:space="preserve">TECHNOLOGY STUDENT </t>
  </si>
  <si>
    <t>199-36-6412.H3-001-631034</t>
  </si>
  <si>
    <t>JETS POSTAL 3/21/16</t>
  </si>
  <si>
    <t xml:space="preserve">TACS CHALENGE @ BELTON </t>
  </si>
  <si>
    <t>ADMIN CABLE 3/17/16-4/16/16</t>
  </si>
  <si>
    <t>INTERNET 3/17/16-4/16/16</t>
  </si>
  <si>
    <t>BROADBANDS 3/17/16-4/16/16</t>
  </si>
  <si>
    <t>WARD, BROOKE</t>
  </si>
  <si>
    <t>DR GLEN KOST</t>
  </si>
  <si>
    <t>199-41-6498.10-735-699096</t>
  </si>
  <si>
    <t xml:space="preserve">POCKET PRAISE &amp; TINY </t>
  </si>
  <si>
    <t>STRAIGHT UP CLEANER</t>
  </si>
  <si>
    <t>PS CAT DOUBLE</t>
  </si>
  <si>
    <t>USB MOUSE</t>
  </si>
  <si>
    <t>PORTABLE DOC CAM</t>
  </si>
  <si>
    <t>WIRELESS PRESENTER</t>
  </si>
  <si>
    <t>MEAT &amp; WOOL SCAN TRONS</t>
  </si>
  <si>
    <t xml:space="preserve">STI AREA X @ PLEASANTON </t>
  </si>
  <si>
    <t>BUS 31 BODY WORK</t>
  </si>
  <si>
    <t>ETA HAND2MIND</t>
  </si>
  <si>
    <t>VERSTILE MATH</t>
  </si>
  <si>
    <t xml:space="preserve">CDE AREA X @ PLEASANTON </t>
  </si>
  <si>
    <t xml:space="preserve">AREA X CDE @ ROBSTOWN </t>
  </si>
  <si>
    <t>BARI SAX 150757</t>
  </si>
  <si>
    <t>FRENCH HORN 272395</t>
  </si>
  <si>
    <t xml:space="preserve">HOSA ST @ GALVESTON APR </t>
  </si>
  <si>
    <t>199-36-6411.VB-001-622122</t>
  </si>
  <si>
    <t>JACKSON, ROBERT</t>
  </si>
  <si>
    <t>FASFA NIGHT 2/11/16</t>
  </si>
  <si>
    <t>12/14/15-2/17/16 MILEAGE</t>
  </si>
  <si>
    <t>3/15/16-4/14/16 LESSEE</t>
  </si>
  <si>
    <t>UIL AND DRAMA SUPPLIES</t>
  </si>
  <si>
    <t>MITCHELL 1</t>
  </si>
  <si>
    <t xml:space="preserve">PRODEMAN SCHOOL </t>
  </si>
  <si>
    <t>DISNEY COLLECTIONS</t>
  </si>
  <si>
    <t>NORCOSTCO, INC</t>
  </si>
  <si>
    <t>OAP @ PAC APR 6-7</t>
  </si>
  <si>
    <t>LOCK &amp; HASP</t>
  </si>
  <si>
    <t>RTI TUTORIALS</t>
  </si>
  <si>
    <t>OAP AREA @ DEL MAR 4/9/16</t>
  </si>
  <si>
    <t xml:space="preserve">OAP BIDISTRICT @ FBLUFF </t>
  </si>
  <si>
    <t>ACADEMIC REPORT 2/4/16</t>
  </si>
  <si>
    <t xml:space="preserve">SAN LUIS RESORT, SPA &amp; </t>
  </si>
  <si>
    <t>SHERATON DALLAS HOTEL</t>
  </si>
  <si>
    <t xml:space="preserve">TEXAS DEPARTMENT OF </t>
  </si>
  <si>
    <t xml:space="preserve">WATER TUBE CERTIFICATE </t>
  </si>
  <si>
    <t>8TH GRD HISTORY SUPPLIES</t>
  </si>
  <si>
    <t>FOOD LIVING SUPPLIES</t>
  </si>
  <si>
    <t>RTI TUROTIALS</t>
  </si>
  <si>
    <t>STAAR MATH</t>
  </si>
  <si>
    <t>PAL SUPPLIES</t>
  </si>
  <si>
    <t>DOGGIE DAY CLASS 3/11/16</t>
  </si>
  <si>
    <t>SPRING BREAK BLITZ</t>
  </si>
  <si>
    <t>GIFT CARD</t>
  </si>
  <si>
    <t>SOUND SYSTEM CORDS</t>
  </si>
  <si>
    <t>STEREO CABLE</t>
  </si>
  <si>
    <t>ELECTIVE FAIR</t>
  </si>
  <si>
    <t>5 OZ CUPS</t>
  </si>
  <si>
    <t>11/18/15-3/9/16 MILEAGE</t>
  </si>
  <si>
    <t>3/14/16-3/18/16 TRAFFIC CTRL</t>
  </si>
  <si>
    <t xml:space="preserve">ADMIN MAR 2016 180 DAY </t>
  </si>
  <si>
    <t xml:space="preserve">INTER MAR 2016 180 DAY </t>
  </si>
  <si>
    <t xml:space="preserve">MAINT MAR 2016 180 DAY </t>
  </si>
  <si>
    <t>MS MAR 2016 180 DAY FILTER</t>
  </si>
  <si>
    <t xml:space="preserve">PRIMRY MAR 2016 180 DAY </t>
  </si>
  <si>
    <t>COUNSELING 2/29,3/2,3/7,3/9</t>
  </si>
  <si>
    <t>BASIC ONLINE G LERMA</t>
  </si>
  <si>
    <t>DISTRICT 3/15/16</t>
  </si>
  <si>
    <t>NOZZLE &amp; BODY SPRAY</t>
  </si>
  <si>
    <t>AVILA, WANDA</t>
  </si>
  <si>
    <t>199-11-6299.7B-041-611036</t>
  </si>
  <si>
    <t xml:space="preserve">CLINIC/REGION </t>
  </si>
  <si>
    <t>199-11-6249.00-101-611080</t>
  </si>
  <si>
    <t>IPAD 2 SCREEN</t>
  </si>
  <si>
    <t>MEDICINE &amp; WHAT MATTERS</t>
  </si>
  <si>
    <t>HDMI &amp; EXTENSION CABLE</t>
  </si>
  <si>
    <t>DELL POWER SUPPLY</t>
  </si>
  <si>
    <t>MESH CHAIRS &amp; DESK</t>
  </si>
  <si>
    <t>STETHOSCOPE</t>
  </si>
  <si>
    <t>BULLSEYE SAFE T COMPASS</t>
  </si>
  <si>
    <t>PHYSIC SUPPLIES</t>
  </si>
  <si>
    <t>CTE TRUCK WASH</t>
  </si>
  <si>
    <t>199-11-6412.VB-001-622074</t>
  </si>
  <si>
    <t xml:space="preserve">BPA NATIONALS @ BOSTON </t>
  </si>
  <si>
    <t>199-21-6411.10-871-699094</t>
  </si>
  <si>
    <t>HOTEL CANCELLTION FEE</t>
  </si>
  <si>
    <t>FLICKER FLAME BULBS</t>
  </si>
  <si>
    <t>FOG MACHINE FLUID</t>
  </si>
  <si>
    <t>BEACH BALL</t>
  </si>
  <si>
    <t>199-41-6499.14-726-699091</t>
  </si>
  <si>
    <t>ANNUAL MEMBERSHIP FEE</t>
  </si>
  <si>
    <t>ASD POOL SUPPLY</t>
  </si>
  <si>
    <t xml:space="preserve">FURMAN POWER </t>
  </si>
  <si>
    <t>BSB SOUND SYSTEM</t>
  </si>
  <si>
    <t>3/23/16-4/22/16</t>
  </si>
  <si>
    <t>199-11-6411.VB-001-622074</t>
  </si>
  <si>
    <t>UIL CONTEST @ GP 4/14/16</t>
  </si>
  <si>
    <t>199-36-6411.V8-001-622122</t>
  </si>
  <si>
    <t>DE LA ROSA, ANTONIO M.</t>
  </si>
  <si>
    <t>TRUMPET LESSONS 1/5/16-</t>
  </si>
  <si>
    <t>EMERGENCY LIGHTS</t>
  </si>
  <si>
    <t>FLAG POLE LIGHTS</t>
  </si>
  <si>
    <t>MOGUEL MH CLEAR</t>
  </si>
  <si>
    <t>GREEN PAPER</t>
  </si>
  <si>
    <t xml:space="preserve">WHITE OUT, FOLDERS &amp; </t>
  </si>
  <si>
    <t>SITE BASED MTG 3/16/16</t>
  </si>
  <si>
    <t>OAP @ PAC 3/4/16</t>
  </si>
  <si>
    <t>3/21/16-3/23/16 TRAFFIC CTRL</t>
  </si>
  <si>
    <t>PHOTO BOOTH SUPPLIES</t>
  </si>
  <si>
    <t>APR 2016 MAINT</t>
  </si>
  <si>
    <t xml:space="preserve">PERRY MECHANICAL </t>
  </si>
  <si>
    <t>ITUNE CARDS</t>
  </si>
  <si>
    <t>PRE EMPLOYMENT TEST</t>
  </si>
  <si>
    <t>199-23-6249.10-001-699001</t>
  </si>
  <si>
    <t>REPLACEMENT BATTERY</t>
  </si>
  <si>
    <t xml:space="preserve">PROGRAM NEW XPR 3500 </t>
  </si>
  <si>
    <t>199-23-6649.10-001-699001</t>
  </si>
  <si>
    <t xml:space="preserve">XPR 3500 W/MOTOTRBO </t>
  </si>
  <si>
    <t xml:space="preserve">UIL CONTEST @ FBLUFF </t>
  </si>
  <si>
    <t>FOLDERS OXFORD 4 PCKT</t>
  </si>
  <si>
    <t xml:space="preserve">EXPO GALLON CLEANER </t>
  </si>
  <si>
    <t>SUPER 8</t>
  </si>
  <si>
    <t>199-36-6411.H3-001-631034</t>
  </si>
  <si>
    <t>JETS @ HOUSTON APR 18-19</t>
  </si>
  <si>
    <t>ONE DAY TRIP</t>
  </si>
  <si>
    <t>TACS</t>
  </si>
  <si>
    <t xml:space="preserve">ELAINE COLWELL </t>
  </si>
  <si>
    <t xml:space="preserve">SPANISH HARBOUND </t>
  </si>
  <si>
    <t>ULINE</t>
  </si>
  <si>
    <t>ELASTIC LOOP &amp; WHITE TAG</t>
  </si>
  <si>
    <t xml:space="preserve">HANDI MOVER &amp; HAND </t>
  </si>
  <si>
    <t>WILLIAM V. MACGILL &amp; CO.</t>
  </si>
  <si>
    <t>199-11-6411.VB-041-611074</t>
  </si>
  <si>
    <t>199-11-6412.VB-041-611074</t>
  </si>
  <si>
    <t>CANTU  MARY LOU</t>
  </si>
  <si>
    <t xml:space="preserve">HAMPTON INN AND SUITES </t>
  </si>
  <si>
    <t>199-36-6411.09-001-699001</t>
  </si>
  <si>
    <t>UIL REGION @ SA APR 22-23</t>
  </si>
  <si>
    <t>CANCEL</t>
  </si>
  <si>
    <t>HOELSCHER, APRIL</t>
  </si>
  <si>
    <t>4/1/16-4/30/16</t>
  </si>
  <si>
    <t>199-11-6411.VJ-001-622122</t>
  </si>
  <si>
    <t>SHERATON BOSTON HOTEL</t>
  </si>
  <si>
    <t>UIL STATE MUSIC OFFICE</t>
  </si>
  <si>
    <t>199-36-6412.7D-001-699574</t>
  </si>
  <si>
    <t xml:space="preserve">CHOIR STATE @ AUSTIN MAY </t>
  </si>
  <si>
    <t xml:space="preserve">COUNSELING 3/21/16 &amp; </t>
  </si>
  <si>
    <t>COUNSULTATION 4/1/16</t>
  </si>
  <si>
    <t>OMNI 650VA BACKUP W/LCD</t>
  </si>
  <si>
    <t>BUS 30 @ FIVE POINTS AUTO</t>
  </si>
  <si>
    <t>BUS 32 @ FLEETPRIDE</t>
  </si>
  <si>
    <t>BUS 6 @ FLEETPRIDE</t>
  </si>
  <si>
    <t>BUS 23 @ COATAL DIESEL</t>
  </si>
  <si>
    <t>VALVE COMM W/FC</t>
  </si>
  <si>
    <t>DURALAST SOCKET SET</t>
  </si>
  <si>
    <t xml:space="preserve">DURALAST COOLANT TEMP </t>
  </si>
  <si>
    <t>DURALAST JOINT &amp; SOCKET</t>
  </si>
  <si>
    <t>DURALAST SEAL</t>
  </si>
  <si>
    <t>BA EGR TUBE</t>
  </si>
  <si>
    <t>HOSE CLAMP RACK</t>
  </si>
  <si>
    <t>MOTOR OIL</t>
  </si>
  <si>
    <t>8X10 COVERS</t>
  </si>
  <si>
    <t>BALLARD &amp; TIGHE</t>
  </si>
  <si>
    <t>199-11-6339.00-101-625025</t>
  </si>
  <si>
    <t>ONLINE IPT R&amp;W BLK TESTS</t>
  </si>
  <si>
    <t>BOWLING, TERESSA W.</t>
  </si>
  <si>
    <t>3/11/16-3/31/16</t>
  </si>
  <si>
    <t>12/11/15-1/13/16</t>
  </si>
  <si>
    <t>1/12/16-1/13/16</t>
  </si>
  <si>
    <t xml:space="preserve">AMMONIUM SULFATE WEED </t>
  </si>
  <si>
    <t>PAINTED LADY SETUP</t>
  </si>
  <si>
    <t>1/4/16-4/1/16 MILEAGE</t>
  </si>
  <si>
    <t>BUS 10 LEECE NEVILLE</t>
  </si>
  <si>
    <t>BLACK FLOOR STRIP</t>
  </si>
  <si>
    <t>URINAL DEODORIZER</t>
  </si>
  <si>
    <t>LAMBS WOOL DUSTER</t>
  </si>
  <si>
    <t>STAAR TESTING 3/30/16</t>
  </si>
  <si>
    <t>HS WATER 2/18/16-3/18/16</t>
  </si>
  <si>
    <t>ACC WATER 2/16/16-3/16/16</t>
  </si>
  <si>
    <t>MS WATER 2/16/16-3/16/16</t>
  </si>
  <si>
    <t>PRIMRY WATER 2/16/16-</t>
  </si>
  <si>
    <t>INTER WATER 2/16/16-3/16/16</t>
  </si>
  <si>
    <t>ADMIN WATER 2/16/16-3/16/16</t>
  </si>
  <si>
    <t>MAINT WATER 2/16/16-3/16/16</t>
  </si>
  <si>
    <t>FB FLD WATER 2/18/16-3/18/16</t>
  </si>
  <si>
    <t>HS GAS 2/18/16-3/18/16</t>
  </si>
  <si>
    <t>MS GAS 2/16/16-3/16/16</t>
  </si>
  <si>
    <t>PRIMRY GAS 2/16/16-3/16/16</t>
  </si>
  <si>
    <t>INTER GAS 2/16/16-3/16/16</t>
  </si>
  <si>
    <t>AG BARN GAS 2/18/16-3/18/16</t>
  </si>
  <si>
    <t xml:space="preserve">4/23/16-4/23/17 ADMIN </t>
  </si>
  <si>
    <t xml:space="preserve">4/23/16-4/23/17 MAINT </t>
  </si>
  <si>
    <t xml:space="preserve">4/23/16-4/23/17 TRANS </t>
  </si>
  <si>
    <t>FALSE ALARM 2/4/16</t>
  </si>
  <si>
    <t>10/15/15-10/15/16</t>
  </si>
  <si>
    <t>BUS 5 OIL LEAK</t>
  </si>
  <si>
    <t xml:space="preserve">CRISIS PREVENTION </t>
  </si>
  <si>
    <t>199-11-6499.00-001-623023</t>
  </si>
  <si>
    <t>4/25/16-4/25/17 MEMBERSHIP</t>
  </si>
  <si>
    <t>199-11-6499.00-041-623023</t>
  </si>
  <si>
    <t>199-11-6499.00-101-623023</t>
  </si>
  <si>
    <t>199-11-6499.00-104-623023</t>
  </si>
  <si>
    <t>COLOR INKS</t>
  </si>
  <si>
    <t>5/1/16-5/31/16</t>
  </si>
  <si>
    <t>PRINCIPALS MEETING 3/22/16</t>
  </si>
  <si>
    <t>PRIMARY @ ESA 2/5/16</t>
  </si>
  <si>
    <t>WORKSHOP 1316199 3/23/16</t>
  </si>
  <si>
    <t>199-41-6411.10-730-699095</t>
  </si>
  <si>
    <t>JOB FAIR 3/24/16</t>
  </si>
  <si>
    <t>WENDY PRATT</t>
  </si>
  <si>
    <t>FAIRFIELD INN &amp; SUITES</t>
  </si>
  <si>
    <t xml:space="preserve">SPED LAW @ BRAUNFELS </t>
  </si>
  <si>
    <t>BI METAL RECIP SAW BLADES</t>
  </si>
  <si>
    <t>TM107 BROKEN HEAD LIGHT</t>
  </si>
  <si>
    <t xml:space="preserve">TM103 SHIFT TUBE &amp; </t>
  </si>
  <si>
    <t>TM116 A/C REGRIGERANT</t>
  </si>
  <si>
    <t>CARBON SOUFFLE</t>
  </si>
  <si>
    <t>SANDY LOAM</t>
  </si>
  <si>
    <t>GTC BOOK RINGS</t>
  </si>
  <si>
    <t>INDEX CARDS</t>
  </si>
  <si>
    <t>SITE BASED MEETING 3/9/16</t>
  </si>
  <si>
    <t>STUDENT INCENTIVES</t>
  </si>
  <si>
    <t xml:space="preserve">HODGES BADGE COMPANY, </t>
  </si>
  <si>
    <t>199-36-6499.8J-104-699005</t>
  </si>
  <si>
    <t>STOCK TORCH RIBBONS</t>
  </si>
  <si>
    <t>HOLIDAY INN NORTHWEST</t>
  </si>
  <si>
    <t>OAP REGION @ SA APR 22-23</t>
  </si>
  <si>
    <t>TAX REFUND</t>
  </si>
  <si>
    <t>HUSKY 6PC SCREWDRIVER</t>
  </si>
  <si>
    <t>HADWARE LUMBER</t>
  </si>
  <si>
    <t>ENERGIZER BATTERIES</t>
  </si>
  <si>
    <t xml:space="preserve">PLUMBING &amp; BUILDING </t>
  </si>
  <si>
    <t>HUDSON PRODUCTIONS, LLC</t>
  </si>
  <si>
    <t>199-21-6219.00-871-699094</t>
  </si>
  <si>
    <t xml:space="preserve">SPEAKING ENGAGEMENT </t>
  </si>
  <si>
    <t>DETECTION SERVICE 2/8/16</t>
  </si>
  <si>
    <t>BX38 BELT</t>
  </si>
  <si>
    <t>CLEAR PLASTIC CLIPBOARD</t>
  </si>
  <si>
    <t>PEN DOTLINER REFILL</t>
  </si>
  <si>
    <t>3/1/16-3/31/16 MAINT CLICKS</t>
  </si>
  <si>
    <t>4/1/16-4/30/16 DCA RECORD</t>
  </si>
  <si>
    <t>4/1/16-4/30/16 LESSEE</t>
  </si>
  <si>
    <t>QUART STORAGE BOXES</t>
  </si>
  <si>
    <t>4/1/16 TRAFFIC CTRL</t>
  </si>
  <si>
    <t>CUSTOME FRAME</t>
  </si>
  <si>
    <t>MCCLURE, CHRISTINA</t>
  </si>
  <si>
    <t>3/28/16-3/31/16 TRAFFIC CTRL</t>
  </si>
  <si>
    <t>NE BAR WALL MOUNT UNITS</t>
  </si>
  <si>
    <t>NATIONAL PEN CO.</t>
  </si>
  <si>
    <t xml:space="preserve">SIGNATURE PEN &amp; VELVET </t>
  </si>
  <si>
    <t xml:space="preserve">VDS PHONE STAND WHITE </t>
  </si>
  <si>
    <t xml:space="preserve">VDS PHONE STAND </t>
  </si>
  <si>
    <t>COLOR SPIKE TAPE</t>
  </si>
  <si>
    <t>OAP REGION @ SA APR 21-23</t>
  </si>
  <si>
    <t xml:space="preserve">ROTELLA, TERRACAIR &amp; </t>
  </si>
  <si>
    <t>PAPER DIRECT INC</t>
  </si>
  <si>
    <t xml:space="preserve">FLAT INVITATIONS &amp; </t>
  </si>
  <si>
    <t xml:space="preserve">LASER PRESENTATION </t>
  </si>
  <si>
    <t>HOOKS</t>
  </si>
  <si>
    <t>5TH GRADE LAB</t>
  </si>
  <si>
    <t xml:space="preserve">STAFF TESTING 3/3/16 &amp; </t>
  </si>
  <si>
    <t>FASTNERS</t>
  </si>
  <si>
    <t>CHROME LOCKS</t>
  </si>
  <si>
    <t>TRIMLINE PHONES</t>
  </si>
  <si>
    <t>TESTING STAFF 3/29/16</t>
  </si>
  <si>
    <t>EXAMINER RECORD BKLT</t>
  </si>
  <si>
    <t>3/29/16 POSTAGE REFILL</t>
  </si>
  <si>
    <t>STAFF MEETING 3/8/16</t>
  </si>
  <si>
    <t>STAFF MEETING 3/14/16</t>
  </si>
  <si>
    <t>SALAS, ERIC</t>
  </si>
  <si>
    <t>199-36-6299.7B-001-699032</t>
  </si>
  <si>
    <t xml:space="preserve">MARCHING BAND DRILL </t>
  </si>
  <si>
    <t xml:space="preserve">SEXUAL ABUSE AWARENESS </t>
  </si>
  <si>
    <t>199-33-6411.00-001-699094</t>
  </si>
  <si>
    <t xml:space="preserve">ABUSE AWARNESS @ CC </t>
  </si>
  <si>
    <t>199-33-6411.00-104-699094</t>
  </si>
  <si>
    <t>SHELTON, BRIAN</t>
  </si>
  <si>
    <t>SOUTH TEXAS CANVAS</t>
  </si>
  <si>
    <t>US &amp; TEXAS FLAGS</t>
  </si>
  <si>
    <t>YAMAHA EUPHONIUM 114625</t>
  </si>
  <si>
    <t>MIRAPHONE OBOE 48212</t>
  </si>
  <si>
    <t>SELMER OBOE 00002665</t>
  </si>
  <si>
    <t>YAMAHA BARI SAX NECK</t>
  </si>
  <si>
    <t xml:space="preserve">CLARINET P0126077 &amp; SAX </t>
  </si>
  <si>
    <t xml:space="preserve">SELMER BASS CLARINET </t>
  </si>
  <si>
    <t>HOLTON F HORN 642157</t>
  </si>
  <si>
    <t>BUNDY BASS CLARINETT</t>
  </si>
  <si>
    <t>2/27/16-3/26/16</t>
  </si>
  <si>
    <t>GEL PENS</t>
  </si>
  <si>
    <t>6 SHELF BOOKCASE</t>
  </si>
  <si>
    <t>100PK CD-R</t>
  </si>
  <si>
    <t>NEON PINK LABELS</t>
  </si>
  <si>
    <t>BLACK TONER</t>
  </si>
  <si>
    <t>199-31-6399.7F-001-631034</t>
  </si>
  <si>
    <t>AVERY LASER LABELS</t>
  </si>
  <si>
    <t xml:space="preserve">BUGUNDY PORTFOLIOS &amp; </t>
  </si>
  <si>
    <t>BUGUNDY PORTFOLIOS</t>
  </si>
  <si>
    <t>POSTIT FLAGS</t>
  </si>
  <si>
    <t>SELF SEAL ENVELOPES</t>
  </si>
  <si>
    <t>LETTER FOLDERS</t>
  </si>
  <si>
    <t>BUTCHER PAPER</t>
  </si>
  <si>
    <t>PRICE GUARANTEE</t>
  </si>
  <si>
    <t>4/1/16 SPRAY APPLICATION</t>
  </si>
  <si>
    <t>4/15/16 SPRAY APPLICATION</t>
  </si>
  <si>
    <t xml:space="preserve">BAND STATE @ AUSTIN MAY </t>
  </si>
  <si>
    <t>199-13-6411.09-001-611001</t>
  </si>
  <si>
    <t xml:space="preserve">UIL CAPITAL @ AUSTIN JUN </t>
  </si>
  <si>
    <t>199-11-6412.VA-001-622122</t>
  </si>
  <si>
    <t xml:space="preserve">AUTO PLANT TOUR @ SA </t>
  </si>
  <si>
    <t>199-11-6399.8C-101-611004</t>
  </si>
  <si>
    <t>MUSIC SUPPLIES</t>
  </si>
  <si>
    <t>WOODBURN PRESS LTD</t>
  </si>
  <si>
    <t>199-11-6395.10-041-611003</t>
  </si>
  <si>
    <t>INFO GUIDE &amp; BOOKS</t>
  </si>
  <si>
    <t>3/3/16-3/31/16</t>
  </si>
  <si>
    <t>199-11-6268.7Q-001-611001</t>
  </si>
  <si>
    <t>GRADUATION @ ABC 5/20/16</t>
  </si>
  <si>
    <t>199-11-6399.VT-001-611001</t>
  </si>
  <si>
    <t>IPAD MINI 4WIFI</t>
  </si>
  <si>
    <t>199-36-6399.3P-001-691274</t>
  </si>
  <si>
    <t xml:space="preserve">CERTIFICATE FOIL, PAPER &amp; </t>
  </si>
  <si>
    <t>POCKET PRAISE</t>
  </si>
  <si>
    <t>DISINFECTANT LIQUID</t>
  </si>
  <si>
    <t xml:space="preserve">CONVENTION HOUSING </t>
  </si>
  <si>
    <t xml:space="preserve">SUMMER LDRSHP @ SA JUN </t>
  </si>
  <si>
    <t>MAR 2016 OT BILLING</t>
  </si>
  <si>
    <t>199-41-6499.10-728-699091</t>
  </si>
  <si>
    <t>PAINTING OF WALLS 3/25/16</t>
  </si>
  <si>
    <t>TEACHER JOB FAIR 3/23/16</t>
  </si>
  <si>
    <t>199-51-6249.M5-936-699081</t>
  </si>
  <si>
    <t xml:space="preserve">STADIUM BATHROOM </t>
  </si>
  <si>
    <t>ELIZONDO, ANA MARIA</t>
  </si>
  <si>
    <t>JOB FAIR @ TAMUCC 4/13/16</t>
  </si>
  <si>
    <t xml:space="preserve">MOHAWK SYNTHETIC </t>
  </si>
  <si>
    <t xml:space="preserve">ALUMIGRAPHICS SHORT </t>
  </si>
  <si>
    <t>MAGICLEE TORINO CANVAS</t>
  </si>
  <si>
    <t xml:space="preserve">TANGO DIGITAL COATED </t>
  </si>
  <si>
    <t xml:space="preserve">SPRINGHILL VELLUM </t>
  </si>
  <si>
    <t>BUS 5 ENGINE OIL LEAK</t>
  </si>
  <si>
    <t xml:space="preserve">BUS 47 STOP SIGN ARM </t>
  </si>
  <si>
    <t>BUS 19 AIR LEAK &amp; BEARINGS</t>
  </si>
  <si>
    <t>BUS 32 ALTERNATOR</t>
  </si>
  <si>
    <t xml:space="preserve">BUS 29 GUAGES &amp; </t>
  </si>
  <si>
    <t xml:space="preserve">BUS 41 DOOR VALVE &amp; </t>
  </si>
  <si>
    <t>BUS 6 AIR GOVENER</t>
  </si>
  <si>
    <t>199-11-6399.01-041-625025</t>
  </si>
  <si>
    <t>3/1/16-3/2216</t>
  </si>
  <si>
    <t>GARCIA, LAMAR</t>
  </si>
  <si>
    <t xml:space="preserve">STATE @ ARLINGTON APR </t>
  </si>
  <si>
    <t>199-36-6411.8T-001-699101</t>
  </si>
  <si>
    <t>HARPER, JOSH</t>
  </si>
  <si>
    <t>199-11-6249.7E-001-611031</t>
  </si>
  <si>
    <t>RIBBONS &amp; STICKERS</t>
  </si>
  <si>
    <t>199-11-6412.VB-001-622122</t>
  </si>
  <si>
    <t>1HR SUPPORT</t>
  </si>
  <si>
    <t>OUR TOWN</t>
  </si>
  <si>
    <t>HS BACK FLOW INSP 4/5/16</t>
  </si>
  <si>
    <t>HS ALARM SERVICE 3/2/16</t>
  </si>
  <si>
    <t>ACC ALARM SERVICE 3/31/16</t>
  </si>
  <si>
    <t>KRNAVEK, BRYAN W</t>
  </si>
  <si>
    <t>LA QUINTA INN # 0530</t>
  </si>
  <si>
    <t>199-13-6411.11-104-611005</t>
  </si>
  <si>
    <t xml:space="preserve">WILSON READNG @ AUSTIN </t>
  </si>
  <si>
    <t>LAERDAL MEDICAL CORP</t>
  </si>
  <si>
    <t xml:space="preserve">HEALTHCARE CARDS &amp; </t>
  </si>
  <si>
    <t>INSTRUCTOR PACKAGE</t>
  </si>
  <si>
    <t xml:space="preserve">MAIL PLUS OF CORPUS </t>
  </si>
  <si>
    <t>CHALKS TRUCK PARTS</t>
  </si>
  <si>
    <t>CLOSET PISTON</t>
  </si>
  <si>
    <t>TUBE POLY</t>
  </si>
  <si>
    <t>4/11/16-4/15/16 TRAFFIC CTRL</t>
  </si>
  <si>
    <t>3/10/16 MEDICAID CLAIMS</t>
  </si>
  <si>
    <t>3/24/16 MEDICAID CLAIMS</t>
  </si>
  <si>
    <t>MORGAN'S WONDERLAND</t>
  </si>
  <si>
    <t>ADPATIVE ED @ SA 4/29/16</t>
  </si>
  <si>
    <t>VET SUPPLIES</t>
  </si>
  <si>
    <t xml:space="preserve">OAP BIDISTRICT @ FBLUF </t>
  </si>
  <si>
    <t xml:space="preserve">MEALS FOR </t>
  </si>
  <si>
    <t xml:space="preserve">WALNUT HOLLOW VERSA </t>
  </si>
  <si>
    <t>MARCH TESTING SUPPLIES</t>
  </si>
  <si>
    <t>TWO DRAWER FILE</t>
  </si>
  <si>
    <t>ELECTIVE NIGHT</t>
  </si>
  <si>
    <t>5 SHELF SHEVLVING UNIT</t>
  </si>
  <si>
    <t>199-41-6495.00-932-699084</t>
  </si>
  <si>
    <t>BAND TRAILER TIRES</t>
  </si>
  <si>
    <t>TM111 NEW TIRES</t>
  </si>
  <si>
    <t>MOWER 4 NEW TIRES</t>
  </si>
  <si>
    <t>LOCALIZED UPDATE 104</t>
  </si>
  <si>
    <t>ADMIN CABLE 4/17/16-5/16/16</t>
  </si>
  <si>
    <t>INTERNET 4/17/16-5/16/16</t>
  </si>
  <si>
    <t>BROADBANDS 4/17/16-5/16/16</t>
  </si>
  <si>
    <t>3/2/16-4/1/16</t>
  </si>
  <si>
    <t xml:space="preserve">TESTNG LUNCH 3/29/16 &amp; </t>
  </si>
  <si>
    <t>UIL CONTEST @ GP 4/1/16</t>
  </si>
  <si>
    <t>VAUGHT, JACQUELYN</t>
  </si>
  <si>
    <t>199-00-1415.02-000-600000</t>
  </si>
  <si>
    <t>BULK MAIL</t>
  </si>
  <si>
    <t>199-00-1415.03-000-600000</t>
  </si>
  <si>
    <t>INCORRECT CODING</t>
  </si>
  <si>
    <t>HOLIDAY INN RIVERWALK</t>
  </si>
  <si>
    <t>199-36-6412.3W-001-691574</t>
  </si>
  <si>
    <t xml:space="preserve">OXYGEN, ACETYLENE &amp; </t>
  </si>
  <si>
    <t xml:space="preserve">WHEEL DPRESSED &amp; DISC </t>
  </si>
  <si>
    <t>DISTRICT 4/15/16</t>
  </si>
  <si>
    <t xml:space="preserve">AUSTIN COMMUNITY </t>
  </si>
  <si>
    <t xml:space="preserve">4/20/16-5/20/16 PHARMACY </t>
  </si>
  <si>
    <t>DOMAIN RENEWAL</t>
  </si>
  <si>
    <t>3/28/16-3/28/17 LANSWEEPER</t>
  </si>
  <si>
    <t>ENGLISH NOVELS</t>
  </si>
  <si>
    <t>SCUBS LAB COATS</t>
  </si>
  <si>
    <t xml:space="preserve">CETRIPORT EDU @ FL JUN </t>
  </si>
  <si>
    <t>199-13-6411.VH-001-622022</t>
  </si>
  <si>
    <t>FCSTAT @ DALLAS JUL 30-</t>
  </si>
  <si>
    <t>ATD 2016 @ DENVER MAY 21-</t>
  </si>
  <si>
    <t>SITE BASED MEETING 4/13/16</t>
  </si>
  <si>
    <t xml:space="preserve">POOR STUDENT RICH </t>
  </si>
  <si>
    <t>199-41-6498.10-730-699095</t>
  </si>
  <si>
    <t>JOB FAIR @ TM 3/23/16</t>
  </si>
  <si>
    <t>POOL SUPPLIES</t>
  </si>
  <si>
    <t>TRIMMER HEAD OIL</t>
  </si>
  <si>
    <t>COASTAL BEND @ CC JUN 14-</t>
  </si>
  <si>
    <t>TECH MEETING 3/23/16</t>
  </si>
  <si>
    <t>HORSESHOE PIPE DEMO</t>
  </si>
  <si>
    <t>199-36-6499.7B-001-699032</t>
  </si>
  <si>
    <t>JADE &amp; ACCENT TROPHIES</t>
  </si>
  <si>
    <t>BOSE CORPORATION</t>
  </si>
  <si>
    <t>SOUNDLINK MINI SPKR</t>
  </si>
  <si>
    <t>199-11-6499.8C-104-611005</t>
  </si>
  <si>
    <t>199-36-6399.8C-104-699005</t>
  </si>
  <si>
    <t>CAMACHO DEMOLITION, LLC</t>
  </si>
  <si>
    <t xml:space="preserve">METAL RECYCLING </t>
  </si>
  <si>
    <t>MVP BEZEL CHROME</t>
  </si>
  <si>
    <t>3/3/16 SERVICE</t>
  </si>
  <si>
    <t>3/10/16 SERVICE</t>
  </si>
  <si>
    <t>3/17/16 SERVICE</t>
  </si>
  <si>
    <t>3/24/16 SERVICE</t>
  </si>
  <si>
    <t>3/31/16 SERVICE</t>
  </si>
  <si>
    <t xml:space="preserve">VET TECH @ COL STN APR </t>
  </si>
  <si>
    <t xml:space="preserve">FFA AREA X @ ROBSTOWN </t>
  </si>
  <si>
    <t>1/19/16-3/11/16 CNA LECTURE</t>
  </si>
  <si>
    <t>199-11-6229.PT-001-622022</t>
  </si>
  <si>
    <t>3/21/16-5/17/16 CNA CLINICAL</t>
  </si>
  <si>
    <t>PRINCIPALS MEETING 4/14/16</t>
  </si>
  <si>
    <t>CHERYL HANDY</t>
  </si>
  <si>
    <t>FAIRWAY INN</t>
  </si>
  <si>
    <t>SCHLAGE PINNING KIT</t>
  </si>
  <si>
    <t>YAMAHA EUPHONIUM 375967</t>
  </si>
  <si>
    <t>BASS STAND</t>
  </si>
  <si>
    <t>HILTON COLLEGE STATION &amp;</t>
  </si>
  <si>
    <t xml:space="preserve">HOLIDAY INN EXPRESS &amp; </t>
  </si>
  <si>
    <t>199-36-6412.3P-001-691574</t>
  </si>
  <si>
    <t>V/SB PLAYOFF @ SA APR 29-</t>
  </si>
  <si>
    <t>KING, LESLIE</t>
  </si>
  <si>
    <t>4/1516-5/14/16 LESSEE</t>
  </si>
  <si>
    <t>4/18/16-4/22/16 TRAFFIC CTRL</t>
  </si>
  <si>
    <t>3/11/16-4/5/16 ACCOMPANIST</t>
  </si>
  <si>
    <t>MINDWARE</t>
  </si>
  <si>
    <t>199-11-6399.GT-104-621021</t>
  </si>
  <si>
    <t>ACTIVITY REPORT</t>
  </si>
  <si>
    <t>REGULAR UNLEADED</t>
  </si>
  <si>
    <t>STAPLES &amp; HILITERS</t>
  </si>
  <si>
    <t>PENCILS</t>
  </si>
  <si>
    <t xml:space="preserve">ERASERS ARROWHEAD </t>
  </si>
  <si>
    <t>HILITERS</t>
  </si>
  <si>
    <t>199-11-6399.GT-001-621021</t>
  </si>
  <si>
    <t>GT SUPPLIES</t>
  </si>
  <si>
    <t>MULTI PACK CERTIFICATES</t>
  </si>
  <si>
    <t>CERTIFICATES HOLDERS</t>
  </si>
  <si>
    <t>CHILLER TIME DELAY</t>
  </si>
  <si>
    <t xml:space="preserve">CHILLER ABSORPTION </t>
  </si>
  <si>
    <t xml:space="preserve">ACADEMIC STUDY </t>
  </si>
  <si>
    <t>FLAVOR ICE</t>
  </si>
  <si>
    <t>GRAPH CALCULATORS</t>
  </si>
  <si>
    <t>ADC/MATH SUPPLIES</t>
  </si>
  <si>
    <t>TESTING STAFF LUNCH</t>
  </si>
  <si>
    <t>1/1/16-4/31/16</t>
  </si>
  <si>
    <t xml:space="preserve">GUITAR CASE &amp; INSTRUMENT </t>
  </si>
  <si>
    <t>ELECTRIC GUITAR</t>
  </si>
  <si>
    <t>FRAME STAND</t>
  </si>
  <si>
    <t>GUITAR STRAP</t>
  </si>
  <si>
    <t>SUPPLIES &amp; TOOLS</t>
  </si>
  <si>
    <t xml:space="preserve">COUNSELING 4/11/16 &amp; </t>
  </si>
  <si>
    <t>HS SCRUBBERS MAINT</t>
  </si>
  <si>
    <t>INTER SCRUBBERS MAINT</t>
  </si>
  <si>
    <t>MS SCRUBBERS MAINT</t>
  </si>
  <si>
    <t>PRIMRY SCRUBBERS MAINT</t>
  </si>
  <si>
    <t>4/23/16-5/22/16</t>
  </si>
  <si>
    <t>BAY AREA TIME</t>
  </si>
  <si>
    <t>LATHEM 7000E RIBBONS</t>
  </si>
  <si>
    <t>3/1/16-4/30/16 MILEAGE</t>
  </si>
  <si>
    <t>199-36-6399.00-999-691274</t>
  </si>
  <si>
    <t>ARC SET &amp; PUGG GOALS</t>
  </si>
  <si>
    <t>FEMA DOME INSURANCE</t>
  </si>
  <si>
    <t xml:space="preserve">THE CAUCASIAN CHALK </t>
  </si>
  <si>
    <t>HS WATER 3/18/16-4/18/16</t>
  </si>
  <si>
    <t>ACC WATER 3/16/16-4/14/16</t>
  </si>
  <si>
    <t>MS WATER 3/16/16-4/14/16</t>
  </si>
  <si>
    <t>PRIMRY WATER 3/16/16-</t>
  </si>
  <si>
    <t>INTER WATER 3/16/16-4/14/16</t>
  </si>
  <si>
    <t>ADMIN WATER 3/16/16-4/14/16</t>
  </si>
  <si>
    <t>MIAINT WATER 3/16/16-4/14/16</t>
  </si>
  <si>
    <t>FB FLD WATER 3/18/16-4/18/16</t>
  </si>
  <si>
    <t>HS GAS 3/18/16-4/18/16</t>
  </si>
  <si>
    <t>MS GAS 3/16/16-4/14/16</t>
  </si>
  <si>
    <t>PRIMRY GAS 3/16/16-4/14/16</t>
  </si>
  <si>
    <t>INTER GAS 3/16/16-4/14/16</t>
  </si>
  <si>
    <t>AG BRN WATER 3/18/16-</t>
  </si>
  <si>
    <t>BUS 21 HOSE &amp; CLAMPS</t>
  </si>
  <si>
    <t>ADMINSTRATIVE DAY 4/29/16</t>
  </si>
  <si>
    <t>WORKSHOP 1295598 4/16/16</t>
  </si>
  <si>
    <t>ERATE INTERNET SERVICE</t>
  </si>
  <si>
    <t>BUS 10 AIR SEAT LEAK</t>
  </si>
  <si>
    <t>BUS 41 BRAKE AIR LEAK</t>
  </si>
  <si>
    <t xml:space="preserve">BUS 30 SURGE TANK </t>
  </si>
  <si>
    <t>BUS 11 OIL LEAK</t>
  </si>
  <si>
    <t xml:space="preserve">BUS 19 HOSE &amp; WATER PUMP </t>
  </si>
  <si>
    <t>PROJECTILE LAUNCHER</t>
  </si>
  <si>
    <t>199-11-6498.10-001-622022</t>
  </si>
  <si>
    <t>CTE RECOGNITION</t>
  </si>
  <si>
    <t>ATTENDEANCE INCENTIVE</t>
  </si>
  <si>
    <t>GIFT CARDS FOR LIBERIAN</t>
  </si>
  <si>
    <t>CUSTOM PLANTER</t>
  </si>
  <si>
    <t>CAREER DAY</t>
  </si>
  <si>
    <t>PEIMS MEETING 4/21/16</t>
  </si>
  <si>
    <t>UIL REGION @ SA 4/23/16</t>
  </si>
  <si>
    <t>HARD HAT</t>
  </si>
  <si>
    <t>TRASH CONTAINERS</t>
  </si>
  <si>
    <t>EXTRA LARGE BOXES</t>
  </si>
  <si>
    <t>15X25 ROLL</t>
  </si>
  <si>
    <t>2/15/16-3/30/16</t>
  </si>
  <si>
    <t>STAFF MEETING 4/1/16</t>
  </si>
  <si>
    <t xml:space="preserve">ASST PRINCIPALS MTG </t>
  </si>
  <si>
    <t>CAREER DAY 4/12/16</t>
  </si>
  <si>
    <t>BX DROP 12/1/15 P/U 4/20/15</t>
  </si>
  <si>
    <t>KROLL, DONALD</t>
  </si>
  <si>
    <t>199-34-6411.11-937-699182</t>
  </si>
  <si>
    <t xml:space="preserve">CIRQ SOLEIL @ HOUSTON </t>
  </si>
  <si>
    <t>LA QUINTA INN</t>
  </si>
  <si>
    <t>PLASTIC BASKETS</t>
  </si>
  <si>
    <t>4/25/16-4/26/16 TRAFFIC CTRL</t>
  </si>
  <si>
    <t>2/29/16-4/1/16 MILEAGE</t>
  </si>
  <si>
    <t>4/28/16-4/29/16 TRAFFIC CTRL</t>
  </si>
  <si>
    <t>LETTTER MAN JACKET</t>
  </si>
  <si>
    <t>LETTTER MAN JACKETS</t>
  </si>
  <si>
    <t>4/21/16 MEDICAID CLAIMS</t>
  </si>
  <si>
    <t>4/12/16-5/9/16</t>
  </si>
  <si>
    <t>NASSP/NASC</t>
  </si>
  <si>
    <t>7/1/16-6/30/17 ANN BARTOSH</t>
  </si>
  <si>
    <t>199-36-6495.8E-001-699001</t>
  </si>
  <si>
    <t>3/7/16-4/29/16 MILEAGE</t>
  </si>
  <si>
    <t xml:space="preserve">REGION AUDITIONS &amp; </t>
  </si>
  <si>
    <t>ENEWSPAPERS</t>
  </si>
  <si>
    <t>RECEIPT BOOKS</t>
  </si>
  <si>
    <t>2/15/16-3/31/16 MILEAGE</t>
  </si>
  <si>
    <t xml:space="preserve">TESTING 3/31/16 &amp; MTG </t>
  </si>
  <si>
    <t>199-23-6649.10-041-699003</t>
  </si>
  <si>
    <t>MESH CHAIRS</t>
  </si>
  <si>
    <t>BUMPER RUBBER</t>
  </si>
  <si>
    <t xml:space="preserve">QUILL AND SCROLL SCHOOL </t>
  </si>
  <si>
    <t>199-11-6499.H4-001-611001</t>
  </si>
  <si>
    <t xml:space="preserve">JOURNALISM RECOGNITION </t>
  </si>
  <si>
    <t>VISITOR BADGES</t>
  </si>
  <si>
    <t xml:space="preserve">5/1/16-5/1/17 ACCESS </t>
  </si>
  <si>
    <t>199-41-6298.00-932-699084</t>
  </si>
  <si>
    <t xml:space="preserve">209 RECORDS BOXES </t>
  </si>
  <si>
    <t xml:space="preserve">7204 GALLONS UNLEADED &amp; </t>
  </si>
  <si>
    <t>SOUTHERLAND, APRIL</t>
  </si>
  <si>
    <t xml:space="preserve">PALS LDRSHIP @ MANOR JAN </t>
  </si>
  <si>
    <t>SOUTHERN LANDSCAPES</t>
  </si>
  <si>
    <t xml:space="preserve">TRACK LANDSCAPE &amp; </t>
  </si>
  <si>
    <t>3/27/16-4/26/16</t>
  </si>
  <si>
    <t xml:space="preserve">TEXAS ASSOCIATION OF </t>
  </si>
  <si>
    <t>ANNUAL MEMBERSHIP DUES</t>
  </si>
  <si>
    <t>TEXAS STATE AQUARIUM</t>
  </si>
  <si>
    <t>ADAPTIVE ED @ CC 5/9/16</t>
  </si>
  <si>
    <t>4/13/16-4/28/16</t>
  </si>
  <si>
    <t>BUS 5 @ MAINT OFFICE</t>
  </si>
  <si>
    <t xml:space="preserve">DURAPRO TWSTLCK &amp; </t>
  </si>
  <si>
    <t xml:space="preserve">FINEWIRE PLUG &amp; </t>
  </si>
  <si>
    <t>DURALAST RELAY</t>
  </si>
  <si>
    <t>PLAIN RAT PAIL</t>
  </si>
  <si>
    <t>LIQUITEX BASICS</t>
  </si>
  <si>
    <t xml:space="preserve">BRITE IDEAS FUNDRAISING </t>
  </si>
  <si>
    <t>SHORT SLEEVE TSHIRTS</t>
  </si>
  <si>
    <t>BROWN INDUSTRIES, INC.</t>
  </si>
  <si>
    <t>199-41-6499.10-730-699095</t>
  </si>
  <si>
    <t>GOLD APPLE PINS</t>
  </si>
  <si>
    <t>1/20/16-4/21/16 MILEAGE</t>
  </si>
  <si>
    <t>SAFETY GLASSES</t>
  </si>
  <si>
    <t>LIFE SCIENCE SUPPLIES</t>
  </si>
  <si>
    <t>TECH CONTROL SUPPLIES</t>
  </si>
  <si>
    <t xml:space="preserve">SPCL OLYMPICS @ CCISD </t>
  </si>
  <si>
    <t>4/7/16 SERVICE</t>
  </si>
  <si>
    <t>4/14/16 SERVICE</t>
  </si>
  <si>
    <t>4/21/16 SERVICE</t>
  </si>
  <si>
    <t>4/28/16 SERVICE</t>
  </si>
  <si>
    <t xml:space="preserve">TEACHER APPRECIATION </t>
  </si>
  <si>
    <t>TITLE I SERVICES 4/4/16</t>
  </si>
  <si>
    <t xml:space="preserve">PAINTING OF WALLS 4/15 &amp; </t>
  </si>
  <si>
    <t xml:space="preserve">STAAR RDY READING &amp; </t>
  </si>
  <si>
    <t xml:space="preserve">STAAR RDY READING </t>
  </si>
  <si>
    <t>DATA PROJECTIONS, INC.</t>
  </si>
  <si>
    <t xml:space="preserve">JUNO CONNECT W/LESSON </t>
  </si>
  <si>
    <t>6/1/16-6/30/16</t>
  </si>
  <si>
    <t>DELL 24 MONITOR</t>
  </si>
  <si>
    <t>PINS &amp; CERTIFICATES</t>
  </si>
  <si>
    <t>ESPED.COM, INC</t>
  </si>
  <si>
    <t>199-21-6249.SE-875-623023</t>
  </si>
  <si>
    <t>7/1/16-6/30/17 MGMT SERVICE</t>
  </si>
  <si>
    <t xml:space="preserve">GLOBAL EQUIPMENT </t>
  </si>
  <si>
    <t>BARRICADE &amp; TRAFFIC SIGN</t>
  </si>
  <si>
    <t>HAMPTON INN AUSTIN</t>
  </si>
  <si>
    <t>199-36-6412.7K-001-699574</t>
  </si>
  <si>
    <t xml:space="preserve">OAP STATE @ AUSTIN MAY </t>
  </si>
  <si>
    <t>YAMAHA BARITONE 376324</t>
  </si>
  <si>
    <t>YAMAHA TENOR SAX C58304</t>
  </si>
  <si>
    <t>YAMAHA SAX NECK</t>
  </si>
  <si>
    <t>3/15/16-4/28/16</t>
  </si>
  <si>
    <t>DETECTION SERVICE 1/4/16</t>
  </si>
  <si>
    <t>DETECTION SERVICE 3/17/16</t>
  </si>
  <si>
    <t>199-52-6299.10-002-699002</t>
  </si>
  <si>
    <t xml:space="preserve">DETECTION SERVICE 3/14/ &amp; </t>
  </si>
  <si>
    <t>DETECTION SERVICE 1/29/16</t>
  </si>
  <si>
    <t>DETECTION SERVICE 3/14/16</t>
  </si>
  <si>
    <t xml:space="preserve">DUAL MOTOR RUN </t>
  </si>
  <si>
    <t>SISSORS</t>
  </si>
  <si>
    <t>CLASP ENVELOPES</t>
  </si>
  <si>
    <t>BIC PENS</t>
  </si>
  <si>
    <t xml:space="preserve">PEN REFILLS &amp; FILE </t>
  </si>
  <si>
    <t>POST IT</t>
  </si>
  <si>
    <t xml:space="preserve">KAMICO INSTRUCTIONAL </t>
  </si>
  <si>
    <t xml:space="preserve">STAAR CONNECTION </t>
  </si>
  <si>
    <t>3/2/16-4/26/16 MILEAGE</t>
  </si>
  <si>
    <t>4/1/16-4/30/16 MAINT CLICKS</t>
  </si>
  <si>
    <t>5/1/16-5/31/16 DCA RECORD</t>
  </si>
  <si>
    <t>5/1/16-5/31/16 LESSEE</t>
  </si>
  <si>
    <t>LOCKDOWN MAGNET.COM</t>
  </si>
  <si>
    <t>LOCKDOWN MAGNET</t>
  </si>
  <si>
    <t>SWINSPOUT CHICAGO</t>
  </si>
  <si>
    <t>LEADER IN ME PAPERBACK</t>
  </si>
  <si>
    <t>5/2/16-5/6/16 TRAFFIC CTRL</t>
  </si>
  <si>
    <t>1YR INSPECTION 4/22/16</t>
  </si>
  <si>
    <t>MAY 2016 MAINT</t>
  </si>
  <si>
    <t>TUXEDO PANTS</t>
  </si>
  <si>
    <t>BIRD CALL &amp; PRIORITY MAIL</t>
  </si>
  <si>
    <t>REAL ACT PREP GUIDE</t>
  </si>
  <si>
    <t>EOY MEETING 5/25/16</t>
  </si>
  <si>
    <t>PRESTWICK HOUSE INC</t>
  </si>
  <si>
    <t xml:space="preserve">OF MICE &amp; MEN </t>
  </si>
  <si>
    <t>NICOLE NESTICO</t>
  </si>
  <si>
    <t>ROBSTOWN HARDWARE CO</t>
  </si>
  <si>
    <t>WHEEL</t>
  </si>
  <si>
    <t>S/P2</t>
  </si>
  <si>
    <t xml:space="preserve">AUTOMOTIVE SCHOOL </t>
  </si>
  <si>
    <t>UTILITY CARTS</t>
  </si>
  <si>
    <t>ANATOMY CLASS SUPPLIES</t>
  </si>
  <si>
    <t>CAREER DAY SUPPLIES</t>
  </si>
  <si>
    <t xml:space="preserve">SHERATON DENVER </t>
  </si>
  <si>
    <t>11/3/15-5/5/16 MILEAGE</t>
  </si>
  <si>
    <t xml:space="preserve">WATER &amp; FIRE TUBE </t>
  </si>
  <si>
    <t>4/1/16-4/12/16</t>
  </si>
  <si>
    <t>199-36-6399.3Y-001-691274</t>
  </si>
  <si>
    <t xml:space="preserve">WAVE BOLT &amp; KAYANO </t>
  </si>
  <si>
    <t xml:space="preserve">UNIVERSAL CHEERLEADERS </t>
  </si>
  <si>
    <t>199-36-6411.7C-001-691001</t>
  </si>
  <si>
    <t xml:space="preserve">CHEER CAMP @ GRAPVINE </t>
  </si>
  <si>
    <t>US ACADEMIC DECATHLON</t>
  </si>
  <si>
    <t>199-36-6399.H1-001-631034</t>
  </si>
  <si>
    <t xml:space="preserve">ED CURRICULUM DOWNLOAD </t>
  </si>
  <si>
    <t xml:space="preserve">CISCO 8PT 100BASE XETH </t>
  </si>
  <si>
    <t>ATKINSON, KIMBERLY</t>
  </si>
  <si>
    <t>TLA @ HOUSTON APR 19-22</t>
  </si>
  <si>
    <t>BTG CUSTOM AWARDS</t>
  </si>
  <si>
    <t>199-41-6499.11-735-699096</t>
  </si>
  <si>
    <t>FLAME PAPWERWEIGHTS</t>
  </si>
  <si>
    <t>OSTRICH FEATHER DUSTER</t>
  </si>
  <si>
    <t xml:space="preserve">HEAVY DUTY FLOOR </t>
  </si>
  <si>
    <t>DUST MASK</t>
  </si>
  <si>
    <t>REPLACEMENT BLADE</t>
  </si>
  <si>
    <t>HEAVY LINERS</t>
  </si>
  <si>
    <t>TWIST DUST MOP HEAD</t>
  </si>
  <si>
    <t>BOWL BRUSH W/CADDY</t>
  </si>
  <si>
    <t>LABELS &amp; TAPE DISPENSER</t>
  </si>
  <si>
    <t>TAPE DISPENSER &amp; BOXES</t>
  </si>
  <si>
    <t>SEALING TAPE &amp; BOXES</t>
  </si>
  <si>
    <t>SEALING TAPE</t>
  </si>
  <si>
    <t>APR 2016 PT SERVICES</t>
  </si>
  <si>
    <t xml:space="preserve">BAND STATE @ AUSTIN </t>
  </si>
  <si>
    <t>STAAR TESTING 5/9/16</t>
  </si>
  <si>
    <t>APR 2016 OT BILLING</t>
  </si>
  <si>
    <t>SM KEY</t>
  </si>
  <si>
    <t>LMP SUPPORT CLIP</t>
  </si>
  <si>
    <t>MOGULE MH CLEAR</t>
  </si>
  <si>
    <t>LED A-LAMP</t>
  </si>
  <si>
    <t xml:space="preserve">MOHAWK SKYTONE &amp; FINCH </t>
  </si>
  <si>
    <t>FCSTAT @ DALLAS JUL 31-</t>
  </si>
  <si>
    <t>2/22/16-4/27/16 MILEAGE</t>
  </si>
  <si>
    <t>HERBST, GLENN</t>
  </si>
  <si>
    <t xml:space="preserve">INSTRUMENT SELECTION </t>
  </si>
  <si>
    <t xml:space="preserve">TRUMPET CLAMP &amp; </t>
  </si>
  <si>
    <t>GUITAR BOOK &amp; PICK CEL</t>
  </si>
  <si>
    <t>REEDS</t>
  </si>
  <si>
    <t>HYATT PLACE AUSTIN-</t>
  </si>
  <si>
    <t>199-21-6499.00-875-623023</t>
  </si>
  <si>
    <t>LUNCHEON MEETING 5/5/16</t>
  </si>
  <si>
    <t>STAFF INCENTIVE</t>
  </si>
  <si>
    <t>MOTOR FAN</t>
  </si>
  <si>
    <t>MOTOR 1.5 HP230/460V</t>
  </si>
  <si>
    <t xml:space="preserve">INFLATABLE ANIMAL &amp; </t>
  </si>
  <si>
    <t>5/9/16-5/13/16 TRAFFIC CTRL</t>
  </si>
  <si>
    <t>MCGEE, LIBBY</t>
  </si>
  <si>
    <t>4/28/16 MEDICAID CLAIMS</t>
  </si>
  <si>
    <t>5/10/16-6/6/16</t>
  </si>
  <si>
    <t>MORALES, MAGADALENA</t>
  </si>
  <si>
    <t>MORALES, RAFAEL JOSE JR.</t>
  </si>
  <si>
    <t>199-12-6299.7U-104-611005</t>
  </si>
  <si>
    <t>4/29/16-4/28/17</t>
  </si>
  <si>
    <t>STAFF APPRECIATION 5/5/16</t>
  </si>
  <si>
    <t>ENERGIZER</t>
  </si>
  <si>
    <t>CARDSTOCK</t>
  </si>
  <si>
    <t>STORAGE BLACK</t>
  </si>
  <si>
    <t>PENS &amp; DESKPAD</t>
  </si>
  <si>
    <t>VELCROTAPE</t>
  </si>
  <si>
    <t>BORDETTE GREEN</t>
  </si>
  <si>
    <t>WIPES</t>
  </si>
  <si>
    <t>CHART TABLETS</t>
  </si>
  <si>
    <t>SASI</t>
  </si>
  <si>
    <t xml:space="preserve">DRUM MAJOR CAMP JUNE </t>
  </si>
  <si>
    <t xml:space="preserve">SOUTHWEST EMBLEM </t>
  </si>
  <si>
    <t>ADMIN CABLE 5/17/16-6/16/16</t>
  </si>
  <si>
    <t>INTERNET 5/17/16-6/16/16</t>
  </si>
  <si>
    <t>BROADBANDS 5/17/16-6/16/16</t>
  </si>
  <si>
    <t>4/2/16-5/1/16</t>
  </si>
  <si>
    <t xml:space="preserve">EVENTS, MEETINGS &amp; </t>
  </si>
  <si>
    <t>SENIOR BURGERS 5/18/16</t>
  </si>
  <si>
    <t>SENIOR AWARDS 5/12/16</t>
  </si>
  <si>
    <t xml:space="preserve">SNACK BAR W/MANAGER </t>
  </si>
  <si>
    <t>V/SB @ FLOUR BLUFF 4/25/16</t>
  </si>
  <si>
    <t>199-11-6399.AW-001-631034</t>
  </si>
  <si>
    <t>LOGO ON FRONT TSHIRTS</t>
  </si>
  <si>
    <t>DISTRICT 5/15/16</t>
  </si>
  <si>
    <t>ATLANTIC TRAINING, LLC</t>
  </si>
  <si>
    <t xml:space="preserve">HARASSMENT &amp; </t>
  </si>
  <si>
    <t>199-11-6339.00-104-625025</t>
  </si>
  <si>
    <t>OLINE ORAL TESTS</t>
  </si>
  <si>
    <t>BLACK STRIPPING PADS</t>
  </si>
  <si>
    <t>GREEN HAND PADS</t>
  </si>
  <si>
    <t>199-11-6329.VB-001-622022</t>
  </si>
  <si>
    <t>ACCOUNTING BOOKS</t>
  </si>
  <si>
    <t>CENTER FOR EDUCATION &amp;</t>
  </si>
  <si>
    <t>SCHOOL SAFETY GUIDE</t>
  </si>
  <si>
    <t xml:space="preserve">AREA CAMP @ LAGARTO JUN </t>
  </si>
  <si>
    <t xml:space="preserve">AREA X SPEAK @ RBSTOWN </t>
  </si>
  <si>
    <t>CONSTANTINO'S PIZZA</t>
  </si>
  <si>
    <t>OPTPLEX 7040 MINI TOWER</t>
  </si>
  <si>
    <t>199-21-6649.00-875-623023</t>
  </si>
  <si>
    <t>WORKSHOP 1295597 4/20/16</t>
  </si>
  <si>
    <t>2015-2016 RAC/TASA/TASB</t>
  </si>
  <si>
    <t xml:space="preserve">CLEAN DIESEL FROM DEF </t>
  </si>
  <si>
    <t>MADELINE PRICE</t>
  </si>
  <si>
    <t>LIP SYNC &amp; PLAY SUPPLIES</t>
  </si>
  <si>
    <t>MESH FIELD BAGS</t>
  </si>
  <si>
    <t>ZONAL DEFENDING</t>
  </si>
  <si>
    <t>DEFENDING TO WIN WITH 3-5-</t>
  </si>
  <si>
    <t>LOCKS LUBRICANT</t>
  </si>
  <si>
    <t>EXIT DEVICE</t>
  </si>
  <si>
    <t>LOCKS &amp; PRIVACY RHODES</t>
  </si>
  <si>
    <t>1/11/16-5/17/16 MILEAGE</t>
  </si>
  <si>
    <t>199-36-6499.09-001-699091</t>
  </si>
  <si>
    <t>2015-2016 UIL EXPENSES</t>
  </si>
  <si>
    <t>199-11-6398.00-001-623023</t>
  </si>
  <si>
    <t>BLACK GILDEN TSHIRTS</t>
  </si>
  <si>
    <t xml:space="preserve">KICK, DODGE &amp; VOLLEY </t>
  </si>
  <si>
    <t xml:space="preserve">HANDWRITING WITHOUT </t>
  </si>
  <si>
    <t>199-11-6396.05-041-611023</t>
  </si>
  <si>
    <t xml:space="preserve">TEACHER GUIDE &amp; </t>
  </si>
  <si>
    <t>199-36-6411.8M-001-699033</t>
  </si>
  <si>
    <t>NJROTC @ SC JUN 6-11</t>
  </si>
  <si>
    <t xml:space="preserve">HOLIDAY INN AUSTIN </t>
  </si>
  <si>
    <t>TASLA @ AUSTIN JUN 13-16</t>
  </si>
  <si>
    <t>199-11-6399.DY-104-611005</t>
  </si>
  <si>
    <t>4/29/16-4/29/17 WEB FILTER</t>
  </si>
  <si>
    <t>5/15/16-6/14/16 LESSEE</t>
  </si>
  <si>
    <t>BOOK JACKET COVERS</t>
  </si>
  <si>
    <t xml:space="preserve">APPRECIATION LUNCH </t>
  </si>
  <si>
    <t>4/28/16-5/17/16 ACCOMPANIST</t>
  </si>
  <si>
    <t>5/17/16-5/19/16 TRAFFIC CTRL</t>
  </si>
  <si>
    <t xml:space="preserve">SECOND FLOOR PUSH </t>
  </si>
  <si>
    <t>ITUNES CARD</t>
  </si>
  <si>
    <t>199-31-6499.00-875-623023</t>
  </si>
  <si>
    <t xml:space="preserve">INCENTIVES &amp; STAFF </t>
  </si>
  <si>
    <t>RESPIRATORY SYSTEM</t>
  </si>
  <si>
    <t>RESUSCITATOR BAG W/MASK</t>
  </si>
  <si>
    <t xml:space="preserve">RENAISSANCE AUSTIN </t>
  </si>
  <si>
    <t>199-23-6411.10-101-699004</t>
  </si>
  <si>
    <t>TEPSA @ AUSTIN JUN 14-17</t>
  </si>
  <si>
    <t>199-11-6499.10-001-631034</t>
  </si>
  <si>
    <t>CUSTOM BANNER</t>
  </si>
  <si>
    <t>SLEEP INN &amp; SUITES</t>
  </si>
  <si>
    <t xml:space="preserve">TECH NTWRK @ HOUSTON </t>
  </si>
  <si>
    <t>GRAPHING CALCULATORS</t>
  </si>
  <si>
    <t>STANDARD STAPLES</t>
  </si>
  <si>
    <t>POST IT NOTES</t>
  </si>
  <si>
    <t>ADC SUPPLIES</t>
  </si>
  <si>
    <t>STOP WATCH</t>
  </si>
  <si>
    <t>LANYARDS</t>
  </si>
  <si>
    <t>USA FLAG &amp; KLEENEX</t>
  </si>
  <si>
    <t>PAP/AP SUPPLIES</t>
  </si>
  <si>
    <t>FREEZER BAGS</t>
  </si>
  <si>
    <t>PURELL WIPE CLEAN</t>
  </si>
  <si>
    <t>RAILROAD BOARD</t>
  </si>
  <si>
    <t>BOARD PLANNER</t>
  </si>
  <si>
    <t>MAGNET TAPE DRYERSE</t>
  </si>
  <si>
    <t>JOURNALISM SUPPLIES</t>
  </si>
  <si>
    <t>199-11-6399.VB-001-622022</t>
  </si>
  <si>
    <t xml:space="preserve">HOLE PUNCHER &amp; MEMORY </t>
  </si>
  <si>
    <t>STONEWARE, INC.</t>
  </si>
  <si>
    <t xml:space="preserve">6/14/16-6/13/17 </t>
  </si>
  <si>
    <t>SUBWAY # 41660</t>
  </si>
  <si>
    <t xml:space="preserve">TRANSITIONS SKINNY </t>
  </si>
  <si>
    <t xml:space="preserve">WELDING STUDENT ACTIVITY </t>
  </si>
  <si>
    <t>TEXAS FFA @ DALLAS JUL 11-</t>
  </si>
  <si>
    <t>FFA FINALS RODEO JUL 11-12</t>
  </si>
  <si>
    <t>THOMAS, ERIK</t>
  </si>
  <si>
    <t>12/18/15-5/20/16 MILEAGE</t>
  </si>
  <si>
    <t>TURNER LANDSCAPE, INC.</t>
  </si>
  <si>
    <t>GRADUATION PLANTS 5/20/16</t>
  </si>
  <si>
    <t>UBALLE, LINDA</t>
  </si>
  <si>
    <t>ADAPTIVE ED SUPPLIES</t>
  </si>
  <si>
    <t>STUDENT SUPPLIES</t>
  </si>
  <si>
    <t>GENERAL SUPPLIES-</t>
  </si>
  <si>
    <t>SOC STUDIES SUPPLIES</t>
  </si>
  <si>
    <t>POSTER BOARDS</t>
  </si>
  <si>
    <t>HAMMER</t>
  </si>
  <si>
    <t>TOTE &amp; STORAGE BOXES</t>
  </si>
  <si>
    <t>THEATRE ARTS  SUPPLIES</t>
  </si>
  <si>
    <t>LAB SUPPLIES</t>
  </si>
  <si>
    <t>DOGGIE DAY CARE SUPPLIES</t>
  </si>
  <si>
    <t>2ND GRADE SUPPLIES</t>
  </si>
  <si>
    <t>GIFT CARDS</t>
  </si>
  <si>
    <t>199-33-6249.8F-104-699005</t>
  </si>
  <si>
    <t>TOTES</t>
  </si>
  <si>
    <t>WESTIN HOTEL</t>
  </si>
  <si>
    <t>BOOT CAMP @ AUSTIN JUN 5-</t>
  </si>
  <si>
    <t>199-11-6396.05-104-611023</t>
  </si>
  <si>
    <t>BINDERS &amp; TAPE</t>
  </si>
  <si>
    <t>CUSTOM STAMP</t>
  </si>
  <si>
    <t>ADAME, ANNA</t>
  </si>
  <si>
    <t>8/6/16-5/19/16 MILEAGE</t>
  </si>
  <si>
    <t>ACC APR 2016 90 DAY FILTER</t>
  </si>
  <si>
    <t>HS APR 2016 90 DAY FILTER</t>
  </si>
  <si>
    <t xml:space="preserve">MAINT APR 2016 90 DAY </t>
  </si>
  <si>
    <t>MS APR 2016 90 DAY FILTER</t>
  </si>
  <si>
    <t xml:space="preserve">TRANS APR 2016 90 DAY </t>
  </si>
  <si>
    <t>HS APR 2016 180 DAY FILTER</t>
  </si>
  <si>
    <t>PRIMRY AUTO SCRUBBER</t>
  </si>
  <si>
    <t>HS AUTO SCRUBBER</t>
  </si>
  <si>
    <t>GLOWFISH KIT</t>
  </si>
  <si>
    <t>BUS 31 VARIOUS REPAIRS</t>
  </si>
  <si>
    <t>BUS 43 FITTINGS</t>
  </si>
  <si>
    <t>BUS 29 A/C DIAGNOSE</t>
  </si>
  <si>
    <t>APPLIED PRACTICE</t>
  </si>
  <si>
    <t>CLASSROOM SUPPLEMENTS</t>
  </si>
  <si>
    <t>OF MICE &amp; MEN GUIDE</t>
  </si>
  <si>
    <t xml:space="preserve">ARROWHEAD SCIENTIFIC, </t>
  </si>
  <si>
    <t>199-11-6399.VJ-001-622022</t>
  </si>
  <si>
    <t>CRIMINAL JUSTICE SUPPLIES</t>
  </si>
  <si>
    <t xml:space="preserve">AT&amp;T EXECUTIVE </t>
  </si>
  <si>
    <t>POLAROID ZINK PAPER</t>
  </si>
  <si>
    <t xml:space="preserve">SPECIAL EDUCATION </t>
  </si>
  <si>
    <t>WORKBOOK &amp; DVD</t>
  </si>
  <si>
    <t>ROBOT KIT</t>
  </si>
  <si>
    <t>CURRICULUM GUIDE</t>
  </si>
  <si>
    <t xml:space="preserve">VIDEO RECORDING HANDY </t>
  </si>
  <si>
    <t>EXTRUSION UPGRADE KIT</t>
  </si>
  <si>
    <t>VATAT @ CC JUL 25-29</t>
  </si>
  <si>
    <t xml:space="preserve">ADMINISTRATIVE ASSISTANT </t>
  </si>
  <si>
    <t>199-36-6399.H3-001-631034</t>
  </si>
  <si>
    <t>JETS SUPPLIES</t>
  </si>
  <si>
    <t>SAFETY VEST</t>
  </si>
  <si>
    <t>UMBRELLAS</t>
  </si>
  <si>
    <t>199-41-6399.10-702-699093</t>
  </si>
  <si>
    <t>4/17/16-4/17/17</t>
  </si>
  <si>
    <t>4/23/16-4/22/17</t>
  </si>
  <si>
    <t>TECH MEETING 5/11/16</t>
  </si>
  <si>
    <t>WORKING LUNCH 4/29/16</t>
  </si>
  <si>
    <t>5/23/16-6/22/16</t>
  </si>
  <si>
    <t>2/16/16-5/20/16 MILEAGE</t>
  </si>
  <si>
    <t>1/7/16-5/20/16 MILEAGE</t>
  </si>
  <si>
    <t>5/2/16-5/26/16 MILEAGE</t>
  </si>
  <si>
    <t>4/1/16-5/18/16</t>
  </si>
  <si>
    <t xml:space="preserve">1970S CHOIR CONCERT </t>
  </si>
  <si>
    <t>BREITENFELD, VERONICA</t>
  </si>
  <si>
    <t>9/23/15-3/18/16 MILEAGE</t>
  </si>
  <si>
    <t>CAMERON, DIANA</t>
  </si>
  <si>
    <t>5/14/15-5/25/16 MILEAGE</t>
  </si>
  <si>
    <t>CAMPBELL, CHRISTINA</t>
  </si>
  <si>
    <t>199-11-6411.LK-104-611005</t>
  </si>
  <si>
    <t>7/20/15-5/20/16 MILEAGE</t>
  </si>
  <si>
    <t>COPY PAPER</t>
  </si>
  <si>
    <t>199-51-6649.A1-936-699081</t>
  </si>
  <si>
    <t>72" ROUND TABLE</t>
  </si>
  <si>
    <t>FOLDING CHAIR</t>
  </si>
  <si>
    <t>DRV</t>
  </si>
  <si>
    <t>USB/DATA TRAVELER &amp; HDMI</t>
  </si>
  <si>
    <t>SCANNER</t>
  </si>
  <si>
    <t>ZOTAC GT</t>
  </si>
  <si>
    <t xml:space="preserve">THERMAL REMOVABLE </t>
  </si>
  <si>
    <t>CORSAIR VENGEANCE</t>
  </si>
  <si>
    <t>5/5/16 SERVICE</t>
  </si>
  <si>
    <t>5/12/16 SERVICE</t>
  </si>
  <si>
    <t>5/19/16 SERVICE</t>
  </si>
  <si>
    <t>5/26/16 SERVICE</t>
  </si>
  <si>
    <t>HS WATER 4/18/16-5/17/16</t>
  </si>
  <si>
    <t>ACC WATER 4/14/16-5/13/16</t>
  </si>
  <si>
    <t>MS WATER 4/14/16-5/13/16</t>
  </si>
  <si>
    <t>PRIMRY WATER 4/14/16-</t>
  </si>
  <si>
    <t>INTER WATER 4/14/16-5/13/16</t>
  </si>
  <si>
    <t>ADMIN WATER 4/14/16-5/13/16</t>
  </si>
  <si>
    <t>MAINT WATER 4/14/16-5/13/16</t>
  </si>
  <si>
    <t>FB FLD WATER 4/18/16-5/17/16</t>
  </si>
  <si>
    <t>HS GAS 4/18/16-5/17/16</t>
  </si>
  <si>
    <t>MS GAS 4/14/16-5/13/16</t>
  </si>
  <si>
    <t>PRIMRY GAS 4/14/16-5/13/16</t>
  </si>
  <si>
    <t>INTER GAS 4/14/16-5/13/16</t>
  </si>
  <si>
    <t>AG BRN WATER 4/18/16-</t>
  </si>
  <si>
    <t>DRY ERASE MARKERS</t>
  </si>
  <si>
    <t xml:space="preserve">ELECTRIC PENCIL </t>
  </si>
  <si>
    <t>GLASS CALENDAR</t>
  </si>
  <si>
    <t>COBOS, KARLA</t>
  </si>
  <si>
    <t>9/18/15-5/18/16 MILEAGE</t>
  </si>
  <si>
    <t>REGISTERED NURSE 5/8-5/11</t>
  </si>
  <si>
    <t>7/1/16-7/31/16</t>
  </si>
  <si>
    <t>POWER COMPANION</t>
  </si>
  <si>
    <t>DEMIDEC RESOURCES</t>
  </si>
  <si>
    <t>FOCUSED QUIZZES &amp; EXAMS</t>
  </si>
  <si>
    <t>10/15/15-5/26/16 MILEAGE</t>
  </si>
  <si>
    <t>CART KIT</t>
  </si>
  <si>
    <t>4IMPRINT</t>
  </si>
  <si>
    <t>SUNGLASSES</t>
  </si>
  <si>
    <t>GARCIA, DEBRA ANN</t>
  </si>
  <si>
    <t>9/24/15-5/11/16 MILEAGE</t>
  </si>
  <si>
    <t>GOLD, MARGARET MACIE</t>
  </si>
  <si>
    <t xml:space="preserve">1970s CHOIR CONCERT </t>
  </si>
  <si>
    <t>FCCLA @ ESC 6/20/16</t>
  </si>
  <si>
    <t>199-11-6649.7B-041-611036</t>
  </si>
  <si>
    <t>USED JUPITER TROMBONES</t>
  </si>
  <si>
    <t>FLORAL SUPPLIES</t>
  </si>
  <si>
    <t xml:space="preserve">REFRIGERATOR &amp; ELECTRIC </t>
  </si>
  <si>
    <t>HEAVY DUTY SHELF</t>
  </si>
  <si>
    <t>ROCKING CHAIRS</t>
  </si>
  <si>
    <t>PUTTY KNIFE &amp; BOLTS</t>
  </si>
  <si>
    <t>TRASH CANS</t>
  </si>
  <si>
    <t>24PK LITER WATERS</t>
  </si>
  <si>
    <t>SURGE PROTECTIVE</t>
  </si>
  <si>
    <t>HUB, THE</t>
  </si>
  <si>
    <t>199-13-6411.VL-001-622122</t>
  </si>
  <si>
    <t>SAN EXPN</t>
  </si>
  <si>
    <t>SERVER BLADE</t>
  </si>
  <si>
    <t xml:space="preserve">DETECTION SERVICE 4/14 &amp; </t>
  </si>
  <si>
    <t>DETECTION SERVICE 4/25/16</t>
  </si>
  <si>
    <t>DETECTION SERVICE 4/14/16</t>
  </si>
  <si>
    <t>3/2/16-5/18/16 MILEAGE</t>
  </si>
  <si>
    <t>HP CARTRIDGE &amp; STAMP</t>
  </si>
  <si>
    <t>EPRINT MUSIC</t>
  </si>
  <si>
    <t xml:space="preserve">COME SAIL AWAY &amp; DANCING </t>
  </si>
  <si>
    <t>THE WAY WE WERE EPRINT</t>
  </si>
  <si>
    <t xml:space="preserve">XMAS JOY &amp; BROADWAY INST </t>
  </si>
  <si>
    <t xml:space="preserve">MISSA IN ANGUSTIIS IMPORT </t>
  </si>
  <si>
    <t>THE HUSTLE EPRINT</t>
  </si>
  <si>
    <t>COME TO ME &amp; DOME EPAIS</t>
  </si>
  <si>
    <t xml:space="preserve">HYME THE DAWN &amp; SING </t>
  </si>
  <si>
    <t>KYRIE LORD MASS</t>
  </si>
  <si>
    <t>BLS PROVIDER MANUAL 2015</t>
  </si>
  <si>
    <t>199-11-6399.01-104-625025</t>
  </si>
  <si>
    <t>3/14/16-5/23/16 MILEAGE</t>
  </si>
  <si>
    <t>MARTINEZ, JOSEPH</t>
  </si>
  <si>
    <t>4/22/16-5/20/16 MILEAGE</t>
  </si>
  <si>
    <t>5/19/16 MEDICAID CLAIMS</t>
  </si>
  <si>
    <t>199-11-6339.VB-001-622022</t>
  </si>
  <si>
    <t>QUICKBOOKS VOUCHERS</t>
  </si>
  <si>
    <t>LEARNING MS OFFICE 2013</t>
  </si>
  <si>
    <t>JUN 2016 MAINT</t>
  </si>
  <si>
    <t>8/24/15-5/19/16 MILEAGE</t>
  </si>
  <si>
    <t>199-11-6269.7B-001-611032</t>
  </si>
  <si>
    <t>BAND @ ABC 5/20/16</t>
  </si>
  <si>
    <t>GRAD NIGHT PREP 5/20/16</t>
  </si>
  <si>
    <t>OAP STATE POSTAGE</t>
  </si>
  <si>
    <t>PORTILLO, BENITO</t>
  </si>
  <si>
    <t>2/24/16-5/20/16 MILEAGE</t>
  </si>
  <si>
    <t>VOCABULARY POWER PLUS</t>
  </si>
  <si>
    <t>ESAMINER RECORD BKLT</t>
  </si>
  <si>
    <t>EXAM REC FORMS</t>
  </si>
  <si>
    <t>PILOT PENS</t>
  </si>
  <si>
    <t>ASTROBRIGHT PAPER</t>
  </si>
  <si>
    <t>RADIO &amp; BATTERIES</t>
  </si>
  <si>
    <t>199-23-6649.1T-104-699005</t>
  </si>
  <si>
    <t>RADIO &amp; BATTERY</t>
  </si>
  <si>
    <t>1/5/16-5/18/16 MILEAGE</t>
  </si>
  <si>
    <t>EOY CELEBRATION 5/11/16</t>
  </si>
  <si>
    <t>TEACHER LUNCHEON 4/26/16</t>
  </si>
  <si>
    <t xml:space="preserve">PANEL &amp; MOTION </t>
  </si>
  <si>
    <t xml:space="preserve">7205 GALLONS UNLEADED &amp; </t>
  </si>
  <si>
    <t xml:space="preserve">PENCIL SHARPENER &amp; </t>
  </si>
  <si>
    <t>BOOK COVERS</t>
  </si>
  <si>
    <t>SECURE BY DESIGN, INC</t>
  </si>
  <si>
    <t xml:space="preserve">1800 MACHINES NINITE PRO </t>
  </si>
  <si>
    <t>SHORES-PRICE, HEATHER</t>
  </si>
  <si>
    <t>EOY AWARD CEREMONY</t>
  </si>
  <si>
    <t xml:space="preserve">SOCIAL STUDIES SCHOOL </t>
  </si>
  <si>
    <t>AMER THE STORY OF US</t>
  </si>
  <si>
    <t>SAM HOUSTON</t>
  </si>
  <si>
    <t>INSTRUMENT REPAIRS</t>
  </si>
  <si>
    <t>FLORAL DESIGNS</t>
  </si>
  <si>
    <t>MOTHERS DAY PROJECT</t>
  </si>
  <si>
    <t>ARRANGEMENTS</t>
  </si>
  <si>
    <t>BUS 4 NEW TIRES</t>
  </si>
  <si>
    <t>BUS 6 NEW TIRES</t>
  </si>
  <si>
    <t>BUS 31 NEW TIRES</t>
  </si>
  <si>
    <t>BUS 42 NEW TIRES</t>
  </si>
  <si>
    <t>BUS 31 DOT INSPECTION</t>
  </si>
  <si>
    <t>BUS 6 DOT INSPECTION</t>
  </si>
  <si>
    <t>BUS 6 HORN REPAIR</t>
  </si>
  <si>
    <t>4/27/16-5/26/16</t>
  </si>
  <si>
    <t>CURITY SHEER PLSTC</t>
  </si>
  <si>
    <t>LABELS &amp; MARKERS</t>
  </si>
  <si>
    <t>PROJECTORS POWERLITE</t>
  </si>
  <si>
    <t>PROJECTOR SCREEN</t>
  </si>
  <si>
    <t>USB &amp; MICROSD ADAMPTERS</t>
  </si>
  <si>
    <t xml:space="preserve">7/8/16-7/7/17 </t>
  </si>
  <si>
    <t>1/4/16-5/20/16 MILEAGE</t>
  </si>
  <si>
    <t xml:space="preserve">LEGAL SEMINAR @ SA FEB </t>
  </si>
  <si>
    <t>SOCIAL STUDIES SUPPLIES</t>
  </si>
  <si>
    <t xml:space="preserve">TEXAS SCHOOL FOR THE </t>
  </si>
  <si>
    <t xml:space="preserve">SKILL WKSHP @ AUSTIN JUL </t>
  </si>
  <si>
    <t>THORNTON, MARY L</t>
  </si>
  <si>
    <t xml:space="preserve">SWEATSHIRTS &amp; </t>
  </si>
  <si>
    <t>HAND TOWELS &amp; SHORTS</t>
  </si>
  <si>
    <t>ALUMINUM HAND TRUCK</t>
  </si>
  <si>
    <t>VARSITY SPIRIT FASHIONS</t>
  </si>
  <si>
    <t>WATER BASE PAINTS  &amp; PENS</t>
  </si>
  <si>
    <t>VISUALIZE IT PRODUCTIONS</t>
  </si>
  <si>
    <t>VIDEO OF GRADUATION</t>
  </si>
  <si>
    <t>5/3/16-5/26/16</t>
  </si>
  <si>
    <t>199-36-6499.09-001-691091</t>
  </si>
  <si>
    <t xml:space="preserve">TRACK MEET @ ALICE APR </t>
  </si>
  <si>
    <t>ANNAVILLE FLORIST</t>
  </si>
  <si>
    <t>SENIOR AWARDS</t>
  </si>
  <si>
    <t>FUEL FILTER</t>
  </si>
  <si>
    <t>OIL FULLER</t>
  </si>
  <si>
    <t>HOSE MENDER</t>
  </si>
  <si>
    <t>199-41-6411.00-932-699084</t>
  </si>
  <si>
    <t>9/2/16-6/7/16 MILEAGE</t>
  </si>
  <si>
    <t>TV CART</t>
  </si>
  <si>
    <t>BUS 33 COOLING LEAK</t>
  </si>
  <si>
    <t>BUS 30 AIR PRESS SWITCH</t>
  </si>
  <si>
    <t xml:space="preserve">COASTAL TRAINING </t>
  </si>
  <si>
    <t xml:space="preserve">DVD CHILD ABUSE/ACTIVE </t>
  </si>
  <si>
    <t xml:space="preserve">CROWNE PLAZA DOWNTOWN </t>
  </si>
  <si>
    <t>CANCELLED</t>
  </si>
  <si>
    <t>MOBILE PRECISION 5510</t>
  </si>
  <si>
    <t>199-31-6649.7F-001-699001</t>
  </si>
  <si>
    <t>199-11-6412.00-101-625025</t>
  </si>
  <si>
    <t>PRIMARY ESA 5/31/16</t>
  </si>
  <si>
    <t>WORKSHOP 1295608 06/04/16</t>
  </si>
  <si>
    <t>BENNY PORTILLO</t>
  </si>
  <si>
    <t>FASTENATION, INC</t>
  </si>
  <si>
    <t>VELCOINS</t>
  </si>
  <si>
    <t>BUS 4 DOT INSPECTION</t>
  </si>
  <si>
    <t>BUS 50 DOT INSPECTION</t>
  </si>
  <si>
    <t>BUS 49 DOT INSPECTION</t>
  </si>
  <si>
    <t>BUS 42 DOT INSPECTION</t>
  </si>
  <si>
    <t>BUS 42 BRAKES</t>
  </si>
  <si>
    <t>BUS 48 HORN</t>
  </si>
  <si>
    <t>BUS 4 DOT &amp;  BRAKE LIGHT</t>
  </si>
  <si>
    <t>BUS 42 DOOR REPAIR</t>
  </si>
  <si>
    <t>BUS SWITCH</t>
  </si>
  <si>
    <t>8/15-5/16 UIL</t>
  </si>
  <si>
    <t>FRANZ, GARY</t>
  </si>
  <si>
    <t>BAREWARE SET</t>
  </si>
  <si>
    <t>HAWTHORNE EDUCATIONAL</t>
  </si>
  <si>
    <t>INTERVENTION MANUAL</t>
  </si>
  <si>
    <t>SHAC EOY LUNCH</t>
  </si>
  <si>
    <t>PUNCH</t>
  </si>
  <si>
    <t>NURSES DAY</t>
  </si>
  <si>
    <t xml:space="preserve">LUNCH FOR TESTING </t>
  </si>
  <si>
    <t>EOY INCENTIVES</t>
  </si>
  <si>
    <t>RECOGNITION GIFT CARDS</t>
  </si>
  <si>
    <t xml:space="preserve">HILTON IN WALT DISNEY </t>
  </si>
  <si>
    <t>4/14/16-5/27/16</t>
  </si>
  <si>
    <t xml:space="preserve">JONES &amp; BARTLETT </t>
  </si>
  <si>
    <t>CDX AUTOMOTIVE</t>
  </si>
  <si>
    <t>06/01/16-06/30/16 LESSEE</t>
  </si>
  <si>
    <t>06/1/16-06/30/16 LESSEE</t>
  </si>
  <si>
    <t>STERO LAB PACK</t>
  </si>
  <si>
    <t>LIFESMART PUBLISHING, LLC</t>
  </si>
  <si>
    <t>SET OF STUDENT BOOKS</t>
  </si>
  <si>
    <t>CENTRAL BRASS FAUCET</t>
  </si>
  <si>
    <t xml:space="preserve">MCGRAW HILL EDUCATION, </t>
  </si>
  <si>
    <t>READING LAB</t>
  </si>
  <si>
    <t xml:space="preserve">NOTARY RENEWAL MARTA </t>
  </si>
  <si>
    <t>199-11-6249.10-041-611035</t>
  </si>
  <si>
    <t>BAND UNIFORMS</t>
  </si>
  <si>
    <t>1/11/16-2/5/16 MILEAGE</t>
  </si>
  <si>
    <t>SAFETY SUPPLIES</t>
  </si>
  <si>
    <t>SUMMER SCHOOL FIELD TRIP</t>
  </si>
  <si>
    <t>FACULTY MEETING</t>
  </si>
  <si>
    <t>5/15/16 POSTAGE REFILL</t>
  </si>
  <si>
    <t>OFFICE FURNITURE</t>
  </si>
  <si>
    <t>AWARDS/SUPPLIES</t>
  </si>
  <si>
    <t xml:space="preserve">NURSE AND CLASSROOM </t>
  </si>
  <si>
    <t>AWARDS BANQUETS</t>
  </si>
  <si>
    <t>SOUND SYSTEM</t>
  </si>
  <si>
    <t>WATER/GATORADE</t>
  </si>
  <si>
    <t>BOTTLED WATER</t>
  </si>
  <si>
    <t>MATH CHAMP @ SA JUN 28-</t>
  </si>
  <si>
    <t>1/21/16-6/3/16 MILEAGE</t>
  </si>
  <si>
    <t>5/24/16-5/23/17 MAINT</t>
  </si>
  <si>
    <t>SUPPLIES</t>
  </si>
  <si>
    <t>AP SUPPLIES</t>
  </si>
  <si>
    <t>PULL DOWN SCREENS</t>
  </si>
  <si>
    <t>199-13-6411.8T-001-611001</t>
  </si>
  <si>
    <t>TASC @AUSTIN AUG 1-3</t>
  </si>
  <si>
    <t>CLASSROOM NOVELS</t>
  </si>
  <si>
    <t xml:space="preserve">MOVING FROM CAMPUS TO </t>
  </si>
  <si>
    <t>6/1/16 SPRAY APPLICATION</t>
  </si>
  <si>
    <t>6/1/16/6/30/16</t>
  </si>
  <si>
    <t>5/2/16-6/1/16</t>
  </si>
  <si>
    <t>FORKLIFT RIGHT CYLINDER</t>
  </si>
  <si>
    <t>LASER LABELS</t>
  </si>
  <si>
    <t>REFILL POSTAGE</t>
  </si>
  <si>
    <t>CHEMISTRY SUPPLIES</t>
  </si>
  <si>
    <t xml:space="preserve">INSTALL CHEMICAL </t>
  </si>
  <si>
    <t>CNA EXAM</t>
  </si>
  <si>
    <t>CERTIFICATION APPLICATION</t>
  </si>
  <si>
    <t>CLOCK</t>
  </si>
  <si>
    <t>CARDS</t>
  </si>
  <si>
    <t>T SHIRTS</t>
  </si>
  <si>
    <t>AEROSCI SUPPLIES</t>
  </si>
  <si>
    <t>TCEC @ FT WORTH JUL 24-27</t>
  </si>
  <si>
    <t>199-21-6495.V1-001-622022</t>
  </si>
  <si>
    <t>5/13/16-5/31/17</t>
  </si>
  <si>
    <t>TXSBLE @ CC JUN 26-30</t>
  </si>
  <si>
    <t>T SHIRT HEAT PRESS</t>
  </si>
  <si>
    <t>TEFLON SHEET</t>
  </si>
  <si>
    <t>BLADES</t>
  </si>
  <si>
    <t>ADHESIVE</t>
  </si>
  <si>
    <t>FFA @ STEPHENVILLE 6/9/16</t>
  </si>
  <si>
    <t>FINGER PRINTING</t>
  </si>
  <si>
    <t xml:space="preserve">PROFESSIONAL </t>
  </si>
  <si>
    <t>BRASS PLATES</t>
  </si>
  <si>
    <t xml:space="preserve">SUBSTITUTE ORIENTATION </t>
  </si>
  <si>
    <t>UHAUL RENTAL</t>
  </si>
  <si>
    <t>PRIM TO INTER</t>
  </si>
  <si>
    <t>PLANNERS</t>
  </si>
  <si>
    <t>TTESS @ BEEVILLE JUN 6-9</t>
  </si>
  <si>
    <t>CASTRO, GENEVA</t>
  </si>
  <si>
    <t>MARKETBOT REPLICATOR</t>
  </si>
  <si>
    <t>MARKETBOT FILAMENT</t>
  </si>
  <si>
    <t xml:space="preserve">MARKETBOT MAKERCARE </t>
  </si>
  <si>
    <t xml:space="preserve">CHARLESTON MARRIOTT </t>
  </si>
  <si>
    <t>SESPTC @ VA JUL 10-13</t>
  </si>
  <si>
    <t xml:space="preserve">BUS 11 REPAIR DIAG EVAL </t>
  </si>
  <si>
    <t>DESK PROTECTOR</t>
  </si>
  <si>
    <t>199-31-6649.00-875-623023</t>
  </si>
  <si>
    <t>KIDNEY TABLE</t>
  </si>
  <si>
    <t xml:space="preserve">7/15/16-7/14/17 </t>
  </si>
  <si>
    <t>BUS 42 FRONT DOOR REPAIR</t>
  </si>
  <si>
    <t>TANK SURGE KIT</t>
  </si>
  <si>
    <t>TM117 PM</t>
  </si>
  <si>
    <t>NEW HIRE T SHIRTS</t>
  </si>
  <si>
    <t>EMERGENCY BATTERY</t>
  </si>
  <si>
    <t>LED VAPORPROOF</t>
  </si>
  <si>
    <t>PAD LOCK</t>
  </si>
  <si>
    <t>KEY CABINET</t>
  </si>
  <si>
    <t>HEAVY DUTY CLOSER</t>
  </si>
  <si>
    <t>MOAK, CASEY &amp; ASSOCIATES</t>
  </si>
  <si>
    <t xml:space="preserve">MCCALL PARKHURST </t>
  </si>
  <si>
    <t>GAME COURT SERVICES</t>
  </si>
  <si>
    <t xml:space="preserve">FOOTBALL GOAL </t>
  </si>
  <si>
    <t>199-51-6299.10-936-699081</t>
  </si>
  <si>
    <t xml:space="preserve">SAFETY &amp; INSPECTION </t>
  </si>
  <si>
    <t>GARRISON, SHANNON</t>
  </si>
  <si>
    <t>FFA @ STEPHENVIILLE 6/8/16</t>
  </si>
  <si>
    <t>INSTRUMENT REEDS</t>
  </si>
  <si>
    <t>20HRS SUPPORT</t>
  </si>
  <si>
    <t xml:space="preserve">INSTALLATION &amp; </t>
  </si>
  <si>
    <t>BACK FLOW INSPECTION</t>
  </si>
  <si>
    <t>HS ALARM SERVICE 5/11/16</t>
  </si>
  <si>
    <t>HS ALARM SERVICE 6/13/16</t>
  </si>
  <si>
    <t>5/1/16-5/31/16 MAINT CLICKS</t>
  </si>
  <si>
    <t>6/1/16-6/30/16 DCA RECORD</t>
  </si>
  <si>
    <t>PRIMARY @ SA 4/29/16</t>
  </si>
  <si>
    <t>SPANISH CLUB @ SA 5/7/16</t>
  </si>
  <si>
    <t>LANDIN, FELIX</t>
  </si>
  <si>
    <t>TRIPLE POLE</t>
  </si>
  <si>
    <t>METER</t>
  </si>
  <si>
    <t>LONE STAR SHREDDING &amp;</t>
  </si>
  <si>
    <t>5 PALLETS BOXES</t>
  </si>
  <si>
    <t>199-52-6299.00-880-699080</t>
  </si>
  <si>
    <t>REMOTE LABOR CONFIG VMS</t>
  </si>
  <si>
    <t>VIDEO LICENSE TRANSFER</t>
  </si>
  <si>
    <t xml:space="preserve">DEFECTIVE SELECTOR </t>
  </si>
  <si>
    <t>OMNI FORT WORTH HOTEL</t>
  </si>
  <si>
    <t>PAYNE, SANDRA</t>
  </si>
  <si>
    <t xml:space="preserve">REMOVE STREET TRAK </t>
  </si>
  <si>
    <t xml:space="preserve">REMOVE BUS VIDEO </t>
  </si>
  <si>
    <t>199-11-6399.01-101-625025</t>
  </si>
  <si>
    <t>ROSETTA STONE, LTD.</t>
  </si>
  <si>
    <t>199-11-6396.00-001-625025</t>
  </si>
  <si>
    <t>8/19/16-8/19/17</t>
  </si>
  <si>
    <t>199-11-6396.00-041-625025</t>
  </si>
  <si>
    <t>199-11-6396.00-104-625025</t>
  </si>
  <si>
    <t>SOUTH TEXAS BALFOUR</t>
  </si>
  <si>
    <t>MEDALS &amp; CORDS</t>
  </si>
  <si>
    <t>HONOR CORDS</t>
  </si>
  <si>
    <t>199-11-6499.8M-001-611033</t>
  </si>
  <si>
    <t>199-11-6499.AW-001-631034</t>
  </si>
  <si>
    <t>199-36-6499.H1-001-631034</t>
  </si>
  <si>
    <t>TRAY &amp; BATTERIES</t>
  </si>
  <si>
    <t>TABLE</t>
  </si>
  <si>
    <t>IPAD CASES</t>
  </si>
  <si>
    <t>IPAD MINI CASE</t>
  </si>
  <si>
    <t>TRIPOD MICROPHONE</t>
  </si>
  <si>
    <t>THERAPRO, INC.</t>
  </si>
  <si>
    <t>ADMIN CABLE 6/17/16-7/16/16</t>
  </si>
  <si>
    <t>INTERNET 6/17/16-7/16/16</t>
  </si>
  <si>
    <t>BROADBANDS 6/17/16-7/16/16</t>
  </si>
  <si>
    <t>BOARD PLAQUE</t>
  </si>
  <si>
    <t>TEACHER INCENTIVES</t>
  </si>
  <si>
    <t>CONCESSION SUPPLIES</t>
  </si>
  <si>
    <t>FAMILY LIVING SUPPLIES</t>
  </si>
  <si>
    <t>199-32-6399.00-999-699002</t>
  </si>
  <si>
    <t>NURSE SUPPLES</t>
  </si>
  <si>
    <t>199-33-6399.8F-002-699002</t>
  </si>
  <si>
    <t>9/1/15-6/6/16 MILEAGE</t>
  </si>
  <si>
    <t>HEADPHONES W/MIC</t>
  </si>
  <si>
    <t>CPR/FIRST AID HANDOUTS</t>
  </si>
  <si>
    <t>GRANITE ISLAND REMOVAL</t>
  </si>
  <si>
    <t xml:space="preserve">BUS 30 TOWED COASTAL </t>
  </si>
  <si>
    <t xml:space="preserve">BUS 33 TOWED COASTAL </t>
  </si>
  <si>
    <t>199-11-6649.10-002-611002</t>
  </si>
  <si>
    <t>IMACS</t>
  </si>
  <si>
    <t>199-31-6649.10-002-699002</t>
  </si>
  <si>
    <t>MAC BOOK</t>
  </si>
  <si>
    <t>ROTOR RISER</t>
  </si>
  <si>
    <t>PLANT BILLY LERMA'S MOM</t>
  </si>
  <si>
    <t xml:space="preserve">BOTTOMLESS PIT BBQ &amp; </t>
  </si>
  <si>
    <t xml:space="preserve">INSTR. STAFF LUNCH </t>
  </si>
  <si>
    <t xml:space="preserve">CALDWELL AUTOMOTIVE </t>
  </si>
  <si>
    <t>199-51-6631.10-936-699081</t>
  </si>
  <si>
    <t xml:space="preserve">CHEV 1500 SILVERADO </t>
  </si>
  <si>
    <t>PAPER</t>
  </si>
  <si>
    <t>CHEER SUPPLIES</t>
  </si>
  <si>
    <t>HS WATER 5/17/16-6/15/16</t>
  </si>
  <si>
    <t>ACC WATER 5/13/16-6/13/16</t>
  </si>
  <si>
    <t>MS WATER 5/13/16-6/13/16</t>
  </si>
  <si>
    <t>PRIMRY WATER 5/13/16-</t>
  </si>
  <si>
    <t>INTER WATER 5/13/16-6/13/16</t>
  </si>
  <si>
    <t>ADMIN WATER 5/31/16-6/13/16</t>
  </si>
  <si>
    <t>MAINT WATER 5/13/16-6/13/16</t>
  </si>
  <si>
    <t>FB FLD WATER 5/17/16-6/15/16</t>
  </si>
  <si>
    <t>HS GAS 5/17/16-6/15/16</t>
  </si>
  <si>
    <t>MS GAS 5/13/16-6/13/16</t>
  </si>
  <si>
    <t>PRIMRY GAS 5/13/16-6/13/16</t>
  </si>
  <si>
    <t>INTER GAS 5/13/16-6/13/16</t>
  </si>
  <si>
    <t>AG BRN WATER 5/17/16-</t>
  </si>
  <si>
    <t>COASTAL A.D.S.</t>
  </si>
  <si>
    <t>CEILING TILES</t>
  </si>
  <si>
    <t>HIFI HEADPHONES</t>
  </si>
  <si>
    <t>UNIT 117 DOT &amp; OIL CHANGE</t>
  </si>
  <si>
    <t>2/28/11-6/9/16 MILEAGE</t>
  </si>
  <si>
    <t>COMPUTER CARTS</t>
  </si>
  <si>
    <t>199-11-6649.00-002-611Z80</t>
  </si>
  <si>
    <t>OPTIPLEX 740</t>
  </si>
  <si>
    <t>ADAPTER</t>
  </si>
  <si>
    <t xml:space="preserve">COMPUTERS FOR </t>
  </si>
  <si>
    <t>199-11-6649.8U-041-611003</t>
  </si>
  <si>
    <t>LAPTOP</t>
  </si>
  <si>
    <t>199-12-6399.7U-041-611003</t>
  </si>
  <si>
    <t>CLASSROOM SUPPLES</t>
  </si>
  <si>
    <t>ELA TEXT GUIDE</t>
  </si>
  <si>
    <t>199-13-6411.72-001-611001</t>
  </si>
  <si>
    <t>MORTISE TTURN</t>
  </si>
  <si>
    <t>ALUMIGRAPHICS SMOOTH</t>
  </si>
  <si>
    <t>TCDA @ SA JUL 19-24</t>
  </si>
  <si>
    <t>199-53-6649.00-880-699080</t>
  </si>
  <si>
    <t>PROJECTOR MOUNTS</t>
  </si>
  <si>
    <t>PROJECTOR MOUNTS W/PIPE</t>
  </si>
  <si>
    <t xml:space="preserve">EOY LUNCH </t>
  </si>
  <si>
    <t>STUDENT HEALTH SUPPLIES</t>
  </si>
  <si>
    <t>NEW HIRE ORIENTATION</t>
  </si>
  <si>
    <t>SUPPLIES FOR LUNCHEON</t>
  </si>
  <si>
    <t>FILTERS</t>
  </si>
  <si>
    <t>CONN SOUSAPHONE 266510</t>
  </si>
  <si>
    <t>CONN SOUSAPHONE 1207009</t>
  </si>
  <si>
    <t>CONN SOUSAPHONE 270881</t>
  </si>
  <si>
    <t>CONN SOUSAPHONE 1207011</t>
  </si>
  <si>
    <t>CONN SOUSAPHONE 207893</t>
  </si>
  <si>
    <t>CONN SOUSAPHONE 207897</t>
  </si>
  <si>
    <t>CONN SOUSAPHONE 790357</t>
  </si>
  <si>
    <t>BARI SAX 10118</t>
  </si>
  <si>
    <t>MAR BARITONE 5641</t>
  </si>
  <si>
    <t>MAR BARITONE 5644</t>
  </si>
  <si>
    <t>MAR BARITONE 5638</t>
  </si>
  <si>
    <t>MAR BARITONE 5640</t>
  </si>
  <si>
    <t>MAR BARITONE 5646</t>
  </si>
  <si>
    <t>MAR BARITONE 5642</t>
  </si>
  <si>
    <t>MAR BARITONE 13727</t>
  </si>
  <si>
    <t>RUG &amp; YARD STICK</t>
  </si>
  <si>
    <t>MAINT. SUPPLIES</t>
  </si>
  <si>
    <t xml:space="preserve">PRESENTATION @ PAC </t>
  </si>
  <si>
    <t>5/16/16-6/28/16</t>
  </si>
  <si>
    <t>DELL COMPUTERS</t>
  </si>
  <si>
    <t>199-31-6649.7F-101-699004</t>
  </si>
  <si>
    <t>DETECTION SERVICE 5/18/16</t>
  </si>
  <si>
    <t>BINDER</t>
  </si>
  <si>
    <t>INCORRECT ITEM</t>
  </si>
  <si>
    <t>199-23-6649.10-101-699004</t>
  </si>
  <si>
    <t>SHREDDER</t>
  </si>
  <si>
    <t>BEATI MORTUI</t>
  </si>
  <si>
    <t>KAYLOR'S</t>
  </si>
  <si>
    <t>HS ALARM 7/1/16-6/30/17</t>
  </si>
  <si>
    <t>INTER ALARM 9/1/15-8/31/16</t>
  </si>
  <si>
    <t>MS ALARM 9/1/15-8/31/16</t>
  </si>
  <si>
    <t>PRIM ALARM 9/1/15-8/31/16</t>
  </si>
  <si>
    <t>MS ALARM SERVICE 6/21/16</t>
  </si>
  <si>
    <t>6/15/16-7/14/16 LESSEE</t>
  </si>
  <si>
    <t>7/1/16-7/31/16 LESSEE</t>
  </si>
  <si>
    <t>LITHIA MOTORS, INC</t>
  </si>
  <si>
    <t>TM112 REPLACE TAILGATE</t>
  </si>
  <si>
    <t>LONE STAR AUDIOMETRICS</t>
  </si>
  <si>
    <t>199-21-6249.00-875-623023</t>
  </si>
  <si>
    <t xml:space="preserve">CALIBRATION OF </t>
  </si>
  <si>
    <t>199-33-6249.8F-001-699001</t>
  </si>
  <si>
    <t>199-33-6249.8F-041-699003</t>
  </si>
  <si>
    <t>199-33-6249.8F-101-699004</t>
  </si>
  <si>
    <t xml:space="preserve">CENTRAL BRASS/ HOLE </t>
  </si>
  <si>
    <t>6/9/16 MEDICAID CLAIMS</t>
  </si>
  <si>
    <t>REPLACE A/C UNIT</t>
  </si>
  <si>
    <t>JUL 2016 MAINT</t>
  </si>
  <si>
    <t>6/23/16 POSTAGE REFILL</t>
  </si>
  <si>
    <t>AD FOR CTE</t>
  </si>
  <si>
    <t>ASSET TAGS</t>
  </si>
  <si>
    <t>MARCH 2016 SERVICE</t>
  </si>
  <si>
    <t xml:space="preserve">WATER TREATMENT MAY </t>
  </si>
  <si>
    <t xml:space="preserve">WATER TREATMENT APRIL </t>
  </si>
  <si>
    <t xml:space="preserve">WATER TREATMENT JUNE </t>
  </si>
  <si>
    <t>ANNUAL ALARM MONITORING</t>
  </si>
  <si>
    <t>199-11-6339.10-101-611004</t>
  </si>
  <si>
    <t>SCORING SVS TTCT</t>
  </si>
  <si>
    <t>ACTIVITY TABLE &amp; RUG</t>
  </si>
  <si>
    <t xml:space="preserve">SOUTH TEXAS SCHOOL </t>
  </si>
  <si>
    <t>199-23-6649.00-104-699974</t>
  </si>
  <si>
    <t xml:space="preserve">NEW FURNITURE FOR </t>
  </si>
  <si>
    <t>BUS 9 DOT INSPECTION</t>
  </si>
  <si>
    <t>BUS 10 DOT INSPECTION</t>
  </si>
  <si>
    <t xml:space="preserve">BUS 1 DOT/HORN/BULB </t>
  </si>
  <si>
    <t>BUS 14 DOT INSPECTION</t>
  </si>
  <si>
    <t>BUS 21 DOT INSPECTION</t>
  </si>
  <si>
    <t>BUS 19 DOT INSPECTION</t>
  </si>
  <si>
    <t>BUS 23 DOT INSPECTION</t>
  </si>
  <si>
    <t>BUS 25 DOT INSPECTION</t>
  </si>
  <si>
    <t>BUS 28 DOT INSPECTION</t>
  </si>
  <si>
    <t>BUS 33 DOT INSPECTION</t>
  </si>
  <si>
    <t>BUS 33 OIL CHANGE</t>
  </si>
  <si>
    <t>BUS 32 DOT INSPECTION</t>
  </si>
  <si>
    <t>BUS 30 DOT INSPECTION</t>
  </si>
  <si>
    <t>BUS 11 DOT INSPECTION</t>
  </si>
  <si>
    <t>BUS 49 OIL CHANGE</t>
  </si>
  <si>
    <t>BUS 9 TIRES &amp; BALANCE</t>
  </si>
  <si>
    <t>BUS 32 TIRES &amp; BALANCE</t>
  </si>
  <si>
    <t>BUS 33 TIRES &amp; BALANCE</t>
  </si>
  <si>
    <t>BUS 21 REPLACE AIR BAGS</t>
  </si>
  <si>
    <t>TM112 TIRES &amp; BALANCE</t>
  </si>
  <si>
    <t>TM113 TIRES &amp; BALANCE</t>
  </si>
  <si>
    <t>ERASERS</t>
  </si>
  <si>
    <t>KEURIG MACHINE</t>
  </si>
  <si>
    <t>KEURIG SLEEVE</t>
  </si>
  <si>
    <t>ORGANIZER</t>
  </si>
  <si>
    <t>RETURNED ITEMS</t>
  </si>
  <si>
    <t>ONLINE WEBINAR 6/8/16</t>
  </si>
  <si>
    <t>TASC @ AUSTIN AUG 1-3</t>
  </si>
  <si>
    <t xml:space="preserve">WYNDHAM SAN ANTONIO </t>
  </si>
  <si>
    <t>TCDA @ SA JUL 21-23</t>
  </si>
  <si>
    <t>199-00-1291.15-000-600000</t>
  </si>
  <si>
    <t>DED'S</t>
  </si>
  <si>
    <t>VGA CABLE M/M 50' HD 15</t>
  </si>
  <si>
    <t>CAT 6 GRAY 50'</t>
  </si>
  <si>
    <t>AREVALO, ADELAIDA</t>
  </si>
  <si>
    <t>199-11-6499.AP-001-631034</t>
  </si>
  <si>
    <t xml:space="preserve">AP TEST REFUNDS FOR </t>
  </si>
  <si>
    <t>BAUER SPORT FLOORS</t>
  </si>
  <si>
    <t>199-51-6249.PM-936-699381</t>
  </si>
  <si>
    <t xml:space="preserve">SCREEN &amp; RECOAT 3 GYM </t>
  </si>
  <si>
    <t>BOONE, NORMA</t>
  </si>
  <si>
    <t xml:space="preserve">DIST. EMPLOYEE BFAST </t>
  </si>
  <si>
    <t>5 PORT GIGABIT SWITCH</t>
  </si>
  <si>
    <t>POWER STRIP</t>
  </si>
  <si>
    <t>VIEWSONIC LED</t>
  </si>
  <si>
    <t>EPSON 98H PROJECTOR</t>
  </si>
  <si>
    <t>CHAVERA, YVONNE</t>
  </si>
  <si>
    <t xml:space="preserve">BUS 29 BRAKE BUZZER </t>
  </si>
  <si>
    <t xml:space="preserve">TASA/TASB @ HOUSTON </t>
  </si>
  <si>
    <t xml:space="preserve">DE LAGE LANDEN PUBLIC </t>
  </si>
  <si>
    <t>199-71-6512.11-880-699080</t>
  </si>
  <si>
    <t xml:space="preserve">6/27/16-7/26/16 CISCO </t>
  </si>
  <si>
    <t>199-71-6522.11-880-699080</t>
  </si>
  <si>
    <t>8/1/16-8/31/16</t>
  </si>
  <si>
    <t xml:space="preserve">DELL FINANCIAL SERVICES, </t>
  </si>
  <si>
    <t>199-71-6512.10-880-699080</t>
  </si>
  <si>
    <t>8/1/16-7/31/17</t>
  </si>
  <si>
    <t>199-71-6522.10-880-699080</t>
  </si>
  <si>
    <t>250W MOGUL MH CLEAR</t>
  </si>
  <si>
    <t>199-36-6249.10-937-622082</t>
  </si>
  <si>
    <t xml:space="preserve">TM114 BALL JOINT/TIE </t>
  </si>
  <si>
    <t>TM109 OIL CHANGE</t>
  </si>
  <si>
    <t>TM108 FRICTION DISC BRAKE</t>
  </si>
  <si>
    <t>TM113 REFRIGERANT</t>
  </si>
  <si>
    <t>BUS 11 REPAIR DASH</t>
  </si>
  <si>
    <t>GLOBALORIA LLC</t>
  </si>
  <si>
    <t>GLOBALORIA 7/1/16-6/30/17</t>
  </si>
  <si>
    <t xml:space="preserve">INDUSTRIAL </t>
  </si>
  <si>
    <t>RADIO/CHARGER/BATTERY</t>
  </si>
  <si>
    <t>6/1/16-6/30/16 MAINT CLICKS</t>
  </si>
  <si>
    <t>TENSIONER ASSY</t>
  </si>
  <si>
    <t>199-23-6397.10-001-699001</t>
  </si>
  <si>
    <t>SCHOOL EDUCATION GROUP</t>
  </si>
  <si>
    <t>MARLEY, SHERYL</t>
  </si>
  <si>
    <t>MTS COMPANY</t>
  </si>
  <si>
    <t>199-11-6249.10-001-611001</t>
  </si>
  <si>
    <t>LAMINATE COUNTER TOPS</t>
  </si>
  <si>
    <t>6/1/16-6/31/16</t>
  </si>
  <si>
    <t xml:space="preserve">MEAL FOR TEST PROCTORS </t>
  </si>
  <si>
    <t>ADMIN POSTAGE</t>
  </si>
  <si>
    <t xml:space="preserve">CPR VALVE &amp; BRAIN </t>
  </si>
  <si>
    <t xml:space="preserve">HEART DISSECTION MODEL 4 </t>
  </si>
  <si>
    <t>REYES, ELMA</t>
  </si>
  <si>
    <t xml:space="preserve">WATER TREATMENT JULY </t>
  </si>
  <si>
    <t>ROBOTSHOP INC</t>
  </si>
  <si>
    <t>STAFF MEETING 7/14/16</t>
  </si>
  <si>
    <t>199-41-6399.00-709-699083</t>
  </si>
  <si>
    <t>FFA @ MATHIS 6/24/16-6/26/16</t>
  </si>
  <si>
    <t xml:space="preserve">TEXAS MUSIC FESTIVALS, </t>
  </si>
  <si>
    <t>CHOIR AWARDS</t>
  </si>
  <si>
    <t xml:space="preserve">THOMAS BUS GULF COAST </t>
  </si>
  <si>
    <t>199-34-6631.10-937-699082</t>
  </si>
  <si>
    <t>2 BUSES</t>
  </si>
  <si>
    <t>7/17/16-8/16/16</t>
  </si>
  <si>
    <t>6/2/16-7/1/16</t>
  </si>
  <si>
    <t xml:space="preserve">DIAGNOSITC &amp; MILEAGE </t>
  </si>
  <si>
    <t>DIAG. &amp; MILGE 4/1 &amp; 4/15/16</t>
  </si>
  <si>
    <t>DIAG. &amp; MILGE 5/13 &amp; 5/17/16</t>
  </si>
  <si>
    <t>DIAG. &amp; MILGE 5/13 &amp; 5/23/16</t>
  </si>
  <si>
    <t>ALLISON TRANS TECH, LLC</t>
  </si>
  <si>
    <t xml:space="preserve">BUS 49 TRANSMISSION </t>
  </si>
  <si>
    <t xml:space="preserve">BUS 43 TRANSMISSION </t>
  </si>
  <si>
    <t xml:space="preserve">BUS 44 TRANSMISSION </t>
  </si>
  <si>
    <t xml:space="preserve">BUS 41 TRANSMISSION </t>
  </si>
  <si>
    <t xml:space="preserve">BUS 42 TRANSMISSION </t>
  </si>
  <si>
    <t xml:space="preserve">BUS 46 TRANSMISSION </t>
  </si>
  <si>
    <t xml:space="preserve">BUS 45 TRANSMISSION </t>
  </si>
  <si>
    <t xml:space="preserve">BUS 47 TRANSMISSION </t>
  </si>
  <si>
    <t xml:space="preserve">BUS 48 TRANSMISSION </t>
  </si>
  <si>
    <t>BUS 40 OIL CHANGE &amp; MVI</t>
  </si>
  <si>
    <t>BUS 44 MVI</t>
  </si>
  <si>
    <t>BUS 46 MVI</t>
  </si>
  <si>
    <t xml:space="preserve">BUS 11 TRANSMISSION </t>
  </si>
  <si>
    <t xml:space="preserve">BUS 10 TRANSMISSION </t>
  </si>
  <si>
    <t xml:space="preserve">BUS 21 TRANSMISSION </t>
  </si>
  <si>
    <t xml:space="preserve">BUS 19 TRANSMISSION </t>
  </si>
  <si>
    <t xml:space="preserve">BUS 23 TRANSMISSION </t>
  </si>
  <si>
    <t xml:space="preserve">BUS 32 TRANSMISSION </t>
  </si>
  <si>
    <t xml:space="preserve">BUS 33 TRANSMISSION </t>
  </si>
  <si>
    <t>BUS 29 TDOT</t>
  </si>
  <si>
    <t>BUS 23 DOT</t>
  </si>
  <si>
    <t>BUS 30 DOT</t>
  </si>
  <si>
    <t xml:space="preserve">PARKING LOT SWEEP &amp; </t>
  </si>
  <si>
    <t>POWER VAC BATTERY</t>
  </si>
  <si>
    <t>BULK CHEMICALS</t>
  </si>
  <si>
    <t>POOL PARTS</t>
  </si>
  <si>
    <t>7/15/16-8/14/16</t>
  </si>
  <si>
    <t>DISTRICT 7/15/16</t>
  </si>
  <si>
    <t xml:space="preserve">INSPECTION &amp; STICKERS </t>
  </si>
  <si>
    <t>VATAT @ ABC 7/25-7/29/16</t>
  </si>
  <si>
    <t>FINGERPRINT CODES</t>
  </si>
  <si>
    <t>SLI @ SAN 6/15/16-6/17/16</t>
  </si>
  <si>
    <t>199-41-6649.10-933-699085</t>
  </si>
  <si>
    <t>HP DESIGN JET BELT</t>
  </si>
  <si>
    <t>SHIPPING HP BELT</t>
  </si>
  <si>
    <t>REMOVE DEAD OAK &amp; HAUL</t>
  </si>
  <si>
    <t>PO Created by Req: 604332</t>
  </si>
  <si>
    <t>SUPPORT BELTS &amp; LINERS</t>
  </si>
  <si>
    <t>199-11-6399.8U-001-611001</t>
  </si>
  <si>
    <t>WRONG ITEMS</t>
  </si>
  <si>
    <t xml:space="preserve">CNA TUTITION SPRING/FALL </t>
  </si>
  <si>
    <t xml:space="preserve">1TB BACKUP PORT </t>
  </si>
  <si>
    <t>SUMMER LDRSHIP @ S.</t>
  </si>
  <si>
    <t>ENVIROTEST LTD</t>
  </si>
  <si>
    <t>FIELD SAMPLING WATER</t>
  </si>
  <si>
    <t>RTI TRAINING 7/14/16</t>
  </si>
  <si>
    <t xml:space="preserve">INSTANT CELL PHONE </t>
  </si>
  <si>
    <t>199-11-6249.00-001-611080</t>
  </si>
  <si>
    <t>REPAIR MCBOOK</t>
  </si>
  <si>
    <t>199-11-6249.00-041-611080</t>
  </si>
  <si>
    <t>RIFRIGERATORS</t>
  </si>
  <si>
    <t>HVAC PARTS</t>
  </si>
  <si>
    <t xml:space="preserve">JOURNEYMAN </t>
  </si>
  <si>
    <t>AGRICULTURAL COMPLEX</t>
  </si>
  <si>
    <t>MS ALARM SERVICE 7/12/16</t>
  </si>
  <si>
    <t>2/1/16-2/28/16</t>
  </si>
  <si>
    <t>3/16/16-3/31/16</t>
  </si>
  <si>
    <t>07/1/16-7/31/16</t>
  </si>
  <si>
    <t>T07 UNABLE TO REPAIR</t>
  </si>
  <si>
    <t>T14 SERVICE SWAP</t>
  </si>
  <si>
    <t>MILEAGE 5/2/16-6/22/16</t>
  </si>
  <si>
    <t>1/27/16-1/30/16 MILEAGE</t>
  </si>
  <si>
    <t>199-41-6399.10-701-699092</t>
  </si>
  <si>
    <t>PRINCIPAL MEETING 7/26/16</t>
  </si>
  <si>
    <t>PURCHASING SUPPLIES</t>
  </si>
  <si>
    <t>6/1/16/-6/7/16 MILEAGE</t>
  </si>
  <si>
    <t>POLYTUFF</t>
  </si>
  <si>
    <t>HALL PASSES</t>
  </si>
  <si>
    <t xml:space="preserve">UIL CAP. CONF @ AUSTIN </t>
  </si>
  <si>
    <t>199-11-6294.10-001-611094</t>
  </si>
  <si>
    <t>199-11-6294.10-041-611094</t>
  </si>
  <si>
    <t xml:space="preserve">REM SCHOOL BUSINESS </t>
  </si>
  <si>
    <t>199-41-6299.15-702-699093</t>
  </si>
  <si>
    <t xml:space="preserve">CONSULTING </t>
  </si>
  <si>
    <t>STAFF MEETING 7/16/16</t>
  </si>
  <si>
    <t>STAFF MEETING 7/19/16</t>
  </si>
  <si>
    <t>SLI @ SA 6/15/16-6/18/16</t>
  </si>
  <si>
    <t>ADOBE SITE LICENSE</t>
  </si>
  <si>
    <t>TEDA</t>
  </si>
  <si>
    <t xml:space="preserve">TEDA MEMBERSHIP- BRENDA </t>
  </si>
  <si>
    <t xml:space="preserve">TEDA MEMBERSHIP- KARLA </t>
  </si>
  <si>
    <t xml:space="preserve">TEDA MEMBERSHIP- ANNA </t>
  </si>
  <si>
    <t xml:space="preserve">TEDA MEMBERSHIP- AMY </t>
  </si>
  <si>
    <t xml:space="preserve">BASEBALL/SOFTBALL SPRAY </t>
  </si>
  <si>
    <t>SOTY PLAQUE</t>
  </si>
  <si>
    <t>STAFF MEETING 7/21/16</t>
  </si>
  <si>
    <t xml:space="preserve">WHITE ELNA SEWING </t>
  </si>
  <si>
    <t>199-11-6249.VH-001-622022</t>
  </si>
  <si>
    <t>REPAIR SEWING MACHINES</t>
  </si>
  <si>
    <t>PAPER/RUBBERBANDS</t>
  </si>
  <si>
    <t>BUS 25 REAR A/C REPAIR</t>
  </si>
  <si>
    <t>PREVENTATIVE MAINT MS</t>
  </si>
  <si>
    <t>PREVENTATIVE MAINT INT</t>
  </si>
  <si>
    <t>OVER PAYMENT</t>
  </si>
  <si>
    <t>INT-2014 MAINT TAX REFUND</t>
  </si>
  <si>
    <t xml:space="preserve">TECH SHOP SUPPLIES/AG </t>
  </si>
  <si>
    <t>199-51-6619.00-936-699081</t>
  </si>
  <si>
    <t>ASBESTOS REMOVAL</t>
  </si>
  <si>
    <t>DEMOLITION SERVICES</t>
  </si>
  <si>
    <t>CCSPRINGBOARD RENEWAL</t>
  </si>
  <si>
    <t>CASTORENA, PAUL</t>
  </si>
  <si>
    <t>BATTERIES 12 VOLT</t>
  </si>
  <si>
    <t>ALTERNATOR &amp; LABOR</t>
  </si>
  <si>
    <t>6/15/16-7/15/16</t>
  </si>
  <si>
    <t>6/13/16-7/14/16</t>
  </si>
  <si>
    <t>199-23-6649.10-104-699005</t>
  </si>
  <si>
    <t>CALENDAR BOARD &amp; CHAIRS</t>
  </si>
  <si>
    <t xml:space="preserve">BUS 45 EXCESS BEEPING </t>
  </si>
  <si>
    <t>BUS 4 BODY WORK</t>
  </si>
  <si>
    <t>BUS 32 BODY WORK</t>
  </si>
  <si>
    <t>BOILER MAINT.</t>
  </si>
  <si>
    <t xml:space="preserve">INSTALL FENWAL CONTROL </t>
  </si>
  <si>
    <t xml:space="preserve">INSTLL IGNITER/FENWAL </t>
  </si>
  <si>
    <t xml:space="preserve">WATER LEAK REPAIR @ </t>
  </si>
  <si>
    <t>199-51-6249.MC-936-699081</t>
  </si>
  <si>
    <t xml:space="preserve">WATER SHUT DOWN @ TUL </t>
  </si>
  <si>
    <t>ABSOLUE DDS PREMIUM</t>
  </si>
  <si>
    <t>DUNTON, JOHN</t>
  </si>
  <si>
    <t>199-41-6411.LK-933-699085</t>
  </si>
  <si>
    <t>9/9/15-8/11/16</t>
  </si>
  <si>
    <t>T-PESS @ CC 7/14-7/15/16</t>
  </si>
  <si>
    <t xml:space="preserve">BUS CERT @ CC JUL 16 &amp; 23 </t>
  </si>
  <si>
    <t>ASBESTOS SURVEY/SAMPLE</t>
  </si>
  <si>
    <t>ASBESTOS AIR MONITORING</t>
  </si>
  <si>
    <t xml:space="preserve">35-100C SCHLAGE 5 PIN C </t>
  </si>
  <si>
    <t xml:space="preserve">JUNE 2016 GENERAL </t>
  </si>
  <si>
    <t>3X5 INDEX CARDS</t>
  </si>
  <si>
    <t>HAMLIN, TERRI</t>
  </si>
  <si>
    <t>9/29/15-5/5/16</t>
  </si>
  <si>
    <t xml:space="preserve">ITUNES CARDS FOR SERVER </t>
  </si>
  <si>
    <t>STAFF LUNCHEON 7/18/16</t>
  </si>
  <si>
    <t xml:space="preserve">SESPTC @ W. VIRG JUL 9-16 </t>
  </si>
  <si>
    <t>HINOJOSA, GILMA</t>
  </si>
  <si>
    <t>3/15/16-5/26/16</t>
  </si>
  <si>
    <t xml:space="preserve">TMISD IN SERVICE @ PAC </t>
  </si>
  <si>
    <t xml:space="preserve">JEAN'S RESTAURANT </t>
  </si>
  <si>
    <t>199-36-6649.09-101-699004</t>
  </si>
  <si>
    <t>ICE MAKER</t>
  </si>
  <si>
    <t xml:space="preserve">VA TRAINGING @ HOUSTON </t>
  </si>
  <si>
    <t>BASIN WRENCH</t>
  </si>
  <si>
    <t>7/20/16-7/22/16</t>
  </si>
  <si>
    <t>NOVA ELECTRONICS</t>
  </si>
  <si>
    <t>PRINTER REPAIR</t>
  </si>
  <si>
    <t>OSBURN MATERIALS INC</t>
  </si>
  <si>
    <t xml:space="preserve">GOLF COURSE TOP </t>
  </si>
  <si>
    <t>ANNUAL TESTING TANKS</t>
  </si>
  <si>
    <t>TABLES AND CHAIR</t>
  </si>
  <si>
    <t>DESKS</t>
  </si>
  <si>
    <t>199-23-6299.10-104-699005</t>
  </si>
  <si>
    <t>ANNUAL ACCESS FEE</t>
  </si>
  <si>
    <t>STAFF MEETING 7/29/16</t>
  </si>
  <si>
    <t>SAGE PUBLICATIONS INC</t>
  </si>
  <si>
    <t>BUS 23 ADJUST ALL BREAKS</t>
  </si>
  <si>
    <t>5/27/16-6/26/16</t>
  </si>
  <si>
    <t>EXTERNAL HARD DRIVE</t>
  </si>
  <si>
    <t>PRICE GUARANTEE ITEM</t>
  </si>
  <si>
    <t>BAGS &amp; FILM</t>
  </si>
  <si>
    <t xml:space="preserve">STATE BOARD FOR </t>
  </si>
  <si>
    <t xml:space="preserve">ROTC CERT. KOSTA </t>
  </si>
  <si>
    <t xml:space="preserve">ROTC CERT.  JOSEPH </t>
  </si>
  <si>
    <t xml:space="preserve">STRIDDE, CALLINS AND </t>
  </si>
  <si>
    <t>SERVICES THROUGH 6/30/16</t>
  </si>
  <si>
    <t xml:space="preserve">SERVICES THROUGH </t>
  </si>
  <si>
    <t xml:space="preserve">SANDWICHES FOR OPEN </t>
  </si>
  <si>
    <t>ELEVATOR DECAL</t>
  </si>
  <si>
    <t>PARTIAL RENO FB FIELD</t>
  </si>
  <si>
    <t>PLACEMENT TESTING</t>
  </si>
  <si>
    <t>7/2/16-8/1/16</t>
  </si>
  <si>
    <t xml:space="preserve">LABSONIC PERSONAL </t>
  </si>
  <si>
    <t>DIAGNOSTIC &amp; MILGE 5/2/16</t>
  </si>
  <si>
    <t>DIAG. &amp; MILGE 7/25-7/28</t>
  </si>
  <si>
    <t>DIAG. &amp; MILGE 7/19-7/22</t>
  </si>
  <si>
    <t xml:space="preserve">BILL BEATTY INSUR AGENCY, </t>
  </si>
  <si>
    <t>199-11-6429.NL-001-622022</t>
  </si>
  <si>
    <t xml:space="preserve">STUDENT BLANKET LIABILITY </t>
  </si>
  <si>
    <t>STAFF LUNCH MEETING</t>
  </si>
  <si>
    <t xml:space="preserve">FIRE-VARIOUS PROPERTY </t>
  </si>
  <si>
    <t xml:space="preserve">ACCOUNTING GJ 10E </t>
  </si>
  <si>
    <t>CFS PRODUCTS</t>
  </si>
  <si>
    <t>DRILL BIT</t>
  </si>
  <si>
    <t xml:space="preserve">VALVE AUTO DRAIN &amp; AIR </t>
  </si>
  <si>
    <t>SEAT CLIP</t>
  </si>
  <si>
    <t>THOM BACK 39" VEL PREV</t>
  </si>
  <si>
    <t>ELECTRIC MOTOR</t>
  </si>
  <si>
    <t>7 SERIES CONTROL MODULE</t>
  </si>
  <si>
    <t>8/4/16 SERVICE</t>
  </si>
  <si>
    <t>7/28/16 SERVICE</t>
  </si>
  <si>
    <t>ALARM PERMIT RENEWAL HS</t>
  </si>
  <si>
    <t xml:space="preserve">COASTAL BEND HEALTH </t>
  </si>
  <si>
    <t>199-00-1411.07-000-600000</t>
  </si>
  <si>
    <t xml:space="preserve">DIABETES TRAIN @ ESC </t>
  </si>
  <si>
    <t>JULY BILLING</t>
  </si>
  <si>
    <t>HYDROJET AG BARN</t>
  </si>
  <si>
    <t>AG SEWER LINE CRUSHED</t>
  </si>
  <si>
    <t xml:space="preserve">CONDENSATE PUMP &amp; MISC </t>
  </si>
  <si>
    <t>D&amp;D RETAIL, L.P.</t>
  </si>
  <si>
    <t>199-11-6639.V8-001-622022</t>
  </si>
  <si>
    <t>2017 EXHIBITOR TRAILER</t>
  </si>
  <si>
    <t xml:space="preserve">JULY/AUGUST INTERNET </t>
  </si>
  <si>
    <t xml:space="preserve">COFFEE SUPPLIES FOR </t>
  </si>
  <si>
    <t xml:space="preserve">HEAVY DUTY CLOSER </t>
  </si>
  <si>
    <t>SIGNED BOND PAPERWORK</t>
  </si>
  <si>
    <t>GARCIA, DEBRA J.</t>
  </si>
  <si>
    <t>MILEAGE 9/24/16-5/11/16</t>
  </si>
  <si>
    <t>SILICONE FOR CAMERA</t>
  </si>
  <si>
    <t xml:space="preserve">SHELVE REPAIR IN </t>
  </si>
  <si>
    <t>REFRIDGERATOR</t>
  </si>
  <si>
    <t>6/14/16-7/28/16</t>
  </si>
  <si>
    <t>HYATT REGENCY</t>
  </si>
  <si>
    <t>SOTY INTERVIEW</t>
  </si>
  <si>
    <t>VEGO BATTERY</t>
  </si>
  <si>
    <t>4/27/16-5/23/16</t>
  </si>
  <si>
    <t xml:space="preserve">JIM WALSH TRAIN @ ESC </t>
  </si>
  <si>
    <t>MOTOR &amp; CAPACITOR</t>
  </si>
  <si>
    <t>10238102 MTR FAN</t>
  </si>
  <si>
    <t>SHIPPING BLADE</t>
  </si>
  <si>
    <t>7/25/16-7/29/16</t>
  </si>
  <si>
    <t>8/1/16-8/5/16</t>
  </si>
  <si>
    <t>REPAIR DX CONDENSER</t>
  </si>
  <si>
    <t xml:space="preserve">MOAK CASEY &amp; ASSOCIATES, </t>
  </si>
  <si>
    <t>CONSULTING SERVICES</t>
  </si>
  <si>
    <t xml:space="preserve">CHECK OUT REI VIDEO </t>
  </si>
  <si>
    <t>OUT OF RANGE ISSUES</t>
  </si>
  <si>
    <t>RAY &amp; WOOD</t>
  </si>
  <si>
    <t>199-41-6219.10-726-699091</t>
  </si>
  <si>
    <t xml:space="preserve">SECOND 2011 LOCAL TAX </t>
  </si>
  <si>
    <t xml:space="preserve">HVY DUTY &amp; DIESEL TECH </t>
  </si>
  <si>
    <t xml:space="preserve">STAFF MEETING/WELCOME </t>
  </si>
  <si>
    <t>199-41-6399.10-933-699085</t>
  </si>
  <si>
    <t>STEEL SHELVING</t>
  </si>
  <si>
    <t>4/14/16-7/13/16</t>
  </si>
  <si>
    <t>TAPE</t>
  </si>
  <si>
    <t>199-11-6399.VB-002-622022</t>
  </si>
  <si>
    <t>7/18/16-7/29/16</t>
  </si>
  <si>
    <t>COUNSELING 8/1/16-8/4/16</t>
  </si>
  <si>
    <t>DIAGNOSTIC 5/17/16</t>
  </si>
  <si>
    <t>BUS 32 @ MAINT OFFICE</t>
  </si>
  <si>
    <t>BUS 6 @ COASTAL DIESEL</t>
  </si>
  <si>
    <t xml:space="preserve">FORD RANGER @ MAINT </t>
  </si>
  <si>
    <t>TM101 @ MAINT OFFICE</t>
  </si>
  <si>
    <t>DIAPHRAGM 2" VALVE</t>
  </si>
  <si>
    <t>FIRE POLICY AG BARN</t>
  </si>
  <si>
    <t>JULY 2016 PT SERVICES</t>
  </si>
  <si>
    <t xml:space="preserve">BUS 22 AIR TANK </t>
  </si>
  <si>
    <t>BUS 32 STARTER</t>
  </si>
  <si>
    <t>BUS 6 REPAIR FUEL LEAK</t>
  </si>
  <si>
    <t xml:space="preserve">NCI HYBRID TRAINING-BLUE </t>
  </si>
  <si>
    <t>199-11-6396.00-104-624024</t>
  </si>
  <si>
    <t xml:space="preserve">IRDY TX MATH&amp;RDG D&amp;I 1Y </t>
  </si>
  <si>
    <t xml:space="preserve">EXCAVATE, PUMP OUT, </t>
  </si>
  <si>
    <t xml:space="preserve">INSTALL HOSE BIB RISER </t>
  </si>
  <si>
    <t>ABSOLUTE SOFTWARE</t>
  </si>
  <si>
    <t>CARD READER AG BARN</t>
  </si>
  <si>
    <t>1337788 8/11/16</t>
  </si>
  <si>
    <t>EDUCATIONAL ENTERPRISES</t>
  </si>
  <si>
    <t xml:space="preserve">RECORDING OF ALL STATE </t>
  </si>
  <si>
    <t>EDUPHORIA! INC.</t>
  </si>
  <si>
    <t xml:space="preserve">WORKORDER SYSTEM &amp; </t>
  </si>
  <si>
    <t xml:space="preserve">TASC @ AUSTIN AUG 1-3, </t>
  </si>
  <si>
    <t xml:space="preserve">LEAD DRINKING WATER </t>
  </si>
  <si>
    <t>WALL PACK</t>
  </si>
  <si>
    <t xml:space="preserve">SOOPER CLIP &amp; FELT </t>
  </si>
  <si>
    <t>LZ MULE DRIVE BELT</t>
  </si>
  <si>
    <t>PIANO TUNNING</t>
  </si>
  <si>
    <t>REPLACEMENT CARD</t>
  </si>
  <si>
    <t>199-11-6639.7B-041-611036</t>
  </si>
  <si>
    <t>ROTOR TUBA YBB641</t>
  </si>
  <si>
    <t>CON-SNT-1</t>
  </si>
  <si>
    <t>JULY/AUGUST SERVICES</t>
  </si>
  <si>
    <t>LEARNING A-Z</t>
  </si>
  <si>
    <t>SITE LICENSE RENEWAL</t>
  </si>
  <si>
    <t>AG/GREEN HOUSE SUPPLIES</t>
  </si>
  <si>
    <t>8/8/16-8/12/16</t>
  </si>
  <si>
    <t xml:space="preserve">AD VALOREM TAXES JULY </t>
  </si>
  <si>
    <t>FAN HOUSING &amp; WHEEL</t>
  </si>
  <si>
    <t>PUMP #2 REPAIR</t>
  </si>
  <si>
    <t xml:space="preserve">SUPPLIES/CLASSROOM &amp; </t>
  </si>
  <si>
    <t>CHOIR DRESSES</t>
  </si>
  <si>
    <t>MILEAGE RICHARD GILLEY</t>
  </si>
  <si>
    <t>VARIOUS VENDORS</t>
  </si>
  <si>
    <t>CABLE/SURGE PROTECTOR</t>
  </si>
  <si>
    <t xml:space="preserve">LUNCH STAFF MEETING </t>
  </si>
  <si>
    <t xml:space="preserve">PRIME MAINTENANCE &amp; </t>
  </si>
  <si>
    <t>FLAG MURAL ON HIGH WALL</t>
  </si>
  <si>
    <t xml:space="preserve">ER REPAIR CONTROL </t>
  </si>
  <si>
    <t xml:space="preserve">ESTIMATE FOR CHOIR </t>
  </si>
  <si>
    <t>ROKOHL, MARY</t>
  </si>
  <si>
    <t>TCDA @ SA JUL 21-23, 2016</t>
  </si>
  <si>
    <t>RUMFIELD, BROOKE</t>
  </si>
  <si>
    <t>199-13-6411.V8-001-622122</t>
  </si>
  <si>
    <t>VET ASST @ HOUSTON 7/31-</t>
  </si>
  <si>
    <t>SLED BASE GUEST CHAIR</t>
  </si>
  <si>
    <t>199-23-6649.00-101-699974</t>
  </si>
  <si>
    <t>FURNITURE</t>
  </si>
  <si>
    <t>DISCONTINUED ITEM</t>
  </si>
  <si>
    <t>TONERS/INK</t>
  </si>
  <si>
    <t>199-13-6411.NL-001-622122</t>
  </si>
  <si>
    <t xml:space="preserve">FOOTBALL &amp; SOCCER FIELDS </t>
  </si>
  <si>
    <t>199-21-6269.10-871-699094</t>
  </si>
  <si>
    <t>7/18/16 EQUIPMENT RENTAL</t>
  </si>
  <si>
    <t>U.S. GRINDING SERVICE</t>
  </si>
  <si>
    <t>KNIFE GRINDING</t>
  </si>
  <si>
    <t>COUNSELING 8/8/16-8/10/16</t>
  </si>
  <si>
    <t>BUS 19 NEW COMPRESSOR</t>
  </si>
  <si>
    <t>COMPUTER SUPPLIES</t>
  </si>
  <si>
    <t>VGA CABLE/HDMI CABLE</t>
  </si>
  <si>
    <t>Supplies for Each Campus</t>
  </si>
  <si>
    <t>PORT COMPACT DVI/USB</t>
  </si>
  <si>
    <t xml:space="preserve">COMBO DIGITAL </t>
  </si>
  <si>
    <t>CPR DIGITAL CERTIFICATION</t>
  </si>
  <si>
    <t xml:space="preserve">CPR DIGITAL/BASIC FIRST </t>
  </si>
  <si>
    <t>DILUTE SULFURIC ACID</t>
  </si>
  <si>
    <t>8/15/16-9/14/16</t>
  </si>
  <si>
    <t>DISTRICT 8/15/16-9/14/16</t>
  </si>
  <si>
    <t>DISTRICT 8/15/16</t>
  </si>
  <si>
    <t xml:space="preserve">THESPIAN INDUCTION </t>
  </si>
  <si>
    <t>ENGINEERING NOTEBOOK</t>
  </si>
  <si>
    <t>VATAT @ ABC 7/25-7/29, 2016</t>
  </si>
  <si>
    <t>STAFF MEETING 8/19/16</t>
  </si>
  <si>
    <t>WHEEL SET &amp; GUIDE STOP</t>
  </si>
  <si>
    <t xml:space="preserve">LUNCH FOR VENDOR OSCAR </t>
  </si>
  <si>
    <t>SAUSAGE</t>
  </si>
  <si>
    <t>BBQ PLATES</t>
  </si>
  <si>
    <t>BRISKET</t>
  </si>
  <si>
    <t>CONDIMENTS</t>
  </si>
  <si>
    <t>BBQ ITEMS</t>
  </si>
  <si>
    <t xml:space="preserve">VIVO TRIPLE LCD MONITOR </t>
  </si>
  <si>
    <t>6/23/16-7/22/16</t>
  </si>
  <si>
    <t>07/23/16-8/22/16</t>
  </si>
  <si>
    <t>MILEAGE 7/26/16-8/11/16</t>
  </si>
  <si>
    <t>MILEAGE 8/1/16-8/15/16</t>
  </si>
  <si>
    <t>MILEAGE 7/13/16-8/9/16</t>
  </si>
  <si>
    <t>MILEAGE 7/12/16-8/2/16</t>
  </si>
  <si>
    <t xml:space="preserve">CAVALLO ENERGY TEXAS </t>
  </si>
  <si>
    <t>7/16/16 -8-15/16</t>
  </si>
  <si>
    <t>CERVANTEZ, JUAN</t>
  </si>
  <si>
    <t>MILEAGE 7/11/16-8/9/16</t>
  </si>
  <si>
    <t>CHAMBERLAIN &amp; MCHANEY</t>
  </si>
  <si>
    <t>AUGUST FEES</t>
  </si>
  <si>
    <t>CHAPA, IRIS</t>
  </si>
  <si>
    <t>MILEAGE 7/13/16-8/15/16</t>
  </si>
  <si>
    <t>CHAPA, RICARDO</t>
  </si>
  <si>
    <t>MILEAGE 6/13/16-7/22/16</t>
  </si>
  <si>
    <t>DOOR REPAIR</t>
  </si>
  <si>
    <t>BUS 33 OVERHEATING</t>
  </si>
  <si>
    <t xml:space="preserve">LOADING LIGHT INOP/ALARM </t>
  </si>
  <si>
    <t>REPAIR 4 WATER LEAKS</t>
  </si>
  <si>
    <t xml:space="preserve">BAND CONSULTANT FOR </t>
  </si>
  <si>
    <t xml:space="preserve">CERTIFIED NURSE AID </t>
  </si>
  <si>
    <t>199-11-6399.H2-001-611032</t>
  </si>
  <si>
    <t>MARCHING FLAGS</t>
  </si>
  <si>
    <t xml:space="preserve">WKLY STAFF MEETING 8/2 &amp; </t>
  </si>
  <si>
    <t>FISCAL YEAR AUDIT 2016</t>
  </si>
  <si>
    <t>BUS 46 &amp; 47 TINT</t>
  </si>
  <si>
    <t>IVORY NYLON PLATE COVER</t>
  </si>
  <si>
    <t>DEADBOLTS</t>
  </si>
  <si>
    <t>ENRTY ORBIT</t>
  </si>
  <si>
    <t>PRIVACY LEVER</t>
  </si>
  <si>
    <t>MILEAGE 8/5/16-8/12/16</t>
  </si>
  <si>
    <t>TM101 HEATER CORE</t>
  </si>
  <si>
    <t xml:space="preserve">TM113 FUEL PUMP </t>
  </si>
  <si>
    <t>TM113 COMPRESSOR KIT</t>
  </si>
  <si>
    <t xml:space="preserve">TM113 HEATER CORE </t>
  </si>
  <si>
    <t>TM103 ENGINE MANIFOLD</t>
  </si>
  <si>
    <t>MEGAPHONES/WHISTLES</t>
  </si>
  <si>
    <t>BUS 21 ARM LIGHT ISSUES</t>
  </si>
  <si>
    <t>DUAL CREDIT BOOKS</t>
  </si>
  <si>
    <t>199-12-6328.7U-041-611003</t>
  </si>
  <si>
    <t>ASSORTED BOOKS</t>
  </si>
  <si>
    <t>FUELMAN</t>
  </si>
  <si>
    <t xml:space="preserve">FUEL TO PICK UP CHILLER </t>
  </si>
  <si>
    <t>FUEL FOR PIG BUYING TRIP</t>
  </si>
  <si>
    <t>TASC @ AUSTIN 8/1/16-8/3/16</t>
  </si>
  <si>
    <t>MILEAGE 5/3/16-8/3/16</t>
  </si>
  <si>
    <t>GENZER, BERTHA</t>
  </si>
  <si>
    <t>MICROWAVE EATING AREA</t>
  </si>
  <si>
    <t>FCSTAT @ DALLAS 7/31/16-</t>
  </si>
  <si>
    <t>199-13-6411.VH-001-622122</t>
  </si>
  <si>
    <t xml:space="preserve">BAND CONSULTANTS FOR </t>
  </si>
  <si>
    <t>DRILL BIT/BOLTS</t>
  </si>
  <si>
    <t>REPAIR BASS CLARINET 5834</t>
  </si>
  <si>
    <t>REPAIR EUPHONIUM 375871</t>
  </si>
  <si>
    <t>REPAIR EUPHONIUM 419762</t>
  </si>
  <si>
    <t>REPAIR EUPHONIUM 375972</t>
  </si>
  <si>
    <t>REPAIR EUPHONIUM 006434</t>
  </si>
  <si>
    <t>REPAIR TUBA 011655</t>
  </si>
  <si>
    <t>REPAIR TUBA 856952</t>
  </si>
  <si>
    <t>REPAIR TUBA 891251</t>
  </si>
  <si>
    <t>REPAIR TUBA 004237</t>
  </si>
  <si>
    <t>REPAIR TUBA 863130</t>
  </si>
  <si>
    <t>REPAIR TUBA 330660</t>
  </si>
  <si>
    <t>REPAIR TUBA 430073</t>
  </si>
  <si>
    <t>REPAIR TUBA 477741</t>
  </si>
  <si>
    <t xml:space="preserve">REPAIR FRENCH HORN </t>
  </si>
  <si>
    <t>REPAIR FRENC HORN 562069</t>
  </si>
  <si>
    <t xml:space="preserve">REPAIR BASS CLARINET </t>
  </si>
  <si>
    <t>MUSIC STANDS &amp; RACKS</t>
  </si>
  <si>
    <t>VALVE EXP</t>
  </si>
  <si>
    <t xml:space="preserve">DRIER- LIQUID LINE/VALVE </t>
  </si>
  <si>
    <t>MILEAGE 7/7/16-8/15/16</t>
  </si>
  <si>
    <t>8/15/16-8/19/16</t>
  </si>
  <si>
    <t>MILEAGE 7/29/16-8/4/16</t>
  </si>
  <si>
    <t>MILEAGE 7/11/16-8/5/16</t>
  </si>
  <si>
    <t>MILEAGE 7/1/16-7/19/16</t>
  </si>
  <si>
    <t>199-41-6399.00-939-699087</t>
  </si>
  <si>
    <t>MILEAGE 7/21/16</t>
  </si>
  <si>
    <t>MILEAGE 7/14/16</t>
  </si>
  <si>
    <t>MILEAGE 7/12/16</t>
  </si>
  <si>
    <t>ZIP TIES FOR CABLES</t>
  </si>
  <si>
    <t>FACULTY MEETING SNACKS</t>
  </si>
  <si>
    <t>PAINT EXTERIOR DOORS</t>
  </si>
  <si>
    <t>INSTALL 2 MOBILE RADIOS</t>
  </si>
  <si>
    <t xml:space="preserve">REPAIR XPR 4350 CONTROL </t>
  </si>
  <si>
    <t>MILEAGE 7/20/16-8/19/16</t>
  </si>
  <si>
    <t>BUS 40 REPLACE TANK</t>
  </si>
  <si>
    <t>RUSSELL, TERESA</t>
  </si>
  <si>
    <t>MILEAGE 6/8/16-8/15/16</t>
  </si>
  <si>
    <t xml:space="preserve">7201 GALLONS UNLEADED &amp; </t>
  </si>
  <si>
    <t>ACTUATOR &amp; HUM. SENSOR</t>
  </si>
  <si>
    <t>MECH ENGINEERING 7/31/16</t>
  </si>
  <si>
    <t>SUSAN G. MORRISON</t>
  </si>
  <si>
    <t>CONSULTATION FEE</t>
  </si>
  <si>
    <t>CHILLER REPAIR</t>
  </si>
  <si>
    <t xml:space="preserve">REF PO 165036 ADDIT </t>
  </si>
  <si>
    <t>TREVINO, CHRISTINA</t>
  </si>
  <si>
    <t>MILEAGE 6/13/16-7/12/16</t>
  </si>
  <si>
    <t>STORAGE SUPPLIES</t>
  </si>
  <si>
    <t>COOLER</t>
  </si>
  <si>
    <t>MILEAGE 8/11/15-8/17/16</t>
  </si>
  <si>
    <t>MILEAGE 6/13/16-8/11/16</t>
  </si>
  <si>
    <t>MILEAGE 3/10/16-8/5/16</t>
  </si>
  <si>
    <t>ACC JUL 2016 90 DAY FILTER</t>
  </si>
  <si>
    <t>HS JUL 2016 90 DAY FILTER</t>
  </si>
  <si>
    <t xml:space="preserve">MAINT JUL 2016 90 DAY </t>
  </si>
  <si>
    <t>MS JUL 2016 90 DAY FILTER</t>
  </si>
  <si>
    <t xml:space="preserve">TRANS JUL 2016 90 DAY </t>
  </si>
  <si>
    <t>COUNSELING 8/15/16-8/18/16</t>
  </si>
  <si>
    <t>CONSULTANT SERVICES</t>
  </si>
  <si>
    <t xml:space="preserve">BUS 25 BATTERY </t>
  </si>
  <si>
    <t>BUS 25 BRAKE ADJUSTMENT</t>
  </si>
  <si>
    <t>BUS 42 A/C REPAIR</t>
  </si>
  <si>
    <t xml:space="preserve">MAINT/BRUSH KIT/WHEEL </t>
  </si>
  <si>
    <t xml:space="preserve">CPR PRO INSTRUCTOR </t>
  </si>
  <si>
    <t>CONCRETE PLACEMENT</t>
  </si>
  <si>
    <t xml:space="preserve">TM101 TOWED FIVE POINTS </t>
  </si>
  <si>
    <t xml:space="preserve">TM113 TOWED FIVE POINTS </t>
  </si>
  <si>
    <t xml:space="preserve">REPLACE FILTER FOR </t>
  </si>
  <si>
    <t xml:space="preserve">AIR COMPRESSOR/SERVICE </t>
  </si>
  <si>
    <t>MINI BLINDS</t>
  </si>
  <si>
    <t>SUPPLIES TRANSPORT</t>
  </si>
  <si>
    <t>8/11/16 SERVICE</t>
  </si>
  <si>
    <t>8/18/16 SERVICE</t>
  </si>
  <si>
    <t>8/25/16 SERVICE</t>
  </si>
  <si>
    <t>199-00-1411.14-000-600000</t>
  </si>
  <si>
    <t xml:space="preserve">FIRE PREVENT PERMIT </t>
  </si>
  <si>
    <t>7/15/16-8/15/16</t>
  </si>
  <si>
    <t>7/14/16-8/12/16</t>
  </si>
  <si>
    <t>BUS 11 FUEL TANK</t>
  </si>
  <si>
    <t>BUS 11 FLARE FITTING</t>
  </si>
  <si>
    <t>BUS 14 MICRO V-BELT</t>
  </si>
  <si>
    <t>BUS 23 HOSE CLAMP</t>
  </si>
  <si>
    <t>AUG 2016 OT BILLING</t>
  </si>
  <si>
    <t>AD 1208456 8/4/16-8/11/16</t>
  </si>
  <si>
    <t xml:space="preserve">DEAF &amp; HARD HEARING </t>
  </si>
  <si>
    <t>199-23-6299.10-001-699001</t>
  </si>
  <si>
    <t>PLEDGE 7/31/16</t>
  </si>
  <si>
    <t>SOTY @ AUSTIN 8/26/16-</t>
  </si>
  <si>
    <t>WORKSHOP 1336439 8/23/16</t>
  </si>
  <si>
    <t>WORKSHOP 1295615 8/20/16</t>
  </si>
  <si>
    <t>ER CALL OUT/CHILLER DOWN</t>
  </si>
  <si>
    <t>SHINERITE BLUE</t>
  </si>
  <si>
    <t>SHINERITE GOLD</t>
  </si>
  <si>
    <t>SPIDER</t>
  </si>
  <si>
    <t>COOLANT LEAK</t>
  </si>
  <si>
    <t>MIDOL/ALLERGY MEDICINE</t>
  </si>
  <si>
    <t xml:space="preserve">SUPPLIES FOR LUNCH </t>
  </si>
  <si>
    <t>DETECTION SERVICE 8/12/16</t>
  </si>
  <si>
    <t>CARTRIDGE FUSE</t>
  </si>
  <si>
    <t>UIL MEET FEE 2/13/16</t>
  </si>
  <si>
    <t xml:space="preserve">ANNUAL/RISER INSPECTION </t>
  </si>
  <si>
    <t>8/4/16 MEDICAID CLAIMS</t>
  </si>
  <si>
    <t>7/14/16 MEDICAID CLAIMS</t>
  </si>
  <si>
    <t xml:space="preserve">REPLACE ELECTRICAL WHIP </t>
  </si>
  <si>
    <t>REPLACE MOTOR</t>
  </si>
  <si>
    <t>LEAK CHECK CIRCUIT 1 &amp; 2</t>
  </si>
  <si>
    <t>LABOR COOLING TOWER</t>
  </si>
  <si>
    <t xml:space="preserve">REPLACE CENTRAL PLANT </t>
  </si>
  <si>
    <t>STANDARD TRI DOOR</t>
  </si>
  <si>
    <t>MOSTELLA, JAN</t>
  </si>
  <si>
    <t>SLI @ SA 6/18/16-6/19/16</t>
  </si>
  <si>
    <t>LABOR STATE INSPECTION</t>
  </si>
  <si>
    <t>AUG 2016 MAINT</t>
  </si>
  <si>
    <t>RADIO REPAIR</t>
  </si>
  <si>
    <t>PROGRAM RADIOS</t>
  </si>
  <si>
    <t>FISH CAMP SUPPLIES</t>
  </si>
  <si>
    <t xml:space="preserve">ITEMS FOR AG OPEN HOUSE </t>
  </si>
  <si>
    <t>INSERVICE SUPPLIES</t>
  </si>
  <si>
    <t>WRONG ITEM</t>
  </si>
  <si>
    <t xml:space="preserve">SNACKS/SUPPLIES SCHOOL </t>
  </si>
  <si>
    <t>ITEM BROKEN</t>
  </si>
  <si>
    <t>ROTC FISH CAMP FOOD</t>
  </si>
  <si>
    <t>AUTOMOTIVE SUPPLIES</t>
  </si>
  <si>
    <t>BUS 23 &amp; 30 TDOT INSPECT</t>
  </si>
  <si>
    <t>BUS 22 REPAIR FLAT TIRE</t>
  </si>
  <si>
    <t>REVERSE FOR DOT</t>
  </si>
  <si>
    <t xml:space="preserve">TM101 DEST AT </t>
  </si>
  <si>
    <t>REPAIR CHILLER</t>
  </si>
  <si>
    <t xml:space="preserve">RESOURCES FOR </t>
  </si>
  <si>
    <t>211-00-2110.15-000-600000</t>
  </si>
  <si>
    <t xml:space="preserve">HOME &amp; SCHOOL </t>
  </si>
  <si>
    <t>ESEA TITLE I - PART A</t>
  </si>
  <si>
    <t xml:space="preserve">MATH + SCIENCE </t>
  </si>
  <si>
    <t>READING CONNECTION</t>
  </si>
  <si>
    <t>211-13-6411.00-101-630000</t>
  </si>
  <si>
    <t>WORKSHOP 1299317 9/29/15</t>
  </si>
  <si>
    <t>211-13-6411.00-104-630000</t>
  </si>
  <si>
    <t>WORKSHOP 1308996 11/11/15</t>
  </si>
  <si>
    <t>211-11-6239.00-101-630000</t>
  </si>
  <si>
    <t>211-11-6239.00-104-630000</t>
  </si>
  <si>
    <t>211-13-6239.00-101-630000</t>
  </si>
  <si>
    <t>211-13-6239.00-104-630000</t>
  </si>
  <si>
    <t>WORKSHOP 1308455 1/20/16</t>
  </si>
  <si>
    <t>WORKSHOP 1311120 1/20/16</t>
  </si>
  <si>
    <t>WORKSHOP 1299289 1/28/16</t>
  </si>
  <si>
    <t>211-21-6239.00-871-630000</t>
  </si>
  <si>
    <t>NCLB SUPPORT COOP</t>
  </si>
  <si>
    <t>211-61-6419.00-101-630000</t>
  </si>
  <si>
    <t>211-61-6419.00-104-630000</t>
  </si>
  <si>
    <t>211-11-6399.00-104-630000</t>
  </si>
  <si>
    <t>211-23-6411.00-101-630000</t>
  </si>
  <si>
    <t>TEPSA @ AUSTIN JUN 15-17</t>
  </si>
  <si>
    <t>TEXAS EDUCATION AGENCY-</t>
  </si>
  <si>
    <t>211-00-2181.00-000-600015</t>
  </si>
  <si>
    <t>TITLE 1 FUNDS REFUND</t>
  </si>
  <si>
    <t>211-11-6399.00-101-630000</t>
  </si>
  <si>
    <t>IMAGINE IT DECODABLE</t>
  </si>
  <si>
    <t>211-61-6399.00-101-630000</t>
  </si>
  <si>
    <t>PARENTS SUPPLIES</t>
  </si>
  <si>
    <t>DREAMBOX LEARNING</t>
  </si>
  <si>
    <t xml:space="preserve">WEB BASED TRAINING &amp; </t>
  </si>
  <si>
    <t>CAMBIUM LEARNING, INC.</t>
  </si>
  <si>
    <t xml:space="preserve">MAGAZINES, COMP &amp; SKILL </t>
  </si>
  <si>
    <t>WORKSHOP 1321862 3/8/16</t>
  </si>
  <si>
    <t>WORKSHOP 1315480 3/21/16</t>
  </si>
  <si>
    <t>WATCH D.O.G.S.</t>
  </si>
  <si>
    <t xml:space="preserve">SHIRTS, STICKERS &amp; </t>
  </si>
  <si>
    <t>211-23-6411.00-104-630000</t>
  </si>
  <si>
    <t>211-61-6291.00-101-630000</t>
  </si>
  <si>
    <t>211-61-6291.00-104-630000</t>
  </si>
  <si>
    <t>211-11-6399.00-104-624017</t>
  </si>
  <si>
    <t xml:space="preserve">DIRECT INSTRUCTION STAFF </t>
  </si>
  <si>
    <t xml:space="preserve">TX IMAGINE IT MATERIALS/ </t>
  </si>
  <si>
    <t>224-00-2110.15-000-600000</t>
  </si>
  <si>
    <t>8/13/15-8/31/15 SERVICES</t>
  </si>
  <si>
    <t>IDEA - PART B, FORMULA</t>
  </si>
  <si>
    <t>DIAGNOSTIC 8/12/15</t>
  </si>
  <si>
    <t>AUG 2015 PT SERVICES</t>
  </si>
  <si>
    <t>DIAGNOSTIC 8/14/15</t>
  </si>
  <si>
    <t>N2Y, INC.</t>
  </si>
  <si>
    <t>224-11-6399.00-041-623000</t>
  </si>
  <si>
    <t xml:space="preserve">9/8/15-9/8/16 LEARNING </t>
  </si>
  <si>
    <t>224-11-6399.00-101-623000</t>
  </si>
  <si>
    <t>224-11-6399.00-104-623000</t>
  </si>
  <si>
    <t>224-31-6219.00-875-623000</t>
  </si>
  <si>
    <t>COUNSELING 9/11/15</t>
  </si>
  <si>
    <t>224-31-6339.00-875-623000</t>
  </si>
  <si>
    <t xml:space="preserve">CIBS II &amp; IED III STAND REC </t>
  </si>
  <si>
    <t>MAYER-JOHNSON INC.</t>
  </si>
  <si>
    <t>224-11-6399.00-001-623000</t>
  </si>
  <si>
    <t>VELCRO DOTS</t>
  </si>
  <si>
    <t>BEYOND PLAY LLC</t>
  </si>
  <si>
    <t>224-13-6411.00-001-623000</t>
  </si>
  <si>
    <t>WORKSHOP 1295557 9/9/15</t>
  </si>
  <si>
    <t>WORKSHOP 1295557 9/29/15</t>
  </si>
  <si>
    <t>WORKSHOP 1295619 10/1/15</t>
  </si>
  <si>
    <t>224-13-6411.00-041-623000</t>
  </si>
  <si>
    <t>WORKSHOP 1295555 9/18/15</t>
  </si>
  <si>
    <t>224-13-6411.00-101-623000</t>
  </si>
  <si>
    <t>224-31-6411.SG-875-623000</t>
  </si>
  <si>
    <t>WORKSHOP 1298313 9/11/15</t>
  </si>
  <si>
    <t>WORKSHOP 1304489 9/23/15</t>
  </si>
  <si>
    <t>ABAS3 SCHL KIT</t>
  </si>
  <si>
    <t xml:space="preserve">ABAS3 SCHOOL TCHER FM </t>
  </si>
  <si>
    <t xml:space="preserve">SUMMIT PROFESSIONAL </t>
  </si>
  <si>
    <t>224-13-6411.00-104-623000</t>
  </si>
  <si>
    <t xml:space="preserve">AUTISM DISORDER @ CC </t>
  </si>
  <si>
    <t>BECKER'S SCHOOL SUPPLIES</t>
  </si>
  <si>
    <t xml:space="preserve">GAME SCENTS SORT MATCH </t>
  </si>
  <si>
    <t>CORFIT BELT</t>
  </si>
  <si>
    <t>SUPPORT BELTS</t>
  </si>
  <si>
    <t>ASTROBRIGHT CARDSTOCK</t>
  </si>
  <si>
    <t xml:space="preserve">WHITE CARD STOCK &amp; LAM </t>
  </si>
  <si>
    <t xml:space="preserve">LAM POUCHES &amp; CARD </t>
  </si>
  <si>
    <t>LAM POUCHES</t>
  </si>
  <si>
    <t>HOT WHEELS</t>
  </si>
  <si>
    <t>HEADPHONES</t>
  </si>
  <si>
    <t xml:space="preserve">COUNSELING 10/19/15 &amp; </t>
  </si>
  <si>
    <t xml:space="preserve">HOME2 SUITES BY HILTON </t>
  </si>
  <si>
    <t xml:space="preserve">DISABILITIES @ AUSTIN DEC </t>
  </si>
  <si>
    <t>224-21-6411.SH-875-623000</t>
  </si>
  <si>
    <t xml:space="preserve">NATIONAL EDUCATORS LAW </t>
  </si>
  <si>
    <t>COUNSELING 11/4/15</t>
  </si>
  <si>
    <t>WORKSHOP 1304633 10/08/15</t>
  </si>
  <si>
    <t>WORKSHOP 1304513 10/19/15</t>
  </si>
  <si>
    <t>WORKSHOP 1304621 10/07/15</t>
  </si>
  <si>
    <t xml:space="preserve">RESPONSE &amp; INTERVIEW </t>
  </si>
  <si>
    <t>RESPONSE BOOKLET</t>
  </si>
  <si>
    <t>RESPONSE FORMS</t>
  </si>
  <si>
    <t>10/8/15-10/20/15 SERVICES</t>
  </si>
  <si>
    <t>TTRCLSSRM</t>
  </si>
  <si>
    <t>LAMINATING POUCHES</t>
  </si>
  <si>
    <t>DRURY SOUTHWEST</t>
  </si>
  <si>
    <t>BOOT CAMP @ AUSTIN JAN 4-</t>
  </si>
  <si>
    <t>DIDN'T ATTENDED</t>
  </si>
  <si>
    <t>WORKSHOP 1295563 11/13/15</t>
  </si>
  <si>
    <t>WORKSHOP 1310222 11/13/15</t>
  </si>
  <si>
    <t>WORKSHOP 1298332 11/16/15</t>
  </si>
  <si>
    <t>224-23-6411.00-001-623000</t>
  </si>
  <si>
    <t>224-23-6411.00-041-623000</t>
  </si>
  <si>
    <t>PROFILE SHEETS</t>
  </si>
  <si>
    <t>224-11-6229.00-001-623000</t>
  </si>
  <si>
    <t>SSIS RATING SCALES</t>
  </si>
  <si>
    <t>SSIS INTV GUID</t>
  </si>
  <si>
    <t>SSIS RATING SCL TECH</t>
  </si>
  <si>
    <t>SSIS RS STARTER SET</t>
  </si>
  <si>
    <t xml:space="preserve">ABAS-3 INFNT &amp; PRESCHL </t>
  </si>
  <si>
    <t>PAR INC.</t>
  </si>
  <si>
    <t>224-11-6339.00-001-623000</t>
  </si>
  <si>
    <t>BRIEF2 PARNT/TCH</t>
  </si>
  <si>
    <t>224-11-6339.00-041-623000</t>
  </si>
  <si>
    <t>BRIEF2 MANUAL FAST GUIDE</t>
  </si>
  <si>
    <t>224-11-6339.00-101-623000</t>
  </si>
  <si>
    <t xml:space="preserve">BRIEF2 PARNT/TEACHER </t>
  </si>
  <si>
    <t>224-11-6339.00-104-623000</t>
  </si>
  <si>
    <t xml:space="preserve">COUNSELING 11/16/15 &amp; </t>
  </si>
  <si>
    <t xml:space="preserve">DIAGN &amp; MILEAGE 11/20 &amp; </t>
  </si>
  <si>
    <t>WITH OPEN ARMS</t>
  </si>
  <si>
    <t>224-11-6229.00-041-623000</t>
  </si>
  <si>
    <t>MINOTOR STUDENT</t>
  </si>
  <si>
    <t>224-11-6229.00-101-623000</t>
  </si>
  <si>
    <t>PIP STUDENT</t>
  </si>
  <si>
    <t>224-11-6229.00-104-623000</t>
  </si>
  <si>
    <t>AQUATIC POOL BATTERY</t>
  </si>
  <si>
    <t xml:space="preserve">VIP LUNCHEON 12/7/15 &amp; </t>
  </si>
  <si>
    <t>EMC COMMUNICATIONS, INC.</t>
  </si>
  <si>
    <t>REBECCA FALCON</t>
  </si>
  <si>
    <t>BRENDA LOZANO</t>
  </si>
  <si>
    <t>DEC 2015 PT SERVICES</t>
  </si>
  <si>
    <t xml:space="preserve">HYBRID TRAINING &amp; </t>
  </si>
  <si>
    <t>THERAPY SHOPPE</t>
  </si>
  <si>
    <t xml:space="preserve">COUNSELING 12/7, 12/9 </t>
  </si>
  <si>
    <t>COUNSELING 12/7/15</t>
  </si>
  <si>
    <t xml:space="preserve">Q-INTERACTIVE SITE </t>
  </si>
  <si>
    <t xml:space="preserve">Q-INTERACTIVE LICENSE </t>
  </si>
  <si>
    <t>STUDENT CLOTHING</t>
  </si>
  <si>
    <t xml:space="preserve">HEATHER SHORES </t>
  </si>
  <si>
    <t>RETURNED ITEM</t>
  </si>
  <si>
    <t>NELI @ HOUSTON FEB 25-26</t>
  </si>
  <si>
    <t xml:space="preserve">PYRAMID EDUCATIONAL </t>
  </si>
  <si>
    <t xml:space="preserve">AUTISM SPECTRUM @ CC </t>
  </si>
  <si>
    <t>COUNSELING 1/20,1/25 &amp; 1/27</t>
  </si>
  <si>
    <t xml:space="preserve">STEALTHWEAR AIDE </t>
  </si>
  <si>
    <t>WORKSHOP 1298498 12/14/15</t>
  </si>
  <si>
    <t>HEADSETS</t>
  </si>
  <si>
    <t>224-21-6399.00-875-623000</t>
  </si>
  <si>
    <t xml:space="preserve">BLUETOOTH SILICONE </t>
  </si>
  <si>
    <t>MARRIOTT HOTEL HOUSTON</t>
  </si>
  <si>
    <t>COMFORT SUITES</t>
  </si>
  <si>
    <t>TSHA @ FORT WORTH MAR 9-</t>
  </si>
  <si>
    <t xml:space="preserve">O&amp;M SERVICES BR7 KE7 PM8 </t>
  </si>
  <si>
    <t>MONTALVO, BIANCA C.</t>
  </si>
  <si>
    <t>1/29/16 EVALUATION</t>
  </si>
  <si>
    <t>COUNSELING 2/1/16 &amp; 2/3/16</t>
  </si>
  <si>
    <t>COUNSELING 2/5/16</t>
  </si>
  <si>
    <t>DIAGNOSTIC &amp; MISC 1/25/16</t>
  </si>
  <si>
    <t>DIAGNOSTIC 2/1/16</t>
  </si>
  <si>
    <t xml:space="preserve">AUSTISM SPECTRUM @ CC </t>
  </si>
  <si>
    <t>CEU COURSE 12/27/15-2/28/18</t>
  </si>
  <si>
    <t>TFFA @ CC FEB 18-19</t>
  </si>
  <si>
    <t>224-34-6399.00-875-623000</t>
  </si>
  <si>
    <t>PRO TECH SEAT RESTRN</t>
  </si>
  <si>
    <t xml:space="preserve">QINTERACTIVE LICENSE &amp; </t>
  </si>
  <si>
    <t>HEARING PROTECTOR</t>
  </si>
  <si>
    <t>USB CABLE &amp; ADAPT</t>
  </si>
  <si>
    <t>SOLO CUPS</t>
  </si>
  <si>
    <t>USB CABLE</t>
  </si>
  <si>
    <t>WORKSHOP 1313870 2/26/16</t>
  </si>
  <si>
    <t>MEMBERSHIP UPGRADE</t>
  </si>
  <si>
    <t>2/19/16 EVALUATION</t>
  </si>
  <si>
    <t xml:space="preserve">COUNSELING 2/15/16 &amp; </t>
  </si>
  <si>
    <t>OMNI HOTEL AT SOUTH PARK</t>
  </si>
  <si>
    <t xml:space="preserve">COUNSELING 3/14/16 &amp; </t>
  </si>
  <si>
    <t>2/11/16-2/19/15</t>
  </si>
  <si>
    <t>WJIV ORAL LANG TR W/ISR</t>
  </si>
  <si>
    <t>WJIV COG TR/SUB/ACH</t>
  </si>
  <si>
    <t xml:space="preserve">CONNERS 3T RESPONSE </t>
  </si>
  <si>
    <t>LOGITECH HEADPHONES</t>
  </si>
  <si>
    <t>MAR 2016 PT SERVICES</t>
  </si>
  <si>
    <t>INTERVENTION MANUALS</t>
  </si>
  <si>
    <t>RESEARCH PRESS, CO.</t>
  </si>
  <si>
    <t xml:space="preserve">REAL DEAL ANER MGMT </t>
  </si>
  <si>
    <t>DIAGNOSTIC 3/7/16</t>
  </si>
  <si>
    <t>PRESCH WEBINAR 3/31/16-</t>
  </si>
  <si>
    <t>SEAT RESTRAINT</t>
  </si>
  <si>
    <t>IPAD STAND MOUNTS</t>
  </si>
  <si>
    <t xml:space="preserve">COUNSELING 4/18/16 &amp; </t>
  </si>
  <si>
    <t>WORKSHOP 1300496 4/15/16</t>
  </si>
  <si>
    <t>4/18/16 EVALUATION</t>
  </si>
  <si>
    <t>3/18/16 EVALUATION</t>
  </si>
  <si>
    <t>BOOT CAMP @ AUSTIN JUN 6-</t>
  </si>
  <si>
    <t xml:space="preserve">ADVANCED KEYBOARD </t>
  </si>
  <si>
    <t>FORTE SPEAKER PACKAGE</t>
  </si>
  <si>
    <t xml:space="preserve">COUNSELING 4/25/16 &amp; </t>
  </si>
  <si>
    <t>COUNSELING 5/2/16 &amp; 5/4/16</t>
  </si>
  <si>
    <t>SCHOOL OUTFITTERS</t>
  </si>
  <si>
    <t>ADA STUDENT DESK</t>
  </si>
  <si>
    <t xml:space="preserve">COURTYARD HOUSTON NW </t>
  </si>
  <si>
    <t>WORKSHOP 1295599 5/7/16</t>
  </si>
  <si>
    <t>HILTON ARLINGTON</t>
  </si>
  <si>
    <t>TSBVI &amp; ARLINGTON JUN 16-</t>
  </si>
  <si>
    <t xml:space="preserve">DATA MANAGER WEB </t>
  </si>
  <si>
    <t>ADAPT ED FIELD TRIPS</t>
  </si>
  <si>
    <t>ADAPTIVE ED INCENTIVES</t>
  </si>
  <si>
    <t>CD PLAYERS</t>
  </si>
  <si>
    <t>COUNSELING 5/6/16</t>
  </si>
  <si>
    <t>COUNSELING 5/9, 5/11 &amp; 5/13</t>
  </si>
  <si>
    <t xml:space="preserve">COUNSELING 5/18/16 &amp; </t>
  </si>
  <si>
    <t>TSBVI @ ARLINGTON JUN 16-</t>
  </si>
  <si>
    <t>MAY 2016 OT BILLING</t>
  </si>
  <si>
    <t>224-31-6395.00-875-623000</t>
  </si>
  <si>
    <t>READING PROGRAM LEVEL</t>
  </si>
  <si>
    <t>WORKSHOP 1333053 5/17/16</t>
  </si>
  <si>
    <t>DIAGNOSTIC 5/6/16</t>
  </si>
  <si>
    <t>MISC 5/23,5/24,5/31,6/1 2016</t>
  </si>
  <si>
    <t>CPI @ SA JUL 25-29</t>
  </si>
  <si>
    <t>MAY 2016 PT SERVICES</t>
  </si>
  <si>
    <t xml:space="preserve">OMNI LA MANSION DEL RIO </t>
  </si>
  <si>
    <t>AUTISM @ SA AUG 2-4</t>
  </si>
  <si>
    <t>O&amp;M INVOICE JAN-MAY 2016</t>
  </si>
  <si>
    <t>FORM TEST RECORDS</t>
  </si>
  <si>
    <t>RESPONSE FORM</t>
  </si>
  <si>
    <t>PARENT/TEACHER BOOKS</t>
  </si>
  <si>
    <t>DELL 22 MONITOR</t>
  </si>
  <si>
    <t>OPTIPLEX 7040</t>
  </si>
  <si>
    <t xml:space="preserve">AUTISM CONFERENCE @ SA </t>
  </si>
  <si>
    <t xml:space="preserve">V1 101 EDUCATING STUDENT </t>
  </si>
  <si>
    <t>CPI @ SA 7/26-7/29</t>
  </si>
  <si>
    <t>1332280 8/10/16</t>
  </si>
  <si>
    <t>VINELAND 3  QG COMP KIT</t>
  </si>
  <si>
    <t>AGUILAR, AMANDA</t>
  </si>
  <si>
    <t>TX AUTISM @ SA 8/2/16-8/4/16</t>
  </si>
  <si>
    <t>BROCK, KERI</t>
  </si>
  <si>
    <t>TX AUSTISM @ SA 8/2/16-</t>
  </si>
  <si>
    <t>TEXAS AUTISM @ SA 8/2/16-</t>
  </si>
  <si>
    <t>STUDENT TESTING</t>
  </si>
  <si>
    <t>SANCHEZ, CRISTINA</t>
  </si>
  <si>
    <t>225-00-2110.15-000-600000</t>
  </si>
  <si>
    <t>IDEA - PART B, PRE-SCHOOL</t>
  </si>
  <si>
    <t>225-11-6399.00-104-623000</t>
  </si>
  <si>
    <t xml:space="preserve">DELUXE PADDED </t>
  </si>
  <si>
    <t>LEARNING ZONE</t>
  </si>
  <si>
    <t>GLITTER GLUE ASSORTMENT</t>
  </si>
  <si>
    <t>JESSICA SAN PEDRO</t>
  </si>
  <si>
    <t>PPCD SUPPLIES</t>
  </si>
  <si>
    <t>PROSPECT DESIGNS, INC.</t>
  </si>
  <si>
    <t xml:space="preserve">POSITIONER CHAIR W/TILT </t>
  </si>
  <si>
    <t xml:space="preserve">ARAMARK SCHOOL </t>
  </si>
  <si>
    <t>240-00-2110.15-000-600000</t>
  </si>
  <si>
    <t>BREAKFAST 8/28/15</t>
  </si>
  <si>
    <t>FOOD SVS</t>
  </si>
  <si>
    <t>LUNCH 8/28/15</t>
  </si>
  <si>
    <t>EQUIVALENT 8/28/15</t>
  </si>
  <si>
    <t>SNACKS 8/28/15</t>
  </si>
  <si>
    <t>COMMODITY REFUND 8/28/15</t>
  </si>
  <si>
    <t>BLUE BELL CREAMERIES, L.P.</t>
  </si>
  <si>
    <t>240-35-6649.01-001-699000</t>
  </si>
  <si>
    <t>RIO S 175</t>
  </si>
  <si>
    <t>240-35-6649.01-041-699000</t>
  </si>
  <si>
    <t>RIO S 150</t>
  </si>
  <si>
    <t>240-35-6649.01-101-699000</t>
  </si>
  <si>
    <t>EURO 16</t>
  </si>
  <si>
    <t>240-35-6649.01-104-699000</t>
  </si>
  <si>
    <t>HT 50</t>
  </si>
  <si>
    <t xml:space="preserve">WIF DOOR JAMMED &amp; </t>
  </si>
  <si>
    <t>OVEN TSTAT</t>
  </si>
  <si>
    <t>OVEN CONTROL BOARD</t>
  </si>
  <si>
    <t>WIF TSTAT BURNED WIRES</t>
  </si>
  <si>
    <t>OVEN NEW DOOR SWITCH</t>
  </si>
  <si>
    <t>WIF COILS FROZEN</t>
  </si>
  <si>
    <t>WIF CONDENSER MOTOR</t>
  </si>
  <si>
    <t xml:space="preserve">WIC LEAKING SERVICE </t>
  </si>
  <si>
    <t>NEW ICE MACHINE &amp; INSTALL</t>
  </si>
  <si>
    <t xml:space="preserve">GARBAGE DISPOSAL NEW </t>
  </si>
  <si>
    <t>240-35-6649.02-938-699000</t>
  </si>
  <si>
    <t>OPTIPLEX 7020 MT CTO</t>
  </si>
  <si>
    <t>FOOD SERVICES</t>
  </si>
  <si>
    <t>240-00-5751.01-000-600000</t>
  </si>
  <si>
    <t>COMMODITY REFUND 10/2/15</t>
  </si>
  <si>
    <t>240-35-6217.10-938-699000</t>
  </si>
  <si>
    <t>BREAKFAST 10/2/15</t>
  </si>
  <si>
    <t>240-35-6217.11-938-699000</t>
  </si>
  <si>
    <t>LUNCH 10/2/15</t>
  </si>
  <si>
    <t>240-35-6217.12-938-699000</t>
  </si>
  <si>
    <t>EQUIVALENT 10/2/15</t>
  </si>
  <si>
    <t>240-35-6217.13-938-699000</t>
  </si>
  <si>
    <t>SNACKS 10/2/15</t>
  </si>
  <si>
    <t>240-35-6249.93-041-699000</t>
  </si>
  <si>
    <t xml:space="preserve">WATER HEATER LEAK </t>
  </si>
  <si>
    <t>240-51-6249.00-001-699000</t>
  </si>
  <si>
    <t>GREASE TRAP 10/2/15</t>
  </si>
  <si>
    <t>240-51-6249.00-041-699000</t>
  </si>
  <si>
    <t>240-51-6249.00-101-699000</t>
  </si>
  <si>
    <t>240-51-6249.00-104-699000</t>
  </si>
  <si>
    <t>240-35-6249.93-001-699000</t>
  </si>
  <si>
    <t>COOLER FREEZING UP</t>
  </si>
  <si>
    <t>240-35-6249.93-104-699000</t>
  </si>
  <si>
    <t>WARMER NEW MOTOR</t>
  </si>
  <si>
    <t xml:space="preserve">COMMODITY REFUND </t>
  </si>
  <si>
    <t>BREAKFAST 10/30/15</t>
  </si>
  <si>
    <t>LUNCH 10/30/15</t>
  </si>
  <si>
    <t>EQUIVALENT 10/30/15</t>
  </si>
  <si>
    <t>SNACKS 10/30/15</t>
  </si>
  <si>
    <t>ELO INTELLITOUCH</t>
  </si>
  <si>
    <t xml:space="preserve">HEARTLAND SCHOOL </t>
  </si>
  <si>
    <t>240-35-6499.93-938-699000</t>
  </si>
  <si>
    <t>8/1/15-7/31/16</t>
  </si>
  <si>
    <t>BREAKFAST 11/24/15</t>
  </si>
  <si>
    <t>LUNCG 11/24/15</t>
  </si>
  <si>
    <t>EQUIVALENT 11/24/15</t>
  </si>
  <si>
    <t>SNACKS 11/24/15</t>
  </si>
  <si>
    <t>FREEZER DOOR GASKETS</t>
  </si>
  <si>
    <t xml:space="preserve">FOOD STEAMERS </t>
  </si>
  <si>
    <t>240-35-6249.93-101-699000</t>
  </si>
  <si>
    <t xml:space="preserve">OVENS NEW CONTRAOL </t>
  </si>
  <si>
    <t>INTELLITOUCH</t>
  </si>
  <si>
    <t>GREASE TRAP 12/18/15</t>
  </si>
  <si>
    <t>BREAKFAST 12/30/15</t>
  </si>
  <si>
    <t>LUNCH 12/30/15</t>
  </si>
  <si>
    <t>EQUIVALENT 12/30/15</t>
  </si>
  <si>
    <t>SNACKS 12/30/15</t>
  </si>
  <si>
    <t>240-35-6319.93-041-699000</t>
  </si>
  <si>
    <t>ICE DEFLECTOR</t>
  </si>
  <si>
    <t xml:space="preserve">HOOD SYSTM INSPECTION </t>
  </si>
  <si>
    <t>CAPITAL KLEEN-AIR, INC.</t>
  </si>
  <si>
    <t xml:space="preserve">CLEAN KITCHEN EXHAUST </t>
  </si>
  <si>
    <t xml:space="preserve">OVEN BAD TEMPERATRUE </t>
  </si>
  <si>
    <t xml:space="preserve">WARMER TERMINAL BURNED </t>
  </si>
  <si>
    <t>WIC LOW ON FREON</t>
  </si>
  <si>
    <t xml:space="preserve">OVENS FAULTY DOOR </t>
  </si>
  <si>
    <t>COMMODITY CREDIT</t>
  </si>
  <si>
    <t>BREAKFAST 1/27/16</t>
  </si>
  <si>
    <t>LUNCH 1/27/16</t>
  </si>
  <si>
    <t>EQUIVALENT 1/27/16</t>
  </si>
  <si>
    <t>SNACKS 1/27/16</t>
  </si>
  <si>
    <t>NK STATION LICENSE</t>
  </si>
  <si>
    <t xml:space="preserve">EVERPURE </t>
  </si>
  <si>
    <t>240-35-6319.93-001-699000</t>
  </si>
  <si>
    <t>ADJUSTABLE SERVICE SINK</t>
  </si>
  <si>
    <t>FLOOR DRAIN &amp; MAIN LINE</t>
  </si>
  <si>
    <t>OVEN ELECTRICAL BREAKER</t>
  </si>
  <si>
    <t xml:space="preserve">WARMER FAN MOTOR &amp; </t>
  </si>
  <si>
    <t>NEW EVAPORATOR COIL</t>
  </si>
  <si>
    <t xml:space="preserve">COOLER RETORFIT W/NEW </t>
  </si>
  <si>
    <t>BREAKFAST 2/24/16</t>
  </si>
  <si>
    <t>LUNCH 2/24/16</t>
  </si>
  <si>
    <t>EQUIVALENT 2/24/16</t>
  </si>
  <si>
    <t>SNACKS 2/24/16</t>
  </si>
  <si>
    <t>GREASE TRAP 3/23/16</t>
  </si>
  <si>
    <t>BREAKFAST 3/30/16</t>
  </si>
  <si>
    <t>LUNCH 3/30/16</t>
  </si>
  <si>
    <t>EQUIVALENT 3/30/16</t>
  </si>
  <si>
    <t>SNACKS 3/30/16</t>
  </si>
  <si>
    <t>240-35-6319.93-101-699000</t>
  </si>
  <si>
    <t>FWL SWITCH</t>
  </si>
  <si>
    <t xml:space="preserve">PROOFER HEATING </t>
  </si>
  <si>
    <t xml:space="preserve">RIC EVAPORATOR COIL </t>
  </si>
  <si>
    <t>WIF ICE ON COIL</t>
  </si>
  <si>
    <t>STOVE TOP PILOT LIGHT</t>
  </si>
  <si>
    <t xml:space="preserve">OVEN SPARK IGNITION &amp; </t>
  </si>
  <si>
    <t>WIF BAD DEFROST TIMER</t>
  </si>
  <si>
    <t xml:space="preserve">TOP OVEN FAN BAD </t>
  </si>
  <si>
    <t xml:space="preserve">BOTTOM OVEN </t>
  </si>
  <si>
    <t xml:space="preserve">WIF &amp; OVEN FAN MOTOR &amp; </t>
  </si>
  <si>
    <t xml:space="preserve">BRAZIER BRAISING PAN </t>
  </si>
  <si>
    <t>BREAKFAST 4/27/16</t>
  </si>
  <si>
    <t>LUNCH 4/27/16</t>
  </si>
  <si>
    <t>EQUIVALENT 4/27/16</t>
  </si>
  <si>
    <t>SNACKS 4/27/16</t>
  </si>
  <si>
    <t>BREAKFAST 5/25/16</t>
  </si>
  <si>
    <t>LUNCH 5/25/16</t>
  </si>
  <si>
    <t>EQUIVALENT 5/25/16</t>
  </si>
  <si>
    <t>SNACK 5/25/16</t>
  </si>
  <si>
    <t xml:space="preserve">ISI COMMERCIAL </t>
  </si>
  <si>
    <t>240-35-6639.00-104-699000</t>
  </si>
  <si>
    <t>KITCHEN EQUIPMENT</t>
  </si>
  <si>
    <t>240-35-6649.00-104-699000</t>
  </si>
  <si>
    <t>WIF RESET BREAKER</t>
  </si>
  <si>
    <t>OVEN REPAIR</t>
  </si>
  <si>
    <t>HOOD INSPECTION 6/21/16</t>
  </si>
  <si>
    <t>GREASE TRAP 6/24/16</t>
  </si>
  <si>
    <t>BREAKFAST 6/29/16</t>
  </si>
  <si>
    <t>LUNCH 6/29/16</t>
  </si>
  <si>
    <t>EQUIV 6/29/16</t>
  </si>
  <si>
    <t>SNACK 6/29/16</t>
  </si>
  <si>
    <t xml:space="preserve">CLEAN EXHAUST SYSTEM </t>
  </si>
  <si>
    <t xml:space="preserve">A. BARGAS &amp; ASSOCIATES </t>
  </si>
  <si>
    <t>240-35-6649.10-101-699000</t>
  </si>
  <si>
    <t>BENCH TABLE</t>
  </si>
  <si>
    <t>JUN 29-JULY 26 BREAKFAST</t>
  </si>
  <si>
    <t>JUN 29-JULY 26 LUNCH</t>
  </si>
  <si>
    <t>JUN 29-JULY 26 EQUIV</t>
  </si>
  <si>
    <t>JUN 29-JULY 26 SNACKS</t>
  </si>
  <si>
    <t>WALK IN FREEZER REPAIR</t>
  </si>
  <si>
    <t>BREAKFAST 8/26/16</t>
  </si>
  <si>
    <t>LUNCH 8/26/16</t>
  </si>
  <si>
    <t>EQUIVALENT 8/26/16</t>
  </si>
  <si>
    <t>SNACKS 8/26/16</t>
  </si>
  <si>
    <t xml:space="preserve">REACH THROUGH COOLER </t>
  </si>
  <si>
    <t xml:space="preserve">REPAIR REACH THROUGH </t>
  </si>
  <si>
    <t>INSTALL EQUIPMENT</t>
  </si>
  <si>
    <t>244-11-6399.00-001-622000</t>
  </si>
  <si>
    <t xml:space="preserve">MAGNETIC DRY ERASE </t>
  </si>
  <si>
    <t>VOC ED - BASIC GRANT</t>
  </si>
  <si>
    <t xml:space="preserve">STEELCASE ENO CLICK &amp; </t>
  </si>
  <si>
    <t>CTE TRAILER RADIAL TIRES</t>
  </si>
  <si>
    <t>ARBOR SCIENTIFIC</t>
  </si>
  <si>
    <t xml:space="preserve">TRUNDLE WHEEL &amp; </t>
  </si>
  <si>
    <t>8/1/16-7/31/17 VET PROGRAM</t>
  </si>
  <si>
    <t xml:space="preserve">8/1/16-7/31/17 PHARMACY </t>
  </si>
  <si>
    <t xml:space="preserve">SNAP ON TOOLS/AYES TOOL </t>
  </si>
  <si>
    <t>SOLUS PRO CF UPGRADE</t>
  </si>
  <si>
    <t xml:space="preserve">VETERINARY STUDENT </t>
  </si>
  <si>
    <t xml:space="preserve">ADJUSTABLE STANDING </t>
  </si>
  <si>
    <t>MOBILE PODIUM</t>
  </si>
  <si>
    <t>CEV MULTIMEDIA, LTD</t>
  </si>
  <si>
    <t>CEV ANNUAL LICENSE</t>
  </si>
  <si>
    <t>OPTPLEX 5040 MINI TOWER</t>
  </si>
  <si>
    <t>DIGESTIVE SYSTEM</t>
  </si>
  <si>
    <t xml:space="preserve">CLEAR SINUS MODEL &amp; </t>
  </si>
  <si>
    <t>DESKTOP PRINTER</t>
  </si>
  <si>
    <t>SALES TAX REFUND</t>
  </si>
  <si>
    <t>SERCO OF TEXAS, INC</t>
  </si>
  <si>
    <t>244-11-6299.00-001-622000</t>
  </si>
  <si>
    <t xml:space="preserve">CAREER RDY WORKFORCE </t>
  </si>
  <si>
    <t xml:space="preserve">REVOLVER DIESEL ENGINE </t>
  </si>
  <si>
    <t>255-13-6411.00-041-624000</t>
  </si>
  <si>
    <t xml:space="preserve">DYSLEXIA @ HOUSTON SEPT </t>
  </si>
  <si>
    <t>TITLE II, PART A</t>
  </si>
  <si>
    <t xml:space="preserve">EDUCATIONAL RESOURCE </t>
  </si>
  <si>
    <t>255-23-6411.00-001-624000</t>
  </si>
  <si>
    <t xml:space="preserve">PROACTIVE DISCIPLINE </t>
  </si>
  <si>
    <t xml:space="preserve">MARRIOTT SAN ANTONIO </t>
  </si>
  <si>
    <t>POLANCO, JOYCE</t>
  </si>
  <si>
    <t>RESPONSIVE LEARNING</t>
  </si>
  <si>
    <t>255-13-6239.00-001-624000</t>
  </si>
  <si>
    <t>6 HOUR CORE TRAINING</t>
  </si>
  <si>
    <t>TAGT ONLINE TRAINING</t>
  </si>
  <si>
    <t>255-13-6239.00-041-624000</t>
  </si>
  <si>
    <t>255-13-6239.00-101-624000</t>
  </si>
  <si>
    <t>255-13-6239.00-104-624000</t>
  </si>
  <si>
    <t>WORKSHOP 1292058 9/16/15</t>
  </si>
  <si>
    <t>WORKSHOP 1300583 9/29/15</t>
  </si>
  <si>
    <t xml:space="preserve">COURTYARD MARRIOTT </t>
  </si>
  <si>
    <t>255-13-6411.00-001-624000</t>
  </si>
  <si>
    <t>WORKSHOP 1308454 10/14/15</t>
  </si>
  <si>
    <t>WORKSHOP 1299275 10/07/15</t>
  </si>
  <si>
    <t>WORKSHOP 1308618 10/28/15</t>
  </si>
  <si>
    <t>MARTINEZ, NORA E</t>
  </si>
  <si>
    <t>MOLINA-GALLO, KATHERINE</t>
  </si>
  <si>
    <t xml:space="preserve">PRINCIPAL LEADERSHIP </t>
  </si>
  <si>
    <t>WORKSHOP 1300585 11/9/15</t>
  </si>
  <si>
    <t>NORA MARTINEZ</t>
  </si>
  <si>
    <t>Services &amp; Co-op Contract Fees</t>
  </si>
  <si>
    <t>255-13-6239.00-002-624000</t>
  </si>
  <si>
    <t>255-31-6239.00-001-624000</t>
  </si>
  <si>
    <t>255-31-6239.00-002-624000</t>
  </si>
  <si>
    <t>255-31-6239.00-041-624000</t>
  </si>
  <si>
    <t>255-31-6239.00-101-624000</t>
  </si>
  <si>
    <t>255-31-6239.00-104-624000</t>
  </si>
  <si>
    <t>WORKSHOP 1308621 1/20/16</t>
  </si>
  <si>
    <t xml:space="preserve">MATH CAMP @ SA JUN 29-JUL </t>
  </si>
  <si>
    <t>WORKSHOP 1311732 2/25/16</t>
  </si>
  <si>
    <t xml:space="preserve">BRIAN MENDLERS @ CC </t>
  </si>
  <si>
    <t>255-11-6299.00-001-624017</t>
  </si>
  <si>
    <t>TRAINING 6 HOUR CORE</t>
  </si>
  <si>
    <t xml:space="preserve">TAGT ONLINE 6 HOUR </t>
  </si>
  <si>
    <t>255-11-6299.00-041-624017</t>
  </si>
  <si>
    <t>255-11-6299.00-101-624017</t>
  </si>
  <si>
    <t>255-11-6299.00-104-624017</t>
  </si>
  <si>
    <t>410-00-2110.15-000-600000</t>
  </si>
  <si>
    <t xml:space="preserve">TEACHER &amp; STUDENT </t>
  </si>
  <si>
    <t xml:space="preserve">INSTRUCTIONAL </t>
  </si>
  <si>
    <t xml:space="preserve">LEARNING INTERNET, INC. </t>
  </si>
  <si>
    <t>7/1/15-6/30/17</t>
  </si>
  <si>
    <t>410-11-6649.00-104-611000</t>
  </si>
  <si>
    <t>EPSON PROJECTOR</t>
  </si>
  <si>
    <t>STEELCASE ENO FLEX</t>
  </si>
  <si>
    <t>410-11-6649.00-001-611000</t>
  </si>
  <si>
    <t>TI NSPIRE CX CALCULATORS</t>
  </si>
  <si>
    <t>461-36-6399.3G-001-691000</t>
  </si>
  <si>
    <t>CAMPUS ACTIVITY FUNDS</t>
  </si>
  <si>
    <t>WOODY'S SPORTING GOODS,</t>
  </si>
  <si>
    <t>461-36-6399.61-101-699000</t>
  </si>
  <si>
    <t xml:space="preserve">PRIMARY @ ARANSAS 9/17 &amp; </t>
  </si>
  <si>
    <t xml:space="preserve">INCORRECT VENDOR </t>
  </si>
  <si>
    <t>WOODYS SPORTS CENTER</t>
  </si>
  <si>
    <t xml:space="preserve">ACADEMY SPORTS &amp; </t>
  </si>
  <si>
    <t>WMNS &amp; JUNIOR SHORTS</t>
  </si>
  <si>
    <t>461-00-2110.15-000-600000</t>
  </si>
  <si>
    <t>V/VB @ SEGUIN AUG 27-29</t>
  </si>
  <si>
    <t>JAIME TURNBOUGH</t>
  </si>
  <si>
    <t>LOLLY AREVALO</t>
  </si>
  <si>
    <t>SALLY DELEON</t>
  </si>
  <si>
    <t>461-36-6399.3C-001-691000</t>
  </si>
  <si>
    <t>CC @ ROUND ROCK 10/3/15</t>
  </si>
  <si>
    <t>VICTOR HELMETS</t>
  </si>
  <si>
    <t>SHOWSTOPPER TOURS</t>
  </si>
  <si>
    <t>461-36-6412.7K-001-699000</t>
  </si>
  <si>
    <t>THEATRE @ NY JUN 6-10</t>
  </si>
  <si>
    <t>BLUE MOOSE TEES</t>
  </si>
  <si>
    <t>461-36-6399.3Y-001-691000</t>
  </si>
  <si>
    <t>GILDAN TSHIRTS</t>
  </si>
  <si>
    <t>THIRD COAST FUNDRAISING</t>
  </si>
  <si>
    <t>FUNDRAISER</t>
  </si>
  <si>
    <t>TOP SELLING STUDENT</t>
  </si>
  <si>
    <t>461-36-6399.PR-104-699000</t>
  </si>
  <si>
    <t xml:space="preserve">VALERO MARKETING &amp; </t>
  </si>
  <si>
    <t>BLUEANT DESIGN</t>
  </si>
  <si>
    <t>461-36-6399.3Y-041-691000</t>
  </si>
  <si>
    <t>VB TRAVEL TSHIRTS</t>
  </si>
  <si>
    <t>VB TOURN @ TM 9/19/15</t>
  </si>
  <si>
    <t xml:space="preserve">CONCESSION VB TOURN </t>
  </si>
  <si>
    <t>DREAMCATCHERS TSHIRTS</t>
  </si>
  <si>
    <t>ECONOMY AWARDS</t>
  </si>
  <si>
    <t xml:space="preserve">GOLD, SILVER MEDALS &amp; </t>
  </si>
  <si>
    <t>461-36-6399.44-104-699000</t>
  </si>
  <si>
    <t xml:space="preserve">VOICES OF THE WIND </t>
  </si>
  <si>
    <t>HAMPTON INN &amp; SUITES</t>
  </si>
  <si>
    <t>461-36-6399.7B-001-699000</t>
  </si>
  <si>
    <t>CAMISOLE UNITARD BLACK</t>
  </si>
  <si>
    <t>461-36-6399.GC-041-699000</t>
  </si>
  <si>
    <t>MATH PROJECT SUPPLIES</t>
  </si>
  <si>
    <t>461-36-6399.Y5-802-699000</t>
  </si>
  <si>
    <t>FOOTBALLS</t>
  </si>
  <si>
    <t>YOUTH ACTIVITIES</t>
  </si>
  <si>
    <t>WOODY'S SPORTS CENTER</t>
  </si>
  <si>
    <t>USB CABLE &amp; ADAPTER</t>
  </si>
  <si>
    <t>CONTEST WINNERS 10/2/15</t>
  </si>
  <si>
    <t>GOLF @ SA OCT 15-17</t>
  </si>
  <si>
    <t>CROSSOVER SYMMETRY</t>
  </si>
  <si>
    <t>461-36-6399.3A-001-691000</t>
  </si>
  <si>
    <t>CS TRAINING GUIDE &amp; VIDEO</t>
  </si>
  <si>
    <t>DRUM ENSEMBLE SHIRTS</t>
  </si>
  <si>
    <t>DRUM CLUB SHIRTS</t>
  </si>
  <si>
    <t>MAROON TSHIRTS</t>
  </si>
  <si>
    <t xml:space="preserve">PORT AUTH FLEECE </t>
  </si>
  <si>
    <t>461-36-6399.DE-104-699000</t>
  </si>
  <si>
    <t>STORAGE CARTS</t>
  </si>
  <si>
    <t>461-36-6399.61-041-699000</t>
  </si>
  <si>
    <t>461-36-6399.PR-001-699000</t>
  </si>
  <si>
    <t>SPARKLE PAPER TOWELS</t>
  </si>
  <si>
    <t>PEP WEAR LLC</t>
  </si>
  <si>
    <t>461-36-6399.7E-001-699000</t>
  </si>
  <si>
    <t>SHIRIT SHIRTS</t>
  </si>
  <si>
    <t>PEREZ, GRACE</t>
  </si>
  <si>
    <t>461-36-6399.AB-001-699000</t>
  </si>
  <si>
    <t xml:space="preserve">HORSE BEDDING &amp; CABLE </t>
  </si>
  <si>
    <t>CHEER FUNDRAISER</t>
  </si>
  <si>
    <t>CHECK HANDLING FEE</t>
  </si>
  <si>
    <t>WHAT A WARRIOR AWARD</t>
  </si>
  <si>
    <t>461-36-6399.7U-101-699000</t>
  </si>
  <si>
    <t>BOOK CLUB SUPPLIES</t>
  </si>
  <si>
    <t>AR FLAGS</t>
  </si>
  <si>
    <t>POWERS, RICHARD J.</t>
  </si>
  <si>
    <t>DUPLEX ID SCANNER</t>
  </si>
  <si>
    <t xml:space="preserve">RICHARD M BORCHARD </t>
  </si>
  <si>
    <t>461-36-6399.69-001-699000</t>
  </si>
  <si>
    <t>PROM 4/23/16</t>
  </si>
  <si>
    <t>ROCKIN' K CORN MAZE, LLC</t>
  </si>
  <si>
    <t>INTER @ ROBSTOWN OCT 20-</t>
  </si>
  <si>
    <t>STUDIES WEEKLY</t>
  </si>
  <si>
    <t>USA STUDIES WEEKLY</t>
  </si>
  <si>
    <t>THOMSON, DENEISE</t>
  </si>
  <si>
    <t>461-36-6399.3F-041-691000</t>
  </si>
  <si>
    <t xml:space="preserve">SHORT &amp; LONGSLEEVE </t>
  </si>
  <si>
    <t xml:space="preserve">ATTENDANCE CONTEST </t>
  </si>
  <si>
    <t>461-36-6399.61-001-699000</t>
  </si>
  <si>
    <t>PEP RALLY 9/22/15</t>
  </si>
  <si>
    <t xml:space="preserve">STUDENT COUNCIL MTG </t>
  </si>
  <si>
    <t>YOST, JOEL HEATH</t>
  </si>
  <si>
    <t>461-36-6399.00-942-699088</t>
  </si>
  <si>
    <t>VGA CABLES</t>
  </si>
  <si>
    <t>PINK OUT TSHIRTS</t>
  </si>
  <si>
    <t>CANDLES &amp; MOORE, INC</t>
  </si>
  <si>
    <t xml:space="preserve">DRUM ENSEMBLE </t>
  </si>
  <si>
    <t>461-36-6399.Y4-802-699000</t>
  </si>
  <si>
    <t>YOUTH GBK 9/26/15</t>
  </si>
  <si>
    <t>YOUTH GBK 9/19/15</t>
  </si>
  <si>
    <t>YOUTH GBK 10/3/15</t>
  </si>
  <si>
    <t>YOUTH FB 9/26/15</t>
  </si>
  <si>
    <t>461-36-6399.32-001-699000</t>
  </si>
  <si>
    <t>TSI TEST UNITS</t>
  </si>
  <si>
    <t>461-36-6399.7K-001-699000</t>
  </si>
  <si>
    <t>EURYDICE TSHIRTS</t>
  </si>
  <si>
    <t xml:space="preserve">DEANAN GOURMET </t>
  </si>
  <si>
    <t xml:space="preserve">RAINMAKERS &amp; DRUM </t>
  </si>
  <si>
    <t>DEATON, DIANA</t>
  </si>
  <si>
    <t xml:space="preserve">DRUMKIDS @ COTTENFEST </t>
  </si>
  <si>
    <t>DENMON, ERNEST LEE</t>
  </si>
  <si>
    <t>YOUTH FB 10/3/15</t>
  </si>
  <si>
    <t>PINK BALLOONS</t>
  </si>
  <si>
    <t>HARCOURT OUTLINES, INC.</t>
  </si>
  <si>
    <t>PENCILS &amp; ERASERS</t>
  </si>
  <si>
    <t>TRI POD &amp; VOLLYBALLS</t>
  </si>
  <si>
    <t>RAYMOND GEDDES &amp; CO INC</t>
  </si>
  <si>
    <t xml:space="preserve">ZAPATO ERASER PENCIL </t>
  </si>
  <si>
    <t>461-36-6399.3F-001-691000</t>
  </si>
  <si>
    <t xml:space="preserve">PRACTICE V/FB CALALLEN </t>
  </si>
  <si>
    <t>PURIFIED BOTTLED WATER</t>
  </si>
  <si>
    <t>461-36-6399.GN-001-699000</t>
  </si>
  <si>
    <t>GRAD 60 CUP URN</t>
  </si>
  <si>
    <t>V/FB ROBSTOWN 8/14/15</t>
  </si>
  <si>
    <t>TRAVELING TSHIRTS</t>
  </si>
  <si>
    <t>461-36-6399.3T-001-691000</t>
  </si>
  <si>
    <t xml:space="preserve">TENNIS BALLS &amp; DRI MASTER </t>
  </si>
  <si>
    <t>461-36-6399.27-001-691000</t>
  </si>
  <si>
    <t>FLIP OUT SPORT BOTTLES</t>
  </si>
  <si>
    <t>HATCH, STELLA</t>
  </si>
  <si>
    <t xml:space="preserve">VOLLEYBALL DIG PINK </t>
  </si>
  <si>
    <t>CHOIR REHEARSALS 9/25/15</t>
  </si>
  <si>
    <t>READING SUPPLIES</t>
  </si>
  <si>
    <t>461-36-6399.88-001-699000</t>
  </si>
  <si>
    <t>SUPERHERO FOAM MASK</t>
  </si>
  <si>
    <t>STUDENT INCENTIVE 9/3/15</t>
  </si>
  <si>
    <t xml:space="preserve">ANTI BULLYING POSTER </t>
  </si>
  <si>
    <t>STAAR TEST 10/10/15</t>
  </si>
  <si>
    <t>SCHOLASTIC BOOK FAIRS</t>
  </si>
  <si>
    <t>461-36-6399.7U-041-699000</t>
  </si>
  <si>
    <t>FALL BOOK FAIR</t>
  </si>
  <si>
    <t xml:space="preserve">SPARKLING CITY TROPHY &amp; </t>
  </si>
  <si>
    <t>MEDALS W/TAGS</t>
  </si>
  <si>
    <t>TEXAS THESPIANS</t>
  </si>
  <si>
    <t>FESTIVAL @ DALLAS DEC 2-6</t>
  </si>
  <si>
    <t>US SCHOOL SUPPLY, INC</t>
  </si>
  <si>
    <t>PENCIL &amp; PENS SUPPLIES</t>
  </si>
  <si>
    <t>CUSTOM JERSEYS</t>
  </si>
  <si>
    <t>461-36-6399.3B-001-691000</t>
  </si>
  <si>
    <t>BADEN ELITE BASKETBALLS</t>
  </si>
  <si>
    <t>UNDERARMOUR SHOES</t>
  </si>
  <si>
    <t xml:space="preserve">MENS SUBLINE JERSEYS &amp; </t>
  </si>
  <si>
    <t>YOUTH GBK 10/10/15</t>
  </si>
  <si>
    <t>461-36-6399.05-104-699000</t>
  </si>
  <si>
    <t>PIZZA CELEBRATION 10/22/15</t>
  </si>
  <si>
    <t>PARTY PACKS 10/23/15</t>
  </si>
  <si>
    <t>CC REGIONALS TSHIRTS</t>
  </si>
  <si>
    <t>461-36-6399.PR-041-699000</t>
  </si>
  <si>
    <t>FACULTY FUNDRAISER</t>
  </si>
  <si>
    <t xml:space="preserve">CONTENDER ATHLETIC </t>
  </si>
  <si>
    <t>GIGS, INC</t>
  </si>
  <si>
    <t xml:space="preserve">BOUNCIES &amp; OBSTICLE </t>
  </si>
  <si>
    <t>TENT CARRY CASE</t>
  </si>
  <si>
    <t>BOSSES DAY GIFTS</t>
  </si>
  <si>
    <t>YOUTH FB 10/10/15</t>
  </si>
  <si>
    <t>YOUTH FB 10/17/15</t>
  </si>
  <si>
    <t xml:space="preserve">PRO CELEB POLOS &amp; </t>
  </si>
  <si>
    <t>SANCHEZ, LANCE</t>
  </si>
  <si>
    <t>YOUTH FB 9/19/15</t>
  </si>
  <si>
    <t>YOUTH GBK 10/17/15</t>
  </si>
  <si>
    <t>461-36-6399.7U-104-699000</t>
  </si>
  <si>
    <t>OCT 12-16 BOOK FAIR</t>
  </si>
  <si>
    <t xml:space="preserve">TULOSO MIDWAY HIGH </t>
  </si>
  <si>
    <t>461-36-6399.76-041-699000</t>
  </si>
  <si>
    <t>BATTERIES &amp; SD CARDS</t>
  </si>
  <si>
    <t>461-36-6399.SP-104-699000</t>
  </si>
  <si>
    <t>SAFTEY PATROL</t>
  </si>
  <si>
    <t>461-36-6399.76-001-699000</t>
  </si>
  <si>
    <t>CANON EF LENS</t>
  </si>
  <si>
    <t>SPELLING BEE ENROLLMENT</t>
  </si>
  <si>
    <t xml:space="preserve">MIDNIGHT MADNESS </t>
  </si>
  <si>
    <t>461-36-6399.SL-001-699000</t>
  </si>
  <si>
    <t>SIGN LANGUAGE TSHIRTS</t>
  </si>
  <si>
    <t xml:space="preserve">HAVEL CAMERA SERVICE, </t>
  </si>
  <si>
    <t>REMOVED BROKEN FILTER</t>
  </si>
  <si>
    <t>461-36-6399.3D-001-691000</t>
  </si>
  <si>
    <t>K-LOG, INC.</t>
  </si>
  <si>
    <t>461-36-6399.85-001-699000</t>
  </si>
  <si>
    <t>75'W BENCH WITH BLACK</t>
  </si>
  <si>
    <t>SCHOLASTIC INC</t>
  </si>
  <si>
    <t>461-36-6399.3S-001-691000</t>
  </si>
  <si>
    <t xml:space="preserve">SPEEDO TEAMSTER </t>
  </si>
  <si>
    <t>LATEX CAPS &amp; LAP COUNTER</t>
  </si>
  <si>
    <t>CRAZY PICASSO</t>
  </si>
  <si>
    <t>PRIMARY FIELD TRIP NOV 9-</t>
  </si>
  <si>
    <t xml:space="preserve">COLLEGE STUDENT </t>
  </si>
  <si>
    <t>STUDENT INCENTIVE 10/5/15</t>
  </si>
  <si>
    <t>BOOK FAIR</t>
  </si>
  <si>
    <t>HAVEL CAMERA SERVICE</t>
  </si>
  <si>
    <t>2015 SENIOR CLASS GIFT</t>
  </si>
  <si>
    <t xml:space="preserve">TREES TABLECLOTH </t>
  </si>
  <si>
    <t>6' GRAND NUTCRACKER</t>
  </si>
  <si>
    <t>LOUNGE SUPPLIES</t>
  </si>
  <si>
    <t>ACCOLADES</t>
  </si>
  <si>
    <t>TROPHIES &amp; MEDALS</t>
  </si>
  <si>
    <t>461-36-6399.3K-001-691000</t>
  </si>
  <si>
    <t xml:space="preserve">PERFORMANCE CREW &amp; </t>
  </si>
  <si>
    <t xml:space="preserve">MYSTERIOUS BENEDICT &amp; </t>
  </si>
  <si>
    <t>DRY ZONE POLOS</t>
  </si>
  <si>
    <t>461-36-6399.8M-001-699000</t>
  </si>
  <si>
    <t xml:space="preserve">BEAUTY &amp; THE BEAST </t>
  </si>
  <si>
    <t>JAIME GILL</t>
  </si>
  <si>
    <t>SALLY LOZANO</t>
  </si>
  <si>
    <t>FOUR POINTS BY SHERATON</t>
  </si>
  <si>
    <t>BAND SPIRIT SHIRTS</t>
  </si>
  <si>
    <t xml:space="preserve">HOTTEST DEAL EVER </t>
  </si>
  <si>
    <t>SHOCK PROOF CASES</t>
  </si>
  <si>
    <t xml:space="preserve">BACKSTAGE SAFETY </t>
  </si>
  <si>
    <t>STAINED GLASS</t>
  </si>
  <si>
    <t>461-36-6399.90-104-699000</t>
  </si>
  <si>
    <t>FIREFIGHTERS FOOD</t>
  </si>
  <si>
    <t xml:space="preserve">ATTENDANCE REWARS &amp; </t>
  </si>
  <si>
    <t>GOLF TOURNAMENT 11/2/15</t>
  </si>
  <si>
    <t xml:space="preserve">F/JV GBK @ ROCKPORT DEC </t>
  </si>
  <si>
    <t>V/FB PRACTICE 10/30/15</t>
  </si>
  <si>
    <t>SUBWAY # 20466</t>
  </si>
  <si>
    <t xml:space="preserve">V/VB SCOUTING @ LAREDO </t>
  </si>
  <si>
    <t xml:space="preserve">JV/TENNIS TOURN @ TM </t>
  </si>
  <si>
    <t xml:space="preserve">SONY CAMERA &amp; </t>
  </si>
  <si>
    <t>WRISTEBAND BAGS</t>
  </si>
  <si>
    <t>VB PLAYOFF TSHIRTS</t>
  </si>
  <si>
    <t>461-36-6399.74-041-699000</t>
  </si>
  <si>
    <t>SCIENCE CLUB TSHIRTS</t>
  </si>
  <si>
    <t>BRITTON, LEE</t>
  </si>
  <si>
    <t>DONATION</t>
  </si>
  <si>
    <t xml:space="preserve">SAFETY PATROL MTG </t>
  </si>
  <si>
    <t>SHOWSTOPPERS TSHIRTS</t>
  </si>
  <si>
    <t xml:space="preserve">GLOW SCENTED CANDLES </t>
  </si>
  <si>
    <t>461-36-6399.3P-001-691000</t>
  </si>
  <si>
    <t>SOFTBALL FUNDRAISER</t>
  </si>
  <si>
    <t>GOLF TOURN @ TM OCT 30-</t>
  </si>
  <si>
    <t>HALF PRICE BOOKS</t>
  </si>
  <si>
    <t>BARN SUPPLIES</t>
  </si>
  <si>
    <t>461-36-6399.02-001-699000</t>
  </si>
  <si>
    <t>VAULT BOX COLLAR</t>
  </si>
  <si>
    <t>MUSIC IN MOTION</t>
  </si>
  <si>
    <t xml:space="preserve">CANTO SOPRANO </t>
  </si>
  <si>
    <t>461-36-6399.3V-041-691000</t>
  </si>
  <si>
    <t>GOLF TOURNAMENT NOV 6-7</t>
  </si>
  <si>
    <t>GOLF TOURNAMENT OCT 30-</t>
  </si>
  <si>
    <t>SUBWAY</t>
  </si>
  <si>
    <t>AUGUSTA WINNING JERSEYS</t>
  </si>
  <si>
    <t>461-36-6399.25-104-699000</t>
  </si>
  <si>
    <t>WATER CHESS CLUB SALE</t>
  </si>
  <si>
    <t xml:space="preserve">BBK TOURN OCT 24-25 </t>
  </si>
  <si>
    <t xml:space="preserve">BBK ODEM 11/12/15 </t>
  </si>
  <si>
    <t>GOLF TOURN @ TM 11/2/15</t>
  </si>
  <si>
    <t>PLAY SUPPLIES</t>
  </si>
  <si>
    <t>461-36-6399.PK-104-699000</t>
  </si>
  <si>
    <t>PK ACTIVITIES SUPPLIES</t>
  </si>
  <si>
    <t>VETERANS DAY</t>
  </si>
  <si>
    <t xml:space="preserve">SAFETY PATROL PENCIL </t>
  </si>
  <si>
    <t>461-36-6399.49-001-691000</t>
  </si>
  <si>
    <t>461-36-6399.75-001-691000</t>
  </si>
  <si>
    <t>F/JV BBK TOURNY 11/20/15</t>
  </si>
  <si>
    <t xml:space="preserve">SPECK IGUY IPAD MINI </t>
  </si>
  <si>
    <t>AVERY, TERRY</t>
  </si>
  <si>
    <t>F/JV BBK TOURNY 11/19/15</t>
  </si>
  <si>
    <t>461-36-6399.3D-041-691000</t>
  </si>
  <si>
    <t xml:space="preserve">GBK ALICE 11/30/15 </t>
  </si>
  <si>
    <t>461-36-6399.7U-001-699000</t>
  </si>
  <si>
    <t>SWIM XMAS TSHIRTS</t>
  </si>
  <si>
    <t xml:space="preserve">PHILANTHROPY CLUB </t>
  </si>
  <si>
    <t>461-36-6399.87-001-699000</t>
  </si>
  <si>
    <t>CLASS OF 2017 SHIRTS</t>
  </si>
  <si>
    <t xml:space="preserve">DRUM/DARDIO KIDS @ CC </t>
  </si>
  <si>
    <t xml:space="preserve">BBK TOURN 11/20 </t>
  </si>
  <si>
    <t>OPERATION SANTA</t>
  </si>
  <si>
    <t>GT @ ESA 10/22/15</t>
  </si>
  <si>
    <t>LONG SLEEVE TSHIRTS</t>
  </si>
  <si>
    <t>SPELLING BEE 11/5/15</t>
  </si>
  <si>
    <t>CUPS &amp; POPCORN</t>
  </si>
  <si>
    <t>COSTUME SUPPLIES</t>
  </si>
  <si>
    <t>F/JV BBK TOURNY 11/21/15</t>
  </si>
  <si>
    <t xml:space="preserve">ELECTRIC THEATRE </t>
  </si>
  <si>
    <t xml:space="preserve">SANDOVAL, RICARDO </t>
  </si>
  <si>
    <t>SATTERWHITE, JACOLBY</t>
  </si>
  <si>
    <t>TROPHY DEPOT, INC.</t>
  </si>
  <si>
    <t xml:space="preserve">ROUND INSERT BILLBOARD </t>
  </si>
  <si>
    <t>RUNNING CLUB TSHIRTS</t>
  </si>
  <si>
    <t>WILLIAMS, FLOYD D.</t>
  </si>
  <si>
    <t>WILLIAMS, JARED ELTON</t>
  </si>
  <si>
    <t>461-36-6399.7C-001-699000</t>
  </si>
  <si>
    <t>F/JV BBK TOURNY NOV 19-21</t>
  </si>
  <si>
    <t>SWIM/DIVE TSHIRTS</t>
  </si>
  <si>
    <t>FINE ARTS TSHIRTS</t>
  </si>
  <si>
    <t>461-36-6399.86-001-699000</t>
  </si>
  <si>
    <t>SENIORS 2016 TSHIRTS</t>
  </si>
  <si>
    <t>461-36-6219.7E-001-699000</t>
  </si>
  <si>
    <t>FB TM VS TM 11/3/15</t>
  </si>
  <si>
    <t>BROOKS, DODY</t>
  </si>
  <si>
    <t>BADGER C2 MAROON TEES</t>
  </si>
  <si>
    <t>OVERTIME JACKET W/LOGO</t>
  </si>
  <si>
    <t>ARMOUR FUSE SHORTS</t>
  </si>
  <si>
    <t>HEAVY COTTEN TEES</t>
  </si>
  <si>
    <t>BUCK TERRELL ATHLETICS</t>
  </si>
  <si>
    <t>461-36-6639.02-001-699000</t>
  </si>
  <si>
    <t>POLE VAULT SET</t>
  </si>
  <si>
    <t>461-36-6649.02-001-699000</t>
  </si>
  <si>
    <t xml:space="preserve">CAMMOSO, FRANCIS </t>
  </si>
  <si>
    <t>AUTHOR VISIT NOV 5-6</t>
  </si>
  <si>
    <t xml:space="preserve">GBK CALALEN 12/7/15 </t>
  </si>
  <si>
    <t>TOPSELLER PARTY 12/10/15</t>
  </si>
  <si>
    <t xml:space="preserve">SHOWSTOPPER @ ADMIN </t>
  </si>
  <si>
    <t>CHESS CLUB</t>
  </si>
  <si>
    <t>BIBLE WARRIORS</t>
  </si>
  <si>
    <t>HOUR OF CODE</t>
  </si>
  <si>
    <t>CHRISTMAS MUSICAL</t>
  </si>
  <si>
    <t>DODIER, OSCAR E</t>
  </si>
  <si>
    <t>HECTOR SERNA</t>
  </si>
  <si>
    <t>KIM MOORE</t>
  </si>
  <si>
    <t>GARCIA, ISIDRO III</t>
  </si>
  <si>
    <t>HAGARTY, MIA E</t>
  </si>
  <si>
    <t>KEY POULAN MUSIC</t>
  </si>
  <si>
    <t>461-36-6219.7B-001-699000</t>
  </si>
  <si>
    <t>WIND SCORE PANTS</t>
  </si>
  <si>
    <t>LARA, ERIC</t>
  </si>
  <si>
    <t>LONDON ISD</t>
  </si>
  <si>
    <t>LONE STAR INN</t>
  </si>
  <si>
    <t xml:space="preserve">RETESTERS BREAKFAST </t>
  </si>
  <si>
    <t>OFYP PREP 12/10/15</t>
  </si>
  <si>
    <t>PAN DE POLVO COOKIES</t>
  </si>
  <si>
    <t>MOORE, KIMBERLY E.</t>
  </si>
  <si>
    <t>BARBASOL SHVE CREAM</t>
  </si>
  <si>
    <t>461-36-6399.3T-041-691000</t>
  </si>
  <si>
    <t>PROFIT PLUS, INC</t>
  </si>
  <si>
    <t>CLEAR TUMBLERS</t>
  </si>
  <si>
    <t xml:space="preserve">TROPHIES, MEDALS &amp; </t>
  </si>
  <si>
    <t>FOLDERS W/FASTNERS</t>
  </si>
  <si>
    <t>SOUTHWEST WHEEL</t>
  </si>
  <si>
    <t>461-36-6399.V8-001-699000</t>
  </si>
  <si>
    <t>AG MECH PROJECT PARTS</t>
  </si>
  <si>
    <t>461-36-6399.3M-001-691000</t>
  </si>
  <si>
    <t>WOODHOUSE, JILL S.</t>
  </si>
  <si>
    <t>461-36-6399.PL-001-699000</t>
  </si>
  <si>
    <t>T. Rollins/D. Calk</t>
  </si>
  <si>
    <t>GRANT FOR 3D PRINTER</t>
  </si>
  <si>
    <t xml:space="preserve">BBK CLALEN 12/10/15 </t>
  </si>
  <si>
    <t>VASARI LLC</t>
  </si>
  <si>
    <t>PO Created by Req: 601925</t>
  </si>
  <si>
    <t>461-36-6399.3J-001-691000</t>
  </si>
  <si>
    <t>CURTIS ASHBY/DEC. 2-7</t>
  </si>
  <si>
    <t>WENDY PRATT/DEC. 2-7</t>
  </si>
  <si>
    <t>N. Bolster/D. Calk</t>
  </si>
  <si>
    <t>PO Created by Req: 601817</t>
  </si>
  <si>
    <t>PO Created by Req: 602041</t>
  </si>
  <si>
    <t>SCHOOL-TECH INC</t>
  </si>
  <si>
    <t>RAUL GONZALEZ</t>
  </si>
  <si>
    <t>SHINDIGZ</t>
  </si>
  <si>
    <t>A. Hoelscher/D. Calk</t>
  </si>
  <si>
    <t>Swimming Trophies / HS</t>
  </si>
  <si>
    <t>ROBBIE MUMFORD</t>
  </si>
  <si>
    <t>HS TEnnis Uniforms /ATh</t>
  </si>
  <si>
    <t>GBK CONCESSION</t>
  </si>
  <si>
    <t>Tennis Meals / ATH</t>
  </si>
  <si>
    <t xml:space="preserve">MICROWAVES FOR STUDENT </t>
  </si>
  <si>
    <t>HOSPITALITY SUPPLIES</t>
  </si>
  <si>
    <t>STRIKER BACKPACKS</t>
  </si>
  <si>
    <t xml:space="preserve">JACKETS, PANTS, SHOES &amp; </t>
  </si>
  <si>
    <t>V/BBK PRIDE OF TX 12/11/15</t>
  </si>
  <si>
    <t>V/BBK PRIDE OF TX 12/12/15</t>
  </si>
  <si>
    <t>FOOTBALL JERSEYS</t>
  </si>
  <si>
    <t>CANTWELL, DREW</t>
  </si>
  <si>
    <t>V/BBK PRIDE OF TX 12/10/15</t>
  </si>
  <si>
    <t xml:space="preserve">GBK FBLUFF 1/7/16 </t>
  </si>
  <si>
    <t xml:space="preserve">SCIENCE CLUB @ PRIMARY </t>
  </si>
  <si>
    <t>HIFI STEREO HEADSET</t>
  </si>
  <si>
    <t>DAVIS, EARL</t>
  </si>
  <si>
    <t>461-36-6499.TA-001-699000</t>
  </si>
  <si>
    <t xml:space="preserve">TACS CHALLENGE </t>
  </si>
  <si>
    <t>DUECKER, DARIN</t>
  </si>
  <si>
    <t>461-36-6399.93-001-699000</t>
  </si>
  <si>
    <t>TMART SUPPLIES</t>
  </si>
  <si>
    <t>GROESBECK, GARY J</t>
  </si>
  <si>
    <t>HARDEMAN, KOREY</t>
  </si>
  <si>
    <t>HARPER, WILLIE III</t>
  </si>
  <si>
    <t>HOUSE OF TROPHIES</t>
  </si>
  <si>
    <t>461-36-6399.75-041-691000</t>
  </si>
  <si>
    <t>BBK PRIDE OF TX JAN 22-23</t>
  </si>
  <si>
    <t xml:space="preserve">CHOIR SPECIAL PRFM </t>
  </si>
  <si>
    <t>461-36-6299.09-942-699488</t>
  </si>
  <si>
    <t>UIL MEET @ TM 2/26/16-</t>
  </si>
  <si>
    <t>LOREDO, DAVID A.</t>
  </si>
  <si>
    <t>MCNEILL, CHRISTOPHER</t>
  </si>
  <si>
    <t>ODOMS, RICKY</t>
  </si>
  <si>
    <t>ORTIZ, RICARDO</t>
  </si>
  <si>
    <t>LUNCH BAGS &amp; SIP N</t>
  </si>
  <si>
    <t>ASL XMAS CONCERT 12/16/15</t>
  </si>
  <si>
    <t>TEACHER HOSPITALITY</t>
  </si>
  <si>
    <t>461-36-6399.RC-041-699000</t>
  </si>
  <si>
    <t xml:space="preserve">SCIENCE WORLD, MATH &amp; </t>
  </si>
  <si>
    <t xml:space="preserve">ANNUAL YEARBOOK &amp; </t>
  </si>
  <si>
    <t>VERDUZCO, MICHAEL</t>
  </si>
  <si>
    <t>TENNIS TROPHIES</t>
  </si>
  <si>
    <t>BLACK JACKETS</t>
  </si>
  <si>
    <t>BEVERAGE CARRIER</t>
  </si>
  <si>
    <t>MY LOCKER.NET</t>
  </si>
  <si>
    <t>COUNTENDER TEES</t>
  </si>
  <si>
    <t xml:space="preserve">RITA STEPHENS YOUTH </t>
  </si>
  <si>
    <t>SPIRIT TSHIRTS</t>
  </si>
  <si>
    <t>SPIRIT BLACK TSHIRTS</t>
  </si>
  <si>
    <t>461-36-6399.04-104-699000</t>
  </si>
  <si>
    <t>IPAD MINI</t>
  </si>
  <si>
    <t>461-36-6399.15-104-699000</t>
  </si>
  <si>
    <t>CARDIO KIDS 1/19/16</t>
  </si>
  <si>
    <t>TOP 10% @ CICI'S 1/27/16</t>
  </si>
  <si>
    <t>TOP 10% @ CICI'S 1/28/16</t>
  </si>
  <si>
    <t>TOP 10% @ CICI'S 1/29/16</t>
  </si>
  <si>
    <t>PARTY PACKS 1/20/16</t>
  </si>
  <si>
    <t>CRAIG, CHRISTIE</t>
  </si>
  <si>
    <t>AUTHOR VISIT 2/19/16</t>
  </si>
  <si>
    <t>461-36-6299.09-942-699188</t>
  </si>
  <si>
    <t>UIL EVENT @ TM 4/6/16-4/7/16</t>
  </si>
  <si>
    <t>BOARD APPRECIATION</t>
  </si>
  <si>
    <t>461-36-6399.89-001-699000</t>
  </si>
  <si>
    <t>VALENTINE'S SUPPLIES</t>
  </si>
  <si>
    <t>PINK WRISTBANDS</t>
  </si>
  <si>
    <t xml:space="preserve">BOARD RECOGNITION </t>
  </si>
  <si>
    <t xml:space="preserve">VANESSA CABRERA YOUTH </t>
  </si>
  <si>
    <t>BBK PARENTS NIGHT 2/2/16</t>
  </si>
  <si>
    <t>GBK PARENTS NIGHT 2/2/16</t>
  </si>
  <si>
    <t>NIKE CUSTOM CAPS</t>
  </si>
  <si>
    <t>BASELINE 3.0 SOCKS</t>
  </si>
  <si>
    <t>BBK PRIDE OF TX 1/23/16</t>
  </si>
  <si>
    <t>ESCUE AND ASSOCIATES</t>
  </si>
  <si>
    <t>CHILD'S WORLD TITLES</t>
  </si>
  <si>
    <t>GREEN, SAMMY</t>
  </si>
  <si>
    <t>V/TENNIS @ TM 1/22/15</t>
  </si>
  <si>
    <t xml:space="preserve">DANCING WITH THE </t>
  </si>
  <si>
    <t>PRO CATCHERS &amp; HELMETS</t>
  </si>
  <si>
    <t>YOUTH TSHIRTS</t>
  </si>
  <si>
    <t>SOPRANO RECORDER</t>
  </si>
  <si>
    <t>ADHESIVE WRIST TCKTS</t>
  </si>
  <si>
    <t>YOUTH BBK/GBK 1/23/16</t>
  </si>
  <si>
    <t>ORATORIO DRESS</t>
  </si>
  <si>
    <t>TILT VALVE &amp; TAPE</t>
  </si>
  <si>
    <t>JERSEY &amp; SHORTS</t>
  </si>
  <si>
    <t>ARANSAS PASS ISD</t>
  </si>
  <si>
    <t>PSAT TEST</t>
  </si>
  <si>
    <t xml:space="preserve">COMFORT SUITES </t>
  </si>
  <si>
    <t>461-36-6399.CR-041-699000</t>
  </si>
  <si>
    <t>KINDER @ ESA JAN 26-29</t>
  </si>
  <si>
    <t xml:space="preserve">MIC CABLE &amp; WIRELESS </t>
  </si>
  <si>
    <t>HAWTHORNE SUITES</t>
  </si>
  <si>
    <t>461-36-6399.58-001-699000</t>
  </si>
  <si>
    <t xml:space="preserve">SP OLYMPICS BOWLING </t>
  </si>
  <si>
    <t>YOUTH BBK/GBK 1/30/16</t>
  </si>
  <si>
    <t>YOUTH BBK/GBK 2/6/16</t>
  </si>
  <si>
    <t>STAPLE/NAIL GUN &amp; KNIFE</t>
  </si>
  <si>
    <t xml:space="preserve">WORKING LUNCH 2/16 &amp; </t>
  </si>
  <si>
    <t>BRASS PLATE</t>
  </si>
  <si>
    <t>STORE SUPPLIES</t>
  </si>
  <si>
    <t>STAFF ICE CREAM</t>
  </si>
  <si>
    <t>INTER FIELD TRIP 1/8/16</t>
  </si>
  <si>
    <t>BSB &amp; SB CONCESSION</t>
  </si>
  <si>
    <t xml:space="preserve">MARY PENDLETON YOUTH </t>
  </si>
  <si>
    <t>F/BSB @ VICTORIA MAR 3-5</t>
  </si>
  <si>
    <t xml:space="preserve"> ACCO BRANDS </t>
  </si>
  <si>
    <t xml:space="preserve">TIGHTENED ROLLER &amp; </t>
  </si>
  <si>
    <t>CREW TSHIRTS</t>
  </si>
  <si>
    <t>STANDING POSTER DISPLAY</t>
  </si>
  <si>
    <t>COUNTER HEIGHT STOOLS</t>
  </si>
  <si>
    <t>461-36-6399.09-942-699488</t>
  </si>
  <si>
    <t>ONE ACT PLAY TROPHIES</t>
  </si>
  <si>
    <t>V/TENNIS @ TM JAN 22-23</t>
  </si>
  <si>
    <t>OUTDOOR METAL BENCH</t>
  </si>
  <si>
    <t>MICROWAVE GLASS PLATE</t>
  </si>
  <si>
    <t>2/16/16-2/16/17</t>
  </si>
  <si>
    <t>FREDERICK, MICHAEL KIM</t>
  </si>
  <si>
    <t>461-36-6299.7K-001-699000</t>
  </si>
  <si>
    <t>OAP CLINIC @ TM FEB 19-20</t>
  </si>
  <si>
    <t>BAND FUNDRAISER</t>
  </si>
  <si>
    <t>GUMDROP BOOKS</t>
  </si>
  <si>
    <t>FIGHT SONG</t>
  </si>
  <si>
    <t>TROUT QUINTET EPRINT</t>
  </si>
  <si>
    <t>BOOK TAPE &amp; CODE LABELS</t>
  </si>
  <si>
    <t>SAN FELIPE DEL RIO CISD</t>
  </si>
  <si>
    <t>SWIM/DIVE REINDEER DEC 4-</t>
  </si>
  <si>
    <t>YOUTH SPORTS TROPHIES</t>
  </si>
  <si>
    <t xml:space="preserve">SHOWSTOPPERS </t>
  </si>
  <si>
    <t>GOLD TSHIRTS</t>
  </si>
  <si>
    <t>TEAM WRAP BLANKETS</t>
  </si>
  <si>
    <t xml:space="preserve">COLLARED MAROON </t>
  </si>
  <si>
    <t>BSB HAMBURGER SALE</t>
  </si>
  <si>
    <t xml:space="preserve">GBK STJAMES 2/1/16 </t>
  </si>
  <si>
    <t>461-36-6399.50-104-699000</t>
  </si>
  <si>
    <t>STUDENT COUNCIL</t>
  </si>
  <si>
    <t>CASH BOXES</t>
  </si>
  <si>
    <t>TUTORIAL SUPPLIES</t>
  </si>
  <si>
    <t>PASS N PLAY DVDS</t>
  </si>
  <si>
    <t>TUTORIAL SNACKS</t>
  </si>
  <si>
    <t>GRAD NITE SUPPLIES</t>
  </si>
  <si>
    <t xml:space="preserve">CARNATIONS FOR </t>
  </si>
  <si>
    <t xml:space="preserve">VALENTINES DANCE </t>
  </si>
  <si>
    <t>BLUEBONNEET AWARD</t>
  </si>
  <si>
    <t>SAFETY PATROL SUPPLIES</t>
  </si>
  <si>
    <t xml:space="preserve">RAKE, LIP BROOM &amp; RUNNER </t>
  </si>
  <si>
    <t xml:space="preserve">F/JV BBK PRIDE OF TX </t>
  </si>
  <si>
    <t xml:space="preserve">TEEN BOOKFEST </t>
  </si>
  <si>
    <t>DALLY DELEON</t>
  </si>
  <si>
    <t>JOE GREEN</t>
  </si>
  <si>
    <t>MATH REWARD</t>
  </si>
  <si>
    <t>CHEERLEADER MEALS</t>
  </si>
  <si>
    <t>GRAD NITE CONCESSION</t>
  </si>
  <si>
    <t>COUNSELOR APPRECIATION</t>
  </si>
  <si>
    <t>HEW CARTRIDGES</t>
  </si>
  <si>
    <t>FRUIT CUPS</t>
  </si>
  <si>
    <t>BBK JUNIOR PRIDE 1/23/16</t>
  </si>
  <si>
    <t>DIAMOND SPORTS</t>
  </si>
  <si>
    <t>JERSEY SUBLIMATED</t>
  </si>
  <si>
    <t>NATIONWIDE LIFE INS CO</t>
  </si>
  <si>
    <t>ROTC INSURANCE</t>
  </si>
  <si>
    <t>PAC SUPPLIES</t>
  </si>
  <si>
    <t>MODERN SKYLINE</t>
  </si>
  <si>
    <t>YOUTH BBK/GBK 2/20/16</t>
  </si>
  <si>
    <t>YOUTH BBK/GBK 2/27/16</t>
  </si>
  <si>
    <t>YOUTH BBK/GBK 2/9/16</t>
  </si>
  <si>
    <t>YOUTH BBK/GBK 2/13/16</t>
  </si>
  <si>
    <t>HP INK CARTRIDGE</t>
  </si>
  <si>
    <t>SYSCO - SAN ANTONIO</t>
  </si>
  <si>
    <t>BSB FUNDRIASER SEASON</t>
  </si>
  <si>
    <t>GSC FUNDRAISER 3/19/16</t>
  </si>
  <si>
    <t>SB FUNDRIASER SEASON</t>
  </si>
  <si>
    <t xml:space="preserve">AMERICAN HEART </t>
  </si>
  <si>
    <t>JUMP ROPE FOR HEART</t>
  </si>
  <si>
    <t>461-36-6219.Y4-802-691000</t>
  </si>
  <si>
    <t>YOUTH BBK/GBK 3/5/16</t>
  </si>
  <si>
    <t>HILTON GARDEN INN</t>
  </si>
  <si>
    <t>461-36-6299.7C-001-699000</t>
  </si>
  <si>
    <t xml:space="preserve">NATIONAL MULTIPLE </t>
  </si>
  <si>
    <t>MULTIPLE SCLEROSIS</t>
  </si>
  <si>
    <t xml:space="preserve">BOOK CLUB &amp; WHEELS FOR </t>
  </si>
  <si>
    <t>PEANUTS</t>
  </si>
  <si>
    <t>V/BSB CONCESSION 2/22/16</t>
  </si>
  <si>
    <t>V/SB CONCESSION 3/8/16</t>
  </si>
  <si>
    <t>GRADNITE CONCESSION</t>
  </si>
  <si>
    <t>ICE CREAM</t>
  </si>
  <si>
    <t>461-36-6219.Y5-802-691000</t>
  </si>
  <si>
    <t>YOUTH VB 1/23/16</t>
  </si>
  <si>
    <t>YOUTH VB 1/30/16</t>
  </si>
  <si>
    <t>YOUTH VB 2/6/16</t>
  </si>
  <si>
    <t>YOUTH VB 2/13/16</t>
  </si>
  <si>
    <t>YOUTH VB 2/20/16</t>
  </si>
  <si>
    <t>CREDIT BY EXAMS</t>
  </si>
  <si>
    <t>COLORMAX RIBBONS</t>
  </si>
  <si>
    <t xml:space="preserve">BBK WRKED PLAYOFF GAME </t>
  </si>
  <si>
    <t>2019 CLASS SHIRTS</t>
  </si>
  <si>
    <t>461-36-6412.97-001-699000</t>
  </si>
  <si>
    <t>DISCOVER @ HAWAII APR 5-</t>
  </si>
  <si>
    <t>DOMANN, KOY D.</t>
  </si>
  <si>
    <t>461-36-6399.3R-001-691000</t>
  </si>
  <si>
    <t>STARTING SHELLS</t>
  </si>
  <si>
    <t>POWDER BLANKS</t>
  </si>
  <si>
    <t>FRANK, DAVID A.</t>
  </si>
  <si>
    <t>TRIBAL RELAYS @ TM 3/24/16</t>
  </si>
  <si>
    <t>JONES, TIMOTHY</t>
  </si>
  <si>
    <t>TRIPLE PUCK SPORTS LLC</t>
  </si>
  <si>
    <t>ICERAYS @ ABC 3/12/16</t>
  </si>
  <si>
    <t xml:space="preserve">BSB/SB CONCESSION 2/19 &amp; </t>
  </si>
  <si>
    <t xml:space="preserve">F/JV BSB CCISD 3/7 </t>
  </si>
  <si>
    <t>SWIM/DIVE @ TM 3/12/16</t>
  </si>
  <si>
    <t>STAAR CAMP</t>
  </si>
  <si>
    <t>AR INCENTIVES</t>
  </si>
  <si>
    <t>OAP CLINIC@ PAC 2/20/16</t>
  </si>
  <si>
    <t>ROTC SUPPLIES</t>
  </si>
  <si>
    <t>GIFT BASKET</t>
  </si>
  <si>
    <t>5TH GRD MULTIPLICATION</t>
  </si>
  <si>
    <t>461-36-6399.Y3-802-699000</t>
  </si>
  <si>
    <t>LNDRY BAGS &amp; BASE SET</t>
  </si>
  <si>
    <t xml:space="preserve">TROPHIES, PLAQUES &amp; </t>
  </si>
  <si>
    <t>MEDALS &amp; TROHIES</t>
  </si>
  <si>
    <t>SHIRTS &amp; STRIRRUPS</t>
  </si>
  <si>
    <t xml:space="preserve">BEST WESTERN+VICTORIA </t>
  </si>
  <si>
    <t>DESIGN WEST</t>
  </si>
  <si>
    <t>TRIBAL RELAYS CAPS</t>
  </si>
  <si>
    <t>SHOT &amp; DISCUS CARRIER</t>
  </si>
  <si>
    <t>PACER ONE VAULTIN POLE</t>
  </si>
  <si>
    <t>GYM SUPPLIES</t>
  </si>
  <si>
    <t xml:space="preserve">TABLECLOTHS &amp; FRUIT </t>
  </si>
  <si>
    <t>YEARBOOK STUDENTS MEAL</t>
  </si>
  <si>
    <t>PROM @ ROBSTOWN 4/23/16</t>
  </si>
  <si>
    <t>461-36-6412.7B-001-699000</t>
  </si>
  <si>
    <t>FESTIVAL @ DALLAS JUN 2-5</t>
  </si>
  <si>
    <t xml:space="preserve">TRACK SHORTS SWEAT </t>
  </si>
  <si>
    <t>THROW SHOES</t>
  </si>
  <si>
    <t>BBK JUNIOR PRIDE 1/22/16</t>
  </si>
  <si>
    <t>BEN E. KEITH CO.</t>
  </si>
  <si>
    <t>GRAD NIGHT FUNDRAISER</t>
  </si>
  <si>
    <t xml:space="preserve">BLUE MOON </t>
  </si>
  <si>
    <t>GRAD NITE PARTY 5/20/16</t>
  </si>
  <si>
    <t xml:space="preserve">BBK FBLUFF 2/11/16 </t>
  </si>
  <si>
    <t>461-36-6399.3R-041-691000</t>
  </si>
  <si>
    <t>TRIBAL RELAYS @ TM 3/22/16</t>
  </si>
  <si>
    <t xml:space="preserve">FOOD HANDLERS CLASS </t>
  </si>
  <si>
    <t>UIL OAP SHIRTS</t>
  </si>
  <si>
    <t>PRIMARY @ ESA FEB 8-19</t>
  </si>
  <si>
    <t>EXPANSE PUBLICATIONS</t>
  </si>
  <si>
    <t>2016 YEARBOOKS</t>
  </si>
  <si>
    <t>SPORT TEK TEES</t>
  </si>
  <si>
    <t>FLORAL ARRANGEMENT</t>
  </si>
  <si>
    <t>DIAGNOSTICIANS DAY</t>
  </si>
  <si>
    <t>ABC BOXTOP WINNERS</t>
  </si>
  <si>
    <t>TRIBAL RELAYS</t>
  </si>
  <si>
    <t xml:space="preserve">MEDALS &amp; ENGRAVED </t>
  </si>
  <si>
    <t>CAPS &amp; GOLF SHIRTS</t>
  </si>
  <si>
    <t>JERZEES SHORTS SLEEVES</t>
  </si>
  <si>
    <t>461-36-6499.09-942-699188</t>
  </si>
  <si>
    <t>OAP AWARDS PACKAGE</t>
  </si>
  <si>
    <t>GRAD NITE DECOR</t>
  </si>
  <si>
    <t xml:space="preserve">UIL CONCERT @ DEL MAR </t>
  </si>
  <si>
    <t>461-36-6399.7C-999-699000</t>
  </si>
  <si>
    <t>CHEER CLINIC @ TM 4/30/16</t>
  </si>
  <si>
    <t xml:space="preserve">TIARA'S OF TULOSO </t>
  </si>
  <si>
    <t>461-36-6499.PS-001-699000</t>
  </si>
  <si>
    <t>MEN OF MIDWAY PAGEANT</t>
  </si>
  <si>
    <t>APPLE REMOTE</t>
  </si>
  <si>
    <t>BASEBALL EQUIPMENT</t>
  </si>
  <si>
    <t>TENNIS @ ISLANDER 4/4/16</t>
  </si>
  <si>
    <t>FOAM DODGEBALLS</t>
  </si>
  <si>
    <t xml:space="preserve">ANIMALS &amp; SPORTS </t>
  </si>
  <si>
    <t>O VOS OMNES</t>
  </si>
  <si>
    <t>ALMA REDEMPTORIS MATER</t>
  </si>
  <si>
    <t xml:space="preserve">LEUKEMIA AND LYMPHOMA </t>
  </si>
  <si>
    <t>TOOTSIE ROLL MIDGEES</t>
  </si>
  <si>
    <t>ADMINISTRATIVE DAY 4/27/16</t>
  </si>
  <si>
    <t>HELIUM</t>
  </si>
  <si>
    <t>461-36-6399.30-002-699000</t>
  </si>
  <si>
    <t>FUNDRAISER SUPPLIES</t>
  </si>
  <si>
    <t>FUNDRAISER CONCESSION</t>
  </si>
  <si>
    <t>SPELLING BEE SUPPLIES</t>
  </si>
  <si>
    <t>STUDENT TREAT COUPON</t>
  </si>
  <si>
    <t>PROM 4/20/16 DECORATIONS</t>
  </si>
  <si>
    <t>CITY OF ARANSAS PASS</t>
  </si>
  <si>
    <t xml:space="preserve">4TH GRD AR @ AQUATIC </t>
  </si>
  <si>
    <t>CAROL MAHER</t>
  </si>
  <si>
    <t>SAFETY PATROL TRIP 5/17/16</t>
  </si>
  <si>
    <t>HELIUM TANK REFILL</t>
  </si>
  <si>
    <t>KEURIG SINGLE CUP</t>
  </si>
  <si>
    <t>MAXIFY WIRELESS</t>
  </si>
  <si>
    <t xml:space="preserve">F/JV BSB LONDON 3/16 </t>
  </si>
  <si>
    <t xml:space="preserve">F/JV BSB  RCKPRT 3/29 </t>
  </si>
  <si>
    <t xml:space="preserve">F/JV SB MILLER 3/15 </t>
  </si>
  <si>
    <t>CHEER TRYOUT SUPPLIES</t>
  </si>
  <si>
    <t>BASE SETS &amp; TOTE BAGS</t>
  </si>
  <si>
    <t>CABINET &amp; GUITAR AMP</t>
  </si>
  <si>
    <t>VOICES OF THE WIND 4/25/16</t>
  </si>
  <si>
    <t>SPRING MUSICAL</t>
  </si>
  <si>
    <t xml:space="preserve">VOICES OF THE WIND PIZZA </t>
  </si>
  <si>
    <t>INCENTIVE TREAT 4/1/16</t>
  </si>
  <si>
    <t>ICE CREAM SOCIAL 4/15/16</t>
  </si>
  <si>
    <t xml:space="preserve">CHEERLEADER MEETING </t>
  </si>
  <si>
    <t>HUDGINS, MONICA R.</t>
  </si>
  <si>
    <t>OAP HOST @ PAC 4/20/16</t>
  </si>
  <si>
    <t>MAROON BACKPACKS</t>
  </si>
  <si>
    <t>PAINTBALL FIXX</t>
  </si>
  <si>
    <t xml:space="preserve">YEARBOOK FIELD TRIP </t>
  </si>
  <si>
    <t>PERUN, LESLIE</t>
  </si>
  <si>
    <t>PLANT &amp; PLATE TECTONIC</t>
  </si>
  <si>
    <t xml:space="preserve">1ST, 2ND, 3RD STOCK </t>
  </si>
  <si>
    <t>SILVAS, ANTHONY</t>
  </si>
  <si>
    <t>461-36-6499.69-001-699000</t>
  </si>
  <si>
    <t xml:space="preserve">MR TMHS SCHOLARSHIP </t>
  </si>
  <si>
    <t xml:space="preserve">MISS TMHS SCHOLARSHIP </t>
  </si>
  <si>
    <t>SHOWSTOPPERS @ CC /7/16</t>
  </si>
  <si>
    <t>461-36-6399.80-104-699000</t>
  </si>
  <si>
    <t>SPRING FUNDRAISER</t>
  </si>
  <si>
    <t xml:space="preserve">BUCCANEER COMMISSION, </t>
  </si>
  <si>
    <t xml:space="preserve">BUC DAYS CARNIVAL </t>
  </si>
  <si>
    <t>CAPSTONE PRESS, INC.</t>
  </si>
  <si>
    <t xml:space="preserve">RAINMAKERS PIZZA PARTY </t>
  </si>
  <si>
    <t>GRAD NITE GIFT BAGS</t>
  </si>
  <si>
    <t>GILDAN TEES</t>
  </si>
  <si>
    <t>COMPETITOR TEES</t>
  </si>
  <si>
    <t>461-36-6399.3W-001-691000</t>
  </si>
  <si>
    <t>TIARA</t>
  </si>
  <si>
    <t>SENIOR SHIRT</t>
  </si>
  <si>
    <t xml:space="preserve">LIBRARY APPRECIATION </t>
  </si>
  <si>
    <t>SENIOR SERVE SUPPLIES</t>
  </si>
  <si>
    <t>TEACHER APPRECIATION</t>
  </si>
  <si>
    <t xml:space="preserve">HONOR ROLL &amp; PEFECT </t>
  </si>
  <si>
    <t>SPORT BOTTLES</t>
  </si>
  <si>
    <t>5TH GRADE TSHIRTS</t>
  </si>
  <si>
    <t>RENTAL WORLD LLC</t>
  </si>
  <si>
    <t>GRAD NIGHT SUPPLIES</t>
  </si>
  <si>
    <t>JUGS SHORTS</t>
  </si>
  <si>
    <t>MARK SCOREBOOKS</t>
  </si>
  <si>
    <t xml:space="preserve">BALL, WHEEL &amp; </t>
  </si>
  <si>
    <t>STAAR MATH LOCK IN 5/5/16</t>
  </si>
  <si>
    <t>STAAR MATH LOCK IN 4/29/16</t>
  </si>
  <si>
    <t>GRAD NIGHT SHIRTS</t>
  </si>
  <si>
    <t>EOY CELEBRATION 5/17/16</t>
  </si>
  <si>
    <t>IMAGE CINEMA</t>
  </si>
  <si>
    <t>NURSES DAY GIFT</t>
  </si>
  <si>
    <t>STUDENT INCENTIVES 5/5/16</t>
  </si>
  <si>
    <t xml:space="preserve">LIFESKILLS @ AQUARIUM </t>
  </si>
  <si>
    <t>LAMINATING SHEETS</t>
  </si>
  <si>
    <t>STUDEDNT SUPPLIES</t>
  </si>
  <si>
    <t xml:space="preserve">AR POINT CLUB PARTY </t>
  </si>
  <si>
    <t xml:space="preserve">1970S  CONCERT @ PAC </t>
  </si>
  <si>
    <t>BOOK FAIR 5/2/16-5/5/16</t>
  </si>
  <si>
    <t>BOOK FAIR 5/2/16-5/6/16</t>
  </si>
  <si>
    <t>TNT PARTY KINGS LLC</t>
  </si>
  <si>
    <t>EOY PARTY 5/19/16</t>
  </si>
  <si>
    <t xml:space="preserve">TROPHIES W/READING </t>
  </si>
  <si>
    <t>UIL TSHIRTS</t>
  </si>
  <si>
    <t>TOWELS, VESTS &amp; SHORTS</t>
  </si>
  <si>
    <t xml:space="preserve">MOUTHGUARDS, BELTS &amp; </t>
  </si>
  <si>
    <t>TEES, SHORTS &amp; FOOTBALLS</t>
  </si>
  <si>
    <t>AP TESTS</t>
  </si>
  <si>
    <t>OAP STATE SHIRTS</t>
  </si>
  <si>
    <t>TACS SCHOLRSHIP</t>
  </si>
  <si>
    <t xml:space="preserve">DEL MAR COLLEGE WEST </t>
  </si>
  <si>
    <t>FLINT HILLS SCHOLARSHIP</t>
  </si>
  <si>
    <t>PRIMARY @ ESA 4/21/16</t>
  </si>
  <si>
    <t>461-36-6399.3N-001-691000</t>
  </si>
  <si>
    <t>DEFENDING</t>
  </si>
  <si>
    <t>EWING, CRAIG</t>
  </si>
  <si>
    <t xml:space="preserve">DRUM MAJOR TRYOUTS </t>
  </si>
  <si>
    <t xml:space="preserve">BACKPACKS W/SCREEN </t>
  </si>
  <si>
    <t>GILDAN COTTEN TEES</t>
  </si>
  <si>
    <t>461-36-6399.45-041-699000</t>
  </si>
  <si>
    <t xml:space="preserve">STORAGE CART &amp; GOALS </t>
  </si>
  <si>
    <t xml:space="preserve">HEIGHL ADHESIVE SALES, </t>
  </si>
  <si>
    <t xml:space="preserve">CARD PRINTER, RIBBON &amp; </t>
  </si>
  <si>
    <t xml:space="preserve">PERFECT ATTENDNACE </t>
  </si>
  <si>
    <t>DIGITAL CAMO JERSEYS</t>
  </si>
  <si>
    <t>QUALITY PRODUCTS</t>
  </si>
  <si>
    <t xml:space="preserve">ATTENDANCE AWARDS </t>
  </si>
  <si>
    <t>461-36-6412.8M-001-699000</t>
  </si>
  <si>
    <t xml:space="preserve">NJROTC CAMP @ TAMUK JUN </t>
  </si>
  <si>
    <t>MEDALS &amp; TROPHIES</t>
  </si>
  <si>
    <t>BAND @ DALLAS JUN 2-5</t>
  </si>
  <si>
    <t>EOY PARTY 5/18/16</t>
  </si>
  <si>
    <t>SAFETY PATROL TSHIRTS</t>
  </si>
  <si>
    <t>VALPERTS, JEFFERY D.</t>
  </si>
  <si>
    <t xml:space="preserve">JV/BSB CALALEN 4/27 </t>
  </si>
  <si>
    <t>F/JV/V BSB CONCESSION</t>
  </si>
  <si>
    <t xml:space="preserve">YOUTH BSKBALL TOURN </t>
  </si>
  <si>
    <t>V/SB 4/28 CONCESSION</t>
  </si>
  <si>
    <t>F/JV/V SB CONCESSION</t>
  </si>
  <si>
    <t>SWIM/DIVE @ TM 4/16/16</t>
  </si>
  <si>
    <t>LOCK IN SUPPLIES</t>
  </si>
  <si>
    <t>KIDS IN THE KITCHEN</t>
  </si>
  <si>
    <t>AR PARTY</t>
  </si>
  <si>
    <t>EOY ACTIVITIES</t>
  </si>
  <si>
    <t>MATH FLASH CARDS</t>
  </si>
  <si>
    <t>VOLLEYBALL SUPPLIES</t>
  </si>
  <si>
    <t xml:space="preserve">PERFORM TEES &amp; MESH </t>
  </si>
  <si>
    <t>HALF SLEEVE CREWS</t>
  </si>
  <si>
    <t>YOUTH SB/TB 4/30/16</t>
  </si>
  <si>
    <t>YOUTH SB/TB 5/7/16</t>
  </si>
  <si>
    <t xml:space="preserve">YEARBOOK @ PAINTBALL </t>
  </si>
  <si>
    <t>LAMINATING POUCH</t>
  </si>
  <si>
    <t xml:space="preserve">DAISY CHARTERS &amp; </t>
  </si>
  <si>
    <t xml:space="preserve">PENCIL SHARPENER &amp; WIRE </t>
  </si>
  <si>
    <t>EOY SUPPLIES</t>
  </si>
  <si>
    <t>MAILBOX YEARBOOK, THE</t>
  </si>
  <si>
    <t>MAILBOX USERS</t>
  </si>
  <si>
    <t xml:space="preserve">NORTHSIDE FAMILY </t>
  </si>
  <si>
    <t>SCHOOL PHYSICALS</t>
  </si>
  <si>
    <t>YOUTH SB/TB 4/16/16</t>
  </si>
  <si>
    <t>YOUTH SB/TB 4/23/16</t>
  </si>
  <si>
    <t>YOUTH SB/TB 5/14/16</t>
  </si>
  <si>
    <t>YOUTH SB/TB 5/21/16</t>
  </si>
  <si>
    <t>YOUTH SB/TB 5/24/16</t>
  </si>
  <si>
    <t>YOUTH SB/TB 5/26/16</t>
  </si>
  <si>
    <t>CONCESSION ITEMS</t>
  </si>
  <si>
    <t>FAMILY POOL</t>
  </si>
  <si>
    <t>TRACK MEET ICE</t>
  </si>
  <si>
    <t>YOUTH SB/TB 4/22/16</t>
  </si>
  <si>
    <t>SPORTDECAL, INC</t>
  </si>
  <si>
    <t>TABLE THROW</t>
  </si>
  <si>
    <t>461-36-6399.62-001-691000</t>
  </si>
  <si>
    <t>YOUTH &amp; ADULT TSHIRTS</t>
  </si>
  <si>
    <t>461-36-6412.76-001-699000</t>
  </si>
  <si>
    <t xml:space="preserve">JOURNALISM @ AUSTIN JUN </t>
  </si>
  <si>
    <t>GAMEPLAN GRADE PKG</t>
  </si>
  <si>
    <t>SLVLESS TEE</t>
  </si>
  <si>
    <t>461-36-6399.09-001-699000</t>
  </si>
  <si>
    <t>DOCUMENT CAMERAS</t>
  </si>
  <si>
    <t>461-36-6399.72-001-699000</t>
  </si>
  <si>
    <t>STUDENT INCENTIVE</t>
  </si>
  <si>
    <t>LOCK IN SNACKS</t>
  </si>
  <si>
    <t>DIXIE CUPS</t>
  </si>
  <si>
    <t>YEARBOOK FIELD TRIP</t>
  </si>
  <si>
    <t>100 POINTS CLUB</t>
  </si>
  <si>
    <t>100 POINT CLUB</t>
  </si>
  <si>
    <t>REFRESHMENTS</t>
  </si>
  <si>
    <t>GRAD NIGHT FOOD</t>
  </si>
  <si>
    <t>STUCO DANCE SUPPLIES</t>
  </si>
  <si>
    <t>TEACHER APPRICIATION</t>
  </si>
  <si>
    <t>CUSTOM RIBBONS</t>
  </si>
  <si>
    <t>EOY INCENTIVE</t>
  </si>
  <si>
    <t>GRAD NIGHT PRIZES</t>
  </si>
  <si>
    <t>KID ALERT SAFETY SIGN</t>
  </si>
  <si>
    <t>CROSSING SIGNS</t>
  </si>
  <si>
    <t>LAMINATOR</t>
  </si>
  <si>
    <t>DYMO LABELWRITER</t>
  </si>
  <si>
    <t>SUMMER SWIM</t>
  </si>
  <si>
    <t>SUMMER LEAGUE T SHIRTS</t>
  </si>
  <si>
    <t xml:space="preserve">DORIAN BUSINESS SYSTEMS </t>
  </si>
  <si>
    <t>8/8/16-8/8/17</t>
  </si>
  <si>
    <t>GILMAN GEAR</t>
  </si>
  <si>
    <t>ROLL TACKLE RING</t>
  </si>
  <si>
    <t>GRUNWALD PRINTING</t>
  </si>
  <si>
    <t>461-36-6399.01-104-699000</t>
  </si>
  <si>
    <t>MORE CLUB BRACELETS</t>
  </si>
  <si>
    <t>MARAVELIAS, KOSTA</t>
  </si>
  <si>
    <t xml:space="preserve">LDRSHIP CAMP @ TAMUK </t>
  </si>
  <si>
    <t>SUMMER CAMP BASEBALL</t>
  </si>
  <si>
    <t>SUMMER CAMP SOFTBALL</t>
  </si>
  <si>
    <t>SCHOOL PHYSICALS 5/3/16</t>
  </si>
  <si>
    <t>DRAMA TROPHIES</t>
  </si>
  <si>
    <t>461-36-6399.H3-001-699000</t>
  </si>
  <si>
    <t>461-36-6499.97-001-699000</t>
  </si>
  <si>
    <t xml:space="preserve">SUMMER CAMP </t>
  </si>
  <si>
    <t>GRAD NIGHT GIFT CARDS</t>
  </si>
  <si>
    <t>ITEMS RETURNED</t>
  </si>
  <si>
    <t xml:space="preserve">BBK WORKED TOURNEY </t>
  </si>
  <si>
    <t>BBK WORKED TOURNEY</t>
  </si>
  <si>
    <t xml:space="preserve">BOYS BASKETBALL </t>
  </si>
  <si>
    <t>DELL MONITORS</t>
  </si>
  <si>
    <t>ENDURANCE CARPET</t>
  </si>
  <si>
    <t>OUTDOOR TRASHCANS</t>
  </si>
  <si>
    <t>SCHREINER UNIVERSITY</t>
  </si>
  <si>
    <t xml:space="preserve">SCHOLRSHIP TACS ANTHONY </t>
  </si>
  <si>
    <t>ADOBE ACROBAT LICENSE</t>
  </si>
  <si>
    <t>SWIM CAPS</t>
  </si>
  <si>
    <t>VARIOUS INSTRUMENTS</t>
  </si>
  <si>
    <t>BBK PARENT NIGHT 2/23/16</t>
  </si>
  <si>
    <t xml:space="preserve">SOFTBALL PARENT NIGHT </t>
  </si>
  <si>
    <t>COLOR GUARD UNIORMS</t>
  </si>
  <si>
    <t xml:space="preserve">MEAL REINBURSEMENT </t>
  </si>
  <si>
    <t>461-36-6399.10-001-699000</t>
  </si>
  <si>
    <t>SHIPPING &amp; HANDLING</t>
  </si>
  <si>
    <t>461-36-6399.74-001-699000</t>
  </si>
  <si>
    <t>PREMIER AGENDAS, INC.</t>
  </si>
  <si>
    <t>STUDENT PLANNERS</t>
  </si>
  <si>
    <t>NOVELS</t>
  </si>
  <si>
    <t>YOUTH CAMP TSHIRTS</t>
  </si>
  <si>
    <t>VARSITY CHEER UNIFORMS</t>
  </si>
  <si>
    <t xml:space="preserve">MIDDLE SCHOOL CHEER </t>
  </si>
  <si>
    <t>TEAM EPQUIPMENT</t>
  </si>
  <si>
    <t>YOUTH CAMP SHIRTS</t>
  </si>
  <si>
    <t>BASKETBALL EPQUIPMENT</t>
  </si>
  <si>
    <t>SOUNDBAR</t>
  </si>
  <si>
    <t>TUMBLERS FOR LAB</t>
  </si>
  <si>
    <t>PLUTUS ALLEN I LLC</t>
  </si>
  <si>
    <t xml:space="preserve">LA QUINTA INN &amp; SUITES </t>
  </si>
  <si>
    <t>NISD TOURNEY @ SA AUG 12-</t>
  </si>
  <si>
    <t>LONGORIA, ROLAND</t>
  </si>
  <si>
    <t>REFUND YOUTH VBALL CAMP</t>
  </si>
  <si>
    <t xml:space="preserve">CLEANING OF UNIFORMS </t>
  </si>
  <si>
    <t>VARIOUS</t>
  </si>
  <si>
    <t>V/JV TOURNEY @ SA AUG 12-</t>
  </si>
  <si>
    <t>461-36-6399.02-001-691000</t>
  </si>
  <si>
    <t>ROLL PAPER FOR LIBRARY</t>
  </si>
  <si>
    <t>HIGH RELEASE NET</t>
  </si>
  <si>
    <t>DROP IN NET</t>
  </si>
  <si>
    <t>ISTATION READING PK-2</t>
  </si>
  <si>
    <t xml:space="preserve">LUNCH FOR TEST </t>
  </si>
  <si>
    <t xml:space="preserve">TAAF @ MCALLEN JUL 24-31, </t>
  </si>
  <si>
    <t>REGNL SWIM @ VICT.  JUL 15-</t>
  </si>
  <si>
    <t>ALONZO, ANGEL DE JESUS</t>
  </si>
  <si>
    <t>461-36-6299.3T-001-691000</t>
  </si>
  <si>
    <t xml:space="preserve">SUMMER LESSONS JUN 6-JUL </t>
  </si>
  <si>
    <t>GRAY PE SHIRTS</t>
  </si>
  <si>
    <t>JV @ FLOUR BLUFF 8/13/16</t>
  </si>
  <si>
    <t>NAVAL WHEEL SHIPMENT</t>
  </si>
  <si>
    <t xml:space="preserve">REF PO 164156 NAVAL </t>
  </si>
  <si>
    <t xml:space="preserve">TEST PROCTOR LUNCH </t>
  </si>
  <si>
    <t xml:space="preserve">REIMBURSE FOR NAVY </t>
  </si>
  <si>
    <t>PEREZ, MICHAEL</t>
  </si>
  <si>
    <t xml:space="preserve">ACCOMPANIMENT FOR </t>
  </si>
  <si>
    <t xml:space="preserve">TEXTBOOKS FOR </t>
  </si>
  <si>
    <t>FANS FOR CLASSROOMS</t>
  </si>
  <si>
    <t>AG BARN SUPPLIES</t>
  </si>
  <si>
    <t>SUPPLIES/INSERVICE</t>
  </si>
  <si>
    <t>PK EOY SUPPLIES</t>
  </si>
  <si>
    <t>NOTEBOOKS</t>
  </si>
  <si>
    <t xml:space="preserve">PLANT FOR PILGRAM </t>
  </si>
  <si>
    <t>FOOTBALL HELMETS</t>
  </si>
  <si>
    <t>SCRUBS R US</t>
  </si>
  <si>
    <t>CNA SCRUBS</t>
  </si>
  <si>
    <t>461-36-6399.NL-001-699000</t>
  </si>
  <si>
    <t xml:space="preserve">MEALS-2 ADDITIONAL </t>
  </si>
  <si>
    <t>CHAVEZ-GARCIA, ARMANDO</t>
  </si>
  <si>
    <t xml:space="preserve">LIGHTING WORKSHOP </t>
  </si>
  <si>
    <t>SPIRIT SHIRTS</t>
  </si>
  <si>
    <t>BAND SHOES AND GLOVES</t>
  </si>
  <si>
    <t>COLORGUARD UNIFORMS</t>
  </si>
  <si>
    <t xml:space="preserve">GVB @ LEANDER 8/24-8/27, </t>
  </si>
  <si>
    <t>EYE-BALL PRODUCTIONS LLC</t>
  </si>
  <si>
    <t>TEAM BACKPACKS</t>
  </si>
  <si>
    <t>BAND SHIRTS</t>
  </si>
  <si>
    <t>TEAM SHIRTS</t>
  </si>
  <si>
    <t xml:space="preserve">BIRTHDAY CARDS/FACULTY </t>
  </si>
  <si>
    <t xml:space="preserve">THSCEF BENEVOLENCE </t>
  </si>
  <si>
    <t>WARM-UP JACKET</t>
  </si>
  <si>
    <t>VILLALON, ALVARO</t>
  </si>
  <si>
    <t>TOURNEY @ SA 8/12/16-</t>
  </si>
  <si>
    <t>SCRIMMAGE DRINKS 8/6/16</t>
  </si>
  <si>
    <t>SUPPLIES FOR MEETING</t>
  </si>
  <si>
    <t>461-00-5759.09-041-600000</t>
  </si>
  <si>
    <t>UIL FEES 2015</t>
  </si>
  <si>
    <t xml:space="preserve">FOOTBALL PRACTICE </t>
  </si>
  <si>
    <t>ROSES GP VBALL GAME</t>
  </si>
  <si>
    <t>461-36-6399.CS-001-691000</t>
  </si>
  <si>
    <t>ICE FOR CONCESSION</t>
  </si>
  <si>
    <t>TENNIS WAREHOUSE</t>
  </si>
  <si>
    <t>TENNIS SHOES</t>
  </si>
  <si>
    <t>462-00-2310.00-000-600300</t>
  </si>
  <si>
    <t>UNUSED 2013 GRANTS</t>
  </si>
  <si>
    <t xml:space="preserve">TM EDU FOUNDATION </t>
  </si>
  <si>
    <t>462-11-6329.19-104-611600</t>
  </si>
  <si>
    <t>462-12-6649.26-001-611600</t>
  </si>
  <si>
    <t>3D PRINTER GRANT</t>
  </si>
  <si>
    <t>462-11-6329.02-101-611600</t>
  </si>
  <si>
    <t>462-11-6329.21-104-611600</t>
  </si>
  <si>
    <t>462-11-6399.03-101-611600</t>
  </si>
  <si>
    <t>462-11-6399.20-104-611600</t>
  </si>
  <si>
    <t>462-11-6399.23-041-611600</t>
  </si>
  <si>
    <t>462-11-6399.33-101-611600</t>
  </si>
  <si>
    <t>SCHOLASTIC BOOK CLUB</t>
  </si>
  <si>
    <t>462-11-6329.21-101-611500</t>
  </si>
  <si>
    <t>DIARY OLD SCHOOL</t>
  </si>
  <si>
    <t>FLY GUY PRESENTS</t>
  </si>
  <si>
    <t>MY WEIRD SCH DAZE</t>
  </si>
  <si>
    <t>REWARD OVERAGE</t>
  </si>
  <si>
    <t>SOCIAL SKILLS MATERIALS</t>
  </si>
  <si>
    <t>462-11-6649.06-101-611600</t>
  </si>
  <si>
    <t>IPAD 2 MINI WIFI 16GB</t>
  </si>
  <si>
    <t>462-11-6649.07-101-611600</t>
  </si>
  <si>
    <t>BNDL IPAD MINI WIFI 16GB</t>
  </si>
  <si>
    <t>462-11-6649.08-101-611600</t>
  </si>
  <si>
    <t>462-11-6649.10-101-611600</t>
  </si>
  <si>
    <t>462-11-6649.13-101-611600</t>
  </si>
  <si>
    <t>462-11-6649.15-101-611600</t>
  </si>
  <si>
    <t>TANGIBLE PLAY, INC.</t>
  </si>
  <si>
    <t>OSMO STARTER KIT</t>
  </si>
  <si>
    <t>462-11-6329.28-001-611600</t>
  </si>
  <si>
    <t>KINDLES &amp; CHARGERS</t>
  </si>
  <si>
    <t>462-11-6291.32-104-611600</t>
  </si>
  <si>
    <t>FUTURE HORIZONS, INC.</t>
  </si>
  <si>
    <t xml:space="preserve">NATIONAL PROFESSIONAL </t>
  </si>
  <si>
    <t>462-11-6412.27-001-611600</t>
  </si>
  <si>
    <t>K. Brock / D. Calk</t>
  </si>
  <si>
    <t>462-11-6412.24-041-611600</t>
  </si>
  <si>
    <t>PO Created by Req: 601649</t>
  </si>
  <si>
    <t>M. Burris/D. Calk</t>
  </si>
  <si>
    <t>462-11-6399.10-101-611600</t>
  </si>
  <si>
    <t>S. Rollins/Treb/D. Calk</t>
  </si>
  <si>
    <t>462-11-6329.18-104-611600</t>
  </si>
  <si>
    <t>WALK TWO MOONS</t>
  </si>
  <si>
    <t>462-11-6649.35-104-611600</t>
  </si>
  <si>
    <t xml:space="preserve">STEELCASE CLICK &amp; </t>
  </si>
  <si>
    <t>462-11-6649.01-101-611600</t>
  </si>
  <si>
    <t>462-11-6649.04-101-611600</t>
  </si>
  <si>
    <t>462-11-6649.05-101-611600</t>
  </si>
  <si>
    <t>462-11-6649.09-101-611600</t>
  </si>
  <si>
    <t>462-11-6649.11-101-611600</t>
  </si>
  <si>
    <t>462-11-6649.12-101-611600</t>
  </si>
  <si>
    <t>462-11-6412.31-001-611600</t>
  </si>
  <si>
    <t>ENGLISH @ SA 2/23/16</t>
  </si>
  <si>
    <t>462-11-6329.14-101-611600</t>
  </si>
  <si>
    <t>SPLAT THE CAT</t>
  </si>
  <si>
    <t>BLACK LAGOON</t>
  </si>
  <si>
    <t xml:space="preserve">PETE THE CAT &amp; BEST OF DR </t>
  </si>
  <si>
    <t xml:space="preserve">TECHNICAL LABORATORY </t>
  </si>
  <si>
    <t>462-11-6399.16-104-611600</t>
  </si>
  <si>
    <t>ZSPACE ALL IN ONE SYSTEM</t>
  </si>
  <si>
    <t>TEEN BOOKFEST BY THE BAY</t>
  </si>
  <si>
    <t>462-11-6291.25-001-611600</t>
  </si>
  <si>
    <t xml:space="preserve">TEEN BOOKFEST @ CC </t>
  </si>
  <si>
    <t>462-11-6329.36-104-611600</t>
  </si>
  <si>
    <t>NUMBER THE STARS</t>
  </si>
  <si>
    <t>462-11-6399.22-041-611600</t>
  </si>
  <si>
    <t>CALCULATOR &amp; EGGSPERT</t>
  </si>
  <si>
    <t xml:space="preserve">TRINITY SCIENCE </t>
  </si>
  <si>
    <t>462-11-6291.17-104-611600</t>
  </si>
  <si>
    <t>ORBIT EARTH EXPO APR 25-</t>
  </si>
  <si>
    <t>462-11-6412.30-001-611600</t>
  </si>
  <si>
    <t>MUSEUM TRIP TO HOUSTON</t>
  </si>
  <si>
    <t>462-11-6412.29-001-611600</t>
  </si>
  <si>
    <t>496-61-6411.00-001-699000</t>
  </si>
  <si>
    <t xml:space="preserve">DIABETES MGMT @ ESC </t>
  </si>
  <si>
    <t xml:space="preserve">COUNTY DIABETES </t>
  </si>
  <si>
    <t>496-61-6399.00-871-699000</t>
  </si>
  <si>
    <t xml:space="preserve">DIABETES AWARENESS </t>
  </si>
  <si>
    <t xml:space="preserve">WELLNESS WARRIORS </t>
  </si>
  <si>
    <t xml:space="preserve">SHAC TEACHER SNACK </t>
  </si>
  <si>
    <t>FITBITS</t>
  </si>
  <si>
    <t xml:space="preserve">BANK OF NEW YORK </t>
  </si>
  <si>
    <t>599-71-6599.00-999-699000</t>
  </si>
  <si>
    <t xml:space="preserve">ADMINISTRATIVE FEE FOR </t>
  </si>
  <si>
    <t>DEBT SVS</t>
  </si>
  <si>
    <t>ZIONS FIRST NATIONAL BANK</t>
  </si>
  <si>
    <t>SER 2015 ANNUAL BASE FEE</t>
  </si>
  <si>
    <t>FROST BANK</t>
  </si>
  <si>
    <t xml:space="preserve">DISCLOSURE REPORTS SEC </t>
  </si>
  <si>
    <t>2/15/16-2/14/17 REF BDS SR</t>
  </si>
  <si>
    <t>WELLS FARGO BANK</t>
  </si>
  <si>
    <t>3/1/16-2/28/17 AGENT FEE</t>
  </si>
  <si>
    <t>599-00-2110.00-000-600000</t>
  </si>
  <si>
    <t>8/15/16-8/14/17</t>
  </si>
  <si>
    <t>655-00-2110.15-000-600000</t>
  </si>
  <si>
    <t xml:space="preserve">AUG FEMA/TSSI SHELTER </t>
  </si>
  <si>
    <t>FEMA DOMES - LOCAL</t>
  </si>
  <si>
    <t>8/14/15-9/15/15</t>
  </si>
  <si>
    <t xml:space="preserve">ROCK ENGINEERING &amp; </t>
  </si>
  <si>
    <t>655-00-2110.14-000-600000</t>
  </si>
  <si>
    <t>FEMA DOME 7/22/15-8/25/15</t>
  </si>
  <si>
    <t>FEMA DOME 7/21/15-8/4/15</t>
  </si>
  <si>
    <t>GIGNAC &amp; ASSOCIATES, LLP</t>
  </si>
  <si>
    <t>FEMA/TSSI SAFE ROOM</t>
  </si>
  <si>
    <t xml:space="preserve">FEMA/TSSI SAFE ROOM </t>
  </si>
  <si>
    <t>655-81-6629.DM-001-699030</t>
  </si>
  <si>
    <t xml:space="preserve">SEPT FEMA/TSSI SHELTER </t>
  </si>
  <si>
    <t>655-81-6629.DM-104-699030</t>
  </si>
  <si>
    <t>KJM COMMERCIAL, INC.</t>
  </si>
  <si>
    <t>655-81-6629.DM-104-699000</t>
  </si>
  <si>
    <t>SAFE ROOM/FEMA DOME</t>
  </si>
  <si>
    <t>655-81-6629.DM-001-699060</t>
  </si>
  <si>
    <t>FEMA DOME 9/9/15-9/29/15</t>
  </si>
  <si>
    <t>655-81-6629.DM-104-699060</t>
  </si>
  <si>
    <t>FEMA DOME 9/8/15</t>
  </si>
  <si>
    <t>655-81-6629.DM-104-699170</t>
  </si>
  <si>
    <t>9/15/15-10/14/15</t>
  </si>
  <si>
    <t>655-81-6629.DM-001-699000</t>
  </si>
  <si>
    <t>FEMA SAFE SHELTER</t>
  </si>
  <si>
    <t xml:space="preserve">OCT FEMA/TSSI SHELTER </t>
  </si>
  <si>
    <t>10/14/15-11/12/15</t>
  </si>
  <si>
    <t xml:space="preserve">NOV FEMA/TSSI SHELTER </t>
  </si>
  <si>
    <t>FEMA DOME 9/23/15-10/23/15</t>
  </si>
  <si>
    <t>FEMA DOME 10/15/15-10/21/15</t>
  </si>
  <si>
    <t>FEMA DOME 10/22/15-11/12/15</t>
  </si>
  <si>
    <t>FEMA DOME 11/12/15-11/16/15</t>
  </si>
  <si>
    <t>655-81-6629.DM-001-699100</t>
  </si>
  <si>
    <t xml:space="preserve">INT DOME CONST ENERGY </t>
  </si>
  <si>
    <t>12/5/15-1/18/16</t>
  </si>
  <si>
    <t xml:space="preserve">DEC FEMA/TSSI SHELTER </t>
  </si>
  <si>
    <t>FEMA DOME 11/20/15-12/8/15</t>
  </si>
  <si>
    <t>FEMA DOME 11/13/15-12/29/15</t>
  </si>
  <si>
    <t>655-81-6629.DM-001-699150</t>
  </si>
  <si>
    <t xml:space="preserve">CONCESSION STAND </t>
  </si>
  <si>
    <t xml:space="preserve">JAN FEMA/TSSI SHELTER </t>
  </si>
  <si>
    <t>FEMA DOME 12/29/15-1/26/16</t>
  </si>
  <si>
    <t>FEMA DOME 1/27/16</t>
  </si>
  <si>
    <t>1/18/16-2/16/16</t>
  </si>
  <si>
    <t xml:space="preserve">FEB FEMA/TSSI SHELTER </t>
  </si>
  <si>
    <t>655-81-6629.DM-001-699130</t>
  </si>
  <si>
    <t xml:space="preserve">FEB FEMA DOME </t>
  </si>
  <si>
    <t>655-81-6629.DM-104-699020</t>
  </si>
  <si>
    <t>655-81-6629.DM-104-699120</t>
  </si>
  <si>
    <t>FEMA DOME 2/1/16-2/25/16</t>
  </si>
  <si>
    <t>FEMA DOME 1/27/16-2/24/16</t>
  </si>
  <si>
    <t>655-81-6629.DM-001-699010</t>
  </si>
  <si>
    <t xml:space="preserve">DOME TECH </t>
  </si>
  <si>
    <t>655-81-6629.DM-001-699110</t>
  </si>
  <si>
    <t>1HR CABLING SERVICE</t>
  </si>
  <si>
    <t>655-81-6629.DM-104-699010</t>
  </si>
  <si>
    <t xml:space="preserve">FEMA DOME </t>
  </si>
  <si>
    <t>655-81-6629.DM-001-699020</t>
  </si>
  <si>
    <t>655-81-6629.DM-001-699120</t>
  </si>
  <si>
    <t>2/16/16-3/16/16</t>
  </si>
  <si>
    <t xml:space="preserve">MAR FEMA/TSSI SHELTER </t>
  </si>
  <si>
    <t xml:space="preserve">MAR FEMA DOME </t>
  </si>
  <si>
    <t>FEMA DOME 2/25/16</t>
  </si>
  <si>
    <t>3/16/16-4/15/16</t>
  </si>
  <si>
    <t>4/15/16-5/16/16</t>
  </si>
  <si>
    <t xml:space="preserve">APR FEMA/TSSI SHELTER </t>
  </si>
  <si>
    <t xml:space="preserve">APR FEMA DOME </t>
  </si>
  <si>
    <t>FEMA DOME 11/12/15</t>
  </si>
  <si>
    <t xml:space="preserve">MAY FEMA/TSSI SHELTER </t>
  </si>
  <si>
    <t xml:space="preserve">MAY FEMA DOME </t>
  </si>
  <si>
    <t>FEMA DOME 3/30/16-4/5/16</t>
  </si>
  <si>
    <t>VIDEO INSIGHT, INC.</t>
  </si>
  <si>
    <t>655-52-6649.DM-001-699100</t>
  </si>
  <si>
    <t>INDOOR/OUTDOOR CAMERA</t>
  </si>
  <si>
    <t>5/16/16-6/15/16</t>
  </si>
  <si>
    <t xml:space="preserve">HS DOME INFRASTRUCTURE </t>
  </si>
  <si>
    <t>655-81-6629.DM-104-699100</t>
  </si>
  <si>
    <t xml:space="preserve">JUN FEMA/TSSI SHELTER </t>
  </si>
  <si>
    <t>FEMA DOME 5/27/16</t>
  </si>
  <si>
    <t>FEMA DOME 6/17/16</t>
  </si>
  <si>
    <t>655-81-6629.DM-001-69902A</t>
  </si>
  <si>
    <t>PROFESSIONAL SERVICES</t>
  </si>
  <si>
    <t>655-81-6629.DM-104-69902A</t>
  </si>
  <si>
    <t xml:space="preserve">INTERMEDIATE DOME/PROF. </t>
  </si>
  <si>
    <t xml:space="preserve">JULY FEMA/TSSI SHELTER </t>
  </si>
  <si>
    <t>655-81-6629.DM-104-699130</t>
  </si>
  <si>
    <t xml:space="preserve">INTERMEDIATE </t>
  </si>
  <si>
    <t>FEMA DOME 7/1/16</t>
  </si>
  <si>
    <t>695-81-6629.64-001-699010</t>
  </si>
  <si>
    <t>WASTE WATER LINE PERMIT</t>
  </si>
  <si>
    <t xml:space="preserve">$36 MILLION BOND PROG - </t>
  </si>
  <si>
    <t>695-00-2110.15-000-600000</t>
  </si>
  <si>
    <t>AUG BOND FUND SERVICES</t>
  </si>
  <si>
    <t>AG COMPLEX 6/26/15-7/21/15</t>
  </si>
  <si>
    <t>CLASSRM ADD 6/22/15-7/23/15</t>
  </si>
  <si>
    <t>CLASSRM ADD 7/21/15-8/18/15</t>
  </si>
  <si>
    <t>CLASSROOM ADDITIONS</t>
  </si>
  <si>
    <t>695-81-6629.64-001-699030</t>
  </si>
  <si>
    <t>SEPT BOND FUND SERVICES</t>
  </si>
  <si>
    <t>695-81-6629.67-104-699030</t>
  </si>
  <si>
    <t>695-81-6629.64-001-699000</t>
  </si>
  <si>
    <t>695-81-6629.67-104-699000</t>
  </si>
  <si>
    <t>CLASSROOM ADDITION</t>
  </si>
  <si>
    <t>CLASSRM ADD 8/19/15-8/27/15</t>
  </si>
  <si>
    <t>AG COMPLEX 8/24/15-9/25/15</t>
  </si>
  <si>
    <t>CLASSRM ADD 9/24/15-9/25/15</t>
  </si>
  <si>
    <t>OCT BOND FUND SERVICES</t>
  </si>
  <si>
    <t xml:space="preserve">SPAWGLASS CONTRACTORS, </t>
  </si>
  <si>
    <t>695-00-2110.29-000-600000</t>
  </si>
  <si>
    <t xml:space="preserve">NATATORIUM ADDITIONS &amp; </t>
  </si>
  <si>
    <t>NOV BOND FUND SERVICES</t>
  </si>
  <si>
    <t>AG COMPLEX 9/30/15-10/8/15</t>
  </si>
  <si>
    <t>CLASSRM ADD 10/1/15-10/8/15</t>
  </si>
  <si>
    <t>CLASSRM ADD 10/27/15-</t>
  </si>
  <si>
    <t>695-81-6629.68-041-699000</t>
  </si>
  <si>
    <t>FORENSIC TESTING</t>
  </si>
  <si>
    <t>695-81-6629.61-001-699000</t>
  </si>
  <si>
    <t>FLAGPOLES RELOCATION</t>
  </si>
  <si>
    <t>HANDRAIL MODIFICATIONS</t>
  </si>
  <si>
    <t>695-00-2110.68-000-600000</t>
  </si>
  <si>
    <t>PEFORMING ARTS CENTER</t>
  </si>
  <si>
    <t>DEC BOND FUND SERVICES</t>
  </si>
  <si>
    <t>AG COMPLEX 10/20/15</t>
  </si>
  <si>
    <t>AG COMPLEX 12/10/15-</t>
  </si>
  <si>
    <t>CLASSRM ADD 11/23/15-</t>
  </si>
  <si>
    <t>JAN BOND FUND SERVICES</t>
  </si>
  <si>
    <t>AG COMPLEX 11/24/15-</t>
  </si>
  <si>
    <t>AG COMPLEX 1/13/16-1/19/16</t>
  </si>
  <si>
    <t>VLK ARCHITECTS, INC</t>
  </si>
  <si>
    <t>695-81-6629.64-001-699020</t>
  </si>
  <si>
    <t>695-11-6649.67-104-611200</t>
  </si>
  <si>
    <t>DELL OPTIPLEX 9010</t>
  </si>
  <si>
    <t>695-11-6649.67-104-611000</t>
  </si>
  <si>
    <t>DELL WYSE &amp; LED MONITORS</t>
  </si>
  <si>
    <t>2/10/16-2/10/17 MAINT &amp; LIC</t>
  </si>
  <si>
    <t>695-81-6629.64-001-699011</t>
  </si>
  <si>
    <t>AG AEP EASEMENT EXHIBITS</t>
  </si>
  <si>
    <t>FEB BOND FUND SERVICES</t>
  </si>
  <si>
    <t>AG COMPLEX 7/31/15</t>
  </si>
  <si>
    <t>CLASSRM ADD 1/6/16-2/22/16</t>
  </si>
  <si>
    <t>AUDITORIUM RENOVATIONS</t>
  </si>
  <si>
    <t>695-51-6399.2K-104-699000</t>
  </si>
  <si>
    <t>MALE TO FEMALE CABLE</t>
  </si>
  <si>
    <t>AG COMPLEX 1/27/16-2/23/16</t>
  </si>
  <si>
    <t xml:space="preserve">PROJECTOR MOUNT </t>
  </si>
  <si>
    <t>695-51-6249.2H-001-699000</t>
  </si>
  <si>
    <t xml:space="preserve">NETWORK OVERHEAD </t>
  </si>
  <si>
    <t>695-51-6249.2J-104-699000</t>
  </si>
  <si>
    <t>695-81-6629.64-001-699070</t>
  </si>
  <si>
    <t xml:space="preserve">AG COMPLEX </t>
  </si>
  <si>
    <t>695-81-6629.67-104-699070</t>
  </si>
  <si>
    <t xml:space="preserve">CLASSROOM </t>
  </si>
  <si>
    <t>EVGA GF 210 PCI-E 1GB DDR3</t>
  </si>
  <si>
    <t>695-11-6649.64-001-611000</t>
  </si>
  <si>
    <t>BALT PORCELAIN BOARD</t>
  </si>
  <si>
    <t>695-81-6629.67-104-699020</t>
  </si>
  <si>
    <t>COVER</t>
  </si>
  <si>
    <t>695-81-6629.64-001-699080</t>
  </si>
  <si>
    <t>3/4/16-3/16/16</t>
  </si>
  <si>
    <t>MAR BOND FUND SERVICES</t>
  </si>
  <si>
    <t>CLASSRM ADD 3/2/16-3/24/16</t>
  </si>
  <si>
    <t>AG COMPLEX 2/24/16-3/17/16</t>
  </si>
  <si>
    <t>SULLIVAN SUPPLY SOUTH</t>
  </si>
  <si>
    <t>695-11-6649.64-001-611100</t>
  </si>
  <si>
    <t>AIR EXPRESS III YELLOW</t>
  </si>
  <si>
    <t xml:space="preserve">MORGAN LIVESTOCK </t>
  </si>
  <si>
    <t>HOG @ SHEEP SCALE</t>
  </si>
  <si>
    <t>695-81-6629.65-001-699000</t>
  </si>
  <si>
    <t>APR BOND FUND SERVICES</t>
  </si>
  <si>
    <t>AG COMPLEX 2/1/16-2/16/16</t>
  </si>
  <si>
    <t>AG COMPLEX 2/19/16</t>
  </si>
  <si>
    <t>AG COMPLEX 3/24/16-4/29/16</t>
  </si>
  <si>
    <t>CLASSRM ADD 4/20//16-</t>
  </si>
  <si>
    <t>HAUPPAUGE HVR</t>
  </si>
  <si>
    <t>695-81-6619.63-001-699030</t>
  </si>
  <si>
    <t>PLATTING AG COMPLEX</t>
  </si>
  <si>
    <t>695-52-6649.64-001-699000</t>
  </si>
  <si>
    <t>IP DOME W/IR LED CAMERAS</t>
  </si>
  <si>
    <t>695-11-6639.64-001-611100</t>
  </si>
  <si>
    <t>CHUTE SCALE</t>
  </si>
  <si>
    <t>CNT GATE</t>
  </si>
  <si>
    <t>MAY BOND FUND SERVICES</t>
  </si>
  <si>
    <t>695-51-6249.2L-104-699000</t>
  </si>
  <si>
    <t>INTERIOR PAINTING</t>
  </si>
  <si>
    <t xml:space="preserve">AG BARN INFRASTRUCTURE </t>
  </si>
  <si>
    <t>JUN BOND FUND SERVICES</t>
  </si>
  <si>
    <t>695-00-2110.64-000-600000</t>
  </si>
  <si>
    <t>695-11-6399.64-001-611100</t>
  </si>
  <si>
    <t xml:space="preserve">AG BARN </t>
  </si>
  <si>
    <t xml:space="preserve">AVER M70 PORTABLE DOC </t>
  </si>
  <si>
    <t>AG CONSULTING FEES</t>
  </si>
  <si>
    <t>JULY BOND FUND SERVICES</t>
  </si>
  <si>
    <t xml:space="preserve">OPTIPLEX 7040, MONITOR, </t>
  </si>
  <si>
    <t>699-00-2110.15-000-600000</t>
  </si>
  <si>
    <t>AUG SETTLEMENT SERVICES</t>
  </si>
  <si>
    <t xml:space="preserve">$13M BOND/2010 MAINT TAX </t>
  </si>
  <si>
    <t>699-81-6629.TC-041-699230</t>
  </si>
  <si>
    <t xml:space="preserve">SEPT SETTLEMENT </t>
  </si>
  <si>
    <t>699-81-6629.TC-041-699200</t>
  </si>
  <si>
    <t xml:space="preserve">TENNIS COURT </t>
  </si>
  <si>
    <t>OCT SETTLEMENT SERVICES</t>
  </si>
  <si>
    <t>NOV SETTLEMENT SERVICES</t>
  </si>
  <si>
    <t>TENNIS CRT 10/6/15-10/7/15</t>
  </si>
  <si>
    <t>DEC SETTLEMENT SERVICES</t>
  </si>
  <si>
    <t>JAN SETTLEMENT SERVICES</t>
  </si>
  <si>
    <t>FEB SETTLEMENT SERVICES</t>
  </si>
  <si>
    <t>TENNIS CRT 2/4/16-2/17/16</t>
  </si>
  <si>
    <t>MAR SETTLEMENT SERVICES</t>
  </si>
  <si>
    <t>TENNIS CRT 2/26/16-3/4/16</t>
  </si>
  <si>
    <t>APR SETTLEMENT SERVICES</t>
  </si>
  <si>
    <t>TENNIS CRT 4/13//16</t>
  </si>
  <si>
    <t>699-81-6629.TC-041-699210</t>
  </si>
  <si>
    <t>699-81-6629.TC-041-699220</t>
  </si>
  <si>
    <t>699-81-6629.TC-041-699240</t>
  </si>
  <si>
    <t>MAY SETTLEMENT SERVICES</t>
  </si>
  <si>
    <t>TENNIS CRT 5/10/16</t>
  </si>
  <si>
    <t>JUN SETTLEMENT SERVICES</t>
  </si>
  <si>
    <t>699-51-6219.00-041-699020</t>
  </si>
  <si>
    <t>MIDDLE SCHOOL DRAINAGE</t>
  </si>
  <si>
    <t xml:space="preserve">RE-CONSTRUCTION </t>
  </si>
  <si>
    <t xml:space="preserve">ELEVATION SURVEY TENNIS </t>
  </si>
  <si>
    <t>749-11-6649.01-101-611000</t>
  </si>
  <si>
    <t>ENTERPRISE - TMPM</t>
  </si>
  <si>
    <t>749-61-6399.00-104-699000</t>
  </si>
  <si>
    <t>PEERLESS CART</t>
  </si>
  <si>
    <t>749-61-6399.00-101-699000</t>
  </si>
  <si>
    <t>1/2 MILE BULLHORNS</t>
  </si>
  <si>
    <t>TMPM SPORT SUPPLIES</t>
  </si>
  <si>
    <t xml:space="preserve">GLOBAL INNOVATIONS </t>
  </si>
  <si>
    <t>HINGES</t>
  </si>
  <si>
    <t>WAGON</t>
  </si>
  <si>
    <t>SNAP SHOT DAY INCENTIVE</t>
  </si>
  <si>
    <t>FOLDING MAT</t>
  </si>
  <si>
    <t>RADIO REPAIRS</t>
  </si>
  <si>
    <t>SNAPSHOT PROMOTE</t>
  </si>
  <si>
    <t>TMPM SUPPLIES</t>
  </si>
  <si>
    <t>749-51-6319.MC-101-699000</t>
  </si>
  <si>
    <t xml:space="preserve">WAR CATS TAEKWON-DO, </t>
  </si>
  <si>
    <t>749-36-6299.02-104-699000</t>
  </si>
  <si>
    <t>11/3/16-12/4/15</t>
  </si>
  <si>
    <t>AMANDA SILVAS</t>
  </si>
  <si>
    <t>12/7/15-12/11/15</t>
  </si>
  <si>
    <t>1/4/16-1/29/16</t>
  </si>
  <si>
    <t>SQUARE CHIP READER</t>
  </si>
  <si>
    <t>CHIP CARD READER</t>
  </si>
  <si>
    <t>2/1/16-3/24/16</t>
  </si>
  <si>
    <t xml:space="preserve">TROPHY PLATES </t>
  </si>
  <si>
    <t>JUMP DAY 5/18/16</t>
  </si>
  <si>
    <t>CRAFTS</t>
  </si>
  <si>
    <t>3/28/16-5/6/16</t>
  </si>
  <si>
    <t>CENTRAL PRODUCTS LLC</t>
  </si>
  <si>
    <t>749-61-6649.00-104-699000</t>
  </si>
  <si>
    <t>POPPER 8OZ JETSTAR</t>
  </si>
  <si>
    <t>TMPM PARTY PACK 5/18/16</t>
  </si>
  <si>
    <t>LERMA, GEORGE</t>
  </si>
  <si>
    <t>WEBCAM &amp; TRIPOD</t>
  </si>
  <si>
    <t>749-61-6145.01-101-699000</t>
  </si>
  <si>
    <t>749-61-6145.01-104-699000</t>
  </si>
  <si>
    <t>SCHOOL COMP</t>
  </si>
  <si>
    <t>753-00-2110.15-000-600000</t>
  </si>
  <si>
    <t>AUG 2015 CLAIMS COST</t>
  </si>
  <si>
    <t xml:space="preserve">WORKER'S COMP SELF </t>
  </si>
  <si>
    <t>753-41-6299.00-750-699000</t>
  </si>
  <si>
    <t xml:space="preserve">1ST QUARTERLY </t>
  </si>
  <si>
    <t>WORKERS COMPENSATION</t>
  </si>
  <si>
    <t>753-41-6429.02-750-699000</t>
  </si>
  <si>
    <t xml:space="preserve">EXCESS INSURANCE </t>
  </si>
  <si>
    <t>753-41-6429.00-750-699000</t>
  </si>
  <si>
    <t>SEPT 2015 CLAMIS COST</t>
  </si>
  <si>
    <t xml:space="preserve">2ND QUARTERLY </t>
  </si>
  <si>
    <t>OCT 2015 CLAIMS COST</t>
  </si>
  <si>
    <t>NOV 2015 CLAIMS COST</t>
  </si>
  <si>
    <t>DEC 2015 CLAIM COST</t>
  </si>
  <si>
    <t>753-41-6429.03-750-699000</t>
  </si>
  <si>
    <t>2016 POOL RECONCILIATION</t>
  </si>
  <si>
    <t xml:space="preserve">3RD QUARTERLY </t>
  </si>
  <si>
    <t>JAN 2016 CLAIM COST</t>
  </si>
  <si>
    <t>FEB 2016 CLAIM COST</t>
  </si>
  <si>
    <t>MAR 2016 CLAIMS COST</t>
  </si>
  <si>
    <t>APR 2016 CLAIMS COST</t>
  </si>
  <si>
    <t xml:space="preserve">4TH QUARTERLY </t>
  </si>
  <si>
    <t>MAY 2016 CLAIMS COST</t>
  </si>
  <si>
    <t>JUNE 2016 CLAIM COST</t>
  </si>
  <si>
    <t>JULY 2016 CLAIM COST</t>
  </si>
  <si>
    <t>865-36-6399.8T-001-699000</t>
  </si>
  <si>
    <t>HOMECOMING DANCE DJ</t>
  </si>
  <si>
    <t xml:space="preserve">STUDENT ACTIVITY </t>
  </si>
  <si>
    <t>865-36-6399.7K-041-699000</t>
  </si>
  <si>
    <t>865-00-2110.15-000-600000</t>
  </si>
  <si>
    <t>WORKBOOKS</t>
  </si>
  <si>
    <t>MAJESTIC THEATRE</t>
  </si>
  <si>
    <t>865-36-6399.7E-041-699000</t>
  </si>
  <si>
    <t>CHOIR @ SA 10/18/15</t>
  </si>
  <si>
    <t>CHOIR @ SA 11/8/15</t>
  </si>
  <si>
    <t>TASC THRIST</t>
  </si>
  <si>
    <t>865-36-6399.8P-041-699000</t>
  </si>
  <si>
    <t xml:space="preserve">CONCESSION VB CALALLEN </t>
  </si>
  <si>
    <t>865-36-6399.7B-041-699000</t>
  </si>
  <si>
    <t xml:space="preserve">VB TOURN 9/19/15 </t>
  </si>
  <si>
    <t>CLUBB, SHANNON</t>
  </si>
  <si>
    <t>865-36-6399.30-002-699000</t>
  </si>
  <si>
    <t>HOMECOMING SHIRTS</t>
  </si>
  <si>
    <t>865-36-6399.8T-041-699000</t>
  </si>
  <si>
    <t>865-36-6399.V8-001-699000</t>
  </si>
  <si>
    <t>ACEPROMAZINE</t>
  </si>
  <si>
    <t>865-36-6399.30-101-699000</t>
  </si>
  <si>
    <t xml:space="preserve">COOKIE DOUGH </t>
  </si>
  <si>
    <t>865-36-6399.99-001-691000</t>
  </si>
  <si>
    <t>PRESEASON POLOS</t>
  </si>
  <si>
    <t>865-36-6399.VB-001-699000</t>
  </si>
  <si>
    <t>BPA TSHIRTS</t>
  </si>
  <si>
    <t>865-36-6399.8P-001-699000</t>
  </si>
  <si>
    <t>HOMECOMING GAMES 10/2/15</t>
  </si>
  <si>
    <t xml:space="preserve">SPEECH TOURN @ KATY OCT </t>
  </si>
  <si>
    <t>KATY ISD</t>
  </si>
  <si>
    <t xml:space="preserve">MAINT WORKERS LUNCH  </t>
  </si>
  <si>
    <t>BPA FUNDRAISING SUPPLIES</t>
  </si>
  <si>
    <t>865-36-6399.8E-041-699000</t>
  </si>
  <si>
    <t>CLASS OF 20,21,22 TSHIRTS</t>
  </si>
  <si>
    <t>865-36-6399.RC-001-699000</t>
  </si>
  <si>
    <t xml:space="preserve">INTERNATIONAL STUDIES </t>
  </si>
  <si>
    <t>865-36-6495.VL-001-699000</t>
  </si>
  <si>
    <t>DECA DUES</t>
  </si>
  <si>
    <t>FFA SUPPLIES</t>
  </si>
  <si>
    <t>CHOIR TSHIRT</t>
  </si>
  <si>
    <t>NIKE TEXTURED DRIFIT</t>
  </si>
  <si>
    <t>NIKE MENS AIR ZOOM</t>
  </si>
  <si>
    <t xml:space="preserve">THEATRE REHEARSALS </t>
  </si>
  <si>
    <t xml:space="preserve">VB ALICE 10/12/15 </t>
  </si>
  <si>
    <t xml:space="preserve">VB GRANT 10/19/15 </t>
  </si>
  <si>
    <t>GILDAN TSHRITS</t>
  </si>
  <si>
    <t>865-36-6399.H5-001-699000</t>
  </si>
  <si>
    <t>CHAPTER AFFILIATION</t>
  </si>
  <si>
    <t xml:space="preserve">VB FBLUFF 9/28/15 </t>
  </si>
  <si>
    <t>865-36-6399.CW-001-699000</t>
  </si>
  <si>
    <t xml:space="preserve">CREATIVE WRITERS </t>
  </si>
  <si>
    <t>865-34-6399.00-937-699000</t>
  </si>
  <si>
    <t>HALLOWEEN FUNDRAISER</t>
  </si>
  <si>
    <t>THEATRE @ SA 11/14/15</t>
  </si>
  <si>
    <t>SYMPATHY CARD &amp; PLANT</t>
  </si>
  <si>
    <t xml:space="preserve">HOMECOMING DANCE </t>
  </si>
  <si>
    <t xml:space="preserve">ROTARY CLUB MEETING </t>
  </si>
  <si>
    <t xml:space="preserve">LIVESTOCK @ HOUSTON </t>
  </si>
  <si>
    <t>XMAS TREE DECOR</t>
  </si>
  <si>
    <t>BAND FIELD TRIP REFUND</t>
  </si>
  <si>
    <t>THEATER ARTS SUPPLIES</t>
  </si>
  <si>
    <t xml:space="preserve">SAN ANTONIO LIVESTOCK </t>
  </si>
  <si>
    <t>LIVESTOCK SHOW FEB 11-28</t>
  </si>
  <si>
    <t xml:space="preserve">SPANISH CLUB DANCE </t>
  </si>
  <si>
    <t xml:space="preserve">FRESH COUNTRY </t>
  </si>
  <si>
    <t>FFA FOOD FUNDRAISER</t>
  </si>
  <si>
    <t>865-36-6495.V8-001-699000</t>
  </si>
  <si>
    <t>JUNIOR MEMBERSHIP</t>
  </si>
  <si>
    <t>FFA TSHIRTS</t>
  </si>
  <si>
    <t>SPANISH CLUB TSHIRTS</t>
  </si>
  <si>
    <t xml:space="preserve">SPEECH TOURN @ CCISD </t>
  </si>
  <si>
    <t>865-36-6399.02-001-699000</t>
  </si>
  <si>
    <t>ACADEMIC DECA TSHIRTS</t>
  </si>
  <si>
    <t xml:space="preserve">EARN YOUR FEATHERS </t>
  </si>
  <si>
    <t>DRAMATIC PUBLISHING</t>
  </si>
  <si>
    <t>SCAPINO &amp; TRACKS</t>
  </si>
  <si>
    <t>CHOIR FUNDRAISER</t>
  </si>
  <si>
    <t>THANKSGIVING 11/20/15</t>
  </si>
  <si>
    <t xml:space="preserve">UNITED STATES FUNDS FOR </t>
  </si>
  <si>
    <t>BPA DONATION</t>
  </si>
  <si>
    <t>865-36-6399.VL-001-699000</t>
  </si>
  <si>
    <t>DECA DONATION</t>
  </si>
  <si>
    <t>865-36-6399.07-041-699000</t>
  </si>
  <si>
    <t>7TH GRADE INCENTIVES</t>
  </si>
  <si>
    <t xml:space="preserve">NEEDY FAMILIES TURKEY </t>
  </si>
  <si>
    <t>ROTARY TURKEY GIVEAWAY</t>
  </si>
  <si>
    <t xml:space="preserve">ROTARY DINNER MEETING </t>
  </si>
  <si>
    <t>HOSA ONLINE TESTING</t>
  </si>
  <si>
    <t xml:space="preserve">RODEO ADMIN &amp; DONATION </t>
  </si>
  <si>
    <t>GARMENT BAGS</t>
  </si>
  <si>
    <t xml:space="preserve">CLARINET, SAX &amp; OBOE </t>
  </si>
  <si>
    <t>BIG TIME FUNDRAISING</t>
  </si>
  <si>
    <t xml:space="preserve">DISCOUNT CARDS </t>
  </si>
  <si>
    <t>NIKE DRIFIT ZIP TOPS</t>
  </si>
  <si>
    <t>865-36-6495.VB-001-699000</t>
  </si>
  <si>
    <t xml:space="preserve">NATIONAL/STATE </t>
  </si>
  <si>
    <t>STUDENT THANKSGIVING</t>
  </si>
  <si>
    <t>ACAD SUPPLIES</t>
  </si>
  <si>
    <t>Katy Competition</t>
  </si>
  <si>
    <t xml:space="preserve">ACADEMIC DECATH </t>
  </si>
  <si>
    <t>865-36-6399.8E-001-699000</t>
  </si>
  <si>
    <t>NHS MEETING</t>
  </si>
  <si>
    <t>SECRET SANTA BREAKFAST</t>
  </si>
  <si>
    <t>PO Created by Req: 602036</t>
  </si>
  <si>
    <t>STUDENT COUNCIL TSHIRTS</t>
  </si>
  <si>
    <t>PASF OF TEXAS</t>
  </si>
  <si>
    <t>865-36-6412.8P-001-699000</t>
  </si>
  <si>
    <t xml:space="preserve">SPAN CONVENTION @ SA </t>
  </si>
  <si>
    <t>EOC TESTING SNACKS</t>
  </si>
  <si>
    <t xml:space="preserve">DAVID'S MOTHER ACTING </t>
  </si>
  <si>
    <t>8TH GRADE DANCE 5/8/15</t>
  </si>
  <si>
    <t>VINYL VOICE PARTS</t>
  </si>
  <si>
    <t>OFYP CELEBRATION DEC 14-</t>
  </si>
  <si>
    <t>OFYP</t>
  </si>
  <si>
    <t>865-36-6399.7A-041-699000</t>
  </si>
  <si>
    <t>AUCTION ITEMS</t>
  </si>
  <si>
    <t>STUDY SUPPLIES</t>
  </si>
  <si>
    <t xml:space="preserve">STATE CONVENTION @ SA </t>
  </si>
  <si>
    <t>CANTU, HERMELINDA</t>
  </si>
  <si>
    <t>CHOIR @ SA 4/6/16</t>
  </si>
  <si>
    <t>GOLD GRADUATION STOLES</t>
  </si>
  <si>
    <t xml:space="preserve">DECA PRACTICE MEET </t>
  </si>
  <si>
    <t>PHARMACY TSHIRTS</t>
  </si>
  <si>
    <t>HOSA TSHIRTS</t>
  </si>
  <si>
    <t>865-36-6399.PH-001-699000</t>
  </si>
  <si>
    <t>865-36-6399.06-041-699000</t>
  </si>
  <si>
    <t>6TH PASS N PLAY</t>
  </si>
  <si>
    <t>CUPS</t>
  </si>
  <si>
    <t>BPA CONCESSION</t>
  </si>
  <si>
    <t>DEBRA VANZANDT</t>
  </si>
  <si>
    <t>HEART &amp; ROSE BALLOONS</t>
  </si>
  <si>
    <t>865-36-6399.92-001-699000</t>
  </si>
  <si>
    <t>COFFEE</t>
  </si>
  <si>
    <t>865-36-6399.H4-001-699000</t>
  </si>
  <si>
    <t>ECO WARRIORS</t>
  </si>
  <si>
    <t>COLLAGE &amp; CHILI COOKOFF</t>
  </si>
  <si>
    <t>SCHOOL STORE SUPPLIES</t>
  </si>
  <si>
    <t>COLOR ROSES</t>
  </si>
  <si>
    <t>SOUND VIBRATIONS</t>
  </si>
  <si>
    <t>CHOIR INSTRUMENTS</t>
  </si>
  <si>
    <t>COOKIES FOR STAFF LUNCH</t>
  </si>
  <si>
    <t xml:space="preserve">FUNDRIASER &amp; FIELD TRIP </t>
  </si>
  <si>
    <t>SIX FLAGS FIESTA TEXAS</t>
  </si>
  <si>
    <t>6TH GRD PASS N PLAY</t>
  </si>
  <si>
    <t>CHILI COOKOFF 3/3/16</t>
  </si>
  <si>
    <t>FABRIC, FLORAL &amp; CRAFTS</t>
  </si>
  <si>
    <t xml:space="preserve">RECRUITMENT MEETING </t>
  </si>
  <si>
    <t>PARENT MEETING 3/7/16</t>
  </si>
  <si>
    <t>SCHOOL PRO SHARPENER</t>
  </si>
  <si>
    <t>LITTLE CAESAR'S PIZZA KIT</t>
  </si>
  <si>
    <t>865-36-6399.7C-041-699000</t>
  </si>
  <si>
    <t>PIZZA KIT FUNDRAISING</t>
  </si>
  <si>
    <t>TWIST TIES &amp; PARTY BAGS</t>
  </si>
  <si>
    <t>SALINAS CATERING</t>
  </si>
  <si>
    <t>FFA BANQUET 4/15/16</t>
  </si>
  <si>
    <t>NORA GARCIA</t>
  </si>
  <si>
    <t>865-36-6412.8T-001-699000</t>
  </si>
  <si>
    <t>SCHOOL STORE &amp; MEETINGS</t>
  </si>
  <si>
    <t xml:space="preserve">ROSES, GYPSOPHILA &amp; </t>
  </si>
  <si>
    <t>MERCHANDISE RETURNED</t>
  </si>
  <si>
    <t>THEATER @ SA 5/7/16</t>
  </si>
  <si>
    <t>GRADUATION CORDS &amp; PINS</t>
  </si>
  <si>
    <t>LAMAR GARCIA</t>
  </si>
  <si>
    <t>SPANISH SUPPLIES</t>
  </si>
  <si>
    <t xml:space="preserve">MS CLOSE CLOSET </t>
  </si>
  <si>
    <t>865-36-6399.48-001-699000</t>
  </si>
  <si>
    <t>CUPCAKES &amp; FLOWERS</t>
  </si>
  <si>
    <t>NJHS DRINKS</t>
  </si>
  <si>
    <t>SEITZ GIFT FRUIT, LLC</t>
  </si>
  <si>
    <t>FFA FUNDRAISER</t>
  </si>
  <si>
    <t>NSH TSHIRT</t>
  </si>
  <si>
    <t>FIELD DAY LUNCH</t>
  </si>
  <si>
    <t>BAD ROSES</t>
  </si>
  <si>
    <t>5X7 PLAQUES</t>
  </si>
  <si>
    <t>CICI'S PIZZA #561</t>
  </si>
  <si>
    <t>NHS STOLES</t>
  </si>
  <si>
    <t>7/1/15-6/30/16</t>
  </si>
  <si>
    <t xml:space="preserve">INTERVIES 4/25/16 &amp; </t>
  </si>
  <si>
    <t>TEST ADMINISTRATION 4/9/16</t>
  </si>
  <si>
    <t xml:space="preserve">INTER STUDY @ ITALY JUN </t>
  </si>
  <si>
    <t>CHOIR @ SA 5/20/16</t>
  </si>
  <si>
    <t>UNIVERSITY OF TEXAS AT</t>
  </si>
  <si>
    <t xml:space="preserve">NATIONAL HONOR </t>
  </si>
  <si>
    <t>TABLE CLOTHS</t>
  </si>
  <si>
    <t>BANQUET SUPPLIES</t>
  </si>
  <si>
    <t>INCORRECT ACCT/PERIOD</t>
  </si>
  <si>
    <t>CHOIR @ SA 4/30/16</t>
  </si>
  <si>
    <t>NHS GRADUATION ITEMS</t>
  </si>
  <si>
    <t xml:space="preserve">BUTLER SIGNATURE EVENTS, </t>
  </si>
  <si>
    <t>8TH GRD DANCE 5/13/16</t>
  </si>
  <si>
    <t>865-36-6399.08-041-699000</t>
  </si>
  <si>
    <t>8TH GRD DANCE 5/19/16</t>
  </si>
  <si>
    <t>BROOKS BEAST</t>
  </si>
  <si>
    <t>MAINT LUNCH</t>
  </si>
  <si>
    <t>PRINT SHOP LUNCH</t>
  </si>
  <si>
    <t>ADMINISTRATION DAY 4/28/16</t>
  </si>
  <si>
    <t>ADMINISTRATION DAY 5/5/16</t>
  </si>
  <si>
    <t>NJHS SUPPLIES</t>
  </si>
  <si>
    <t>8TH GRADE DANCE</t>
  </si>
  <si>
    <t>8TH GRADE LOCK IN</t>
  </si>
  <si>
    <t>BAND TRIP REFUND</t>
  </si>
  <si>
    <t>SONG OF MYSELF</t>
  </si>
  <si>
    <t xml:space="preserve">FOOD ITEMS FOR </t>
  </si>
  <si>
    <t>2 MICROWAVES</t>
  </si>
  <si>
    <t>STUDENT TSHIRTS</t>
  </si>
  <si>
    <t>PHOTOBOOTH SERVICES</t>
  </si>
  <si>
    <t>SIX FLAGS @ SA MAY 25, 2016</t>
  </si>
  <si>
    <t>SIX FLAGS @ SA MAY 23, 2016</t>
  </si>
  <si>
    <t xml:space="preserve">LUNCH SNACKS FOR </t>
  </si>
  <si>
    <t>FFA SUPLIES</t>
  </si>
  <si>
    <t>PRO HEATHER TEE</t>
  </si>
  <si>
    <t>POMS</t>
  </si>
  <si>
    <t>Check Date</t>
  </si>
  <si>
    <t>Check Number</t>
  </si>
  <si>
    <t>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</si>
</sst>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7" fontId="0" fillId="0" borderId="0" xfId="0" applyNumberFormat="1"/>
    <xf numFmtId="14" fontId="0" fillId="0" borderId="0" xfId="0" applyNumberFormat="1"/>
    <xf numFmtId="43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83"/>
  <sheetViews>
    <sheetView tabSelected="1" workbookViewId="0">
      <selection activeCell="G11" sqref="G11"/>
    </sheetView>
  </sheetViews>
  <sheetFormatPr defaultRowHeight="15" x14ac:dyDescent="0.25"/>
  <cols>
    <col min="1" max="1" width="10.85546875" bestFit="1" customWidth="1"/>
    <col min="2" max="2" width="14.140625" bestFit="1" customWidth="1"/>
    <col min="3" max="3" width="10.7109375" bestFit="1" customWidth="1"/>
    <col min="4" max="4" width="28.140625" bestFit="1" customWidth="1"/>
    <col min="5" max="5" width="15.140625" style="3" bestFit="1" customWidth="1"/>
    <col min="6" max="6" width="9" bestFit="1" customWidth="1"/>
    <col min="7" max="7" width="26.28515625" bestFit="1" customWidth="1"/>
    <col min="8" max="8" width="29.7109375" bestFit="1" customWidth="1"/>
    <col min="9" max="9" width="7.85546875" bestFit="1" customWidth="1"/>
    <col min="10" max="10" width="27.5703125" bestFit="1" customWidth="1"/>
    <col min="11" max="11" width="26.42578125" bestFit="1" customWidth="1"/>
    <col min="12" max="12" width="7.42578125" bestFit="1" customWidth="1"/>
    <col min="13" max="13" width="7.85546875" bestFit="1" customWidth="1"/>
    <col min="14" max="14" width="3.5703125" bestFit="1" customWidth="1"/>
  </cols>
  <sheetData>
    <row r="1" spans="1:14" x14ac:dyDescent="0.25">
      <c r="A1" t="s">
        <v>8534</v>
      </c>
      <c r="B1" t="s">
        <v>8535</v>
      </c>
      <c r="C1" t="s">
        <v>0</v>
      </c>
      <c r="D1" t="s">
        <v>1</v>
      </c>
      <c r="E1" s="3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8536</v>
      </c>
    </row>
    <row r="2" spans="1:14" x14ac:dyDescent="0.25">
      <c r="A2">
        <v>20150911</v>
      </c>
      <c r="B2" t="str">
        <f>"020319"</f>
        <v>020319</v>
      </c>
      <c r="C2" t="str">
        <f>"04831"</f>
        <v>04831</v>
      </c>
      <c r="D2" t="s">
        <v>11</v>
      </c>
      <c r="E2" s="3">
        <v>64.73</v>
      </c>
      <c r="F2">
        <v>20150911</v>
      </c>
      <c r="G2" t="s">
        <v>13</v>
      </c>
      <c r="H2" t="s">
        <v>14</v>
      </c>
      <c r="I2">
        <v>0</v>
      </c>
      <c r="J2" t="s">
        <v>15</v>
      </c>
      <c r="K2" t="s">
        <v>16</v>
      </c>
      <c r="L2" t="s">
        <v>17</v>
      </c>
      <c r="M2" t="str">
        <f t="shared" ref="M2:M33" si="0">"09"</f>
        <v>09</v>
      </c>
      <c r="N2" t="s">
        <v>12</v>
      </c>
    </row>
    <row r="3" spans="1:14" x14ac:dyDescent="0.25">
      <c r="A3">
        <v>20150911</v>
      </c>
      <c r="B3" t="str">
        <f>"020320"</f>
        <v>020320</v>
      </c>
      <c r="C3" t="str">
        <f>"04905"</f>
        <v>04905</v>
      </c>
      <c r="D3" t="s">
        <v>18</v>
      </c>
      <c r="E3" s="3">
        <v>33.85</v>
      </c>
      <c r="F3">
        <v>20150911</v>
      </c>
      <c r="G3" t="s">
        <v>19</v>
      </c>
      <c r="H3" t="s">
        <v>20</v>
      </c>
      <c r="I3">
        <v>0</v>
      </c>
      <c r="J3" t="s">
        <v>15</v>
      </c>
      <c r="K3" t="s">
        <v>21</v>
      </c>
      <c r="L3" t="s">
        <v>17</v>
      </c>
      <c r="M3" t="str">
        <f t="shared" si="0"/>
        <v>09</v>
      </c>
      <c r="N3" t="s">
        <v>12</v>
      </c>
    </row>
    <row r="4" spans="1:14" x14ac:dyDescent="0.25">
      <c r="A4">
        <v>20150911</v>
      </c>
      <c r="B4" t="str">
        <f>"020321"</f>
        <v>020321</v>
      </c>
      <c r="C4" t="str">
        <f>"07710"</f>
        <v>07710</v>
      </c>
      <c r="D4" t="s">
        <v>22</v>
      </c>
      <c r="E4" s="3">
        <v>6.67</v>
      </c>
      <c r="F4">
        <v>20150911</v>
      </c>
      <c r="G4" t="s">
        <v>23</v>
      </c>
      <c r="H4" t="s">
        <v>20</v>
      </c>
      <c r="I4">
        <v>0</v>
      </c>
      <c r="J4" t="s">
        <v>15</v>
      </c>
      <c r="K4" t="s">
        <v>24</v>
      </c>
      <c r="L4" t="s">
        <v>17</v>
      </c>
      <c r="M4" t="str">
        <f t="shared" si="0"/>
        <v>09</v>
      </c>
      <c r="N4" t="s">
        <v>12</v>
      </c>
    </row>
    <row r="5" spans="1:14" x14ac:dyDescent="0.25">
      <c r="A5">
        <v>20150911</v>
      </c>
      <c r="B5" t="str">
        <f>"020322"</f>
        <v>020322</v>
      </c>
      <c r="C5" t="str">
        <f>"07880"</f>
        <v>07880</v>
      </c>
      <c r="D5" t="s">
        <v>25</v>
      </c>
      <c r="E5" s="3">
        <v>138.46</v>
      </c>
      <c r="F5">
        <v>20150911</v>
      </c>
      <c r="G5" t="s">
        <v>26</v>
      </c>
      <c r="H5" t="s">
        <v>20</v>
      </c>
      <c r="I5">
        <v>0</v>
      </c>
      <c r="J5" t="s">
        <v>15</v>
      </c>
      <c r="K5" t="s">
        <v>27</v>
      </c>
      <c r="L5" t="s">
        <v>17</v>
      </c>
      <c r="M5" t="str">
        <f t="shared" si="0"/>
        <v>09</v>
      </c>
      <c r="N5" t="s">
        <v>12</v>
      </c>
    </row>
    <row r="6" spans="1:14" x14ac:dyDescent="0.25">
      <c r="A6">
        <v>20150911</v>
      </c>
      <c r="B6" t="str">
        <f>"020323"</f>
        <v>020323</v>
      </c>
      <c r="C6" t="str">
        <f>"11211"</f>
        <v>11211</v>
      </c>
      <c r="D6" t="s">
        <v>28</v>
      </c>
      <c r="E6" s="3">
        <v>146.85</v>
      </c>
      <c r="F6">
        <v>20150911</v>
      </c>
      <c r="G6" t="s">
        <v>29</v>
      </c>
      <c r="H6" t="s">
        <v>14</v>
      </c>
      <c r="I6">
        <v>0</v>
      </c>
      <c r="J6" t="s">
        <v>15</v>
      </c>
      <c r="K6" t="s">
        <v>30</v>
      </c>
      <c r="L6" t="s">
        <v>17</v>
      </c>
      <c r="M6" t="str">
        <f t="shared" si="0"/>
        <v>09</v>
      </c>
      <c r="N6" t="s">
        <v>12</v>
      </c>
    </row>
    <row r="7" spans="1:14" x14ac:dyDescent="0.25">
      <c r="A7">
        <v>20150911</v>
      </c>
      <c r="B7" t="str">
        <f>"020324"</f>
        <v>020324</v>
      </c>
      <c r="C7" t="str">
        <f>"14177"</f>
        <v>14177</v>
      </c>
      <c r="D7" t="s">
        <v>31</v>
      </c>
      <c r="E7" s="3">
        <v>25</v>
      </c>
      <c r="F7">
        <v>20150911</v>
      </c>
      <c r="G7" t="s">
        <v>32</v>
      </c>
      <c r="H7" t="s">
        <v>20</v>
      </c>
      <c r="I7">
        <v>0</v>
      </c>
      <c r="J7" t="s">
        <v>15</v>
      </c>
      <c r="K7" t="s">
        <v>33</v>
      </c>
      <c r="L7" t="s">
        <v>17</v>
      </c>
      <c r="M7" t="str">
        <f t="shared" si="0"/>
        <v>09</v>
      </c>
      <c r="N7" t="s">
        <v>12</v>
      </c>
    </row>
    <row r="8" spans="1:14" x14ac:dyDescent="0.25">
      <c r="A8">
        <v>20150911</v>
      </c>
      <c r="B8" t="str">
        <f>"020325"</f>
        <v>020325</v>
      </c>
      <c r="C8" t="str">
        <f>"21503"</f>
        <v>21503</v>
      </c>
      <c r="D8" t="s">
        <v>34</v>
      </c>
      <c r="E8" s="3">
        <v>11.8</v>
      </c>
      <c r="F8">
        <v>20150911</v>
      </c>
      <c r="G8" t="s">
        <v>35</v>
      </c>
      <c r="H8" t="s">
        <v>14</v>
      </c>
      <c r="I8">
        <v>0</v>
      </c>
      <c r="J8" t="s">
        <v>15</v>
      </c>
      <c r="K8" t="s">
        <v>36</v>
      </c>
      <c r="L8" t="s">
        <v>17</v>
      </c>
      <c r="M8" t="str">
        <f t="shared" si="0"/>
        <v>09</v>
      </c>
      <c r="N8" t="s">
        <v>12</v>
      </c>
    </row>
    <row r="9" spans="1:14" x14ac:dyDescent="0.25">
      <c r="A9">
        <v>20150911</v>
      </c>
      <c r="B9" t="str">
        <f>"020326"</f>
        <v>020326</v>
      </c>
      <c r="C9" t="str">
        <f>"21506"</f>
        <v>21506</v>
      </c>
      <c r="D9" t="s">
        <v>34</v>
      </c>
      <c r="E9" s="3">
        <v>8.5</v>
      </c>
      <c r="F9">
        <v>20150911</v>
      </c>
      <c r="G9" t="s">
        <v>37</v>
      </c>
      <c r="H9" t="s">
        <v>14</v>
      </c>
      <c r="I9">
        <v>0</v>
      </c>
      <c r="J9" t="s">
        <v>15</v>
      </c>
      <c r="K9" t="s">
        <v>38</v>
      </c>
      <c r="L9" t="s">
        <v>17</v>
      </c>
      <c r="M9" t="str">
        <f t="shared" si="0"/>
        <v>09</v>
      </c>
      <c r="N9" t="s">
        <v>12</v>
      </c>
    </row>
    <row r="10" spans="1:14" x14ac:dyDescent="0.25">
      <c r="A10">
        <v>20150911</v>
      </c>
      <c r="B10" t="str">
        <f>"020327"</f>
        <v>020327</v>
      </c>
      <c r="C10" t="str">
        <f>"24960"</f>
        <v>24960</v>
      </c>
      <c r="D10" t="s">
        <v>39</v>
      </c>
      <c r="E10" s="3">
        <v>226.87</v>
      </c>
      <c r="F10">
        <v>20150911</v>
      </c>
      <c r="G10" t="s">
        <v>40</v>
      </c>
      <c r="H10" t="s">
        <v>41</v>
      </c>
      <c r="I10">
        <v>0</v>
      </c>
      <c r="J10" t="s">
        <v>15</v>
      </c>
      <c r="K10" t="s">
        <v>42</v>
      </c>
      <c r="L10" t="s">
        <v>17</v>
      </c>
      <c r="M10" t="str">
        <f t="shared" si="0"/>
        <v>09</v>
      </c>
      <c r="N10" t="s">
        <v>12</v>
      </c>
    </row>
    <row r="11" spans="1:14" x14ac:dyDescent="0.25">
      <c r="A11">
        <v>20150911</v>
      </c>
      <c r="B11" t="str">
        <f>"020328"</f>
        <v>020328</v>
      </c>
      <c r="C11" t="str">
        <f>"42245"</f>
        <v>42245</v>
      </c>
      <c r="D11" t="s">
        <v>43</v>
      </c>
      <c r="E11" s="3">
        <v>436.05</v>
      </c>
      <c r="F11">
        <v>20150911</v>
      </c>
      <c r="G11" t="s">
        <v>44</v>
      </c>
      <c r="H11" t="s">
        <v>14</v>
      </c>
      <c r="I11">
        <v>0</v>
      </c>
      <c r="J11" t="s">
        <v>15</v>
      </c>
      <c r="K11" t="s">
        <v>45</v>
      </c>
      <c r="L11" t="s">
        <v>17</v>
      </c>
      <c r="M11" t="str">
        <f t="shared" si="0"/>
        <v>09</v>
      </c>
      <c r="N11" t="s">
        <v>12</v>
      </c>
    </row>
    <row r="12" spans="1:14" x14ac:dyDescent="0.25">
      <c r="A12">
        <v>20150911</v>
      </c>
      <c r="B12" t="str">
        <f>"020329"</f>
        <v>020329</v>
      </c>
      <c r="C12" t="str">
        <f>"48947"</f>
        <v>48947</v>
      </c>
      <c r="D12" t="s">
        <v>46</v>
      </c>
      <c r="E12" s="3">
        <v>39.01</v>
      </c>
      <c r="F12">
        <v>20150911</v>
      </c>
      <c r="G12" t="s">
        <v>47</v>
      </c>
      <c r="H12" t="s">
        <v>41</v>
      </c>
      <c r="I12">
        <v>0</v>
      </c>
      <c r="J12" t="s">
        <v>15</v>
      </c>
      <c r="K12" t="s">
        <v>48</v>
      </c>
      <c r="L12" t="s">
        <v>17</v>
      </c>
      <c r="M12" t="str">
        <f t="shared" si="0"/>
        <v>09</v>
      </c>
      <c r="N12" t="s">
        <v>12</v>
      </c>
    </row>
    <row r="13" spans="1:14" x14ac:dyDescent="0.25">
      <c r="A13">
        <v>20150911</v>
      </c>
      <c r="B13" t="str">
        <f>"020330"</f>
        <v>020330</v>
      </c>
      <c r="C13" t="str">
        <f>"54196"</f>
        <v>54196</v>
      </c>
      <c r="D13" t="s">
        <v>49</v>
      </c>
      <c r="E13" s="3">
        <v>50</v>
      </c>
      <c r="F13">
        <v>20150911</v>
      </c>
      <c r="G13" t="s">
        <v>50</v>
      </c>
      <c r="H13" t="s">
        <v>51</v>
      </c>
      <c r="I13">
        <v>0</v>
      </c>
      <c r="J13" t="s">
        <v>15</v>
      </c>
      <c r="K13" t="s">
        <v>52</v>
      </c>
      <c r="L13" t="s">
        <v>17</v>
      </c>
      <c r="M13" t="str">
        <f t="shared" si="0"/>
        <v>09</v>
      </c>
      <c r="N13" t="s">
        <v>12</v>
      </c>
    </row>
    <row r="14" spans="1:14" x14ac:dyDescent="0.25">
      <c r="A14">
        <v>20150911</v>
      </c>
      <c r="B14" t="str">
        <f>"020331"</f>
        <v>020331</v>
      </c>
      <c r="C14" t="str">
        <f>"72601"</f>
        <v>72601</v>
      </c>
      <c r="D14" t="s">
        <v>53</v>
      </c>
      <c r="E14" s="3">
        <v>241.62</v>
      </c>
      <c r="F14">
        <v>20150911</v>
      </c>
      <c r="G14" t="s">
        <v>54</v>
      </c>
      <c r="H14" t="s">
        <v>20</v>
      </c>
      <c r="I14">
        <v>0</v>
      </c>
      <c r="J14" t="s">
        <v>15</v>
      </c>
      <c r="K14" t="s">
        <v>55</v>
      </c>
      <c r="L14" t="s">
        <v>17</v>
      </c>
      <c r="M14" t="str">
        <f t="shared" si="0"/>
        <v>09</v>
      </c>
      <c r="N14" t="s">
        <v>12</v>
      </c>
    </row>
    <row r="15" spans="1:14" x14ac:dyDescent="0.25">
      <c r="A15">
        <v>20150911</v>
      </c>
      <c r="B15" t="str">
        <f>"020332"</f>
        <v>020332</v>
      </c>
      <c r="C15" t="str">
        <f>"75452"</f>
        <v>75452</v>
      </c>
      <c r="D15" t="s">
        <v>56</v>
      </c>
      <c r="E15" s="3">
        <v>242.51</v>
      </c>
      <c r="F15">
        <v>20150911</v>
      </c>
      <c r="G15" t="s">
        <v>57</v>
      </c>
      <c r="H15" t="s">
        <v>14</v>
      </c>
      <c r="I15">
        <v>0</v>
      </c>
      <c r="J15" t="s">
        <v>15</v>
      </c>
      <c r="K15" t="s">
        <v>58</v>
      </c>
      <c r="L15" t="s">
        <v>17</v>
      </c>
      <c r="M15" t="str">
        <f t="shared" si="0"/>
        <v>09</v>
      </c>
      <c r="N15" t="s">
        <v>12</v>
      </c>
    </row>
    <row r="16" spans="1:14" x14ac:dyDescent="0.25">
      <c r="A16">
        <v>20150911</v>
      </c>
      <c r="B16" t="str">
        <f>"020333"</f>
        <v>020333</v>
      </c>
      <c r="C16" t="str">
        <f>"81173"</f>
        <v>81173</v>
      </c>
      <c r="D16" t="s">
        <v>59</v>
      </c>
      <c r="E16" s="3">
        <v>50</v>
      </c>
      <c r="F16">
        <v>20150911</v>
      </c>
      <c r="G16" t="s">
        <v>60</v>
      </c>
      <c r="H16" t="s">
        <v>20</v>
      </c>
      <c r="I16">
        <v>0</v>
      </c>
      <c r="J16" t="s">
        <v>15</v>
      </c>
      <c r="K16" t="s">
        <v>61</v>
      </c>
      <c r="L16" t="s">
        <v>17</v>
      </c>
      <c r="M16" t="str">
        <f t="shared" si="0"/>
        <v>09</v>
      </c>
      <c r="N16" t="s">
        <v>12</v>
      </c>
    </row>
    <row r="17" spans="1:14" x14ac:dyDescent="0.25">
      <c r="A17">
        <v>20150911</v>
      </c>
      <c r="B17" t="str">
        <f>"020334"</f>
        <v>020334</v>
      </c>
      <c r="C17" t="str">
        <f>"81174"</f>
        <v>81174</v>
      </c>
      <c r="D17" t="s">
        <v>62</v>
      </c>
      <c r="E17" s="3">
        <v>85</v>
      </c>
      <c r="F17">
        <v>20150911</v>
      </c>
      <c r="G17" t="s">
        <v>63</v>
      </c>
      <c r="H17" t="s">
        <v>20</v>
      </c>
      <c r="I17">
        <v>0</v>
      </c>
      <c r="J17" t="s">
        <v>15</v>
      </c>
      <c r="K17" t="s">
        <v>64</v>
      </c>
      <c r="L17" t="s">
        <v>17</v>
      </c>
      <c r="M17" t="str">
        <f t="shared" si="0"/>
        <v>09</v>
      </c>
      <c r="N17" t="s">
        <v>12</v>
      </c>
    </row>
    <row r="18" spans="1:14" x14ac:dyDescent="0.25">
      <c r="A18">
        <v>20150911</v>
      </c>
      <c r="B18" t="str">
        <f>"020335"</f>
        <v>020335</v>
      </c>
      <c r="C18" t="str">
        <f>"81177"</f>
        <v>81177</v>
      </c>
      <c r="D18" t="s">
        <v>65</v>
      </c>
      <c r="E18" s="3">
        <v>133.84</v>
      </c>
      <c r="F18">
        <v>20150911</v>
      </c>
      <c r="G18" t="s">
        <v>66</v>
      </c>
      <c r="H18" t="s">
        <v>20</v>
      </c>
      <c r="I18">
        <v>0</v>
      </c>
      <c r="J18" t="s">
        <v>15</v>
      </c>
      <c r="K18" t="s">
        <v>67</v>
      </c>
      <c r="L18" t="s">
        <v>17</v>
      </c>
      <c r="M18" t="str">
        <f t="shared" si="0"/>
        <v>09</v>
      </c>
      <c r="N18" t="s">
        <v>12</v>
      </c>
    </row>
    <row r="19" spans="1:14" x14ac:dyDescent="0.25">
      <c r="A19">
        <v>20150911</v>
      </c>
      <c r="B19" t="str">
        <f>"020336"</f>
        <v>020336</v>
      </c>
      <c r="C19" t="str">
        <f>"81753"</f>
        <v>81753</v>
      </c>
      <c r="D19" t="s">
        <v>68</v>
      </c>
      <c r="E19" s="3">
        <v>70.12</v>
      </c>
      <c r="F19">
        <v>20150911</v>
      </c>
      <c r="G19" t="s">
        <v>69</v>
      </c>
      <c r="H19" t="s">
        <v>20</v>
      </c>
      <c r="I19">
        <v>0</v>
      </c>
      <c r="J19" t="s">
        <v>15</v>
      </c>
      <c r="K19" t="s">
        <v>68</v>
      </c>
      <c r="L19" t="s">
        <v>17</v>
      </c>
      <c r="M19" t="str">
        <f t="shared" si="0"/>
        <v>09</v>
      </c>
      <c r="N19" t="s">
        <v>12</v>
      </c>
    </row>
    <row r="20" spans="1:14" x14ac:dyDescent="0.25">
      <c r="A20">
        <v>20150915</v>
      </c>
      <c r="B20" t="str">
        <f>"020337"</f>
        <v>020337</v>
      </c>
      <c r="C20" t="str">
        <f>"04831"</f>
        <v>04831</v>
      </c>
      <c r="D20" t="s">
        <v>11</v>
      </c>
      <c r="E20" s="3">
        <v>1203.9100000000001</v>
      </c>
      <c r="F20">
        <v>20150915</v>
      </c>
      <c r="G20" t="s">
        <v>13</v>
      </c>
      <c r="H20" t="s">
        <v>14</v>
      </c>
      <c r="I20">
        <v>0</v>
      </c>
      <c r="J20" t="s">
        <v>15</v>
      </c>
      <c r="K20" t="s">
        <v>16</v>
      </c>
      <c r="L20" t="s">
        <v>17</v>
      </c>
      <c r="M20" t="str">
        <f t="shared" si="0"/>
        <v>09</v>
      </c>
      <c r="N20" t="s">
        <v>12</v>
      </c>
    </row>
    <row r="21" spans="1:14" x14ac:dyDescent="0.25">
      <c r="A21">
        <v>20150915</v>
      </c>
      <c r="B21" t="str">
        <f>"020338"</f>
        <v>020338</v>
      </c>
      <c r="C21" t="str">
        <f>"04905"</f>
        <v>04905</v>
      </c>
      <c r="D21" t="s">
        <v>18</v>
      </c>
      <c r="E21" s="3">
        <v>2837.7</v>
      </c>
      <c r="F21">
        <v>20150915</v>
      </c>
      <c r="G21" t="s">
        <v>19</v>
      </c>
      <c r="H21" t="s">
        <v>20</v>
      </c>
      <c r="I21">
        <v>0</v>
      </c>
      <c r="J21" t="s">
        <v>15</v>
      </c>
      <c r="K21" t="s">
        <v>21</v>
      </c>
      <c r="L21" t="s">
        <v>17</v>
      </c>
      <c r="M21" t="str">
        <f t="shared" si="0"/>
        <v>09</v>
      </c>
      <c r="N21" t="s">
        <v>12</v>
      </c>
    </row>
    <row r="22" spans="1:14" x14ac:dyDescent="0.25">
      <c r="A22">
        <v>20150915</v>
      </c>
      <c r="B22" t="str">
        <f>"020339"</f>
        <v>020339</v>
      </c>
      <c r="C22" t="str">
        <f>"07710"</f>
        <v>07710</v>
      </c>
      <c r="D22" t="s">
        <v>22</v>
      </c>
      <c r="E22" s="3">
        <v>312.92</v>
      </c>
      <c r="F22">
        <v>20150915</v>
      </c>
      <c r="G22" t="s">
        <v>23</v>
      </c>
      <c r="H22" t="s">
        <v>20</v>
      </c>
      <c r="I22">
        <v>0</v>
      </c>
      <c r="J22" t="s">
        <v>15</v>
      </c>
      <c r="K22" t="s">
        <v>24</v>
      </c>
      <c r="L22" t="s">
        <v>17</v>
      </c>
      <c r="M22" t="str">
        <f t="shared" si="0"/>
        <v>09</v>
      </c>
      <c r="N22" t="s">
        <v>12</v>
      </c>
    </row>
    <row r="23" spans="1:14" x14ac:dyDescent="0.25">
      <c r="A23">
        <v>20150915</v>
      </c>
      <c r="B23" t="str">
        <f>"020340"</f>
        <v>020340</v>
      </c>
      <c r="C23" t="str">
        <f>"07880"</f>
        <v>07880</v>
      </c>
      <c r="D23" t="s">
        <v>25</v>
      </c>
      <c r="E23" s="3">
        <v>3995.4</v>
      </c>
      <c r="F23">
        <v>20150915</v>
      </c>
      <c r="G23" t="s">
        <v>26</v>
      </c>
      <c r="H23" t="s">
        <v>20</v>
      </c>
      <c r="I23">
        <v>0</v>
      </c>
      <c r="J23" t="s">
        <v>15</v>
      </c>
      <c r="K23" t="s">
        <v>27</v>
      </c>
      <c r="L23" t="s">
        <v>17</v>
      </c>
      <c r="M23" t="str">
        <f t="shared" si="0"/>
        <v>09</v>
      </c>
      <c r="N23" t="s">
        <v>12</v>
      </c>
    </row>
    <row r="24" spans="1:14" x14ac:dyDescent="0.25">
      <c r="A24">
        <v>20150915</v>
      </c>
      <c r="B24" t="str">
        <f>"020341"</f>
        <v>020341</v>
      </c>
      <c r="C24" t="str">
        <f>"10095"</f>
        <v>10095</v>
      </c>
      <c r="D24" t="s">
        <v>70</v>
      </c>
      <c r="E24" s="3">
        <v>515.27</v>
      </c>
      <c r="F24">
        <v>20150915</v>
      </c>
      <c r="G24" t="s">
        <v>71</v>
      </c>
      <c r="H24" t="s">
        <v>20</v>
      </c>
      <c r="I24">
        <v>0</v>
      </c>
      <c r="J24" t="s">
        <v>15</v>
      </c>
      <c r="K24" t="s">
        <v>72</v>
      </c>
      <c r="L24" t="s">
        <v>17</v>
      </c>
      <c r="M24" t="str">
        <f t="shared" si="0"/>
        <v>09</v>
      </c>
      <c r="N24" t="s">
        <v>12</v>
      </c>
    </row>
    <row r="25" spans="1:14" x14ac:dyDescent="0.25">
      <c r="A25">
        <v>20150915</v>
      </c>
      <c r="B25" t="str">
        <f>"020342"</f>
        <v>020342</v>
      </c>
      <c r="C25" t="str">
        <f>"11211"</f>
        <v>11211</v>
      </c>
      <c r="D25" t="s">
        <v>28</v>
      </c>
      <c r="E25" s="3">
        <v>2082.4899999999998</v>
      </c>
      <c r="F25">
        <v>20150915</v>
      </c>
      <c r="G25" t="s">
        <v>29</v>
      </c>
      <c r="H25" t="s">
        <v>14</v>
      </c>
      <c r="I25">
        <v>0</v>
      </c>
      <c r="J25" t="s">
        <v>15</v>
      </c>
      <c r="K25" t="s">
        <v>30</v>
      </c>
      <c r="L25" t="s">
        <v>17</v>
      </c>
      <c r="M25" t="str">
        <f t="shared" si="0"/>
        <v>09</v>
      </c>
      <c r="N25" t="s">
        <v>12</v>
      </c>
    </row>
    <row r="26" spans="1:14" x14ac:dyDescent="0.25">
      <c r="A26">
        <v>20150915</v>
      </c>
      <c r="B26" t="str">
        <f>"020343"</f>
        <v>020343</v>
      </c>
      <c r="C26" t="str">
        <f>"14177"</f>
        <v>14177</v>
      </c>
      <c r="D26" t="s">
        <v>31</v>
      </c>
      <c r="E26" s="3">
        <v>50</v>
      </c>
      <c r="F26">
        <v>20150915</v>
      </c>
      <c r="G26" t="s">
        <v>32</v>
      </c>
      <c r="H26" t="s">
        <v>20</v>
      </c>
      <c r="I26">
        <v>0</v>
      </c>
      <c r="J26" t="s">
        <v>15</v>
      </c>
      <c r="K26" t="s">
        <v>33</v>
      </c>
      <c r="L26" t="s">
        <v>17</v>
      </c>
      <c r="M26" t="str">
        <f t="shared" si="0"/>
        <v>09</v>
      </c>
      <c r="N26" t="s">
        <v>12</v>
      </c>
    </row>
    <row r="27" spans="1:14" x14ac:dyDescent="0.25">
      <c r="A27">
        <v>20150915</v>
      </c>
      <c r="B27" t="str">
        <f>"020344"</f>
        <v>020344</v>
      </c>
      <c r="C27" t="str">
        <f>"19103"</f>
        <v>19103</v>
      </c>
      <c r="D27" t="s">
        <v>73</v>
      </c>
      <c r="E27" s="3">
        <v>165</v>
      </c>
      <c r="F27">
        <v>20150915</v>
      </c>
      <c r="G27" t="s">
        <v>74</v>
      </c>
      <c r="H27" t="s">
        <v>20</v>
      </c>
      <c r="I27">
        <v>0</v>
      </c>
      <c r="J27" t="s">
        <v>15</v>
      </c>
      <c r="K27" t="s">
        <v>75</v>
      </c>
      <c r="L27" t="s">
        <v>17</v>
      </c>
      <c r="M27" t="str">
        <f t="shared" si="0"/>
        <v>09</v>
      </c>
      <c r="N27" t="s">
        <v>12</v>
      </c>
    </row>
    <row r="28" spans="1:14" x14ac:dyDescent="0.25">
      <c r="A28">
        <v>20150915</v>
      </c>
      <c r="B28" t="str">
        <f>"020345"</f>
        <v>020345</v>
      </c>
      <c r="C28" t="str">
        <f>"20682"</f>
        <v>20682</v>
      </c>
      <c r="D28" t="s">
        <v>76</v>
      </c>
      <c r="E28" s="3">
        <v>5350</v>
      </c>
      <c r="F28">
        <v>20150915</v>
      </c>
      <c r="G28" t="s">
        <v>77</v>
      </c>
      <c r="H28" t="s">
        <v>20</v>
      </c>
      <c r="I28">
        <v>0</v>
      </c>
      <c r="J28" t="s">
        <v>15</v>
      </c>
      <c r="K28" t="s">
        <v>78</v>
      </c>
      <c r="L28" t="s">
        <v>17</v>
      </c>
      <c r="M28" t="str">
        <f t="shared" si="0"/>
        <v>09</v>
      </c>
      <c r="N28" t="s">
        <v>12</v>
      </c>
    </row>
    <row r="29" spans="1:14" x14ac:dyDescent="0.25">
      <c r="A29">
        <v>20150915</v>
      </c>
      <c r="B29" t="str">
        <f>"020346"</f>
        <v>020346</v>
      </c>
      <c r="C29" t="str">
        <f>"21503"</f>
        <v>21503</v>
      </c>
      <c r="D29" t="s">
        <v>34</v>
      </c>
      <c r="E29" s="3">
        <v>448.8</v>
      </c>
      <c r="F29">
        <v>20150915</v>
      </c>
      <c r="G29" t="s">
        <v>35</v>
      </c>
      <c r="H29" t="s">
        <v>14</v>
      </c>
      <c r="I29">
        <v>0</v>
      </c>
      <c r="J29" t="s">
        <v>15</v>
      </c>
      <c r="K29" t="s">
        <v>36</v>
      </c>
      <c r="L29" t="s">
        <v>17</v>
      </c>
      <c r="M29" t="str">
        <f t="shared" si="0"/>
        <v>09</v>
      </c>
      <c r="N29" t="s">
        <v>12</v>
      </c>
    </row>
    <row r="30" spans="1:14" x14ac:dyDescent="0.25">
      <c r="A30">
        <v>20150915</v>
      </c>
      <c r="B30" t="str">
        <f>"020347"</f>
        <v>020347</v>
      </c>
      <c r="C30" t="str">
        <f>"21504"</f>
        <v>21504</v>
      </c>
      <c r="D30" t="s">
        <v>79</v>
      </c>
      <c r="E30" s="3">
        <v>36.6</v>
      </c>
      <c r="F30">
        <v>20150915</v>
      </c>
      <c r="G30" t="s">
        <v>80</v>
      </c>
      <c r="H30" t="s">
        <v>14</v>
      </c>
      <c r="I30">
        <v>0</v>
      </c>
      <c r="J30" t="s">
        <v>15</v>
      </c>
      <c r="K30" t="s">
        <v>81</v>
      </c>
      <c r="L30" t="s">
        <v>17</v>
      </c>
      <c r="M30" t="str">
        <f t="shared" si="0"/>
        <v>09</v>
      </c>
      <c r="N30" t="s">
        <v>12</v>
      </c>
    </row>
    <row r="31" spans="1:14" x14ac:dyDescent="0.25">
      <c r="A31">
        <v>20150915</v>
      </c>
      <c r="B31" t="str">
        <f>"020348"</f>
        <v>020348</v>
      </c>
      <c r="C31" t="str">
        <f>"21506"</f>
        <v>21506</v>
      </c>
      <c r="D31" t="s">
        <v>34</v>
      </c>
      <c r="E31" s="3">
        <v>440.9</v>
      </c>
      <c r="F31">
        <v>20150915</v>
      </c>
      <c r="G31" t="s">
        <v>37</v>
      </c>
      <c r="H31" t="s">
        <v>14</v>
      </c>
      <c r="I31">
        <v>0</v>
      </c>
      <c r="J31" t="s">
        <v>15</v>
      </c>
      <c r="K31" t="s">
        <v>38</v>
      </c>
      <c r="L31" t="s">
        <v>17</v>
      </c>
      <c r="M31" t="str">
        <f t="shared" si="0"/>
        <v>09</v>
      </c>
      <c r="N31" t="s">
        <v>12</v>
      </c>
    </row>
    <row r="32" spans="1:14" x14ac:dyDescent="0.25">
      <c r="A32">
        <v>20150915</v>
      </c>
      <c r="B32" t="str">
        <f>"020349"</f>
        <v>020349</v>
      </c>
      <c r="C32" t="str">
        <f>"21826"</f>
        <v>21826</v>
      </c>
      <c r="D32" t="s">
        <v>82</v>
      </c>
      <c r="E32" s="3">
        <v>539.08000000000004</v>
      </c>
      <c r="F32">
        <v>20150915</v>
      </c>
      <c r="G32" t="s">
        <v>83</v>
      </c>
      <c r="H32" t="s">
        <v>20</v>
      </c>
      <c r="I32">
        <v>0</v>
      </c>
      <c r="J32" t="s">
        <v>15</v>
      </c>
      <c r="K32" t="s">
        <v>84</v>
      </c>
      <c r="L32" t="s">
        <v>17</v>
      </c>
      <c r="M32" t="str">
        <f t="shared" si="0"/>
        <v>09</v>
      </c>
      <c r="N32" t="s">
        <v>12</v>
      </c>
    </row>
    <row r="33" spans="1:14" x14ac:dyDescent="0.25">
      <c r="A33">
        <v>20150915</v>
      </c>
      <c r="B33" t="str">
        <f>"020350"</f>
        <v>020350</v>
      </c>
      <c r="C33" t="str">
        <f>"24960"</f>
        <v>24960</v>
      </c>
      <c r="D33" t="s">
        <v>39</v>
      </c>
      <c r="E33" s="3">
        <v>3751.85</v>
      </c>
      <c r="F33">
        <v>20150915</v>
      </c>
      <c r="G33" t="s">
        <v>40</v>
      </c>
      <c r="H33" t="s">
        <v>41</v>
      </c>
      <c r="I33">
        <v>0</v>
      </c>
      <c r="J33" t="s">
        <v>15</v>
      </c>
      <c r="K33" t="s">
        <v>42</v>
      </c>
      <c r="L33" t="s">
        <v>17</v>
      </c>
      <c r="M33" t="str">
        <f t="shared" si="0"/>
        <v>09</v>
      </c>
      <c r="N33" t="s">
        <v>12</v>
      </c>
    </row>
    <row r="34" spans="1:14" x14ac:dyDescent="0.25">
      <c r="A34">
        <v>20150915</v>
      </c>
      <c r="B34" t="str">
        <f>"020351"</f>
        <v>020351</v>
      </c>
      <c r="C34" t="str">
        <f>"29572"</f>
        <v>29572</v>
      </c>
      <c r="D34" t="s">
        <v>85</v>
      </c>
      <c r="E34" s="3">
        <v>36.200000000000003</v>
      </c>
      <c r="F34">
        <v>20150915</v>
      </c>
      <c r="G34" t="s">
        <v>86</v>
      </c>
      <c r="H34" t="s">
        <v>20</v>
      </c>
      <c r="I34">
        <v>0</v>
      </c>
      <c r="J34" t="s">
        <v>15</v>
      </c>
      <c r="K34" t="s">
        <v>87</v>
      </c>
      <c r="L34" t="s">
        <v>17</v>
      </c>
      <c r="M34" t="str">
        <f t="shared" ref="M34:M65" si="1">"09"</f>
        <v>09</v>
      </c>
      <c r="N34" t="s">
        <v>12</v>
      </c>
    </row>
    <row r="35" spans="1:14" x14ac:dyDescent="0.25">
      <c r="A35">
        <v>20150915</v>
      </c>
      <c r="B35" t="str">
        <f>"020352"</f>
        <v>020352</v>
      </c>
      <c r="C35" t="str">
        <f>"42245"</f>
        <v>42245</v>
      </c>
      <c r="D35" t="s">
        <v>43</v>
      </c>
      <c r="E35" s="3">
        <v>8845.16</v>
      </c>
      <c r="F35">
        <v>20150915</v>
      </c>
      <c r="G35" t="s">
        <v>44</v>
      </c>
      <c r="H35" t="s">
        <v>14</v>
      </c>
      <c r="I35">
        <v>0</v>
      </c>
      <c r="J35" t="s">
        <v>15</v>
      </c>
      <c r="K35" t="s">
        <v>45</v>
      </c>
      <c r="L35" t="s">
        <v>17</v>
      </c>
      <c r="M35" t="str">
        <f t="shared" si="1"/>
        <v>09</v>
      </c>
      <c r="N35" t="s">
        <v>12</v>
      </c>
    </row>
    <row r="36" spans="1:14" x14ac:dyDescent="0.25">
      <c r="A36">
        <v>20150915</v>
      </c>
      <c r="B36" t="str">
        <f>"020353"</f>
        <v>020353</v>
      </c>
      <c r="C36" t="str">
        <f>"43855"</f>
        <v>43855</v>
      </c>
      <c r="D36" t="s">
        <v>88</v>
      </c>
      <c r="E36" s="3">
        <v>250</v>
      </c>
      <c r="F36">
        <v>20150915</v>
      </c>
      <c r="G36" t="s">
        <v>89</v>
      </c>
      <c r="H36" t="s">
        <v>20</v>
      </c>
      <c r="I36">
        <v>0</v>
      </c>
      <c r="J36" t="s">
        <v>15</v>
      </c>
      <c r="K36" t="s">
        <v>88</v>
      </c>
      <c r="L36" t="s">
        <v>17</v>
      </c>
      <c r="M36" t="str">
        <f t="shared" si="1"/>
        <v>09</v>
      </c>
      <c r="N36" t="s">
        <v>12</v>
      </c>
    </row>
    <row r="37" spans="1:14" x14ac:dyDescent="0.25">
      <c r="A37">
        <v>20150915</v>
      </c>
      <c r="B37" t="str">
        <f>"020354"</f>
        <v>020354</v>
      </c>
      <c r="C37" t="str">
        <f>"48947"</f>
        <v>48947</v>
      </c>
      <c r="D37" t="s">
        <v>46</v>
      </c>
      <c r="E37" s="3">
        <v>1226.9000000000001</v>
      </c>
      <c r="F37">
        <v>20150915</v>
      </c>
      <c r="G37" t="s">
        <v>47</v>
      </c>
      <c r="H37" t="s">
        <v>41</v>
      </c>
      <c r="I37">
        <v>0</v>
      </c>
      <c r="J37" t="s">
        <v>15</v>
      </c>
      <c r="K37" t="s">
        <v>48</v>
      </c>
      <c r="L37" t="s">
        <v>17</v>
      </c>
      <c r="M37" t="str">
        <f t="shared" si="1"/>
        <v>09</v>
      </c>
      <c r="N37" t="s">
        <v>12</v>
      </c>
    </row>
    <row r="38" spans="1:14" x14ac:dyDescent="0.25">
      <c r="A38">
        <v>20150915</v>
      </c>
      <c r="B38" t="str">
        <f t="shared" ref="B38:B53" si="2">"020355"</f>
        <v>020355</v>
      </c>
      <c r="C38" t="str">
        <f t="shared" ref="C38:C53" si="3">"54196"</f>
        <v>54196</v>
      </c>
      <c r="D38" t="s">
        <v>49</v>
      </c>
      <c r="E38" s="3">
        <v>50</v>
      </c>
      <c r="F38">
        <v>20150915</v>
      </c>
      <c r="G38" t="s">
        <v>90</v>
      </c>
      <c r="H38" t="s">
        <v>51</v>
      </c>
      <c r="I38">
        <v>0</v>
      </c>
      <c r="J38" t="s">
        <v>15</v>
      </c>
      <c r="K38" t="s">
        <v>91</v>
      </c>
      <c r="L38" t="s">
        <v>17</v>
      </c>
      <c r="M38" t="str">
        <f t="shared" si="1"/>
        <v>09</v>
      </c>
      <c r="N38" t="s">
        <v>12</v>
      </c>
    </row>
    <row r="39" spans="1:14" x14ac:dyDescent="0.25">
      <c r="A39">
        <v>20150915</v>
      </c>
      <c r="B39" t="str">
        <f t="shared" si="2"/>
        <v>020355</v>
      </c>
      <c r="C39" t="str">
        <f t="shared" si="3"/>
        <v>54196</v>
      </c>
      <c r="D39" t="s">
        <v>49</v>
      </c>
      <c r="E39" s="3">
        <v>283</v>
      </c>
      <c r="F39">
        <v>20150915</v>
      </c>
      <c r="G39" t="s">
        <v>92</v>
      </c>
      <c r="H39" t="s">
        <v>51</v>
      </c>
      <c r="I39">
        <v>0</v>
      </c>
      <c r="J39" t="s">
        <v>15</v>
      </c>
      <c r="K39" t="s">
        <v>93</v>
      </c>
      <c r="L39" t="s">
        <v>17</v>
      </c>
      <c r="M39" t="str">
        <f t="shared" si="1"/>
        <v>09</v>
      </c>
      <c r="N39" t="s">
        <v>12</v>
      </c>
    </row>
    <row r="40" spans="1:14" x14ac:dyDescent="0.25">
      <c r="A40">
        <v>20150915</v>
      </c>
      <c r="B40" t="str">
        <f t="shared" si="2"/>
        <v>020355</v>
      </c>
      <c r="C40" t="str">
        <f t="shared" si="3"/>
        <v>54196</v>
      </c>
      <c r="D40" t="s">
        <v>49</v>
      </c>
      <c r="E40" s="3">
        <v>1590</v>
      </c>
      <c r="F40">
        <v>20150915</v>
      </c>
      <c r="G40" t="s">
        <v>94</v>
      </c>
      <c r="H40" t="s">
        <v>51</v>
      </c>
      <c r="I40">
        <v>0</v>
      </c>
      <c r="J40" t="s">
        <v>15</v>
      </c>
      <c r="K40" t="s">
        <v>95</v>
      </c>
      <c r="L40" t="s">
        <v>17</v>
      </c>
      <c r="M40" t="str">
        <f t="shared" si="1"/>
        <v>09</v>
      </c>
      <c r="N40" t="s">
        <v>12</v>
      </c>
    </row>
    <row r="41" spans="1:14" x14ac:dyDescent="0.25">
      <c r="A41">
        <v>20150915</v>
      </c>
      <c r="B41" t="str">
        <f t="shared" si="2"/>
        <v>020355</v>
      </c>
      <c r="C41" t="str">
        <f t="shared" si="3"/>
        <v>54196</v>
      </c>
      <c r="D41" t="s">
        <v>49</v>
      </c>
      <c r="E41" s="3">
        <v>2175</v>
      </c>
      <c r="F41">
        <v>20150915</v>
      </c>
      <c r="G41" t="s">
        <v>96</v>
      </c>
      <c r="H41" t="s">
        <v>51</v>
      </c>
      <c r="I41">
        <v>0</v>
      </c>
      <c r="J41" t="s">
        <v>15</v>
      </c>
      <c r="K41" t="s">
        <v>97</v>
      </c>
      <c r="L41" t="s">
        <v>17</v>
      </c>
      <c r="M41" t="str">
        <f t="shared" si="1"/>
        <v>09</v>
      </c>
      <c r="N41" t="s">
        <v>12</v>
      </c>
    </row>
    <row r="42" spans="1:14" x14ac:dyDescent="0.25">
      <c r="A42">
        <v>20150915</v>
      </c>
      <c r="B42" t="str">
        <f t="shared" si="2"/>
        <v>020355</v>
      </c>
      <c r="C42" t="str">
        <f t="shared" si="3"/>
        <v>54196</v>
      </c>
      <c r="D42" t="s">
        <v>49</v>
      </c>
      <c r="E42" s="3">
        <v>50</v>
      </c>
      <c r="F42">
        <v>20150915</v>
      </c>
      <c r="G42" t="s">
        <v>98</v>
      </c>
      <c r="H42" t="s">
        <v>51</v>
      </c>
      <c r="I42">
        <v>0</v>
      </c>
      <c r="J42" t="s">
        <v>15</v>
      </c>
      <c r="K42" t="s">
        <v>99</v>
      </c>
      <c r="L42" t="s">
        <v>17</v>
      </c>
      <c r="M42" t="str">
        <f t="shared" si="1"/>
        <v>09</v>
      </c>
      <c r="N42" t="s">
        <v>12</v>
      </c>
    </row>
    <row r="43" spans="1:14" x14ac:dyDescent="0.25">
      <c r="A43">
        <v>20150915</v>
      </c>
      <c r="B43" t="str">
        <f t="shared" si="2"/>
        <v>020355</v>
      </c>
      <c r="C43" t="str">
        <f t="shared" si="3"/>
        <v>54196</v>
      </c>
      <c r="D43" t="s">
        <v>49</v>
      </c>
      <c r="E43" s="3">
        <v>1230</v>
      </c>
      <c r="F43">
        <v>20150915</v>
      </c>
      <c r="G43" t="s">
        <v>100</v>
      </c>
      <c r="H43" t="s">
        <v>51</v>
      </c>
      <c r="I43">
        <v>0</v>
      </c>
      <c r="J43" t="s">
        <v>15</v>
      </c>
      <c r="K43" t="s">
        <v>101</v>
      </c>
      <c r="L43" t="s">
        <v>17</v>
      </c>
      <c r="M43" t="str">
        <f t="shared" si="1"/>
        <v>09</v>
      </c>
      <c r="N43" t="s">
        <v>12</v>
      </c>
    </row>
    <row r="44" spans="1:14" x14ac:dyDescent="0.25">
      <c r="A44">
        <v>20150915</v>
      </c>
      <c r="B44" t="str">
        <f t="shared" si="2"/>
        <v>020355</v>
      </c>
      <c r="C44" t="str">
        <f t="shared" si="3"/>
        <v>54196</v>
      </c>
      <c r="D44" t="s">
        <v>49</v>
      </c>
      <c r="E44" s="3">
        <v>10930</v>
      </c>
      <c r="F44">
        <v>20150915</v>
      </c>
      <c r="G44" t="s">
        <v>102</v>
      </c>
      <c r="H44" t="s">
        <v>51</v>
      </c>
      <c r="I44">
        <v>0</v>
      </c>
      <c r="J44" t="s">
        <v>15</v>
      </c>
      <c r="K44" t="s">
        <v>103</v>
      </c>
      <c r="L44" t="s">
        <v>17</v>
      </c>
      <c r="M44" t="str">
        <f t="shared" si="1"/>
        <v>09</v>
      </c>
      <c r="N44" t="s">
        <v>12</v>
      </c>
    </row>
    <row r="45" spans="1:14" x14ac:dyDescent="0.25">
      <c r="A45">
        <v>20150915</v>
      </c>
      <c r="B45" t="str">
        <f t="shared" si="2"/>
        <v>020355</v>
      </c>
      <c r="C45" t="str">
        <f t="shared" si="3"/>
        <v>54196</v>
      </c>
      <c r="D45" t="s">
        <v>49</v>
      </c>
      <c r="E45" s="3">
        <v>972</v>
      </c>
      <c r="F45">
        <v>20150915</v>
      </c>
      <c r="G45" t="s">
        <v>104</v>
      </c>
      <c r="H45" t="s">
        <v>51</v>
      </c>
      <c r="I45">
        <v>0</v>
      </c>
      <c r="J45" t="s">
        <v>15</v>
      </c>
      <c r="K45" t="s">
        <v>105</v>
      </c>
      <c r="L45" t="s">
        <v>17</v>
      </c>
      <c r="M45" t="str">
        <f t="shared" si="1"/>
        <v>09</v>
      </c>
      <c r="N45" t="s">
        <v>12</v>
      </c>
    </row>
    <row r="46" spans="1:14" x14ac:dyDescent="0.25">
      <c r="A46">
        <v>20150915</v>
      </c>
      <c r="B46" t="str">
        <f t="shared" si="2"/>
        <v>020355</v>
      </c>
      <c r="C46" t="str">
        <f t="shared" si="3"/>
        <v>54196</v>
      </c>
      <c r="D46" t="s">
        <v>49</v>
      </c>
      <c r="E46" s="3">
        <v>100</v>
      </c>
      <c r="F46">
        <v>20150915</v>
      </c>
      <c r="G46" t="s">
        <v>106</v>
      </c>
      <c r="H46" t="s">
        <v>51</v>
      </c>
      <c r="I46">
        <v>0</v>
      </c>
      <c r="J46" t="s">
        <v>15</v>
      </c>
      <c r="K46" t="s">
        <v>107</v>
      </c>
      <c r="L46" t="s">
        <v>17</v>
      </c>
      <c r="M46" t="str">
        <f t="shared" si="1"/>
        <v>09</v>
      </c>
      <c r="N46" t="s">
        <v>12</v>
      </c>
    </row>
    <row r="47" spans="1:14" x14ac:dyDescent="0.25">
      <c r="A47">
        <v>20150915</v>
      </c>
      <c r="B47" t="str">
        <f t="shared" si="2"/>
        <v>020355</v>
      </c>
      <c r="C47" t="str">
        <f t="shared" si="3"/>
        <v>54196</v>
      </c>
      <c r="D47" t="s">
        <v>49</v>
      </c>
      <c r="E47" s="3">
        <v>300</v>
      </c>
      <c r="F47">
        <v>20150915</v>
      </c>
      <c r="G47" t="s">
        <v>108</v>
      </c>
      <c r="H47" t="s">
        <v>51</v>
      </c>
      <c r="I47">
        <v>0</v>
      </c>
      <c r="J47" t="s">
        <v>15</v>
      </c>
      <c r="K47" t="s">
        <v>109</v>
      </c>
      <c r="L47" t="s">
        <v>17</v>
      </c>
      <c r="M47" t="str">
        <f t="shared" si="1"/>
        <v>09</v>
      </c>
      <c r="N47" t="s">
        <v>12</v>
      </c>
    </row>
    <row r="48" spans="1:14" x14ac:dyDescent="0.25">
      <c r="A48">
        <v>20150915</v>
      </c>
      <c r="B48" t="str">
        <f t="shared" si="2"/>
        <v>020355</v>
      </c>
      <c r="C48" t="str">
        <f t="shared" si="3"/>
        <v>54196</v>
      </c>
      <c r="D48" t="s">
        <v>49</v>
      </c>
      <c r="E48" s="3">
        <v>450</v>
      </c>
      <c r="F48">
        <v>20150915</v>
      </c>
      <c r="G48" t="s">
        <v>110</v>
      </c>
      <c r="H48" t="s">
        <v>51</v>
      </c>
      <c r="I48">
        <v>0</v>
      </c>
      <c r="J48" t="s">
        <v>15</v>
      </c>
      <c r="K48" t="s">
        <v>111</v>
      </c>
      <c r="L48" t="s">
        <v>17</v>
      </c>
      <c r="M48" t="str">
        <f t="shared" si="1"/>
        <v>09</v>
      </c>
      <c r="N48" t="s">
        <v>12</v>
      </c>
    </row>
    <row r="49" spans="1:14" x14ac:dyDescent="0.25">
      <c r="A49">
        <v>20150915</v>
      </c>
      <c r="B49" t="str">
        <f t="shared" si="2"/>
        <v>020355</v>
      </c>
      <c r="C49" t="str">
        <f t="shared" si="3"/>
        <v>54196</v>
      </c>
      <c r="D49" t="s">
        <v>49</v>
      </c>
      <c r="E49" s="3">
        <v>750</v>
      </c>
      <c r="F49">
        <v>20150915</v>
      </c>
      <c r="G49" t="s">
        <v>112</v>
      </c>
      <c r="H49" t="s">
        <v>51</v>
      </c>
      <c r="I49">
        <v>0</v>
      </c>
      <c r="J49" t="s">
        <v>15</v>
      </c>
      <c r="K49" t="s">
        <v>113</v>
      </c>
      <c r="L49" t="s">
        <v>17</v>
      </c>
      <c r="M49" t="str">
        <f t="shared" si="1"/>
        <v>09</v>
      </c>
      <c r="N49" t="s">
        <v>12</v>
      </c>
    </row>
    <row r="50" spans="1:14" x14ac:dyDescent="0.25">
      <c r="A50">
        <v>20150915</v>
      </c>
      <c r="B50" t="str">
        <f t="shared" si="2"/>
        <v>020355</v>
      </c>
      <c r="C50" t="str">
        <f t="shared" si="3"/>
        <v>54196</v>
      </c>
      <c r="D50" t="s">
        <v>49</v>
      </c>
      <c r="E50" s="3">
        <v>200</v>
      </c>
      <c r="F50">
        <v>20150915</v>
      </c>
      <c r="G50" t="s">
        <v>114</v>
      </c>
      <c r="H50" t="s">
        <v>51</v>
      </c>
      <c r="I50">
        <v>0</v>
      </c>
      <c r="J50" t="s">
        <v>15</v>
      </c>
      <c r="K50" t="s">
        <v>115</v>
      </c>
      <c r="L50" t="s">
        <v>17</v>
      </c>
      <c r="M50" t="str">
        <f t="shared" si="1"/>
        <v>09</v>
      </c>
      <c r="N50" t="s">
        <v>12</v>
      </c>
    </row>
    <row r="51" spans="1:14" x14ac:dyDescent="0.25">
      <c r="A51">
        <v>20150915</v>
      </c>
      <c r="B51" t="str">
        <f t="shared" si="2"/>
        <v>020355</v>
      </c>
      <c r="C51" t="str">
        <f t="shared" si="3"/>
        <v>54196</v>
      </c>
      <c r="D51" t="s">
        <v>49</v>
      </c>
      <c r="E51" s="3">
        <v>575</v>
      </c>
      <c r="F51">
        <v>20150915</v>
      </c>
      <c r="G51" t="s">
        <v>116</v>
      </c>
      <c r="H51" t="s">
        <v>117</v>
      </c>
      <c r="I51">
        <v>0</v>
      </c>
      <c r="J51" t="s">
        <v>15</v>
      </c>
      <c r="K51" t="s">
        <v>118</v>
      </c>
      <c r="L51" t="s">
        <v>17</v>
      </c>
      <c r="M51" t="str">
        <f t="shared" si="1"/>
        <v>09</v>
      </c>
      <c r="N51" t="s">
        <v>12</v>
      </c>
    </row>
    <row r="52" spans="1:14" x14ac:dyDescent="0.25">
      <c r="A52">
        <v>20150915</v>
      </c>
      <c r="B52" t="str">
        <f t="shared" si="2"/>
        <v>020355</v>
      </c>
      <c r="C52" t="str">
        <f t="shared" si="3"/>
        <v>54196</v>
      </c>
      <c r="D52" t="s">
        <v>49</v>
      </c>
      <c r="E52" s="3">
        <v>300</v>
      </c>
      <c r="F52">
        <v>20150915</v>
      </c>
      <c r="G52" t="s">
        <v>119</v>
      </c>
      <c r="H52" t="s">
        <v>120</v>
      </c>
      <c r="I52">
        <v>0</v>
      </c>
      <c r="J52" t="s">
        <v>15</v>
      </c>
      <c r="K52" t="s">
        <v>103</v>
      </c>
      <c r="L52" t="s">
        <v>17</v>
      </c>
      <c r="M52" t="str">
        <f t="shared" si="1"/>
        <v>09</v>
      </c>
      <c r="N52" t="s">
        <v>12</v>
      </c>
    </row>
    <row r="53" spans="1:14" x14ac:dyDescent="0.25">
      <c r="A53">
        <v>20150915</v>
      </c>
      <c r="B53" t="str">
        <f t="shared" si="2"/>
        <v>020355</v>
      </c>
      <c r="C53" t="str">
        <f t="shared" si="3"/>
        <v>54196</v>
      </c>
      <c r="D53" t="s">
        <v>49</v>
      </c>
      <c r="E53" s="3">
        <v>2550</v>
      </c>
      <c r="F53">
        <v>20150915</v>
      </c>
      <c r="G53" t="s">
        <v>50</v>
      </c>
      <c r="H53" t="s">
        <v>51</v>
      </c>
      <c r="I53">
        <v>0</v>
      </c>
      <c r="J53" t="s">
        <v>15</v>
      </c>
      <c r="K53" t="s">
        <v>52</v>
      </c>
      <c r="L53" t="s">
        <v>17</v>
      </c>
      <c r="M53" t="str">
        <f t="shared" si="1"/>
        <v>09</v>
      </c>
      <c r="N53" t="s">
        <v>12</v>
      </c>
    </row>
    <row r="54" spans="1:14" x14ac:dyDescent="0.25">
      <c r="A54">
        <v>20150915</v>
      </c>
      <c r="B54" t="str">
        <f>"020356"</f>
        <v>020356</v>
      </c>
      <c r="C54" t="str">
        <f>"56220"</f>
        <v>56220</v>
      </c>
      <c r="D54" t="s">
        <v>121</v>
      </c>
      <c r="E54" s="3">
        <v>842</v>
      </c>
      <c r="F54">
        <v>20150915</v>
      </c>
      <c r="G54" t="s">
        <v>122</v>
      </c>
      <c r="H54" t="s">
        <v>20</v>
      </c>
      <c r="I54">
        <v>0</v>
      </c>
      <c r="J54" t="s">
        <v>15</v>
      </c>
      <c r="K54" t="s">
        <v>123</v>
      </c>
      <c r="L54" t="s">
        <v>17</v>
      </c>
      <c r="M54" t="str">
        <f t="shared" si="1"/>
        <v>09</v>
      </c>
      <c r="N54" t="s">
        <v>12</v>
      </c>
    </row>
    <row r="55" spans="1:14" x14ac:dyDescent="0.25">
      <c r="A55">
        <v>20150915</v>
      </c>
      <c r="B55" t="str">
        <f>"020357"</f>
        <v>020357</v>
      </c>
      <c r="C55" t="str">
        <f>"72601"</f>
        <v>72601</v>
      </c>
      <c r="D55" t="s">
        <v>53</v>
      </c>
      <c r="E55" s="3">
        <v>8721.59</v>
      </c>
      <c r="F55">
        <v>20150915</v>
      </c>
      <c r="G55" t="s">
        <v>54</v>
      </c>
      <c r="H55" t="s">
        <v>20</v>
      </c>
      <c r="I55">
        <v>0</v>
      </c>
      <c r="J55" t="s">
        <v>15</v>
      </c>
      <c r="K55" t="s">
        <v>55</v>
      </c>
      <c r="L55" t="s">
        <v>17</v>
      </c>
      <c r="M55" t="str">
        <f t="shared" si="1"/>
        <v>09</v>
      </c>
      <c r="N55" t="s">
        <v>12</v>
      </c>
    </row>
    <row r="56" spans="1:14" x14ac:dyDescent="0.25">
      <c r="A56">
        <v>20150915</v>
      </c>
      <c r="B56" t="str">
        <f>"020358"</f>
        <v>020358</v>
      </c>
      <c r="C56" t="str">
        <f>"75452"</f>
        <v>75452</v>
      </c>
      <c r="D56" t="s">
        <v>56</v>
      </c>
      <c r="E56" s="3">
        <v>9342.7800000000007</v>
      </c>
      <c r="F56">
        <v>20150915</v>
      </c>
      <c r="G56" t="s">
        <v>57</v>
      </c>
      <c r="H56" t="s">
        <v>14</v>
      </c>
      <c r="I56">
        <v>0</v>
      </c>
      <c r="J56" t="s">
        <v>15</v>
      </c>
      <c r="K56" t="s">
        <v>58</v>
      </c>
      <c r="L56" t="s">
        <v>17</v>
      </c>
      <c r="M56" t="str">
        <f t="shared" si="1"/>
        <v>09</v>
      </c>
      <c r="N56" t="s">
        <v>12</v>
      </c>
    </row>
    <row r="57" spans="1:14" x14ac:dyDescent="0.25">
      <c r="A57">
        <v>20150915</v>
      </c>
      <c r="B57" t="str">
        <f>"020359"</f>
        <v>020359</v>
      </c>
      <c r="C57" t="str">
        <f>"78428"</f>
        <v>78428</v>
      </c>
      <c r="D57" t="s">
        <v>124</v>
      </c>
      <c r="E57" s="3">
        <v>851.87</v>
      </c>
      <c r="F57">
        <v>20150915</v>
      </c>
      <c r="G57" t="s">
        <v>125</v>
      </c>
      <c r="H57" t="s">
        <v>20</v>
      </c>
      <c r="I57">
        <v>0</v>
      </c>
      <c r="J57" t="s">
        <v>15</v>
      </c>
      <c r="K57" t="s">
        <v>126</v>
      </c>
      <c r="L57" t="s">
        <v>17</v>
      </c>
      <c r="M57" t="str">
        <f t="shared" si="1"/>
        <v>09</v>
      </c>
      <c r="N57" t="s">
        <v>12</v>
      </c>
    </row>
    <row r="58" spans="1:14" x14ac:dyDescent="0.25">
      <c r="A58">
        <v>20150915</v>
      </c>
      <c r="B58" t="str">
        <f>"020360"</f>
        <v>020360</v>
      </c>
      <c r="C58" t="str">
        <f>"79562"</f>
        <v>79562</v>
      </c>
      <c r="D58" t="s">
        <v>127</v>
      </c>
      <c r="E58" s="3">
        <v>384.12</v>
      </c>
      <c r="F58">
        <v>20150915</v>
      </c>
      <c r="G58" t="s">
        <v>128</v>
      </c>
      <c r="H58" t="s">
        <v>129</v>
      </c>
      <c r="I58">
        <v>0</v>
      </c>
      <c r="J58" t="s">
        <v>15</v>
      </c>
      <c r="K58" t="s">
        <v>130</v>
      </c>
      <c r="L58" t="s">
        <v>17</v>
      </c>
      <c r="M58" t="str">
        <f t="shared" si="1"/>
        <v>09</v>
      </c>
      <c r="N58" t="s">
        <v>12</v>
      </c>
    </row>
    <row r="59" spans="1:14" x14ac:dyDescent="0.25">
      <c r="A59">
        <v>20150915</v>
      </c>
      <c r="B59" t="str">
        <f>"020361"</f>
        <v>020361</v>
      </c>
      <c r="C59" t="str">
        <f>"81155"</f>
        <v>81155</v>
      </c>
      <c r="D59" t="s">
        <v>131</v>
      </c>
      <c r="E59" s="3">
        <v>280</v>
      </c>
      <c r="F59">
        <v>20150915</v>
      </c>
      <c r="G59" t="s">
        <v>132</v>
      </c>
      <c r="H59" t="s">
        <v>20</v>
      </c>
      <c r="I59">
        <v>0</v>
      </c>
      <c r="J59" t="s">
        <v>15</v>
      </c>
      <c r="K59" t="s">
        <v>133</v>
      </c>
      <c r="L59" t="s">
        <v>17</v>
      </c>
      <c r="M59" t="str">
        <f t="shared" si="1"/>
        <v>09</v>
      </c>
      <c r="N59" t="s">
        <v>12</v>
      </c>
    </row>
    <row r="60" spans="1:14" x14ac:dyDescent="0.25">
      <c r="A60">
        <v>20150915</v>
      </c>
      <c r="B60" t="str">
        <f>"020362"</f>
        <v>020362</v>
      </c>
      <c r="C60" t="str">
        <f>"81173"</f>
        <v>81173</v>
      </c>
      <c r="D60" t="s">
        <v>59</v>
      </c>
      <c r="E60" s="3">
        <v>400</v>
      </c>
      <c r="F60">
        <v>20150915</v>
      </c>
      <c r="G60" t="s">
        <v>60</v>
      </c>
      <c r="H60" t="s">
        <v>20</v>
      </c>
      <c r="I60">
        <v>0</v>
      </c>
      <c r="J60" t="s">
        <v>15</v>
      </c>
      <c r="K60" t="s">
        <v>61</v>
      </c>
      <c r="L60" t="s">
        <v>17</v>
      </c>
      <c r="M60" t="str">
        <f t="shared" si="1"/>
        <v>09</v>
      </c>
      <c r="N60" t="s">
        <v>12</v>
      </c>
    </row>
    <row r="61" spans="1:14" x14ac:dyDescent="0.25">
      <c r="A61">
        <v>20150915</v>
      </c>
      <c r="B61" t="str">
        <f>"020363"</f>
        <v>020363</v>
      </c>
      <c r="C61" t="str">
        <f>"81174"</f>
        <v>81174</v>
      </c>
      <c r="D61" t="s">
        <v>62</v>
      </c>
      <c r="E61" s="3">
        <v>1510</v>
      </c>
      <c r="F61">
        <v>20150915</v>
      </c>
      <c r="G61" t="s">
        <v>63</v>
      </c>
      <c r="H61" t="s">
        <v>20</v>
      </c>
      <c r="I61">
        <v>0</v>
      </c>
      <c r="J61" t="s">
        <v>15</v>
      </c>
      <c r="K61" t="s">
        <v>64</v>
      </c>
      <c r="L61" t="s">
        <v>17</v>
      </c>
      <c r="M61" t="str">
        <f t="shared" si="1"/>
        <v>09</v>
      </c>
      <c r="N61" t="s">
        <v>12</v>
      </c>
    </row>
    <row r="62" spans="1:14" x14ac:dyDescent="0.25">
      <c r="A62">
        <v>20150915</v>
      </c>
      <c r="B62" t="str">
        <f>"020364"</f>
        <v>020364</v>
      </c>
      <c r="C62" t="str">
        <f>"81177"</f>
        <v>81177</v>
      </c>
      <c r="D62" t="s">
        <v>65</v>
      </c>
      <c r="E62" s="3">
        <v>250.95</v>
      </c>
      <c r="F62">
        <v>20150915</v>
      </c>
      <c r="G62" t="s">
        <v>66</v>
      </c>
      <c r="H62" t="s">
        <v>20</v>
      </c>
      <c r="I62">
        <v>0</v>
      </c>
      <c r="J62" t="s">
        <v>15</v>
      </c>
      <c r="K62" t="s">
        <v>67</v>
      </c>
      <c r="L62" t="s">
        <v>17</v>
      </c>
      <c r="M62" t="str">
        <f t="shared" si="1"/>
        <v>09</v>
      </c>
      <c r="N62" t="s">
        <v>12</v>
      </c>
    </row>
    <row r="63" spans="1:14" x14ac:dyDescent="0.25">
      <c r="A63">
        <v>20150915</v>
      </c>
      <c r="B63" t="str">
        <f>"020364"</f>
        <v>020364</v>
      </c>
      <c r="C63" t="str">
        <f>"81177"</f>
        <v>81177</v>
      </c>
      <c r="D63" t="s">
        <v>65</v>
      </c>
      <c r="E63" s="3">
        <v>497.66</v>
      </c>
      <c r="F63">
        <v>20150915</v>
      </c>
      <c r="G63" t="s">
        <v>134</v>
      </c>
      <c r="H63" t="s">
        <v>20</v>
      </c>
      <c r="I63">
        <v>0</v>
      </c>
      <c r="J63" t="s">
        <v>15</v>
      </c>
      <c r="K63" t="s">
        <v>135</v>
      </c>
      <c r="L63" t="s">
        <v>17</v>
      </c>
      <c r="M63" t="str">
        <f t="shared" si="1"/>
        <v>09</v>
      </c>
      <c r="N63" t="s">
        <v>12</v>
      </c>
    </row>
    <row r="64" spans="1:14" x14ac:dyDescent="0.25">
      <c r="A64">
        <v>20150915</v>
      </c>
      <c r="B64" t="str">
        <f>"020365"</f>
        <v>020365</v>
      </c>
      <c r="C64" t="str">
        <f>"81753"</f>
        <v>81753</v>
      </c>
      <c r="D64" t="s">
        <v>68</v>
      </c>
      <c r="E64" s="3">
        <v>671.85</v>
      </c>
      <c r="F64">
        <v>20150915</v>
      </c>
      <c r="G64" t="s">
        <v>69</v>
      </c>
      <c r="H64" t="s">
        <v>20</v>
      </c>
      <c r="I64">
        <v>0</v>
      </c>
      <c r="J64" t="s">
        <v>15</v>
      </c>
      <c r="K64" t="s">
        <v>68</v>
      </c>
      <c r="L64" t="s">
        <v>17</v>
      </c>
      <c r="M64" t="str">
        <f t="shared" si="1"/>
        <v>09</v>
      </c>
      <c r="N64" t="s">
        <v>12</v>
      </c>
    </row>
    <row r="65" spans="1:14" x14ac:dyDescent="0.25">
      <c r="A65">
        <v>20150925</v>
      </c>
      <c r="B65" t="str">
        <f>"020411"</f>
        <v>020411</v>
      </c>
      <c r="C65" t="str">
        <f>"04831"</f>
        <v>04831</v>
      </c>
      <c r="D65" t="s">
        <v>11</v>
      </c>
      <c r="E65" s="3">
        <v>56.1</v>
      </c>
      <c r="F65">
        <v>20150925</v>
      </c>
      <c r="G65" t="s">
        <v>13</v>
      </c>
      <c r="H65" t="s">
        <v>14</v>
      </c>
      <c r="I65">
        <v>0</v>
      </c>
      <c r="J65" t="s">
        <v>15</v>
      </c>
      <c r="K65" t="s">
        <v>16</v>
      </c>
      <c r="L65" t="s">
        <v>17</v>
      </c>
      <c r="M65" t="str">
        <f t="shared" si="1"/>
        <v>09</v>
      </c>
      <c r="N65" t="s">
        <v>12</v>
      </c>
    </row>
    <row r="66" spans="1:14" x14ac:dyDescent="0.25">
      <c r="A66">
        <v>20150925</v>
      </c>
      <c r="B66" t="str">
        <f>"020412"</f>
        <v>020412</v>
      </c>
      <c r="C66" t="str">
        <f>"04905"</f>
        <v>04905</v>
      </c>
      <c r="D66" t="s">
        <v>18</v>
      </c>
      <c r="E66" s="3">
        <v>33.85</v>
      </c>
      <c r="F66">
        <v>20150925</v>
      </c>
      <c r="G66" t="s">
        <v>19</v>
      </c>
      <c r="H66" t="s">
        <v>20</v>
      </c>
      <c r="I66">
        <v>0</v>
      </c>
      <c r="J66" t="s">
        <v>15</v>
      </c>
      <c r="K66" t="s">
        <v>21</v>
      </c>
      <c r="L66" t="s">
        <v>17</v>
      </c>
      <c r="M66" t="str">
        <f t="shared" ref="M66:M84" si="4">"09"</f>
        <v>09</v>
      </c>
      <c r="N66" t="s">
        <v>12</v>
      </c>
    </row>
    <row r="67" spans="1:14" x14ac:dyDescent="0.25">
      <c r="A67">
        <v>20150925</v>
      </c>
      <c r="B67" t="str">
        <f>"020413"</f>
        <v>020413</v>
      </c>
      <c r="C67" t="str">
        <f>"07710"</f>
        <v>07710</v>
      </c>
      <c r="D67" t="s">
        <v>22</v>
      </c>
      <c r="E67" s="3">
        <v>6.67</v>
      </c>
      <c r="F67">
        <v>20150925</v>
      </c>
      <c r="G67" t="s">
        <v>23</v>
      </c>
      <c r="H67" t="s">
        <v>20</v>
      </c>
      <c r="I67">
        <v>0</v>
      </c>
      <c r="J67" t="s">
        <v>15</v>
      </c>
      <c r="K67" t="s">
        <v>24</v>
      </c>
      <c r="L67" t="s">
        <v>17</v>
      </c>
      <c r="M67" t="str">
        <f t="shared" si="4"/>
        <v>09</v>
      </c>
      <c r="N67" t="s">
        <v>12</v>
      </c>
    </row>
    <row r="68" spans="1:14" x14ac:dyDescent="0.25">
      <c r="A68">
        <v>20150925</v>
      </c>
      <c r="B68" t="str">
        <f>"020414"</f>
        <v>020414</v>
      </c>
      <c r="C68" t="str">
        <f>"07880"</f>
        <v>07880</v>
      </c>
      <c r="D68" t="s">
        <v>25</v>
      </c>
      <c r="E68" s="3">
        <v>138.46</v>
      </c>
      <c r="F68">
        <v>20150925</v>
      </c>
      <c r="G68" t="s">
        <v>26</v>
      </c>
      <c r="H68" t="s">
        <v>20</v>
      </c>
      <c r="I68">
        <v>0</v>
      </c>
      <c r="J68" t="s">
        <v>15</v>
      </c>
      <c r="K68" t="s">
        <v>27</v>
      </c>
      <c r="L68" t="s">
        <v>17</v>
      </c>
      <c r="M68" t="str">
        <f t="shared" si="4"/>
        <v>09</v>
      </c>
      <c r="N68" t="s">
        <v>12</v>
      </c>
    </row>
    <row r="69" spans="1:14" x14ac:dyDescent="0.25">
      <c r="A69">
        <v>20150925</v>
      </c>
      <c r="B69" t="str">
        <f>"020415"</f>
        <v>020415</v>
      </c>
      <c r="C69" t="str">
        <f>"11211"</f>
        <v>11211</v>
      </c>
      <c r="D69" t="s">
        <v>28</v>
      </c>
      <c r="E69" s="3">
        <v>124.95</v>
      </c>
      <c r="F69">
        <v>20150925</v>
      </c>
      <c r="G69" t="s">
        <v>29</v>
      </c>
      <c r="H69" t="s">
        <v>14</v>
      </c>
      <c r="I69">
        <v>0</v>
      </c>
      <c r="J69" t="s">
        <v>15</v>
      </c>
      <c r="K69" t="s">
        <v>30</v>
      </c>
      <c r="L69" t="s">
        <v>17</v>
      </c>
      <c r="M69" t="str">
        <f t="shared" si="4"/>
        <v>09</v>
      </c>
      <c r="N69" t="s">
        <v>12</v>
      </c>
    </row>
    <row r="70" spans="1:14" x14ac:dyDescent="0.25">
      <c r="A70">
        <v>20150925</v>
      </c>
      <c r="B70" t="str">
        <f>"020416"</f>
        <v>020416</v>
      </c>
      <c r="C70" t="str">
        <f>"14177"</f>
        <v>14177</v>
      </c>
      <c r="D70" t="s">
        <v>31</v>
      </c>
      <c r="E70" s="3">
        <v>25</v>
      </c>
      <c r="F70">
        <v>20150925</v>
      </c>
      <c r="G70" t="s">
        <v>32</v>
      </c>
      <c r="H70" t="s">
        <v>20</v>
      </c>
      <c r="I70">
        <v>0</v>
      </c>
      <c r="J70" t="s">
        <v>15</v>
      </c>
      <c r="K70" t="s">
        <v>33</v>
      </c>
      <c r="L70" t="s">
        <v>17</v>
      </c>
      <c r="M70" t="str">
        <f t="shared" si="4"/>
        <v>09</v>
      </c>
      <c r="N70" t="s">
        <v>12</v>
      </c>
    </row>
    <row r="71" spans="1:14" x14ac:dyDescent="0.25">
      <c r="A71">
        <v>20150925</v>
      </c>
      <c r="B71" t="str">
        <f>"020417"</f>
        <v>020417</v>
      </c>
      <c r="C71" t="str">
        <f>"21503"</f>
        <v>21503</v>
      </c>
      <c r="D71" t="s">
        <v>34</v>
      </c>
      <c r="E71" s="3">
        <v>11.8</v>
      </c>
      <c r="F71">
        <v>20150925</v>
      </c>
      <c r="G71" t="s">
        <v>35</v>
      </c>
      <c r="H71" t="s">
        <v>14</v>
      </c>
      <c r="I71">
        <v>0</v>
      </c>
      <c r="J71" t="s">
        <v>15</v>
      </c>
      <c r="K71" t="s">
        <v>36</v>
      </c>
      <c r="L71" t="s">
        <v>17</v>
      </c>
      <c r="M71" t="str">
        <f t="shared" si="4"/>
        <v>09</v>
      </c>
      <c r="N71" t="s">
        <v>12</v>
      </c>
    </row>
    <row r="72" spans="1:14" x14ac:dyDescent="0.25">
      <c r="A72">
        <v>20150925</v>
      </c>
      <c r="B72" t="str">
        <f>"020418"</f>
        <v>020418</v>
      </c>
      <c r="C72" t="str">
        <f>"21506"</f>
        <v>21506</v>
      </c>
      <c r="D72" t="s">
        <v>34</v>
      </c>
      <c r="E72" s="3">
        <v>8.5</v>
      </c>
      <c r="F72">
        <v>20150925</v>
      </c>
      <c r="G72" t="s">
        <v>37</v>
      </c>
      <c r="H72" t="s">
        <v>14</v>
      </c>
      <c r="I72">
        <v>0</v>
      </c>
      <c r="J72" t="s">
        <v>15</v>
      </c>
      <c r="K72" t="s">
        <v>38</v>
      </c>
      <c r="L72" t="s">
        <v>17</v>
      </c>
      <c r="M72" t="str">
        <f t="shared" si="4"/>
        <v>09</v>
      </c>
      <c r="N72" t="s">
        <v>12</v>
      </c>
    </row>
    <row r="73" spans="1:14" x14ac:dyDescent="0.25">
      <c r="A73">
        <v>20150925</v>
      </c>
      <c r="B73" t="str">
        <f>"020419"</f>
        <v>020419</v>
      </c>
      <c r="C73" t="str">
        <f>"24960"</f>
        <v>24960</v>
      </c>
      <c r="D73" t="s">
        <v>39</v>
      </c>
      <c r="E73" s="3">
        <v>226.87</v>
      </c>
      <c r="F73">
        <v>20150925</v>
      </c>
      <c r="G73" t="s">
        <v>40</v>
      </c>
      <c r="H73" t="s">
        <v>41</v>
      </c>
      <c r="I73">
        <v>0</v>
      </c>
      <c r="J73" t="s">
        <v>15</v>
      </c>
      <c r="K73" t="s">
        <v>42</v>
      </c>
      <c r="L73" t="s">
        <v>17</v>
      </c>
      <c r="M73" t="str">
        <f t="shared" si="4"/>
        <v>09</v>
      </c>
      <c r="N73" t="s">
        <v>12</v>
      </c>
    </row>
    <row r="74" spans="1:14" x14ac:dyDescent="0.25">
      <c r="A74">
        <v>20150925</v>
      </c>
      <c r="B74" t="str">
        <f>"020420"</f>
        <v>020420</v>
      </c>
      <c r="C74" t="str">
        <f>"42245"</f>
        <v>42245</v>
      </c>
      <c r="D74" t="s">
        <v>43</v>
      </c>
      <c r="E74" s="3">
        <v>384.45</v>
      </c>
      <c r="F74">
        <v>20150925</v>
      </c>
      <c r="G74" t="s">
        <v>44</v>
      </c>
      <c r="H74" t="s">
        <v>14</v>
      </c>
      <c r="I74">
        <v>0</v>
      </c>
      <c r="J74" t="s">
        <v>15</v>
      </c>
      <c r="K74" t="s">
        <v>45</v>
      </c>
      <c r="L74" t="s">
        <v>17</v>
      </c>
      <c r="M74" t="str">
        <f t="shared" si="4"/>
        <v>09</v>
      </c>
      <c r="N74" t="s">
        <v>12</v>
      </c>
    </row>
    <row r="75" spans="1:14" x14ac:dyDescent="0.25">
      <c r="A75">
        <v>20150925</v>
      </c>
      <c r="B75" t="str">
        <f>"020421"</f>
        <v>020421</v>
      </c>
      <c r="C75" t="str">
        <f>"48947"</f>
        <v>48947</v>
      </c>
      <c r="D75" t="s">
        <v>46</v>
      </c>
      <c r="E75" s="3">
        <v>60.19</v>
      </c>
      <c r="F75">
        <v>20150925</v>
      </c>
      <c r="G75" t="s">
        <v>47</v>
      </c>
      <c r="H75" t="s">
        <v>41</v>
      </c>
      <c r="I75">
        <v>0</v>
      </c>
      <c r="J75" t="s">
        <v>15</v>
      </c>
      <c r="K75" t="s">
        <v>48</v>
      </c>
      <c r="L75" t="s">
        <v>17</v>
      </c>
      <c r="M75" t="str">
        <f t="shared" si="4"/>
        <v>09</v>
      </c>
      <c r="N75" t="s">
        <v>12</v>
      </c>
    </row>
    <row r="76" spans="1:14" x14ac:dyDescent="0.25">
      <c r="A76">
        <v>20150925</v>
      </c>
      <c r="B76" t="str">
        <f>"020422"</f>
        <v>020422</v>
      </c>
      <c r="C76" t="str">
        <f>"54196"</f>
        <v>54196</v>
      </c>
      <c r="D76" t="s">
        <v>49</v>
      </c>
      <c r="E76" s="3">
        <v>50</v>
      </c>
      <c r="F76">
        <v>20150925</v>
      </c>
      <c r="G76" t="s">
        <v>50</v>
      </c>
      <c r="H76" t="s">
        <v>51</v>
      </c>
      <c r="I76">
        <v>0</v>
      </c>
      <c r="J76" t="s">
        <v>15</v>
      </c>
      <c r="K76" t="s">
        <v>52</v>
      </c>
      <c r="L76" t="s">
        <v>17</v>
      </c>
      <c r="M76" t="str">
        <f t="shared" si="4"/>
        <v>09</v>
      </c>
      <c r="N76" t="s">
        <v>12</v>
      </c>
    </row>
    <row r="77" spans="1:14" x14ac:dyDescent="0.25">
      <c r="A77">
        <v>20150925</v>
      </c>
      <c r="B77" t="str">
        <f>"020423"</f>
        <v>020423</v>
      </c>
      <c r="C77" t="str">
        <f>"72601"</f>
        <v>72601</v>
      </c>
      <c r="D77" t="s">
        <v>53</v>
      </c>
      <c r="E77" s="3">
        <v>241.62</v>
      </c>
      <c r="F77">
        <v>20150925</v>
      </c>
      <c r="G77" t="s">
        <v>54</v>
      </c>
      <c r="H77" t="s">
        <v>20</v>
      </c>
      <c r="I77">
        <v>0</v>
      </c>
      <c r="J77" t="s">
        <v>15</v>
      </c>
      <c r="K77" t="s">
        <v>55</v>
      </c>
      <c r="L77" t="s">
        <v>17</v>
      </c>
      <c r="M77" t="str">
        <f t="shared" si="4"/>
        <v>09</v>
      </c>
      <c r="N77" t="s">
        <v>12</v>
      </c>
    </row>
    <row r="78" spans="1:14" x14ac:dyDescent="0.25">
      <c r="A78">
        <v>20150925</v>
      </c>
      <c r="B78" t="str">
        <f>"020424"</f>
        <v>020424</v>
      </c>
      <c r="C78" t="str">
        <f>"75452"</f>
        <v>75452</v>
      </c>
      <c r="D78" t="s">
        <v>56</v>
      </c>
      <c r="E78" s="3">
        <v>242.51</v>
      </c>
      <c r="F78">
        <v>20150925</v>
      </c>
      <c r="G78" t="s">
        <v>57</v>
      </c>
      <c r="H78" t="s">
        <v>14</v>
      </c>
      <c r="I78">
        <v>0</v>
      </c>
      <c r="J78" t="s">
        <v>15</v>
      </c>
      <c r="K78" t="s">
        <v>58</v>
      </c>
      <c r="L78" t="s">
        <v>17</v>
      </c>
      <c r="M78" t="str">
        <f t="shared" si="4"/>
        <v>09</v>
      </c>
      <c r="N78" t="s">
        <v>12</v>
      </c>
    </row>
    <row r="79" spans="1:14" x14ac:dyDescent="0.25">
      <c r="A79">
        <v>20150925</v>
      </c>
      <c r="B79" t="str">
        <f>"020425"</f>
        <v>020425</v>
      </c>
      <c r="C79" t="str">
        <f>"81174"</f>
        <v>81174</v>
      </c>
      <c r="D79" t="s">
        <v>62</v>
      </c>
      <c r="E79" s="3">
        <v>35</v>
      </c>
      <c r="F79">
        <v>20150925</v>
      </c>
      <c r="G79" t="s">
        <v>63</v>
      </c>
      <c r="H79" t="s">
        <v>20</v>
      </c>
      <c r="I79">
        <v>0</v>
      </c>
      <c r="J79" t="s">
        <v>15</v>
      </c>
      <c r="K79" t="s">
        <v>64</v>
      </c>
      <c r="L79" t="s">
        <v>17</v>
      </c>
      <c r="M79" t="str">
        <f t="shared" si="4"/>
        <v>09</v>
      </c>
      <c r="N79" t="s">
        <v>12</v>
      </c>
    </row>
    <row r="80" spans="1:14" x14ac:dyDescent="0.25">
      <c r="A80">
        <v>20150925</v>
      </c>
      <c r="B80" t="str">
        <f>"020426"</f>
        <v>020426</v>
      </c>
      <c r="C80" t="str">
        <f>"81177"</f>
        <v>81177</v>
      </c>
      <c r="D80" t="s">
        <v>65</v>
      </c>
      <c r="E80" s="3">
        <v>117.11</v>
      </c>
      <c r="F80">
        <v>20150925</v>
      </c>
      <c r="G80" t="s">
        <v>66</v>
      </c>
      <c r="H80" t="s">
        <v>20</v>
      </c>
      <c r="I80">
        <v>0</v>
      </c>
      <c r="J80" t="s">
        <v>15</v>
      </c>
      <c r="K80" t="s">
        <v>67</v>
      </c>
      <c r="L80" t="s">
        <v>17</v>
      </c>
      <c r="M80" t="str">
        <f t="shared" si="4"/>
        <v>09</v>
      </c>
      <c r="N80" t="s">
        <v>12</v>
      </c>
    </row>
    <row r="81" spans="1:14" x14ac:dyDescent="0.25">
      <c r="A81">
        <v>20150925</v>
      </c>
      <c r="B81" t="str">
        <f>"020427"</f>
        <v>020427</v>
      </c>
      <c r="C81" t="str">
        <f>"81753"</f>
        <v>81753</v>
      </c>
      <c r="D81" t="s">
        <v>68</v>
      </c>
      <c r="E81" s="3">
        <v>33.520000000000003</v>
      </c>
      <c r="F81">
        <v>20150925</v>
      </c>
      <c r="G81" t="s">
        <v>69</v>
      </c>
      <c r="H81" t="s">
        <v>20</v>
      </c>
      <c r="I81">
        <v>0</v>
      </c>
      <c r="J81" t="s">
        <v>15</v>
      </c>
      <c r="K81" t="s">
        <v>68</v>
      </c>
      <c r="L81" t="s">
        <v>17</v>
      </c>
      <c r="M81" t="str">
        <f t="shared" si="4"/>
        <v>09</v>
      </c>
      <c r="N81" t="s">
        <v>12</v>
      </c>
    </row>
    <row r="82" spans="1:14" x14ac:dyDescent="0.25">
      <c r="A82">
        <v>20150930</v>
      </c>
      <c r="B82" t="str">
        <f>"020429"</f>
        <v>020429</v>
      </c>
      <c r="C82" t="str">
        <f>"56563"</f>
        <v>56563</v>
      </c>
      <c r="D82" t="s">
        <v>136</v>
      </c>
      <c r="E82" s="3">
        <v>37.86</v>
      </c>
      <c r="F82">
        <v>20150930</v>
      </c>
      <c r="G82" t="s">
        <v>47</v>
      </c>
      <c r="H82" t="s">
        <v>137</v>
      </c>
      <c r="I82">
        <v>0</v>
      </c>
      <c r="J82" t="s">
        <v>15</v>
      </c>
      <c r="K82" t="s">
        <v>48</v>
      </c>
      <c r="L82" t="s">
        <v>17</v>
      </c>
      <c r="M82" t="str">
        <f t="shared" si="4"/>
        <v>09</v>
      </c>
      <c r="N82" t="s">
        <v>12</v>
      </c>
    </row>
    <row r="83" spans="1:14" x14ac:dyDescent="0.25">
      <c r="A83">
        <v>20150930</v>
      </c>
      <c r="B83" t="str">
        <f>"020430"</f>
        <v>020430</v>
      </c>
      <c r="C83" t="str">
        <f>"63669"</f>
        <v>63669</v>
      </c>
      <c r="D83" t="s">
        <v>138</v>
      </c>
      <c r="E83" s="3">
        <v>3.65</v>
      </c>
      <c r="F83">
        <v>20150930</v>
      </c>
      <c r="G83" t="s">
        <v>29</v>
      </c>
      <c r="H83" t="s">
        <v>28</v>
      </c>
      <c r="I83">
        <v>0</v>
      </c>
      <c r="J83" t="s">
        <v>15</v>
      </c>
      <c r="K83" t="s">
        <v>30</v>
      </c>
      <c r="L83" t="s">
        <v>17</v>
      </c>
      <c r="M83" t="str">
        <f t="shared" si="4"/>
        <v>09</v>
      </c>
      <c r="N83" t="s">
        <v>12</v>
      </c>
    </row>
    <row r="84" spans="1:14" x14ac:dyDescent="0.25">
      <c r="A84">
        <v>20150930</v>
      </c>
      <c r="B84" t="str">
        <f>"020430"</f>
        <v>020430</v>
      </c>
      <c r="C84" t="str">
        <f>"63669"</f>
        <v>63669</v>
      </c>
      <c r="D84" t="s">
        <v>138</v>
      </c>
      <c r="E84" s="3">
        <v>12.9</v>
      </c>
      <c r="F84">
        <v>20150930</v>
      </c>
      <c r="G84" t="s">
        <v>44</v>
      </c>
      <c r="H84" t="s">
        <v>45</v>
      </c>
      <c r="I84">
        <v>0</v>
      </c>
      <c r="J84" t="s">
        <v>15</v>
      </c>
      <c r="K84" t="s">
        <v>45</v>
      </c>
      <c r="L84" t="s">
        <v>17</v>
      </c>
      <c r="M84" t="str">
        <f t="shared" si="4"/>
        <v>09</v>
      </c>
      <c r="N84" t="s">
        <v>12</v>
      </c>
    </row>
    <row r="85" spans="1:14" x14ac:dyDescent="0.25">
      <c r="A85">
        <v>20151006</v>
      </c>
      <c r="B85" t="str">
        <f>"020431"</f>
        <v>020431</v>
      </c>
      <c r="C85" t="str">
        <f>"35030"</f>
        <v>35030</v>
      </c>
      <c r="D85" t="s">
        <v>139</v>
      </c>
      <c r="E85" s="3">
        <v>25.7</v>
      </c>
      <c r="F85">
        <v>20151006</v>
      </c>
      <c r="G85" t="s">
        <v>140</v>
      </c>
      <c r="H85" t="s">
        <v>141</v>
      </c>
      <c r="I85">
        <v>0</v>
      </c>
      <c r="J85" t="s">
        <v>15</v>
      </c>
      <c r="K85" t="s">
        <v>55</v>
      </c>
      <c r="L85" t="s">
        <v>17</v>
      </c>
      <c r="M85" t="str">
        <f t="shared" ref="M85:M116" si="5">"10"</f>
        <v>10</v>
      </c>
      <c r="N85" t="s">
        <v>12</v>
      </c>
    </row>
    <row r="86" spans="1:14" x14ac:dyDescent="0.25">
      <c r="A86">
        <v>20151009</v>
      </c>
      <c r="B86" t="str">
        <f>"020470"</f>
        <v>020470</v>
      </c>
      <c r="C86" t="str">
        <f>"04831"</f>
        <v>04831</v>
      </c>
      <c r="D86" t="s">
        <v>11</v>
      </c>
      <c r="E86" s="3">
        <v>56.1</v>
      </c>
      <c r="F86">
        <v>20151009</v>
      </c>
      <c r="G86" t="s">
        <v>13</v>
      </c>
      <c r="H86" t="s">
        <v>142</v>
      </c>
      <c r="I86">
        <v>0</v>
      </c>
      <c r="J86" t="s">
        <v>15</v>
      </c>
      <c r="K86" t="s">
        <v>16</v>
      </c>
      <c r="L86" t="s">
        <v>17</v>
      </c>
      <c r="M86" t="str">
        <f t="shared" si="5"/>
        <v>10</v>
      </c>
      <c r="N86" t="s">
        <v>12</v>
      </c>
    </row>
    <row r="87" spans="1:14" x14ac:dyDescent="0.25">
      <c r="A87">
        <v>20151009</v>
      </c>
      <c r="B87" t="str">
        <f>"020471"</f>
        <v>020471</v>
      </c>
      <c r="C87" t="str">
        <f>"04905"</f>
        <v>04905</v>
      </c>
      <c r="D87" t="s">
        <v>18</v>
      </c>
      <c r="E87" s="3">
        <v>33.85</v>
      </c>
      <c r="F87">
        <v>20151009</v>
      </c>
      <c r="G87" t="s">
        <v>19</v>
      </c>
      <c r="H87" t="s">
        <v>143</v>
      </c>
      <c r="I87">
        <v>0</v>
      </c>
      <c r="J87" t="s">
        <v>15</v>
      </c>
      <c r="K87" t="s">
        <v>21</v>
      </c>
      <c r="L87" t="s">
        <v>17</v>
      </c>
      <c r="M87" t="str">
        <f t="shared" si="5"/>
        <v>10</v>
      </c>
      <c r="N87" t="s">
        <v>12</v>
      </c>
    </row>
    <row r="88" spans="1:14" x14ac:dyDescent="0.25">
      <c r="A88">
        <v>20151009</v>
      </c>
      <c r="B88" t="str">
        <f>"020472"</f>
        <v>020472</v>
      </c>
      <c r="C88" t="str">
        <f>"04987"</f>
        <v>04987</v>
      </c>
      <c r="D88" t="s">
        <v>144</v>
      </c>
      <c r="E88" s="3">
        <v>27.74</v>
      </c>
      <c r="F88">
        <v>20151009</v>
      </c>
      <c r="G88" t="s">
        <v>35</v>
      </c>
      <c r="H88" t="s">
        <v>142</v>
      </c>
      <c r="I88">
        <v>0</v>
      </c>
      <c r="J88" t="s">
        <v>15</v>
      </c>
      <c r="K88" t="s">
        <v>36</v>
      </c>
      <c r="L88" t="s">
        <v>17</v>
      </c>
      <c r="M88" t="str">
        <f t="shared" si="5"/>
        <v>10</v>
      </c>
      <c r="N88" t="s">
        <v>12</v>
      </c>
    </row>
    <row r="89" spans="1:14" x14ac:dyDescent="0.25">
      <c r="A89">
        <v>20151009</v>
      </c>
      <c r="B89" t="str">
        <f>"020473"</f>
        <v>020473</v>
      </c>
      <c r="C89" t="str">
        <f>"07710"</f>
        <v>07710</v>
      </c>
      <c r="D89" t="s">
        <v>22</v>
      </c>
      <c r="E89" s="3">
        <v>6.67</v>
      </c>
      <c r="F89">
        <v>20151009</v>
      </c>
      <c r="G89" t="s">
        <v>23</v>
      </c>
      <c r="H89" t="s">
        <v>143</v>
      </c>
      <c r="I89">
        <v>0</v>
      </c>
      <c r="J89" t="s">
        <v>15</v>
      </c>
      <c r="K89" t="s">
        <v>24</v>
      </c>
      <c r="L89" t="s">
        <v>17</v>
      </c>
      <c r="M89" t="str">
        <f t="shared" si="5"/>
        <v>10</v>
      </c>
      <c r="N89" t="s">
        <v>12</v>
      </c>
    </row>
    <row r="90" spans="1:14" x14ac:dyDescent="0.25">
      <c r="A90">
        <v>20151009</v>
      </c>
      <c r="B90" t="str">
        <f>"020474"</f>
        <v>020474</v>
      </c>
      <c r="C90" t="str">
        <f>"07880"</f>
        <v>07880</v>
      </c>
      <c r="D90" t="s">
        <v>25</v>
      </c>
      <c r="E90" s="3">
        <v>138.46</v>
      </c>
      <c r="F90">
        <v>20151009</v>
      </c>
      <c r="G90" t="s">
        <v>26</v>
      </c>
      <c r="H90" t="s">
        <v>143</v>
      </c>
      <c r="I90">
        <v>0</v>
      </c>
      <c r="J90" t="s">
        <v>15</v>
      </c>
      <c r="K90" t="s">
        <v>27</v>
      </c>
      <c r="L90" t="s">
        <v>17</v>
      </c>
      <c r="M90" t="str">
        <f t="shared" si="5"/>
        <v>10</v>
      </c>
      <c r="N90" t="s">
        <v>12</v>
      </c>
    </row>
    <row r="91" spans="1:14" x14ac:dyDescent="0.25">
      <c r="A91">
        <v>20151009</v>
      </c>
      <c r="B91" t="str">
        <f>"020475"</f>
        <v>020475</v>
      </c>
      <c r="C91" t="str">
        <f>"11211"</f>
        <v>11211</v>
      </c>
      <c r="D91" t="s">
        <v>28</v>
      </c>
      <c r="E91" s="3">
        <v>161.16</v>
      </c>
      <c r="F91">
        <v>20151009</v>
      </c>
      <c r="G91" t="s">
        <v>29</v>
      </c>
      <c r="H91" t="s">
        <v>142</v>
      </c>
      <c r="I91">
        <v>0</v>
      </c>
      <c r="J91" t="s">
        <v>15</v>
      </c>
      <c r="K91" t="s">
        <v>30</v>
      </c>
      <c r="L91" t="s">
        <v>17</v>
      </c>
      <c r="M91" t="str">
        <f t="shared" si="5"/>
        <v>10</v>
      </c>
      <c r="N91" t="s">
        <v>12</v>
      </c>
    </row>
    <row r="92" spans="1:14" x14ac:dyDescent="0.25">
      <c r="A92">
        <v>20151009</v>
      </c>
      <c r="B92" t="str">
        <f>"020476"</f>
        <v>020476</v>
      </c>
      <c r="C92" t="str">
        <f>"14177"</f>
        <v>14177</v>
      </c>
      <c r="D92" t="s">
        <v>31</v>
      </c>
      <c r="E92" s="3">
        <v>25</v>
      </c>
      <c r="F92">
        <v>20151009</v>
      </c>
      <c r="G92" t="s">
        <v>32</v>
      </c>
      <c r="H92" t="s">
        <v>143</v>
      </c>
      <c r="I92">
        <v>0</v>
      </c>
      <c r="J92" t="s">
        <v>15</v>
      </c>
      <c r="K92" t="s">
        <v>33</v>
      </c>
      <c r="L92" t="s">
        <v>17</v>
      </c>
      <c r="M92" t="str">
        <f t="shared" si="5"/>
        <v>10</v>
      </c>
      <c r="N92" t="s">
        <v>12</v>
      </c>
    </row>
    <row r="93" spans="1:14" x14ac:dyDescent="0.25">
      <c r="A93">
        <v>20151009</v>
      </c>
      <c r="B93" t="str">
        <f>"020477"</f>
        <v>020477</v>
      </c>
      <c r="C93" t="str">
        <f>"24960"</f>
        <v>24960</v>
      </c>
      <c r="D93" t="s">
        <v>39</v>
      </c>
      <c r="E93" s="3">
        <v>279.69</v>
      </c>
      <c r="F93">
        <v>20151009</v>
      </c>
      <c r="G93" t="s">
        <v>40</v>
      </c>
      <c r="H93" t="s">
        <v>145</v>
      </c>
      <c r="I93">
        <v>0</v>
      </c>
      <c r="J93" t="s">
        <v>15</v>
      </c>
      <c r="K93" t="s">
        <v>42</v>
      </c>
      <c r="L93" t="s">
        <v>17</v>
      </c>
      <c r="M93" t="str">
        <f t="shared" si="5"/>
        <v>10</v>
      </c>
      <c r="N93" t="s">
        <v>12</v>
      </c>
    </row>
    <row r="94" spans="1:14" x14ac:dyDescent="0.25">
      <c r="A94">
        <v>20151009</v>
      </c>
      <c r="B94" t="str">
        <f>"020478"</f>
        <v>020478</v>
      </c>
      <c r="C94" t="str">
        <f>"42245"</f>
        <v>42245</v>
      </c>
      <c r="D94" t="s">
        <v>43</v>
      </c>
      <c r="E94" s="3">
        <v>455.48</v>
      </c>
      <c r="F94">
        <v>20151009</v>
      </c>
      <c r="G94" t="s">
        <v>44</v>
      </c>
      <c r="H94" t="s">
        <v>142</v>
      </c>
      <c r="I94">
        <v>0</v>
      </c>
      <c r="J94" t="s">
        <v>15</v>
      </c>
      <c r="K94" t="s">
        <v>45</v>
      </c>
      <c r="L94" t="s">
        <v>17</v>
      </c>
      <c r="M94" t="str">
        <f t="shared" si="5"/>
        <v>10</v>
      </c>
      <c r="N94" t="s">
        <v>12</v>
      </c>
    </row>
    <row r="95" spans="1:14" x14ac:dyDescent="0.25">
      <c r="A95">
        <v>20151009</v>
      </c>
      <c r="B95" t="str">
        <f>"020479"</f>
        <v>020479</v>
      </c>
      <c r="C95" t="str">
        <f>"48947"</f>
        <v>48947</v>
      </c>
      <c r="D95" t="s">
        <v>46</v>
      </c>
      <c r="E95" s="3">
        <v>25.38</v>
      </c>
      <c r="F95">
        <v>20151009</v>
      </c>
      <c r="G95" t="s">
        <v>47</v>
      </c>
      <c r="H95" t="s">
        <v>145</v>
      </c>
      <c r="I95">
        <v>0</v>
      </c>
      <c r="J95" t="s">
        <v>15</v>
      </c>
      <c r="K95" t="s">
        <v>48</v>
      </c>
      <c r="L95" t="s">
        <v>17</v>
      </c>
      <c r="M95" t="str">
        <f t="shared" si="5"/>
        <v>10</v>
      </c>
      <c r="N95" t="s">
        <v>12</v>
      </c>
    </row>
    <row r="96" spans="1:14" x14ac:dyDescent="0.25">
      <c r="A96">
        <v>20151009</v>
      </c>
      <c r="B96" t="str">
        <f>"020480"</f>
        <v>020480</v>
      </c>
      <c r="C96" t="str">
        <f>"54196"</f>
        <v>54196</v>
      </c>
      <c r="D96" t="s">
        <v>49</v>
      </c>
      <c r="E96" s="3">
        <v>50</v>
      </c>
      <c r="F96">
        <v>20151009</v>
      </c>
      <c r="G96" t="s">
        <v>50</v>
      </c>
      <c r="H96" t="s">
        <v>146</v>
      </c>
      <c r="I96">
        <v>0</v>
      </c>
      <c r="J96" t="s">
        <v>15</v>
      </c>
      <c r="K96" t="s">
        <v>52</v>
      </c>
      <c r="L96" t="s">
        <v>17</v>
      </c>
      <c r="M96" t="str">
        <f t="shared" si="5"/>
        <v>10</v>
      </c>
      <c r="N96" t="s">
        <v>12</v>
      </c>
    </row>
    <row r="97" spans="1:14" x14ac:dyDescent="0.25">
      <c r="A97">
        <v>20151009</v>
      </c>
      <c r="B97" t="str">
        <f>"020481"</f>
        <v>020481</v>
      </c>
      <c r="C97" t="str">
        <f>"72601"</f>
        <v>72601</v>
      </c>
      <c r="D97" t="s">
        <v>53</v>
      </c>
      <c r="E97" s="3">
        <v>248.61</v>
      </c>
      <c r="F97">
        <v>20151009</v>
      </c>
      <c r="G97" t="s">
        <v>54</v>
      </c>
      <c r="H97" t="s">
        <v>143</v>
      </c>
      <c r="I97">
        <v>0</v>
      </c>
      <c r="J97" t="s">
        <v>15</v>
      </c>
      <c r="K97" t="s">
        <v>55</v>
      </c>
      <c r="L97" t="s">
        <v>17</v>
      </c>
      <c r="M97" t="str">
        <f t="shared" si="5"/>
        <v>10</v>
      </c>
      <c r="N97" t="s">
        <v>12</v>
      </c>
    </row>
    <row r="98" spans="1:14" x14ac:dyDescent="0.25">
      <c r="A98">
        <v>20151009</v>
      </c>
      <c r="B98" t="str">
        <f>"020482"</f>
        <v>020482</v>
      </c>
      <c r="C98" t="str">
        <f>"75452"</f>
        <v>75452</v>
      </c>
      <c r="D98" t="s">
        <v>56</v>
      </c>
      <c r="E98" s="3">
        <v>345.84</v>
      </c>
      <c r="F98">
        <v>20151009</v>
      </c>
      <c r="G98" t="s">
        <v>57</v>
      </c>
      <c r="H98" t="s">
        <v>142</v>
      </c>
      <c r="I98">
        <v>0</v>
      </c>
      <c r="J98" t="s">
        <v>15</v>
      </c>
      <c r="K98" t="s">
        <v>58</v>
      </c>
      <c r="L98" t="s">
        <v>17</v>
      </c>
      <c r="M98" t="str">
        <f t="shared" si="5"/>
        <v>10</v>
      </c>
      <c r="N98" t="s">
        <v>12</v>
      </c>
    </row>
    <row r="99" spans="1:14" x14ac:dyDescent="0.25">
      <c r="A99">
        <v>20151009</v>
      </c>
      <c r="B99" t="str">
        <f>"020483"</f>
        <v>020483</v>
      </c>
      <c r="C99" t="str">
        <f>"81173"</f>
        <v>81173</v>
      </c>
      <c r="D99" t="s">
        <v>59</v>
      </c>
      <c r="E99" s="3">
        <v>25</v>
      </c>
      <c r="F99">
        <v>20151009</v>
      </c>
      <c r="G99" t="s">
        <v>60</v>
      </c>
      <c r="H99" t="s">
        <v>143</v>
      </c>
      <c r="I99">
        <v>0</v>
      </c>
      <c r="J99" t="s">
        <v>15</v>
      </c>
      <c r="K99" t="s">
        <v>61</v>
      </c>
      <c r="L99" t="s">
        <v>17</v>
      </c>
      <c r="M99" t="str">
        <f t="shared" si="5"/>
        <v>10</v>
      </c>
      <c r="N99" t="s">
        <v>12</v>
      </c>
    </row>
    <row r="100" spans="1:14" x14ac:dyDescent="0.25">
      <c r="A100">
        <v>20151009</v>
      </c>
      <c r="B100" t="str">
        <f>"020484"</f>
        <v>020484</v>
      </c>
      <c r="C100" t="str">
        <f>"81174"</f>
        <v>81174</v>
      </c>
      <c r="D100" t="s">
        <v>62</v>
      </c>
      <c r="E100" s="3">
        <v>60</v>
      </c>
      <c r="F100">
        <v>20151009</v>
      </c>
      <c r="G100" t="s">
        <v>63</v>
      </c>
      <c r="H100" t="s">
        <v>143</v>
      </c>
      <c r="I100">
        <v>0</v>
      </c>
      <c r="J100" t="s">
        <v>15</v>
      </c>
      <c r="K100" t="s">
        <v>64</v>
      </c>
      <c r="L100" t="s">
        <v>17</v>
      </c>
      <c r="M100" t="str">
        <f t="shared" si="5"/>
        <v>10</v>
      </c>
      <c r="N100" t="s">
        <v>12</v>
      </c>
    </row>
    <row r="101" spans="1:14" x14ac:dyDescent="0.25">
      <c r="A101">
        <v>20151009</v>
      </c>
      <c r="B101" t="str">
        <f>"020485"</f>
        <v>020485</v>
      </c>
      <c r="C101" t="str">
        <f>"81177"</f>
        <v>81177</v>
      </c>
      <c r="D101" t="s">
        <v>65</v>
      </c>
      <c r="E101" s="3">
        <v>50.19</v>
      </c>
      <c r="F101">
        <v>20151009</v>
      </c>
      <c r="G101" t="s">
        <v>66</v>
      </c>
      <c r="H101" t="s">
        <v>143</v>
      </c>
      <c r="I101">
        <v>0</v>
      </c>
      <c r="J101" t="s">
        <v>15</v>
      </c>
      <c r="K101" t="s">
        <v>67</v>
      </c>
      <c r="L101" t="s">
        <v>17</v>
      </c>
      <c r="M101" t="str">
        <f t="shared" si="5"/>
        <v>10</v>
      </c>
      <c r="N101" t="s">
        <v>12</v>
      </c>
    </row>
    <row r="102" spans="1:14" x14ac:dyDescent="0.25">
      <c r="A102">
        <v>20151009</v>
      </c>
      <c r="B102" t="str">
        <f>"020486"</f>
        <v>020486</v>
      </c>
      <c r="C102" t="str">
        <f>"81753"</f>
        <v>81753</v>
      </c>
      <c r="D102" t="s">
        <v>68</v>
      </c>
      <c r="E102" s="3">
        <v>69.680000000000007</v>
      </c>
      <c r="F102">
        <v>20151009</v>
      </c>
      <c r="G102" t="s">
        <v>69</v>
      </c>
      <c r="H102" t="s">
        <v>143</v>
      </c>
      <c r="I102">
        <v>0</v>
      </c>
      <c r="J102" t="s">
        <v>15</v>
      </c>
      <c r="K102" t="s">
        <v>68</v>
      </c>
      <c r="L102" t="s">
        <v>17</v>
      </c>
      <c r="M102" t="str">
        <f t="shared" si="5"/>
        <v>10</v>
      </c>
      <c r="N102" t="s">
        <v>12</v>
      </c>
    </row>
    <row r="103" spans="1:14" x14ac:dyDescent="0.25">
      <c r="A103">
        <v>20151015</v>
      </c>
      <c r="B103" t="str">
        <f>"020491"</f>
        <v>020491</v>
      </c>
      <c r="C103" t="str">
        <f>"53084"</f>
        <v>53084</v>
      </c>
      <c r="D103" t="s">
        <v>147</v>
      </c>
      <c r="E103" s="3">
        <v>75</v>
      </c>
      <c r="F103">
        <v>20151020</v>
      </c>
      <c r="G103" t="s">
        <v>57</v>
      </c>
      <c r="H103" t="s">
        <v>148</v>
      </c>
      <c r="I103">
        <v>0</v>
      </c>
      <c r="J103" t="s">
        <v>15</v>
      </c>
      <c r="K103" t="s">
        <v>58</v>
      </c>
      <c r="L103" t="s">
        <v>17</v>
      </c>
      <c r="M103" t="str">
        <f t="shared" si="5"/>
        <v>10</v>
      </c>
      <c r="N103" t="s">
        <v>12</v>
      </c>
    </row>
    <row r="104" spans="1:14" x14ac:dyDescent="0.25">
      <c r="A104">
        <v>20151015</v>
      </c>
      <c r="B104" t="str">
        <f>"020493"</f>
        <v>020493</v>
      </c>
      <c r="C104" t="str">
        <f>"04831"</f>
        <v>04831</v>
      </c>
      <c r="D104" t="s">
        <v>11</v>
      </c>
      <c r="E104" s="3">
        <v>1203.9100000000001</v>
      </c>
      <c r="F104">
        <v>20151015</v>
      </c>
      <c r="G104" t="s">
        <v>13</v>
      </c>
      <c r="H104" t="s">
        <v>142</v>
      </c>
      <c r="I104">
        <v>0</v>
      </c>
      <c r="J104" t="s">
        <v>15</v>
      </c>
      <c r="K104" t="s">
        <v>16</v>
      </c>
      <c r="L104" t="s">
        <v>17</v>
      </c>
      <c r="M104" t="str">
        <f t="shared" si="5"/>
        <v>10</v>
      </c>
      <c r="N104" t="s">
        <v>12</v>
      </c>
    </row>
    <row r="105" spans="1:14" x14ac:dyDescent="0.25">
      <c r="A105">
        <v>20151015</v>
      </c>
      <c r="B105" t="str">
        <f>"020494"</f>
        <v>020494</v>
      </c>
      <c r="C105" t="str">
        <f>"04905"</f>
        <v>04905</v>
      </c>
      <c r="D105" t="s">
        <v>18</v>
      </c>
      <c r="E105" s="3">
        <v>2743.16</v>
      </c>
      <c r="F105">
        <v>20151015</v>
      </c>
      <c r="G105" t="s">
        <v>19</v>
      </c>
      <c r="H105" t="s">
        <v>143</v>
      </c>
      <c r="I105">
        <v>0</v>
      </c>
      <c r="J105" t="s">
        <v>15</v>
      </c>
      <c r="K105" t="s">
        <v>21</v>
      </c>
      <c r="L105" t="s">
        <v>17</v>
      </c>
      <c r="M105" t="str">
        <f t="shared" si="5"/>
        <v>10</v>
      </c>
      <c r="N105" t="s">
        <v>12</v>
      </c>
    </row>
    <row r="106" spans="1:14" x14ac:dyDescent="0.25">
      <c r="A106">
        <v>20151015</v>
      </c>
      <c r="B106" t="str">
        <f>"020495"</f>
        <v>020495</v>
      </c>
      <c r="C106" t="str">
        <f>"04987"</f>
        <v>04987</v>
      </c>
      <c r="D106" t="s">
        <v>144</v>
      </c>
      <c r="E106" s="3">
        <v>494.4</v>
      </c>
      <c r="F106">
        <v>20151015</v>
      </c>
      <c r="G106" t="s">
        <v>35</v>
      </c>
      <c r="H106" t="s">
        <v>142</v>
      </c>
      <c r="I106">
        <v>0</v>
      </c>
      <c r="J106" t="s">
        <v>15</v>
      </c>
      <c r="K106" t="s">
        <v>36</v>
      </c>
      <c r="L106" t="s">
        <v>17</v>
      </c>
      <c r="M106" t="str">
        <f t="shared" si="5"/>
        <v>10</v>
      </c>
      <c r="N106" t="s">
        <v>12</v>
      </c>
    </row>
    <row r="107" spans="1:14" x14ac:dyDescent="0.25">
      <c r="A107">
        <v>20151015</v>
      </c>
      <c r="B107" t="str">
        <f>"020496"</f>
        <v>020496</v>
      </c>
      <c r="C107" t="str">
        <f>"07710"</f>
        <v>07710</v>
      </c>
      <c r="D107" t="s">
        <v>22</v>
      </c>
      <c r="E107" s="3">
        <v>357.92</v>
      </c>
      <c r="F107">
        <v>20151015</v>
      </c>
      <c r="G107" t="s">
        <v>23</v>
      </c>
      <c r="H107" t="s">
        <v>143</v>
      </c>
      <c r="I107">
        <v>0</v>
      </c>
      <c r="J107" t="s">
        <v>15</v>
      </c>
      <c r="K107" t="s">
        <v>24</v>
      </c>
      <c r="L107" t="s">
        <v>17</v>
      </c>
      <c r="M107" t="str">
        <f t="shared" si="5"/>
        <v>10</v>
      </c>
      <c r="N107" t="s">
        <v>12</v>
      </c>
    </row>
    <row r="108" spans="1:14" x14ac:dyDescent="0.25">
      <c r="A108">
        <v>20151015</v>
      </c>
      <c r="B108" t="str">
        <f>"020497"</f>
        <v>020497</v>
      </c>
      <c r="C108" t="str">
        <f>"07880"</f>
        <v>07880</v>
      </c>
      <c r="D108" t="s">
        <v>25</v>
      </c>
      <c r="E108" s="3">
        <v>3995.4</v>
      </c>
      <c r="F108">
        <v>20151015</v>
      </c>
      <c r="G108" t="s">
        <v>26</v>
      </c>
      <c r="H108" t="s">
        <v>143</v>
      </c>
      <c r="I108">
        <v>0</v>
      </c>
      <c r="J108" t="s">
        <v>15</v>
      </c>
      <c r="K108" t="s">
        <v>27</v>
      </c>
      <c r="L108" t="s">
        <v>17</v>
      </c>
      <c r="M108" t="str">
        <f t="shared" si="5"/>
        <v>10</v>
      </c>
      <c r="N108" t="s">
        <v>12</v>
      </c>
    </row>
    <row r="109" spans="1:14" x14ac:dyDescent="0.25">
      <c r="A109">
        <v>20151015</v>
      </c>
      <c r="B109" t="str">
        <f>"020498"</f>
        <v>020498</v>
      </c>
      <c r="C109" t="str">
        <f>"10095"</f>
        <v>10095</v>
      </c>
      <c r="D109" t="s">
        <v>70</v>
      </c>
      <c r="E109" s="3">
        <v>528.26</v>
      </c>
      <c r="F109">
        <v>20151015</v>
      </c>
      <c r="G109" t="s">
        <v>71</v>
      </c>
      <c r="H109" t="s">
        <v>143</v>
      </c>
      <c r="I109">
        <v>0</v>
      </c>
      <c r="J109" t="s">
        <v>15</v>
      </c>
      <c r="K109" t="s">
        <v>72</v>
      </c>
      <c r="L109" t="s">
        <v>17</v>
      </c>
      <c r="M109" t="str">
        <f t="shared" si="5"/>
        <v>10</v>
      </c>
      <c r="N109" t="s">
        <v>12</v>
      </c>
    </row>
    <row r="110" spans="1:14" x14ac:dyDescent="0.25">
      <c r="A110">
        <v>20151015</v>
      </c>
      <c r="B110" t="str">
        <f>"020499"</f>
        <v>020499</v>
      </c>
      <c r="C110" t="str">
        <f>"11211"</f>
        <v>11211</v>
      </c>
      <c r="D110" t="s">
        <v>28</v>
      </c>
      <c r="E110" s="3">
        <v>2334.31</v>
      </c>
      <c r="F110">
        <v>20151015</v>
      </c>
      <c r="G110" t="s">
        <v>29</v>
      </c>
      <c r="H110" t="s">
        <v>142</v>
      </c>
      <c r="I110">
        <v>0</v>
      </c>
      <c r="J110" t="s">
        <v>15</v>
      </c>
      <c r="K110" t="s">
        <v>30</v>
      </c>
      <c r="L110" t="s">
        <v>17</v>
      </c>
      <c r="M110" t="str">
        <f t="shared" si="5"/>
        <v>10</v>
      </c>
      <c r="N110" t="s">
        <v>12</v>
      </c>
    </row>
    <row r="111" spans="1:14" x14ac:dyDescent="0.25">
      <c r="A111">
        <v>20151015</v>
      </c>
      <c r="B111" t="str">
        <f>"020500"</f>
        <v>020500</v>
      </c>
      <c r="C111" t="str">
        <f>"14177"</f>
        <v>14177</v>
      </c>
      <c r="D111" t="s">
        <v>31</v>
      </c>
      <c r="E111" s="3">
        <v>50</v>
      </c>
      <c r="F111">
        <v>20151015</v>
      </c>
      <c r="G111" t="s">
        <v>32</v>
      </c>
      <c r="H111" t="s">
        <v>143</v>
      </c>
      <c r="I111">
        <v>0</v>
      </c>
      <c r="J111" t="s">
        <v>15</v>
      </c>
      <c r="K111" t="s">
        <v>33</v>
      </c>
      <c r="L111" t="s">
        <v>17</v>
      </c>
      <c r="M111" t="str">
        <f t="shared" si="5"/>
        <v>10</v>
      </c>
      <c r="N111" t="s">
        <v>12</v>
      </c>
    </row>
    <row r="112" spans="1:14" x14ac:dyDescent="0.25">
      <c r="A112">
        <v>20151015</v>
      </c>
      <c r="B112" t="str">
        <f>"020501"</f>
        <v>020501</v>
      </c>
      <c r="C112" t="str">
        <f>"19103"</f>
        <v>19103</v>
      </c>
      <c r="D112" t="s">
        <v>73</v>
      </c>
      <c r="E112" s="3">
        <v>165</v>
      </c>
      <c r="F112">
        <v>20151015</v>
      </c>
      <c r="G112" t="s">
        <v>74</v>
      </c>
      <c r="H112" t="s">
        <v>143</v>
      </c>
      <c r="I112">
        <v>0</v>
      </c>
      <c r="J112" t="s">
        <v>15</v>
      </c>
      <c r="K112" t="s">
        <v>75</v>
      </c>
      <c r="L112" t="s">
        <v>17</v>
      </c>
      <c r="M112" t="str">
        <f t="shared" si="5"/>
        <v>10</v>
      </c>
      <c r="N112" t="s">
        <v>12</v>
      </c>
    </row>
    <row r="113" spans="1:14" x14ac:dyDescent="0.25">
      <c r="A113">
        <v>20151015</v>
      </c>
      <c r="B113" t="str">
        <f>"020502"</f>
        <v>020502</v>
      </c>
      <c r="C113" t="str">
        <f>"20682"</f>
        <v>20682</v>
      </c>
      <c r="D113" t="s">
        <v>76</v>
      </c>
      <c r="E113" s="3">
        <v>5350</v>
      </c>
      <c r="F113">
        <v>20151015</v>
      </c>
      <c r="G113" t="s">
        <v>77</v>
      </c>
      <c r="H113" t="s">
        <v>143</v>
      </c>
      <c r="I113">
        <v>0</v>
      </c>
      <c r="J113" t="s">
        <v>15</v>
      </c>
      <c r="K113" t="s">
        <v>78</v>
      </c>
      <c r="L113" t="s">
        <v>17</v>
      </c>
      <c r="M113" t="str">
        <f t="shared" si="5"/>
        <v>10</v>
      </c>
      <c r="N113" t="s">
        <v>12</v>
      </c>
    </row>
    <row r="114" spans="1:14" x14ac:dyDescent="0.25">
      <c r="A114">
        <v>20151015</v>
      </c>
      <c r="B114" t="str">
        <f>"020503"</f>
        <v>020503</v>
      </c>
      <c r="C114" t="str">
        <f>"21504"</f>
        <v>21504</v>
      </c>
      <c r="D114" t="s">
        <v>79</v>
      </c>
      <c r="E114" s="3">
        <v>36.6</v>
      </c>
      <c r="F114">
        <v>20151015</v>
      </c>
      <c r="G114" t="s">
        <v>80</v>
      </c>
      <c r="H114" t="s">
        <v>142</v>
      </c>
      <c r="I114">
        <v>0</v>
      </c>
      <c r="J114" t="s">
        <v>15</v>
      </c>
      <c r="K114" t="s">
        <v>81</v>
      </c>
      <c r="L114" t="s">
        <v>17</v>
      </c>
      <c r="M114" t="str">
        <f t="shared" si="5"/>
        <v>10</v>
      </c>
      <c r="N114" t="s">
        <v>12</v>
      </c>
    </row>
    <row r="115" spans="1:14" x14ac:dyDescent="0.25">
      <c r="A115">
        <v>20151015</v>
      </c>
      <c r="B115" t="str">
        <f>"020504"</f>
        <v>020504</v>
      </c>
      <c r="C115" t="str">
        <f>"21506"</f>
        <v>21506</v>
      </c>
      <c r="D115" t="s">
        <v>34</v>
      </c>
      <c r="E115" s="3">
        <v>359.7</v>
      </c>
      <c r="F115">
        <v>20151015</v>
      </c>
      <c r="G115" t="s">
        <v>37</v>
      </c>
      <c r="H115" t="s">
        <v>142</v>
      </c>
      <c r="I115">
        <v>0</v>
      </c>
      <c r="J115" t="s">
        <v>15</v>
      </c>
      <c r="K115" t="s">
        <v>38</v>
      </c>
      <c r="L115" t="s">
        <v>17</v>
      </c>
      <c r="M115" t="str">
        <f t="shared" si="5"/>
        <v>10</v>
      </c>
      <c r="N115" t="s">
        <v>12</v>
      </c>
    </row>
    <row r="116" spans="1:14" x14ac:dyDescent="0.25">
      <c r="A116">
        <v>20151015</v>
      </c>
      <c r="B116" t="str">
        <f>"020505"</f>
        <v>020505</v>
      </c>
      <c r="C116" t="str">
        <f>"21826"</f>
        <v>21826</v>
      </c>
      <c r="D116" t="s">
        <v>82</v>
      </c>
      <c r="E116" s="3">
        <v>462.53</v>
      </c>
      <c r="F116">
        <v>20151015</v>
      </c>
      <c r="G116" t="s">
        <v>83</v>
      </c>
      <c r="H116" t="s">
        <v>143</v>
      </c>
      <c r="I116">
        <v>0</v>
      </c>
      <c r="J116" t="s">
        <v>15</v>
      </c>
      <c r="K116" t="s">
        <v>84</v>
      </c>
      <c r="L116" t="s">
        <v>17</v>
      </c>
      <c r="M116" t="str">
        <f t="shared" si="5"/>
        <v>10</v>
      </c>
      <c r="N116" t="s">
        <v>12</v>
      </c>
    </row>
    <row r="117" spans="1:14" x14ac:dyDescent="0.25">
      <c r="A117">
        <v>20151015</v>
      </c>
      <c r="B117" t="str">
        <f>"020506"</f>
        <v>020506</v>
      </c>
      <c r="C117" t="str">
        <f>"24960"</f>
        <v>24960</v>
      </c>
      <c r="D117" t="s">
        <v>39</v>
      </c>
      <c r="E117" s="3">
        <v>4144.6899999999996</v>
      </c>
      <c r="F117">
        <v>20151015</v>
      </c>
      <c r="G117" t="s">
        <v>40</v>
      </c>
      <c r="H117" t="s">
        <v>145</v>
      </c>
      <c r="I117">
        <v>0</v>
      </c>
      <c r="J117" t="s">
        <v>15</v>
      </c>
      <c r="K117" t="s">
        <v>42</v>
      </c>
      <c r="L117" t="s">
        <v>17</v>
      </c>
      <c r="M117" t="str">
        <f t="shared" ref="M117:M148" si="6">"10"</f>
        <v>10</v>
      </c>
      <c r="N117" t="s">
        <v>12</v>
      </c>
    </row>
    <row r="118" spans="1:14" x14ac:dyDescent="0.25">
      <c r="A118">
        <v>20151015</v>
      </c>
      <c r="B118" t="str">
        <f>"020507"</f>
        <v>020507</v>
      </c>
      <c r="C118" t="str">
        <f>"29572"</f>
        <v>29572</v>
      </c>
      <c r="D118" t="s">
        <v>85</v>
      </c>
      <c r="E118" s="3">
        <v>36.200000000000003</v>
      </c>
      <c r="F118">
        <v>20151015</v>
      </c>
      <c r="G118" t="s">
        <v>86</v>
      </c>
      <c r="H118" t="s">
        <v>143</v>
      </c>
      <c r="I118">
        <v>0</v>
      </c>
      <c r="J118" t="s">
        <v>15</v>
      </c>
      <c r="K118" t="s">
        <v>87</v>
      </c>
      <c r="L118" t="s">
        <v>17</v>
      </c>
      <c r="M118" t="str">
        <f t="shared" si="6"/>
        <v>10</v>
      </c>
      <c r="N118" t="s">
        <v>12</v>
      </c>
    </row>
    <row r="119" spans="1:14" x14ac:dyDescent="0.25">
      <c r="A119">
        <v>20151015</v>
      </c>
      <c r="B119" t="str">
        <f>"020508"</f>
        <v>020508</v>
      </c>
      <c r="C119" t="str">
        <f>"42245"</f>
        <v>42245</v>
      </c>
      <c r="D119" t="s">
        <v>43</v>
      </c>
      <c r="E119" s="3">
        <v>9677.32</v>
      </c>
      <c r="F119">
        <v>20151015</v>
      </c>
      <c r="G119" t="s">
        <v>44</v>
      </c>
      <c r="H119" t="s">
        <v>142</v>
      </c>
      <c r="I119">
        <v>0</v>
      </c>
      <c r="J119" t="s">
        <v>15</v>
      </c>
      <c r="K119" t="s">
        <v>45</v>
      </c>
      <c r="L119" t="s">
        <v>17</v>
      </c>
      <c r="M119" t="str">
        <f t="shared" si="6"/>
        <v>10</v>
      </c>
      <c r="N119" t="s">
        <v>12</v>
      </c>
    </row>
    <row r="120" spans="1:14" x14ac:dyDescent="0.25">
      <c r="A120">
        <v>20151015</v>
      </c>
      <c r="B120" t="str">
        <f>"020509"</f>
        <v>020509</v>
      </c>
      <c r="C120" t="str">
        <f>"43855"</f>
        <v>43855</v>
      </c>
      <c r="D120" t="s">
        <v>88</v>
      </c>
      <c r="E120" s="3">
        <v>250</v>
      </c>
      <c r="F120">
        <v>20151015</v>
      </c>
      <c r="G120" t="s">
        <v>89</v>
      </c>
      <c r="H120" t="s">
        <v>143</v>
      </c>
      <c r="I120">
        <v>0</v>
      </c>
      <c r="J120" t="s">
        <v>15</v>
      </c>
      <c r="K120" t="s">
        <v>88</v>
      </c>
      <c r="L120" t="s">
        <v>17</v>
      </c>
      <c r="M120" t="str">
        <f t="shared" si="6"/>
        <v>10</v>
      </c>
      <c r="N120" t="s">
        <v>12</v>
      </c>
    </row>
    <row r="121" spans="1:14" x14ac:dyDescent="0.25">
      <c r="A121">
        <v>20151015</v>
      </c>
      <c r="B121" t="str">
        <f>"020510"</f>
        <v>020510</v>
      </c>
      <c r="C121" t="str">
        <f>"48947"</f>
        <v>48947</v>
      </c>
      <c r="D121" t="s">
        <v>46</v>
      </c>
      <c r="E121" s="3">
        <v>1518.89</v>
      </c>
      <c r="F121">
        <v>20151015</v>
      </c>
      <c r="G121" t="s">
        <v>47</v>
      </c>
      <c r="H121" t="s">
        <v>145</v>
      </c>
      <c r="I121">
        <v>0</v>
      </c>
      <c r="J121" t="s">
        <v>15</v>
      </c>
      <c r="K121" t="s">
        <v>48</v>
      </c>
      <c r="L121" t="s">
        <v>17</v>
      </c>
      <c r="M121" t="str">
        <f t="shared" si="6"/>
        <v>10</v>
      </c>
      <c r="N121" t="s">
        <v>12</v>
      </c>
    </row>
    <row r="122" spans="1:14" x14ac:dyDescent="0.25">
      <c r="A122">
        <v>20151015</v>
      </c>
      <c r="B122" t="str">
        <f t="shared" ref="B122:B137" si="7">"020511"</f>
        <v>020511</v>
      </c>
      <c r="C122" t="str">
        <f t="shared" ref="C122:C137" si="8">"54196"</f>
        <v>54196</v>
      </c>
      <c r="D122" t="s">
        <v>49</v>
      </c>
      <c r="E122" s="3">
        <v>50</v>
      </c>
      <c r="F122">
        <v>20151015</v>
      </c>
      <c r="G122" t="s">
        <v>90</v>
      </c>
      <c r="H122" t="s">
        <v>146</v>
      </c>
      <c r="I122">
        <v>0</v>
      </c>
      <c r="J122" t="s">
        <v>15</v>
      </c>
      <c r="K122" t="s">
        <v>91</v>
      </c>
      <c r="L122" t="s">
        <v>17</v>
      </c>
      <c r="M122" t="str">
        <f t="shared" si="6"/>
        <v>10</v>
      </c>
      <c r="N122" t="s">
        <v>12</v>
      </c>
    </row>
    <row r="123" spans="1:14" x14ac:dyDescent="0.25">
      <c r="A123">
        <v>20151015</v>
      </c>
      <c r="B123" t="str">
        <f t="shared" si="7"/>
        <v>020511</v>
      </c>
      <c r="C123" t="str">
        <f t="shared" si="8"/>
        <v>54196</v>
      </c>
      <c r="D123" t="s">
        <v>49</v>
      </c>
      <c r="E123" s="3">
        <v>283</v>
      </c>
      <c r="F123">
        <v>20151015</v>
      </c>
      <c r="G123" t="s">
        <v>92</v>
      </c>
      <c r="H123" t="s">
        <v>146</v>
      </c>
      <c r="I123">
        <v>0</v>
      </c>
      <c r="J123" t="s">
        <v>15</v>
      </c>
      <c r="K123" t="s">
        <v>93</v>
      </c>
      <c r="L123" t="s">
        <v>17</v>
      </c>
      <c r="M123" t="str">
        <f t="shared" si="6"/>
        <v>10</v>
      </c>
      <c r="N123" t="s">
        <v>12</v>
      </c>
    </row>
    <row r="124" spans="1:14" x14ac:dyDescent="0.25">
      <c r="A124">
        <v>20151015</v>
      </c>
      <c r="B124" t="str">
        <f t="shared" si="7"/>
        <v>020511</v>
      </c>
      <c r="C124" t="str">
        <f t="shared" si="8"/>
        <v>54196</v>
      </c>
      <c r="D124" t="s">
        <v>49</v>
      </c>
      <c r="E124" s="3">
        <v>1590</v>
      </c>
      <c r="F124">
        <v>20151015</v>
      </c>
      <c r="G124" t="s">
        <v>94</v>
      </c>
      <c r="H124" t="s">
        <v>146</v>
      </c>
      <c r="I124">
        <v>0</v>
      </c>
      <c r="J124" t="s">
        <v>15</v>
      </c>
      <c r="K124" t="s">
        <v>95</v>
      </c>
      <c r="L124" t="s">
        <v>17</v>
      </c>
      <c r="M124" t="str">
        <f t="shared" si="6"/>
        <v>10</v>
      </c>
      <c r="N124" t="s">
        <v>12</v>
      </c>
    </row>
    <row r="125" spans="1:14" x14ac:dyDescent="0.25">
      <c r="A125">
        <v>20151015</v>
      </c>
      <c r="B125" t="str">
        <f t="shared" si="7"/>
        <v>020511</v>
      </c>
      <c r="C125" t="str">
        <f t="shared" si="8"/>
        <v>54196</v>
      </c>
      <c r="D125" t="s">
        <v>49</v>
      </c>
      <c r="E125" s="3">
        <v>2175</v>
      </c>
      <c r="F125">
        <v>20151015</v>
      </c>
      <c r="G125" t="s">
        <v>96</v>
      </c>
      <c r="H125" t="s">
        <v>146</v>
      </c>
      <c r="I125">
        <v>0</v>
      </c>
      <c r="J125" t="s">
        <v>15</v>
      </c>
      <c r="K125" t="s">
        <v>97</v>
      </c>
      <c r="L125" t="s">
        <v>17</v>
      </c>
      <c r="M125" t="str">
        <f t="shared" si="6"/>
        <v>10</v>
      </c>
      <c r="N125" t="s">
        <v>12</v>
      </c>
    </row>
    <row r="126" spans="1:14" x14ac:dyDescent="0.25">
      <c r="A126">
        <v>20151015</v>
      </c>
      <c r="B126" t="str">
        <f t="shared" si="7"/>
        <v>020511</v>
      </c>
      <c r="C126" t="str">
        <f t="shared" si="8"/>
        <v>54196</v>
      </c>
      <c r="D126" t="s">
        <v>49</v>
      </c>
      <c r="E126" s="3">
        <v>50</v>
      </c>
      <c r="F126">
        <v>20151015</v>
      </c>
      <c r="G126" t="s">
        <v>98</v>
      </c>
      <c r="H126" t="s">
        <v>146</v>
      </c>
      <c r="I126">
        <v>0</v>
      </c>
      <c r="J126" t="s">
        <v>15</v>
      </c>
      <c r="K126" t="s">
        <v>99</v>
      </c>
      <c r="L126" t="s">
        <v>17</v>
      </c>
      <c r="M126" t="str">
        <f t="shared" si="6"/>
        <v>10</v>
      </c>
      <c r="N126" t="s">
        <v>12</v>
      </c>
    </row>
    <row r="127" spans="1:14" x14ac:dyDescent="0.25">
      <c r="A127">
        <v>20151015</v>
      </c>
      <c r="B127" t="str">
        <f t="shared" si="7"/>
        <v>020511</v>
      </c>
      <c r="C127" t="str">
        <f t="shared" si="8"/>
        <v>54196</v>
      </c>
      <c r="D127" t="s">
        <v>49</v>
      </c>
      <c r="E127" s="3">
        <v>1230</v>
      </c>
      <c r="F127">
        <v>20151015</v>
      </c>
      <c r="G127" t="s">
        <v>100</v>
      </c>
      <c r="H127" t="s">
        <v>146</v>
      </c>
      <c r="I127">
        <v>0</v>
      </c>
      <c r="J127" t="s">
        <v>15</v>
      </c>
      <c r="K127" t="s">
        <v>101</v>
      </c>
      <c r="L127" t="s">
        <v>17</v>
      </c>
      <c r="M127" t="str">
        <f t="shared" si="6"/>
        <v>10</v>
      </c>
      <c r="N127" t="s">
        <v>12</v>
      </c>
    </row>
    <row r="128" spans="1:14" x14ac:dyDescent="0.25">
      <c r="A128">
        <v>20151015</v>
      </c>
      <c r="B128" t="str">
        <f t="shared" si="7"/>
        <v>020511</v>
      </c>
      <c r="C128" t="str">
        <f t="shared" si="8"/>
        <v>54196</v>
      </c>
      <c r="D128" t="s">
        <v>49</v>
      </c>
      <c r="E128" s="3">
        <v>10898</v>
      </c>
      <c r="F128">
        <v>20151015</v>
      </c>
      <c r="G128" t="s">
        <v>102</v>
      </c>
      <c r="H128" t="s">
        <v>146</v>
      </c>
      <c r="I128">
        <v>0</v>
      </c>
      <c r="J128" t="s">
        <v>15</v>
      </c>
      <c r="K128" t="s">
        <v>103</v>
      </c>
      <c r="L128" t="s">
        <v>17</v>
      </c>
      <c r="M128" t="str">
        <f t="shared" si="6"/>
        <v>10</v>
      </c>
      <c r="N128" t="s">
        <v>12</v>
      </c>
    </row>
    <row r="129" spans="1:14" x14ac:dyDescent="0.25">
      <c r="A129">
        <v>20151015</v>
      </c>
      <c r="B129" t="str">
        <f t="shared" si="7"/>
        <v>020511</v>
      </c>
      <c r="C129" t="str">
        <f t="shared" si="8"/>
        <v>54196</v>
      </c>
      <c r="D129" t="s">
        <v>49</v>
      </c>
      <c r="E129" s="3">
        <v>972</v>
      </c>
      <c r="F129">
        <v>20151015</v>
      </c>
      <c r="G129" t="s">
        <v>104</v>
      </c>
      <c r="H129" t="s">
        <v>146</v>
      </c>
      <c r="I129">
        <v>0</v>
      </c>
      <c r="J129" t="s">
        <v>15</v>
      </c>
      <c r="K129" t="s">
        <v>105</v>
      </c>
      <c r="L129" t="s">
        <v>17</v>
      </c>
      <c r="M129" t="str">
        <f t="shared" si="6"/>
        <v>10</v>
      </c>
      <c r="N129" t="s">
        <v>12</v>
      </c>
    </row>
    <row r="130" spans="1:14" x14ac:dyDescent="0.25">
      <c r="A130">
        <v>20151015</v>
      </c>
      <c r="B130" t="str">
        <f t="shared" si="7"/>
        <v>020511</v>
      </c>
      <c r="C130" t="str">
        <f t="shared" si="8"/>
        <v>54196</v>
      </c>
      <c r="D130" t="s">
        <v>49</v>
      </c>
      <c r="E130" s="3">
        <v>300</v>
      </c>
      <c r="F130">
        <v>20151015</v>
      </c>
      <c r="G130" t="s">
        <v>108</v>
      </c>
      <c r="H130" t="s">
        <v>146</v>
      </c>
      <c r="I130">
        <v>0</v>
      </c>
      <c r="J130" t="s">
        <v>15</v>
      </c>
      <c r="K130" t="s">
        <v>109</v>
      </c>
      <c r="L130" t="s">
        <v>17</v>
      </c>
      <c r="M130" t="str">
        <f t="shared" si="6"/>
        <v>10</v>
      </c>
      <c r="N130" t="s">
        <v>12</v>
      </c>
    </row>
    <row r="131" spans="1:14" x14ac:dyDescent="0.25">
      <c r="A131">
        <v>20151015</v>
      </c>
      <c r="B131" t="str">
        <f t="shared" si="7"/>
        <v>020511</v>
      </c>
      <c r="C131" t="str">
        <f t="shared" si="8"/>
        <v>54196</v>
      </c>
      <c r="D131" t="s">
        <v>49</v>
      </c>
      <c r="E131" s="3">
        <v>450</v>
      </c>
      <c r="F131">
        <v>20151015</v>
      </c>
      <c r="G131" t="s">
        <v>110</v>
      </c>
      <c r="H131" t="s">
        <v>146</v>
      </c>
      <c r="I131">
        <v>0</v>
      </c>
      <c r="J131" t="s">
        <v>15</v>
      </c>
      <c r="K131" t="s">
        <v>111</v>
      </c>
      <c r="L131" t="s">
        <v>17</v>
      </c>
      <c r="M131" t="str">
        <f t="shared" si="6"/>
        <v>10</v>
      </c>
      <c r="N131" t="s">
        <v>12</v>
      </c>
    </row>
    <row r="132" spans="1:14" x14ac:dyDescent="0.25">
      <c r="A132">
        <v>20151015</v>
      </c>
      <c r="B132" t="str">
        <f t="shared" si="7"/>
        <v>020511</v>
      </c>
      <c r="C132" t="str">
        <f t="shared" si="8"/>
        <v>54196</v>
      </c>
      <c r="D132" t="s">
        <v>49</v>
      </c>
      <c r="E132" s="3">
        <v>750</v>
      </c>
      <c r="F132">
        <v>20151015</v>
      </c>
      <c r="G132" t="s">
        <v>112</v>
      </c>
      <c r="H132" t="s">
        <v>146</v>
      </c>
      <c r="I132">
        <v>0</v>
      </c>
      <c r="J132" t="s">
        <v>15</v>
      </c>
      <c r="K132" t="s">
        <v>113</v>
      </c>
      <c r="L132" t="s">
        <v>17</v>
      </c>
      <c r="M132" t="str">
        <f t="shared" si="6"/>
        <v>10</v>
      </c>
      <c r="N132" t="s">
        <v>12</v>
      </c>
    </row>
    <row r="133" spans="1:14" x14ac:dyDescent="0.25">
      <c r="A133">
        <v>20151015</v>
      </c>
      <c r="B133" t="str">
        <f t="shared" si="7"/>
        <v>020511</v>
      </c>
      <c r="C133" t="str">
        <f t="shared" si="8"/>
        <v>54196</v>
      </c>
      <c r="D133" t="s">
        <v>49</v>
      </c>
      <c r="E133" s="3">
        <v>100</v>
      </c>
      <c r="F133">
        <v>20151015</v>
      </c>
      <c r="G133" t="s">
        <v>149</v>
      </c>
      <c r="H133" t="s">
        <v>146</v>
      </c>
      <c r="I133">
        <v>0</v>
      </c>
      <c r="J133" t="s">
        <v>15</v>
      </c>
      <c r="K133" t="s">
        <v>150</v>
      </c>
      <c r="L133" t="s">
        <v>17</v>
      </c>
      <c r="M133" t="str">
        <f t="shared" si="6"/>
        <v>10</v>
      </c>
      <c r="N133" t="s">
        <v>12</v>
      </c>
    </row>
    <row r="134" spans="1:14" x14ac:dyDescent="0.25">
      <c r="A134">
        <v>20151015</v>
      </c>
      <c r="B134" t="str">
        <f t="shared" si="7"/>
        <v>020511</v>
      </c>
      <c r="C134" t="str">
        <f t="shared" si="8"/>
        <v>54196</v>
      </c>
      <c r="D134" t="s">
        <v>49</v>
      </c>
      <c r="E134" s="3">
        <v>200</v>
      </c>
      <c r="F134">
        <v>20151015</v>
      </c>
      <c r="G134" t="s">
        <v>114</v>
      </c>
      <c r="H134" t="s">
        <v>146</v>
      </c>
      <c r="I134">
        <v>0</v>
      </c>
      <c r="J134" t="s">
        <v>15</v>
      </c>
      <c r="K134" t="s">
        <v>115</v>
      </c>
      <c r="L134" t="s">
        <v>17</v>
      </c>
      <c r="M134" t="str">
        <f t="shared" si="6"/>
        <v>10</v>
      </c>
      <c r="N134" t="s">
        <v>12</v>
      </c>
    </row>
    <row r="135" spans="1:14" x14ac:dyDescent="0.25">
      <c r="A135">
        <v>20151015</v>
      </c>
      <c r="B135" t="str">
        <f t="shared" si="7"/>
        <v>020511</v>
      </c>
      <c r="C135" t="str">
        <f t="shared" si="8"/>
        <v>54196</v>
      </c>
      <c r="D135" t="s">
        <v>49</v>
      </c>
      <c r="E135" s="3">
        <v>575</v>
      </c>
      <c r="F135">
        <v>20151015</v>
      </c>
      <c r="G135" t="s">
        <v>116</v>
      </c>
      <c r="H135" t="s">
        <v>151</v>
      </c>
      <c r="I135">
        <v>0</v>
      </c>
      <c r="J135" t="s">
        <v>15</v>
      </c>
      <c r="K135" t="s">
        <v>118</v>
      </c>
      <c r="L135" t="s">
        <v>17</v>
      </c>
      <c r="M135" t="str">
        <f t="shared" si="6"/>
        <v>10</v>
      </c>
      <c r="N135" t="s">
        <v>12</v>
      </c>
    </row>
    <row r="136" spans="1:14" x14ac:dyDescent="0.25">
      <c r="A136">
        <v>20151015</v>
      </c>
      <c r="B136" t="str">
        <f t="shared" si="7"/>
        <v>020511</v>
      </c>
      <c r="C136" t="str">
        <f t="shared" si="8"/>
        <v>54196</v>
      </c>
      <c r="D136" t="s">
        <v>49</v>
      </c>
      <c r="E136" s="3">
        <v>300</v>
      </c>
      <c r="F136">
        <v>20151015</v>
      </c>
      <c r="G136" t="s">
        <v>119</v>
      </c>
      <c r="H136" t="s">
        <v>152</v>
      </c>
      <c r="I136">
        <v>0</v>
      </c>
      <c r="J136" t="s">
        <v>15</v>
      </c>
      <c r="K136" t="s">
        <v>103</v>
      </c>
      <c r="L136" t="s">
        <v>17</v>
      </c>
      <c r="M136" t="str">
        <f t="shared" si="6"/>
        <v>10</v>
      </c>
      <c r="N136" t="s">
        <v>12</v>
      </c>
    </row>
    <row r="137" spans="1:14" x14ac:dyDescent="0.25">
      <c r="A137">
        <v>20151015</v>
      </c>
      <c r="B137" t="str">
        <f t="shared" si="7"/>
        <v>020511</v>
      </c>
      <c r="C137" t="str">
        <f t="shared" si="8"/>
        <v>54196</v>
      </c>
      <c r="D137" t="s">
        <v>49</v>
      </c>
      <c r="E137" s="3">
        <v>2800</v>
      </c>
      <c r="F137">
        <v>20151015</v>
      </c>
      <c r="G137" t="s">
        <v>50</v>
      </c>
      <c r="H137" t="s">
        <v>146</v>
      </c>
      <c r="I137">
        <v>0</v>
      </c>
      <c r="J137" t="s">
        <v>15</v>
      </c>
      <c r="K137" t="s">
        <v>52</v>
      </c>
      <c r="L137" t="s">
        <v>17</v>
      </c>
      <c r="M137" t="str">
        <f t="shared" si="6"/>
        <v>10</v>
      </c>
      <c r="N137" t="s">
        <v>12</v>
      </c>
    </row>
    <row r="138" spans="1:14" x14ac:dyDescent="0.25">
      <c r="A138">
        <v>20151015</v>
      </c>
      <c r="B138" t="str">
        <f>"020512"</f>
        <v>020512</v>
      </c>
      <c r="C138" t="str">
        <f>"56220"</f>
        <v>56220</v>
      </c>
      <c r="D138" t="s">
        <v>121</v>
      </c>
      <c r="E138" s="3">
        <v>842</v>
      </c>
      <c r="F138">
        <v>20151015</v>
      </c>
      <c r="G138" t="s">
        <v>122</v>
      </c>
      <c r="H138" t="s">
        <v>143</v>
      </c>
      <c r="I138">
        <v>0</v>
      </c>
      <c r="J138" t="s">
        <v>15</v>
      </c>
      <c r="K138" t="s">
        <v>123</v>
      </c>
      <c r="L138" t="s">
        <v>17</v>
      </c>
      <c r="M138" t="str">
        <f t="shared" si="6"/>
        <v>10</v>
      </c>
      <c r="N138" t="s">
        <v>12</v>
      </c>
    </row>
    <row r="139" spans="1:14" x14ac:dyDescent="0.25">
      <c r="A139">
        <v>20151015</v>
      </c>
      <c r="B139" t="str">
        <f>"020513"</f>
        <v>020513</v>
      </c>
      <c r="C139" t="str">
        <f>"72601"</f>
        <v>72601</v>
      </c>
      <c r="D139" t="s">
        <v>53</v>
      </c>
      <c r="E139" s="3">
        <v>9296.17</v>
      </c>
      <c r="F139">
        <v>20151015</v>
      </c>
      <c r="G139" t="s">
        <v>54</v>
      </c>
      <c r="H139" t="s">
        <v>143</v>
      </c>
      <c r="I139">
        <v>0</v>
      </c>
      <c r="J139" t="s">
        <v>15</v>
      </c>
      <c r="K139" t="s">
        <v>55</v>
      </c>
      <c r="L139" t="s">
        <v>17</v>
      </c>
      <c r="M139" t="str">
        <f t="shared" si="6"/>
        <v>10</v>
      </c>
      <c r="N139" t="s">
        <v>12</v>
      </c>
    </row>
    <row r="140" spans="1:14" x14ac:dyDescent="0.25">
      <c r="A140">
        <v>20151015</v>
      </c>
      <c r="B140" t="str">
        <f>"020514"</f>
        <v>020514</v>
      </c>
      <c r="C140" t="str">
        <f>"75452"</f>
        <v>75452</v>
      </c>
      <c r="D140" t="s">
        <v>56</v>
      </c>
      <c r="E140" s="3">
        <v>9766.27</v>
      </c>
      <c r="F140">
        <v>20151015</v>
      </c>
      <c r="G140" t="s">
        <v>57</v>
      </c>
      <c r="H140" t="s">
        <v>142</v>
      </c>
      <c r="I140">
        <v>0</v>
      </c>
      <c r="J140" t="s">
        <v>15</v>
      </c>
      <c r="K140" t="s">
        <v>58</v>
      </c>
      <c r="L140" t="s">
        <v>17</v>
      </c>
      <c r="M140" t="str">
        <f t="shared" si="6"/>
        <v>10</v>
      </c>
      <c r="N140" t="s">
        <v>12</v>
      </c>
    </row>
    <row r="141" spans="1:14" x14ac:dyDescent="0.25">
      <c r="A141">
        <v>20151015</v>
      </c>
      <c r="B141" t="str">
        <f>"020514"</f>
        <v>020514</v>
      </c>
      <c r="C141" t="str">
        <f>"75452"</f>
        <v>75452</v>
      </c>
      <c r="D141" t="s">
        <v>56</v>
      </c>
      <c r="E141" s="3">
        <v>25</v>
      </c>
      <c r="F141">
        <v>20151015</v>
      </c>
      <c r="G141" t="s">
        <v>153</v>
      </c>
      <c r="H141" t="s">
        <v>154</v>
      </c>
      <c r="I141">
        <v>0</v>
      </c>
      <c r="J141" t="s">
        <v>15</v>
      </c>
      <c r="K141" t="s">
        <v>155</v>
      </c>
      <c r="L141" t="s">
        <v>17</v>
      </c>
      <c r="M141" t="str">
        <f t="shared" si="6"/>
        <v>10</v>
      </c>
      <c r="N141" t="s">
        <v>12</v>
      </c>
    </row>
    <row r="142" spans="1:14" x14ac:dyDescent="0.25">
      <c r="A142">
        <v>20151015</v>
      </c>
      <c r="B142" t="str">
        <f>"020515"</f>
        <v>020515</v>
      </c>
      <c r="C142" t="str">
        <f>"77030"</f>
        <v>77030</v>
      </c>
      <c r="D142" t="s">
        <v>156</v>
      </c>
      <c r="E142" s="3">
        <v>43.5</v>
      </c>
      <c r="F142">
        <v>20151015</v>
      </c>
      <c r="G142" t="s">
        <v>157</v>
      </c>
      <c r="H142" t="s">
        <v>143</v>
      </c>
      <c r="I142">
        <v>0</v>
      </c>
      <c r="J142" t="s">
        <v>15</v>
      </c>
      <c r="K142" t="s">
        <v>158</v>
      </c>
      <c r="L142" t="s">
        <v>17</v>
      </c>
      <c r="M142" t="str">
        <f t="shared" si="6"/>
        <v>10</v>
      </c>
      <c r="N142" t="s">
        <v>12</v>
      </c>
    </row>
    <row r="143" spans="1:14" x14ac:dyDescent="0.25">
      <c r="A143">
        <v>20151015</v>
      </c>
      <c r="B143" t="str">
        <f>"020516"</f>
        <v>020516</v>
      </c>
      <c r="C143" t="str">
        <f>"78428"</f>
        <v>78428</v>
      </c>
      <c r="D143" t="s">
        <v>124</v>
      </c>
      <c r="E143" s="3">
        <v>851.87</v>
      </c>
      <c r="F143">
        <v>20151015</v>
      </c>
      <c r="G143" t="s">
        <v>125</v>
      </c>
      <c r="H143" t="s">
        <v>143</v>
      </c>
      <c r="I143">
        <v>0</v>
      </c>
      <c r="J143" t="s">
        <v>15</v>
      </c>
      <c r="K143" t="s">
        <v>126</v>
      </c>
      <c r="L143" t="s">
        <v>17</v>
      </c>
      <c r="M143" t="str">
        <f t="shared" si="6"/>
        <v>10</v>
      </c>
      <c r="N143" t="s">
        <v>12</v>
      </c>
    </row>
    <row r="144" spans="1:14" x14ac:dyDescent="0.25">
      <c r="A144">
        <v>20151015</v>
      </c>
      <c r="B144" t="str">
        <f>"020517"</f>
        <v>020517</v>
      </c>
      <c r="C144" t="str">
        <f>"79562"</f>
        <v>79562</v>
      </c>
      <c r="D144" t="s">
        <v>127</v>
      </c>
      <c r="E144" s="3">
        <v>341.95</v>
      </c>
      <c r="F144">
        <v>20151015</v>
      </c>
      <c r="G144" t="s">
        <v>128</v>
      </c>
      <c r="H144" t="s">
        <v>159</v>
      </c>
      <c r="I144">
        <v>0</v>
      </c>
      <c r="J144" t="s">
        <v>15</v>
      </c>
      <c r="K144" t="s">
        <v>130</v>
      </c>
      <c r="L144" t="s">
        <v>17</v>
      </c>
      <c r="M144" t="str">
        <f t="shared" si="6"/>
        <v>10</v>
      </c>
      <c r="N144" t="s">
        <v>12</v>
      </c>
    </row>
    <row r="145" spans="1:14" x14ac:dyDescent="0.25">
      <c r="A145">
        <v>20151015</v>
      </c>
      <c r="B145" t="str">
        <f>"020518"</f>
        <v>020518</v>
      </c>
      <c r="C145" t="str">
        <f>"79762"</f>
        <v>79762</v>
      </c>
      <c r="D145" t="s">
        <v>160</v>
      </c>
      <c r="E145" s="3">
        <v>390</v>
      </c>
      <c r="F145">
        <v>20151015</v>
      </c>
      <c r="G145" t="s">
        <v>161</v>
      </c>
      <c r="H145" t="s">
        <v>143</v>
      </c>
      <c r="I145">
        <v>0</v>
      </c>
      <c r="J145" t="s">
        <v>15</v>
      </c>
      <c r="K145" t="s">
        <v>162</v>
      </c>
      <c r="L145" t="s">
        <v>17</v>
      </c>
      <c r="M145" t="str">
        <f t="shared" si="6"/>
        <v>10</v>
      </c>
      <c r="N145" t="s">
        <v>12</v>
      </c>
    </row>
    <row r="146" spans="1:14" x14ac:dyDescent="0.25">
      <c r="A146">
        <v>20151015</v>
      </c>
      <c r="B146" t="str">
        <f>"020519"</f>
        <v>020519</v>
      </c>
      <c r="C146" t="str">
        <f>"81155"</f>
        <v>81155</v>
      </c>
      <c r="D146" t="s">
        <v>131</v>
      </c>
      <c r="E146" s="3">
        <v>280</v>
      </c>
      <c r="F146">
        <v>20151015</v>
      </c>
      <c r="G146" t="s">
        <v>132</v>
      </c>
      <c r="H146" t="s">
        <v>143</v>
      </c>
      <c r="I146">
        <v>0</v>
      </c>
      <c r="J146" t="s">
        <v>15</v>
      </c>
      <c r="K146" t="s">
        <v>133</v>
      </c>
      <c r="L146" t="s">
        <v>17</v>
      </c>
      <c r="M146" t="str">
        <f t="shared" si="6"/>
        <v>10</v>
      </c>
      <c r="N146" t="s">
        <v>12</v>
      </c>
    </row>
    <row r="147" spans="1:14" x14ac:dyDescent="0.25">
      <c r="A147">
        <v>20151015</v>
      </c>
      <c r="B147" t="str">
        <f>"020520"</f>
        <v>020520</v>
      </c>
      <c r="C147" t="str">
        <f>"81173"</f>
        <v>81173</v>
      </c>
      <c r="D147" t="s">
        <v>59</v>
      </c>
      <c r="E147" s="3">
        <v>400</v>
      </c>
      <c r="F147">
        <v>20151015</v>
      </c>
      <c r="G147" t="s">
        <v>60</v>
      </c>
      <c r="H147" t="s">
        <v>143</v>
      </c>
      <c r="I147">
        <v>0</v>
      </c>
      <c r="J147" t="s">
        <v>15</v>
      </c>
      <c r="K147" t="s">
        <v>61</v>
      </c>
      <c r="L147" t="s">
        <v>17</v>
      </c>
      <c r="M147" t="str">
        <f t="shared" si="6"/>
        <v>10</v>
      </c>
      <c r="N147" t="s">
        <v>12</v>
      </c>
    </row>
    <row r="148" spans="1:14" x14ac:dyDescent="0.25">
      <c r="A148">
        <v>20151015</v>
      </c>
      <c r="B148" t="str">
        <f>"020521"</f>
        <v>020521</v>
      </c>
      <c r="C148" t="str">
        <f>"81174"</f>
        <v>81174</v>
      </c>
      <c r="D148" t="s">
        <v>62</v>
      </c>
      <c r="E148" s="3">
        <v>1610</v>
      </c>
      <c r="F148">
        <v>20151015</v>
      </c>
      <c r="G148" t="s">
        <v>63</v>
      </c>
      <c r="H148" t="s">
        <v>143</v>
      </c>
      <c r="I148">
        <v>0</v>
      </c>
      <c r="J148" t="s">
        <v>15</v>
      </c>
      <c r="K148" t="s">
        <v>64</v>
      </c>
      <c r="L148" t="s">
        <v>17</v>
      </c>
      <c r="M148" t="str">
        <f t="shared" si="6"/>
        <v>10</v>
      </c>
      <c r="N148" t="s">
        <v>12</v>
      </c>
    </row>
    <row r="149" spans="1:14" x14ac:dyDescent="0.25">
      <c r="A149">
        <v>20151015</v>
      </c>
      <c r="B149" t="str">
        <f>"020522"</f>
        <v>020522</v>
      </c>
      <c r="C149" t="str">
        <f>"81177"</f>
        <v>81177</v>
      </c>
      <c r="D149" t="s">
        <v>65</v>
      </c>
      <c r="E149" s="3">
        <v>250.95</v>
      </c>
      <c r="F149">
        <v>20151015</v>
      </c>
      <c r="G149" t="s">
        <v>66</v>
      </c>
      <c r="H149" t="s">
        <v>143</v>
      </c>
      <c r="I149">
        <v>0</v>
      </c>
      <c r="J149" t="s">
        <v>15</v>
      </c>
      <c r="K149" t="s">
        <v>67</v>
      </c>
      <c r="L149" t="s">
        <v>17</v>
      </c>
      <c r="M149" t="str">
        <f t="shared" ref="M149:M168" si="9">"10"</f>
        <v>10</v>
      </c>
      <c r="N149" t="s">
        <v>12</v>
      </c>
    </row>
    <row r="150" spans="1:14" x14ac:dyDescent="0.25">
      <c r="A150">
        <v>20151015</v>
      </c>
      <c r="B150" t="str">
        <f>"020522"</f>
        <v>020522</v>
      </c>
      <c r="C150" t="str">
        <f>"81177"</f>
        <v>81177</v>
      </c>
      <c r="D150" t="s">
        <v>65</v>
      </c>
      <c r="E150" s="3">
        <v>430.99</v>
      </c>
      <c r="F150">
        <v>20151015</v>
      </c>
      <c r="G150" t="s">
        <v>134</v>
      </c>
      <c r="H150" t="s">
        <v>143</v>
      </c>
      <c r="I150">
        <v>0</v>
      </c>
      <c r="J150" t="s">
        <v>15</v>
      </c>
      <c r="K150" t="s">
        <v>135</v>
      </c>
      <c r="L150" t="s">
        <v>17</v>
      </c>
      <c r="M150" t="str">
        <f t="shared" si="9"/>
        <v>10</v>
      </c>
      <c r="N150" t="s">
        <v>12</v>
      </c>
    </row>
    <row r="151" spans="1:14" x14ac:dyDescent="0.25">
      <c r="A151">
        <v>20151015</v>
      </c>
      <c r="B151" t="str">
        <f>"020523"</f>
        <v>020523</v>
      </c>
      <c r="C151" t="str">
        <f>"81753"</f>
        <v>81753</v>
      </c>
      <c r="D151" t="s">
        <v>68</v>
      </c>
      <c r="E151" s="3">
        <v>671.85</v>
      </c>
      <c r="F151">
        <v>20151015</v>
      </c>
      <c r="G151" t="s">
        <v>69</v>
      </c>
      <c r="H151" t="s">
        <v>143</v>
      </c>
      <c r="I151">
        <v>0</v>
      </c>
      <c r="J151" t="s">
        <v>15</v>
      </c>
      <c r="K151" t="s">
        <v>68</v>
      </c>
      <c r="L151" t="s">
        <v>17</v>
      </c>
      <c r="M151" t="str">
        <f t="shared" si="9"/>
        <v>10</v>
      </c>
      <c r="N151" t="s">
        <v>12</v>
      </c>
    </row>
    <row r="152" spans="1:14" x14ac:dyDescent="0.25">
      <c r="A152">
        <v>20151023</v>
      </c>
      <c r="B152" t="str">
        <f>"020571"</f>
        <v>020571</v>
      </c>
      <c r="C152" t="str">
        <f>"04831"</f>
        <v>04831</v>
      </c>
      <c r="D152" t="s">
        <v>11</v>
      </c>
      <c r="E152" s="3">
        <v>56.1</v>
      </c>
      <c r="F152">
        <v>20151023</v>
      </c>
      <c r="G152" t="s">
        <v>13</v>
      </c>
      <c r="H152" t="s">
        <v>142</v>
      </c>
      <c r="I152">
        <v>0</v>
      </c>
      <c r="J152" t="s">
        <v>15</v>
      </c>
      <c r="K152" t="s">
        <v>16</v>
      </c>
      <c r="L152" t="s">
        <v>17</v>
      </c>
      <c r="M152" t="str">
        <f t="shared" si="9"/>
        <v>10</v>
      </c>
      <c r="N152" t="s">
        <v>12</v>
      </c>
    </row>
    <row r="153" spans="1:14" x14ac:dyDescent="0.25">
      <c r="A153">
        <v>20151023</v>
      </c>
      <c r="B153" t="str">
        <f>"020572"</f>
        <v>020572</v>
      </c>
      <c r="C153" t="str">
        <f>"04905"</f>
        <v>04905</v>
      </c>
      <c r="D153" t="s">
        <v>18</v>
      </c>
      <c r="E153" s="3">
        <v>33.85</v>
      </c>
      <c r="F153">
        <v>20151023</v>
      </c>
      <c r="G153" t="s">
        <v>19</v>
      </c>
      <c r="H153" t="s">
        <v>143</v>
      </c>
      <c r="I153">
        <v>0</v>
      </c>
      <c r="J153" t="s">
        <v>15</v>
      </c>
      <c r="K153" t="s">
        <v>21</v>
      </c>
      <c r="L153" t="s">
        <v>17</v>
      </c>
      <c r="M153" t="str">
        <f t="shared" si="9"/>
        <v>10</v>
      </c>
      <c r="N153" t="s">
        <v>12</v>
      </c>
    </row>
    <row r="154" spans="1:14" x14ac:dyDescent="0.25">
      <c r="A154">
        <v>20151023</v>
      </c>
      <c r="B154" t="str">
        <f>"020573"</f>
        <v>020573</v>
      </c>
      <c r="C154" t="str">
        <f>"04987"</f>
        <v>04987</v>
      </c>
      <c r="D154" t="s">
        <v>144</v>
      </c>
      <c r="E154" s="3">
        <v>27.74</v>
      </c>
      <c r="F154">
        <v>20151023</v>
      </c>
      <c r="G154" t="s">
        <v>35</v>
      </c>
      <c r="H154" t="s">
        <v>142</v>
      </c>
      <c r="I154">
        <v>0</v>
      </c>
      <c r="J154" t="s">
        <v>15</v>
      </c>
      <c r="K154" t="s">
        <v>36</v>
      </c>
      <c r="L154" t="s">
        <v>17</v>
      </c>
      <c r="M154" t="str">
        <f t="shared" si="9"/>
        <v>10</v>
      </c>
      <c r="N154" t="s">
        <v>12</v>
      </c>
    </row>
    <row r="155" spans="1:14" x14ac:dyDescent="0.25">
      <c r="A155">
        <v>20151023</v>
      </c>
      <c r="B155" t="str">
        <f>"020574"</f>
        <v>020574</v>
      </c>
      <c r="C155" t="str">
        <f>"07710"</f>
        <v>07710</v>
      </c>
      <c r="D155" t="s">
        <v>22</v>
      </c>
      <c r="E155" s="3">
        <v>6.67</v>
      </c>
      <c r="F155">
        <v>20151023</v>
      </c>
      <c r="G155" t="s">
        <v>23</v>
      </c>
      <c r="H155" t="s">
        <v>143</v>
      </c>
      <c r="I155">
        <v>0</v>
      </c>
      <c r="J155" t="s">
        <v>15</v>
      </c>
      <c r="K155" t="s">
        <v>24</v>
      </c>
      <c r="L155" t="s">
        <v>17</v>
      </c>
      <c r="M155" t="str">
        <f t="shared" si="9"/>
        <v>10</v>
      </c>
      <c r="N155" t="s">
        <v>12</v>
      </c>
    </row>
    <row r="156" spans="1:14" x14ac:dyDescent="0.25">
      <c r="A156">
        <v>20151023</v>
      </c>
      <c r="B156" t="str">
        <f>"020575"</f>
        <v>020575</v>
      </c>
      <c r="C156" t="str">
        <f>"07880"</f>
        <v>07880</v>
      </c>
      <c r="D156" t="s">
        <v>25</v>
      </c>
      <c r="E156" s="3">
        <v>138.46</v>
      </c>
      <c r="F156">
        <v>20151023</v>
      </c>
      <c r="G156" t="s">
        <v>26</v>
      </c>
      <c r="H156" t="s">
        <v>143</v>
      </c>
      <c r="I156">
        <v>0</v>
      </c>
      <c r="J156" t="s">
        <v>15</v>
      </c>
      <c r="K156" t="s">
        <v>27</v>
      </c>
      <c r="L156" t="s">
        <v>17</v>
      </c>
      <c r="M156" t="str">
        <f t="shared" si="9"/>
        <v>10</v>
      </c>
      <c r="N156" t="s">
        <v>12</v>
      </c>
    </row>
    <row r="157" spans="1:14" x14ac:dyDescent="0.25">
      <c r="A157">
        <v>20151023</v>
      </c>
      <c r="B157" t="str">
        <f>"020576"</f>
        <v>020576</v>
      </c>
      <c r="C157" t="str">
        <f>"11211"</f>
        <v>11211</v>
      </c>
      <c r="D157" t="s">
        <v>28</v>
      </c>
      <c r="E157" s="3">
        <v>148.72</v>
      </c>
      <c r="F157">
        <v>20151023</v>
      </c>
      <c r="G157" t="s">
        <v>29</v>
      </c>
      <c r="H157" t="s">
        <v>142</v>
      </c>
      <c r="I157">
        <v>0</v>
      </c>
      <c r="J157" t="s">
        <v>15</v>
      </c>
      <c r="K157" t="s">
        <v>30</v>
      </c>
      <c r="L157" t="s">
        <v>17</v>
      </c>
      <c r="M157" t="str">
        <f t="shared" si="9"/>
        <v>10</v>
      </c>
      <c r="N157" t="s">
        <v>12</v>
      </c>
    </row>
    <row r="158" spans="1:14" x14ac:dyDescent="0.25">
      <c r="A158">
        <v>20151023</v>
      </c>
      <c r="B158" t="str">
        <f>"020577"</f>
        <v>020577</v>
      </c>
      <c r="C158" t="str">
        <f>"14177"</f>
        <v>14177</v>
      </c>
      <c r="D158" t="s">
        <v>31</v>
      </c>
      <c r="E158" s="3">
        <v>25</v>
      </c>
      <c r="F158">
        <v>20151023</v>
      </c>
      <c r="G158" t="s">
        <v>32</v>
      </c>
      <c r="H158" t="s">
        <v>143</v>
      </c>
      <c r="I158">
        <v>0</v>
      </c>
      <c r="J158" t="s">
        <v>15</v>
      </c>
      <c r="K158" t="s">
        <v>33</v>
      </c>
      <c r="L158" t="s">
        <v>17</v>
      </c>
      <c r="M158" t="str">
        <f t="shared" si="9"/>
        <v>10</v>
      </c>
      <c r="N158" t="s">
        <v>12</v>
      </c>
    </row>
    <row r="159" spans="1:14" x14ac:dyDescent="0.25">
      <c r="A159">
        <v>20151023</v>
      </c>
      <c r="B159" t="str">
        <f>"020578"</f>
        <v>020578</v>
      </c>
      <c r="C159" t="str">
        <f>"24960"</f>
        <v>24960</v>
      </c>
      <c r="D159" t="s">
        <v>39</v>
      </c>
      <c r="E159" s="3">
        <v>275.37</v>
      </c>
      <c r="F159">
        <v>20151023</v>
      </c>
      <c r="G159" t="s">
        <v>40</v>
      </c>
      <c r="H159" t="s">
        <v>145</v>
      </c>
      <c r="I159">
        <v>0</v>
      </c>
      <c r="J159" t="s">
        <v>15</v>
      </c>
      <c r="K159" t="s">
        <v>42</v>
      </c>
      <c r="L159" t="s">
        <v>17</v>
      </c>
      <c r="M159" t="str">
        <f t="shared" si="9"/>
        <v>10</v>
      </c>
      <c r="N159" t="s">
        <v>12</v>
      </c>
    </row>
    <row r="160" spans="1:14" x14ac:dyDescent="0.25">
      <c r="A160">
        <v>20151023</v>
      </c>
      <c r="B160" t="str">
        <f>"020579"</f>
        <v>020579</v>
      </c>
      <c r="C160" t="str">
        <f>"42245"</f>
        <v>42245</v>
      </c>
      <c r="D160" t="s">
        <v>43</v>
      </c>
      <c r="E160" s="3">
        <v>356.6</v>
      </c>
      <c r="F160">
        <v>20151023</v>
      </c>
      <c r="G160" t="s">
        <v>44</v>
      </c>
      <c r="H160" t="s">
        <v>142</v>
      </c>
      <c r="I160">
        <v>0</v>
      </c>
      <c r="J160" t="s">
        <v>15</v>
      </c>
      <c r="K160" t="s">
        <v>45</v>
      </c>
      <c r="L160" t="s">
        <v>17</v>
      </c>
      <c r="M160" t="str">
        <f t="shared" si="9"/>
        <v>10</v>
      </c>
      <c r="N160" t="s">
        <v>12</v>
      </c>
    </row>
    <row r="161" spans="1:14" x14ac:dyDescent="0.25">
      <c r="A161">
        <v>20151023</v>
      </c>
      <c r="B161" t="str">
        <f>"020580"</f>
        <v>020580</v>
      </c>
      <c r="C161" t="str">
        <f>"48947"</f>
        <v>48947</v>
      </c>
      <c r="D161" t="s">
        <v>46</v>
      </c>
      <c r="E161" s="3">
        <v>25.38</v>
      </c>
      <c r="F161">
        <v>20151023</v>
      </c>
      <c r="G161" t="s">
        <v>47</v>
      </c>
      <c r="H161" t="s">
        <v>145</v>
      </c>
      <c r="I161">
        <v>0</v>
      </c>
      <c r="J161" t="s">
        <v>15</v>
      </c>
      <c r="K161" t="s">
        <v>48</v>
      </c>
      <c r="L161" t="s">
        <v>17</v>
      </c>
      <c r="M161" t="str">
        <f t="shared" si="9"/>
        <v>10</v>
      </c>
      <c r="N161" t="s">
        <v>12</v>
      </c>
    </row>
    <row r="162" spans="1:14" x14ac:dyDescent="0.25">
      <c r="A162">
        <v>20151023</v>
      </c>
      <c r="B162" t="str">
        <f>"020581"</f>
        <v>020581</v>
      </c>
      <c r="C162" t="str">
        <f>"54196"</f>
        <v>54196</v>
      </c>
      <c r="D162" t="s">
        <v>49</v>
      </c>
      <c r="E162" s="3">
        <v>50</v>
      </c>
      <c r="F162">
        <v>20151023</v>
      </c>
      <c r="G162" t="s">
        <v>50</v>
      </c>
      <c r="H162" t="s">
        <v>146</v>
      </c>
      <c r="I162">
        <v>0</v>
      </c>
      <c r="J162" t="s">
        <v>15</v>
      </c>
      <c r="K162" t="s">
        <v>52</v>
      </c>
      <c r="L162" t="s">
        <v>17</v>
      </c>
      <c r="M162" t="str">
        <f t="shared" si="9"/>
        <v>10</v>
      </c>
      <c r="N162" t="s">
        <v>12</v>
      </c>
    </row>
    <row r="163" spans="1:14" x14ac:dyDescent="0.25">
      <c r="A163">
        <v>20151023</v>
      </c>
      <c r="B163" t="str">
        <f>"020582"</f>
        <v>020582</v>
      </c>
      <c r="C163" t="str">
        <f>"72601"</f>
        <v>72601</v>
      </c>
      <c r="D163" t="s">
        <v>53</v>
      </c>
      <c r="E163" s="3">
        <v>248.61</v>
      </c>
      <c r="F163">
        <v>20151023</v>
      </c>
      <c r="G163" t="s">
        <v>54</v>
      </c>
      <c r="H163" t="s">
        <v>143</v>
      </c>
      <c r="I163">
        <v>0</v>
      </c>
      <c r="J163" t="s">
        <v>15</v>
      </c>
      <c r="K163" t="s">
        <v>55</v>
      </c>
      <c r="L163" t="s">
        <v>17</v>
      </c>
      <c r="M163" t="str">
        <f t="shared" si="9"/>
        <v>10</v>
      </c>
      <c r="N163" t="s">
        <v>12</v>
      </c>
    </row>
    <row r="164" spans="1:14" x14ac:dyDescent="0.25">
      <c r="A164">
        <v>20151023</v>
      </c>
      <c r="B164" t="str">
        <f>"020583"</f>
        <v>020583</v>
      </c>
      <c r="C164" t="str">
        <f>"75452"</f>
        <v>75452</v>
      </c>
      <c r="D164" t="s">
        <v>56</v>
      </c>
      <c r="E164" s="3">
        <v>345.84</v>
      </c>
      <c r="F164">
        <v>20151023</v>
      </c>
      <c r="G164" t="s">
        <v>57</v>
      </c>
      <c r="H164" t="s">
        <v>142</v>
      </c>
      <c r="I164">
        <v>0</v>
      </c>
      <c r="J164" t="s">
        <v>15</v>
      </c>
      <c r="K164" t="s">
        <v>58</v>
      </c>
      <c r="L164" t="s">
        <v>17</v>
      </c>
      <c r="M164" t="str">
        <f t="shared" si="9"/>
        <v>10</v>
      </c>
      <c r="N164" t="s">
        <v>12</v>
      </c>
    </row>
    <row r="165" spans="1:14" x14ac:dyDescent="0.25">
      <c r="A165">
        <v>20151023</v>
      </c>
      <c r="B165" t="str">
        <f>"020584"</f>
        <v>020584</v>
      </c>
      <c r="C165" t="str">
        <f>"81173"</f>
        <v>81173</v>
      </c>
      <c r="D165" t="s">
        <v>59</v>
      </c>
      <c r="E165" s="3">
        <v>25</v>
      </c>
      <c r="F165">
        <v>20151023</v>
      </c>
      <c r="G165" t="s">
        <v>60</v>
      </c>
      <c r="H165" t="s">
        <v>143</v>
      </c>
      <c r="I165">
        <v>0</v>
      </c>
      <c r="J165" t="s">
        <v>15</v>
      </c>
      <c r="K165" t="s">
        <v>61</v>
      </c>
      <c r="L165" t="s">
        <v>17</v>
      </c>
      <c r="M165" t="str">
        <f t="shared" si="9"/>
        <v>10</v>
      </c>
      <c r="N165" t="s">
        <v>12</v>
      </c>
    </row>
    <row r="166" spans="1:14" x14ac:dyDescent="0.25">
      <c r="A166">
        <v>20151023</v>
      </c>
      <c r="B166" t="str">
        <f>"020585"</f>
        <v>020585</v>
      </c>
      <c r="C166" t="str">
        <f>"81174"</f>
        <v>81174</v>
      </c>
      <c r="D166" t="s">
        <v>62</v>
      </c>
      <c r="E166" s="3">
        <v>60</v>
      </c>
      <c r="F166">
        <v>20151023</v>
      </c>
      <c r="G166" t="s">
        <v>63</v>
      </c>
      <c r="H166" t="s">
        <v>143</v>
      </c>
      <c r="I166">
        <v>0</v>
      </c>
      <c r="J166" t="s">
        <v>15</v>
      </c>
      <c r="K166" t="s">
        <v>64</v>
      </c>
      <c r="L166" t="s">
        <v>17</v>
      </c>
      <c r="M166" t="str">
        <f t="shared" si="9"/>
        <v>10</v>
      </c>
      <c r="N166" t="s">
        <v>12</v>
      </c>
    </row>
    <row r="167" spans="1:14" x14ac:dyDescent="0.25">
      <c r="A167">
        <v>20151023</v>
      </c>
      <c r="B167" t="str">
        <f>"020586"</f>
        <v>020586</v>
      </c>
      <c r="C167" t="str">
        <f>"81177"</f>
        <v>81177</v>
      </c>
      <c r="D167" t="s">
        <v>65</v>
      </c>
      <c r="E167" s="3">
        <v>117.08</v>
      </c>
      <c r="F167">
        <v>20151023</v>
      </c>
      <c r="G167" t="s">
        <v>66</v>
      </c>
      <c r="H167" t="s">
        <v>143</v>
      </c>
      <c r="I167">
        <v>0</v>
      </c>
      <c r="J167" t="s">
        <v>15</v>
      </c>
      <c r="K167" t="s">
        <v>67</v>
      </c>
      <c r="L167" t="s">
        <v>17</v>
      </c>
      <c r="M167" t="str">
        <f t="shared" si="9"/>
        <v>10</v>
      </c>
      <c r="N167" t="s">
        <v>12</v>
      </c>
    </row>
    <row r="168" spans="1:14" x14ac:dyDescent="0.25">
      <c r="A168">
        <v>20151023</v>
      </c>
      <c r="B168" t="str">
        <f>"020587"</f>
        <v>020587</v>
      </c>
      <c r="C168" t="str">
        <f>"81753"</f>
        <v>81753</v>
      </c>
      <c r="D168" t="s">
        <v>68</v>
      </c>
      <c r="E168" s="3">
        <v>71.44</v>
      </c>
      <c r="F168">
        <v>20151023</v>
      </c>
      <c r="G168" t="s">
        <v>69</v>
      </c>
      <c r="H168" t="s">
        <v>143</v>
      </c>
      <c r="I168">
        <v>0</v>
      </c>
      <c r="J168" t="s">
        <v>15</v>
      </c>
      <c r="K168" t="s">
        <v>68</v>
      </c>
      <c r="L168" t="s">
        <v>17</v>
      </c>
      <c r="M168" t="str">
        <f t="shared" si="9"/>
        <v>10</v>
      </c>
      <c r="N168" t="s">
        <v>12</v>
      </c>
    </row>
    <row r="169" spans="1:14" x14ac:dyDescent="0.25">
      <c r="A169">
        <v>20151106</v>
      </c>
      <c r="B169" t="str">
        <f>"020628"</f>
        <v>020628</v>
      </c>
      <c r="C169" t="str">
        <f>"04831"</f>
        <v>04831</v>
      </c>
      <c r="D169" t="s">
        <v>11</v>
      </c>
      <c r="E169" s="3">
        <v>56.1</v>
      </c>
      <c r="F169">
        <v>20151106</v>
      </c>
      <c r="G169" t="s">
        <v>13</v>
      </c>
      <c r="H169" t="s">
        <v>163</v>
      </c>
      <c r="I169">
        <v>0</v>
      </c>
      <c r="J169" t="s">
        <v>15</v>
      </c>
      <c r="K169" t="s">
        <v>16</v>
      </c>
      <c r="L169" t="s">
        <v>17</v>
      </c>
      <c r="M169" t="str">
        <f t="shared" ref="M169:M200" si="10">"11"</f>
        <v>11</v>
      </c>
      <c r="N169" t="s">
        <v>12</v>
      </c>
    </row>
    <row r="170" spans="1:14" x14ac:dyDescent="0.25">
      <c r="A170">
        <v>20151106</v>
      </c>
      <c r="B170" t="str">
        <f>"020629"</f>
        <v>020629</v>
      </c>
      <c r="C170" t="str">
        <f>"04905"</f>
        <v>04905</v>
      </c>
      <c r="D170" t="s">
        <v>18</v>
      </c>
      <c r="E170" s="3">
        <v>33.85</v>
      </c>
      <c r="F170">
        <v>20151106</v>
      </c>
      <c r="G170" t="s">
        <v>19</v>
      </c>
      <c r="H170" t="s">
        <v>164</v>
      </c>
      <c r="I170">
        <v>0</v>
      </c>
      <c r="J170" t="s">
        <v>15</v>
      </c>
      <c r="K170" t="s">
        <v>21</v>
      </c>
      <c r="L170" t="s">
        <v>17</v>
      </c>
      <c r="M170" t="str">
        <f t="shared" si="10"/>
        <v>11</v>
      </c>
      <c r="N170" t="s">
        <v>12</v>
      </c>
    </row>
    <row r="171" spans="1:14" x14ac:dyDescent="0.25">
      <c r="A171">
        <v>20151106</v>
      </c>
      <c r="B171" t="str">
        <f>"020630"</f>
        <v>020630</v>
      </c>
      <c r="C171" t="str">
        <f>"04987"</f>
        <v>04987</v>
      </c>
      <c r="D171" t="s">
        <v>144</v>
      </c>
      <c r="E171" s="3">
        <v>27.74</v>
      </c>
      <c r="F171">
        <v>20151106</v>
      </c>
      <c r="G171" t="s">
        <v>35</v>
      </c>
      <c r="H171" t="s">
        <v>163</v>
      </c>
      <c r="I171">
        <v>0</v>
      </c>
      <c r="J171" t="s">
        <v>15</v>
      </c>
      <c r="K171" t="s">
        <v>36</v>
      </c>
      <c r="L171" t="s">
        <v>17</v>
      </c>
      <c r="M171" t="str">
        <f t="shared" si="10"/>
        <v>11</v>
      </c>
      <c r="N171" t="s">
        <v>12</v>
      </c>
    </row>
    <row r="172" spans="1:14" x14ac:dyDescent="0.25">
      <c r="A172">
        <v>20151106</v>
      </c>
      <c r="B172" t="str">
        <f>"020631"</f>
        <v>020631</v>
      </c>
      <c r="C172" t="str">
        <f>"07710"</f>
        <v>07710</v>
      </c>
      <c r="D172" t="s">
        <v>22</v>
      </c>
      <c r="E172" s="3">
        <v>6.67</v>
      </c>
      <c r="F172">
        <v>20151106</v>
      </c>
      <c r="G172" t="s">
        <v>23</v>
      </c>
      <c r="H172" t="s">
        <v>164</v>
      </c>
      <c r="I172">
        <v>0</v>
      </c>
      <c r="J172" t="s">
        <v>15</v>
      </c>
      <c r="K172" t="s">
        <v>24</v>
      </c>
      <c r="L172" t="s">
        <v>17</v>
      </c>
      <c r="M172" t="str">
        <f t="shared" si="10"/>
        <v>11</v>
      </c>
      <c r="N172" t="s">
        <v>12</v>
      </c>
    </row>
    <row r="173" spans="1:14" x14ac:dyDescent="0.25">
      <c r="A173">
        <v>20151106</v>
      </c>
      <c r="B173" t="str">
        <f>"020632"</f>
        <v>020632</v>
      </c>
      <c r="C173" t="str">
        <f>"07880"</f>
        <v>07880</v>
      </c>
      <c r="D173" t="s">
        <v>25</v>
      </c>
      <c r="E173" s="3">
        <v>138.46</v>
      </c>
      <c r="F173">
        <v>20151106</v>
      </c>
      <c r="G173" t="s">
        <v>26</v>
      </c>
      <c r="H173" t="s">
        <v>164</v>
      </c>
      <c r="I173">
        <v>0</v>
      </c>
      <c r="J173" t="s">
        <v>15</v>
      </c>
      <c r="K173" t="s">
        <v>27</v>
      </c>
      <c r="L173" t="s">
        <v>17</v>
      </c>
      <c r="M173" t="str">
        <f t="shared" si="10"/>
        <v>11</v>
      </c>
      <c r="N173" t="s">
        <v>12</v>
      </c>
    </row>
    <row r="174" spans="1:14" x14ac:dyDescent="0.25">
      <c r="A174">
        <v>20151106</v>
      </c>
      <c r="B174" t="str">
        <f>"020633"</f>
        <v>020633</v>
      </c>
      <c r="C174" t="str">
        <f>"11211"</f>
        <v>11211</v>
      </c>
      <c r="D174" t="s">
        <v>28</v>
      </c>
      <c r="E174" s="3">
        <v>170.62</v>
      </c>
      <c r="F174">
        <v>20151106</v>
      </c>
      <c r="G174" t="s">
        <v>29</v>
      </c>
      <c r="H174" t="s">
        <v>163</v>
      </c>
      <c r="I174">
        <v>0</v>
      </c>
      <c r="J174" t="s">
        <v>15</v>
      </c>
      <c r="K174" t="s">
        <v>30</v>
      </c>
      <c r="L174" t="s">
        <v>17</v>
      </c>
      <c r="M174" t="str">
        <f t="shared" si="10"/>
        <v>11</v>
      </c>
      <c r="N174" t="s">
        <v>12</v>
      </c>
    </row>
    <row r="175" spans="1:14" x14ac:dyDescent="0.25">
      <c r="A175">
        <v>20151106</v>
      </c>
      <c r="B175" t="str">
        <f>"020634"</f>
        <v>020634</v>
      </c>
      <c r="C175" t="str">
        <f>"14177"</f>
        <v>14177</v>
      </c>
      <c r="D175" t="s">
        <v>31</v>
      </c>
      <c r="E175" s="3">
        <v>25</v>
      </c>
      <c r="F175">
        <v>20151106</v>
      </c>
      <c r="G175" t="s">
        <v>32</v>
      </c>
      <c r="H175" t="s">
        <v>164</v>
      </c>
      <c r="I175">
        <v>0</v>
      </c>
      <c r="J175" t="s">
        <v>15</v>
      </c>
      <c r="K175" t="s">
        <v>33</v>
      </c>
      <c r="L175" t="s">
        <v>17</v>
      </c>
      <c r="M175" t="str">
        <f t="shared" si="10"/>
        <v>11</v>
      </c>
      <c r="N175" t="s">
        <v>12</v>
      </c>
    </row>
    <row r="176" spans="1:14" x14ac:dyDescent="0.25">
      <c r="A176">
        <v>20151106</v>
      </c>
      <c r="B176" t="str">
        <f>"020635"</f>
        <v>020635</v>
      </c>
      <c r="C176" t="str">
        <f>"24960"</f>
        <v>24960</v>
      </c>
      <c r="D176" t="s">
        <v>39</v>
      </c>
      <c r="E176" s="3">
        <v>315.44</v>
      </c>
      <c r="F176">
        <v>20151106</v>
      </c>
      <c r="G176" t="s">
        <v>40</v>
      </c>
      <c r="H176" t="s">
        <v>165</v>
      </c>
      <c r="I176">
        <v>0</v>
      </c>
      <c r="J176" t="s">
        <v>15</v>
      </c>
      <c r="K176" t="s">
        <v>42</v>
      </c>
      <c r="L176" t="s">
        <v>17</v>
      </c>
      <c r="M176" t="str">
        <f t="shared" si="10"/>
        <v>11</v>
      </c>
      <c r="N176" t="s">
        <v>12</v>
      </c>
    </row>
    <row r="177" spans="1:14" x14ac:dyDescent="0.25">
      <c r="A177">
        <v>20151106</v>
      </c>
      <c r="B177" t="str">
        <f>"020636"</f>
        <v>020636</v>
      </c>
      <c r="C177" t="str">
        <f>"42245"</f>
        <v>42245</v>
      </c>
      <c r="D177" t="s">
        <v>43</v>
      </c>
      <c r="E177" s="3">
        <v>418.94</v>
      </c>
      <c r="F177">
        <v>20151106</v>
      </c>
      <c r="G177" t="s">
        <v>44</v>
      </c>
      <c r="H177" t="s">
        <v>163</v>
      </c>
      <c r="I177">
        <v>0</v>
      </c>
      <c r="J177" t="s">
        <v>15</v>
      </c>
      <c r="K177" t="s">
        <v>45</v>
      </c>
      <c r="L177" t="s">
        <v>17</v>
      </c>
      <c r="M177" t="str">
        <f t="shared" si="10"/>
        <v>11</v>
      </c>
      <c r="N177" t="s">
        <v>12</v>
      </c>
    </row>
    <row r="178" spans="1:14" x14ac:dyDescent="0.25">
      <c r="A178">
        <v>20151106</v>
      </c>
      <c r="B178" t="str">
        <f>"020637"</f>
        <v>020637</v>
      </c>
      <c r="C178" t="str">
        <f>"48947"</f>
        <v>48947</v>
      </c>
      <c r="D178" t="s">
        <v>46</v>
      </c>
      <c r="E178" s="3">
        <v>25.38</v>
      </c>
      <c r="F178">
        <v>20151106</v>
      </c>
      <c r="G178" t="s">
        <v>47</v>
      </c>
      <c r="H178" t="s">
        <v>165</v>
      </c>
      <c r="I178">
        <v>0</v>
      </c>
      <c r="J178" t="s">
        <v>15</v>
      </c>
      <c r="K178" t="s">
        <v>48</v>
      </c>
      <c r="L178" t="s">
        <v>17</v>
      </c>
      <c r="M178" t="str">
        <f t="shared" si="10"/>
        <v>11</v>
      </c>
      <c r="N178" t="s">
        <v>12</v>
      </c>
    </row>
    <row r="179" spans="1:14" x14ac:dyDescent="0.25">
      <c r="A179">
        <v>20151106</v>
      </c>
      <c r="B179" t="str">
        <f>"020638"</f>
        <v>020638</v>
      </c>
      <c r="C179" t="str">
        <f>"54196"</f>
        <v>54196</v>
      </c>
      <c r="D179" t="s">
        <v>49</v>
      </c>
      <c r="E179" s="3">
        <v>50</v>
      </c>
      <c r="F179">
        <v>20151106</v>
      </c>
      <c r="G179" t="s">
        <v>50</v>
      </c>
      <c r="H179" t="s">
        <v>166</v>
      </c>
      <c r="I179">
        <v>0</v>
      </c>
      <c r="J179" t="s">
        <v>15</v>
      </c>
      <c r="K179" t="s">
        <v>52</v>
      </c>
      <c r="L179" t="s">
        <v>17</v>
      </c>
      <c r="M179" t="str">
        <f t="shared" si="10"/>
        <v>11</v>
      </c>
      <c r="N179" t="s">
        <v>12</v>
      </c>
    </row>
    <row r="180" spans="1:14" x14ac:dyDescent="0.25">
      <c r="A180">
        <v>20151106</v>
      </c>
      <c r="B180" t="str">
        <f>"020639"</f>
        <v>020639</v>
      </c>
      <c r="C180" t="str">
        <f>"72601"</f>
        <v>72601</v>
      </c>
      <c r="D180" t="s">
        <v>53</v>
      </c>
      <c r="E180" s="3">
        <v>295.11</v>
      </c>
      <c r="F180">
        <v>20151106</v>
      </c>
      <c r="G180" t="s">
        <v>54</v>
      </c>
      <c r="H180" t="s">
        <v>164</v>
      </c>
      <c r="I180">
        <v>0</v>
      </c>
      <c r="J180" t="s">
        <v>15</v>
      </c>
      <c r="K180" t="s">
        <v>55</v>
      </c>
      <c r="L180" t="s">
        <v>17</v>
      </c>
      <c r="M180" t="str">
        <f t="shared" si="10"/>
        <v>11</v>
      </c>
      <c r="N180" t="s">
        <v>12</v>
      </c>
    </row>
    <row r="181" spans="1:14" x14ac:dyDescent="0.25">
      <c r="A181">
        <v>20151106</v>
      </c>
      <c r="B181" t="str">
        <f>"020640"</f>
        <v>020640</v>
      </c>
      <c r="C181" t="str">
        <f>"75452"</f>
        <v>75452</v>
      </c>
      <c r="D181" t="s">
        <v>56</v>
      </c>
      <c r="E181" s="3">
        <v>370.84</v>
      </c>
      <c r="F181">
        <v>20151106</v>
      </c>
      <c r="G181" t="s">
        <v>57</v>
      </c>
      <c r="H181" t="s">
        <v>163</v>
      </c>
      <c r="I181">
        <v>0</v>
      </c>
      <c r="J181" t="s">
        <v>15</v>
      </c>
      <c r="K181" t="s">
        <v>58</v>
      </c>
      <c r="L181" t="s">
        <v>17</v>
      </c>
      <c r="M181" t="str">
        <f t="shared" si="10"/>
        <v>11</v>
      </c>
      <c r="N181" t="s">
        <v>12</v>
      </c>
    </row>
    <row r="182" spans="1:14" x14ac:dyDescent="0.25">
      <c r="A182">
        <v>20151106</v>
      </c>
      <c r="B182" t="str">
        <f>"020641"</f>
        <v>020641</v>
      </c>
      <c r="C182" t="str">
        <f>"81173"</f>
        <v>81173</v>
      </c>
      <c r="D182" t="s">
        <v>59</v>
      </c>
      <c r="E182" s="3">
        <v>25</v>
      </c>
      <c r="F182">
        <v>20151106</v>
      </c>
      <c r="G182" t="s">
        <v>60</v>
      </c>
      <c r="H182" t="s">
        <v>164</v>
      </c>
      <c r="I182">
        <v>0</v>
      </c>
      <c r="J182" t="s">
        <v>15</v>
      </c>
      <c r="K182" t="s">
        <v>61</v>
      </c>
      <c r="L182" t="s">
        <v>17</v>
      </c>
      <c r="M182" t="str">
        <f t="shared" si="10"/>
        <v>11</v>
      </c>
      <c r="N182" t="s">
        <v>12</v>
      </c>
    </row>
    <row r="183" spans="1:14" x14ac:dyDescent="0.25">
      <c r="A183">
        <v>20151106</v>
      </c>
      <c r="B183" t="str">
        <f>"020642"</f>
        <v>020642</v>
      </c>
      <c r="C183" t="str">
        <f>"81174"</f>
        <v>81174</v>
      </c>
      <c r="D183" t="s">
        <v>62</v>
      </c>
      <c r="E183" s="3">
        <v>60</v>
      </c>
      <c r="F183">
        <v>20151106</v>
      </c>
      <c r="G183" t="s">
        <v>63</v>
      </c>
      <c r="H183" t="s">
        <v>164</v>
      </c>
      <c r="I183">
        <v>0</v>
      </c>
      <c r="J183" t="s">
        <v>15</v>
      </c>
      <c r="K183" t="s">
        <v>64</v>
      </c>
      <c r="L183" t="s">
        <v>17</v>
      </c>
      <c r="M183" t="str">
        <f t="shared" si="10"/>
        <v>11</v>
      </c>
      <c r="N183" t="s">
        <v>12</v>
      </c>
    </row>
    <row r="184" spans="1:14" x14ac:dyDescent="0.25">
      <c r="A184">
        <v>20151106</v>
      </c>
      <c r="B184" t="str">
        <f>"020643"</f>
        <v>020643</v>
      </c>
      <c r="C184" t="str">
        <f>"81177"</f>
        <v>81177</v>
      </c>
      <c r="D184" t="s">
        <v>65</v>
      </c>
      <c r="E184" s="3">
        <v>33.46</v>
      </c>
      <c r="F184">
        <v>20151106</v>
      </c>
      <c r="G184" t="s">
        <v>66</v>
      </c>
      <c r="H184" t="s">
        <v>164</v>
      </c>
      <c r="I184">
        <v>0</v>
      </c>
      <c r="J184" t="s">
        <v>15</v>
      </c>
      <c r="K184" t="s">
        <v>67</v>
      </c>
      <c r="L184" t="s">
        <v>17</v>
      </c>
      <c r="M184" t="str">
        <f t="shared" si="10"/>
        <v>11</v>
      </c>
      <c r="N184" t="s">
        <v>12</v>
      </c>
    </row>
    <row r="185" spans="1:14" x14ac:dyDescent="0.25">
      <c r="A185">
        <v>20151106</v>
      </c>
      <c r="B185" t="str">
        <f>"020644"</f>
        <v>020644</v>
      </c>
      <c r="C185" t="str">
        <f>"81753"</f>
        <v>81753</v>
      </c>
      <c r="D185" t="s">
        <v>68</v>
      </c>
      <c r="E185" s="3">
        <v>73.61</v>
      </c>
      <c r="F185">
        <v>20151106</v>
      </c>
      <c r="G185" t="s">
        <v>69</v>
      </c>
      <c r="H185" t="s">
        <v>164</v>
      </c>
      <c r="I185">
        <v>0</v>
      </c>
      <c r="J185" t="s">
        <v>15</v>
      </c>
      <c r="K185" t="s">
        <v>68</v>
      </c>
      <c r="L185" t="s">
        <v>17</v>
      </c>
      <c r="M185" t="str">
        <f t="shared" si="10"/>
        <v>11</v>
      </c>
      <c r="N185" t="s">
        <v>12</v>
      </c>
    </row>
    <row r="186" spans="1:14" x14ac:dyDescent="0.25">
      <c r="A186">
        <v>20151113</v>
      </c>
      <c r="B186" t="str">
        <f>"020671"</f>
        <v>020671</v>
      </c>
      <c r="C186" t="str">
        <f>"04831"</f>
        <v>04831</v>
      </c>
      <c r="D186" t="s">
        <v>11</v>
      </c>
      <c r="E186" s="3">
        <v>1203.9100000000001</v>
      </c>
      <c r="F186">
        <v>20151113</v>
      </c>
      <c r="G186" t="s">
        <v>13</v>
      </c>
      <c r="H186" t="s">
        <v>163</v>
      </c>
      <c r="I186">
        <v>0</v>
      </c>
      <c r="J186" t="s">
        <v>15</v>
      </c>
      <c r="K186" t="s">
        <v>16</v>
      </c>
      <c r="L186" t="s">
        <v>17</v>
      </c>
      <c r="M186" t="str">
        <f t="shared" si="10"/>
        <v>11</v>
      </c>
      <c r="N186" t="s">
        <v>12</v>
      </c>
    </row>
    <row r="187" spans="1:14" x14ac:dyDescent="0.25">
      <c r="A187">
        <v>20151113</v>
      </c>
      <c r="B187" t="str">
        <f>"020672"</f>
        <v>020672</v>
      </c>
      <c r="C187" t="str">
        <f>"04905"</f>
        <v>04905</v>
      </c>
      <c r="D187" t="s">
        <v>18</v>
      </c>
      <c r="E187" s="3">
        <v>2712.12</v>
      </c>
      <c r="F187">
        <v>20151113</v>
      </c>
      <c r="G187" t="s">
        <v>19</v>
      </c>
      <c r="H187" t="s">
        <v>164</v>
      </c>
      <c r="I187">
        <v>0</v>
      </c>
      <c r="J187" t="s">
        <v>15</v>
      </c>
      <c r="K187" t="s">
        <v>21</v>
      </c>
      <c r="L187" t="s">
        <v>17</v>
      </c>
      <c r="M187" t="str">
        <f t="shared" si="10"/>
        <v>11</v>
      </c>
      <c r="N187" t="s">
        <v>12</v>
      </c>
    </row>
    <row r="188" spans="1:14" x14ac:dyDescent="0.25">
      <c r="A188">
        <v>20151113</v>
      </c>
      <c r="B188" t="str">
        <f>"020673"</f>
        <v>020673</v>
      </c>
      <c r="C188" t="str">
        <f>"04987"</f>
        <v>04987</v>
      </c>
      <c r="D188" t="s">
        <v>144</v>
      </c>
      <c r="E188" s="3">
        <v>521.91999999999996</v>
      </c>
      <c r="F188">
        <v>20151113</v>
      </c>
      <c r="G188" t="s">
        <v>35</v>
      </c>
      <c r="H188" t="s">
        <v>163</v>
      </c>
      <c r="I188">
        <v>0</v>
      </c>
      <c r="J188" t="s">
        <v>15</v>
      </c>
      <c r="K188" t="s">
        <v>36</v>
      </c>
      <c r="L188" t="s">
        <v>17</v>
      </c>
      <c r="M188" t="str">
        <f t="shared" si="10"/>
        <v>11</v>
      </c>
      <c r="N188" t="s">
        <v>12</v>
      </c>
    </row>
    <row r="189" spans="1:14" x14ac:dyDescent="0.25">
      <c r="A189">
        <v>20151113</v>
      </c>
      <c r="B189" t="str">
        <f>"020674"</f>
        <v>020674</v>
      </c>
      <c r="C189" t="str">
        <f>"07710"</f>
        <v>07710</v>
      </c>
      <c r="D189" t="s">
        <v>22</v>
      </c>
      <c r="E189" s="3">
        <v>396.59</v>
      </c>
      <c r="F189">
        <v>20151113</v>
      </c>
      <c r="G189" t="s">
        <v>23</v>
      </c>
      <c r="H189" t="s">
        <v>164</v>
      </c>
      <c r="I189">
        <v>0</v>
      </c>
      <c r="J189" t="s">
        <v>15</v>
      </c>
      <c r="K189" t="s">
        <v>24</v>
      </c>
      <c r="L189" t="s">
        <v>17</v>
      </c>
      <c r="M189" t="str">
        <f t="shared" si="10"/>
        <v>11</v>
      </c>
      <c r="N189" t="s">
        <v>12</v>
      </c>
    </row>
    <row r="190" spans="1:14" x14ac:dyDescent="0.25">
      <c r="A190">
        <v>20151113</v>
      </c>
      <c r="B190" t="str">
        <f>"020675"</f>
        <v>020675</v>
      </c>
      <c r="C190" t="str">
        <f>"07880"</f>
        <v>07880</v>
      </c>
      <c r="D190" t="s">
        <v>25</v>
      </c>
      <c r="E190" s="3">
        <v>3808.15</v>
      </c>
      <c r="F190">
        <v>20151113</v>
      </c>
      <c r="G190" t="s">
        <v>26</v>
      </c>
      <c r="H190" t="s">
        <v>164</v>
      </c>
      <c r="I190">
        <v>0</v>
      </c>
      <c r="J190" t="s">
        <v>15</v>
      </c>
      <c r="K190" t="s">
        <v>27</v>
      </c>
      <c r="L190" t="s">
        <v>17</v>
      </c>
      <c r="M190" t="str">
        <f t="shared" si="10"/>
        <v>11</v>
      </c>
      <c r="N190" t="s">
        <v>12</v>
      </c>
    </row>
    <row r="191" spans="1:14" x14ac:dyDescent="0.25">
      <c r="A191">
        <v>20151113</v>
      </c>
      <c r="B191" t="str">
        <f>"020676"</f>
        <v>020676</v>
      </c>
      <c r="C191" t="str">
        <f>"10095"</f>
        <v>10095</v>
      </c>
      <c r="D191" t="s">
        <v>70</v>
      </c>
      <c r="E191" s="3">
        <v>528.26</v>
      </c>
      <c r="F191">
        <v>20151113</v>
      </c>
      <c r="G191" t="s">
        <v>71</v>
      </c>
      <c r="H191" t="s">
        <v>164</v>
      </c>
      <c r="I191">
        <v>0</v>
      </c>
      <c r="J191" t="s">
        <v>15</v>
      </c>
      <c r="K191" t="s">
        <v>72</v>
      </c>
      <c r="L191" t="s">
        <v>17</v>
      </c>
      <c r="M191" t="str">
        <f t="shared" si="10"/>
        <v>11</v>
      </c>
      <c r="N191" t="s">
        <v>12</v>
      </c>
    </row>
    <row r="192" spans="1:14" x14ac:dyDescent="0.25">
      <c r="A192">
        <v>20151113</v>
      </c>
      <c r="B192" t="str">
        <f>"020677"</f>
        <v>020677</v>
      </c>
      <c r="C192" t="str">
        <f>"11211"</f>
        <v>11211</v>
      </c>
      <c r="D192" t="s">
        <v>28</v>
      </c>
      <c r="E192" s="3">
        <v>2348.91</v>
      </c>
      <c r="F192">
        <v>20151113</v>
      </c>
      <c r="G192" t="s">
        <v>29</v>
      </c>
      <c r="H192" t="s">
        <v>163</v>
      </c>
      <c r="I192">
        <v>0</v>
      </c>
      <c r="J192" t="s">
        <v>15</v>
      </c>
      <c r="K192" t="s">
        <v>30</v>
      </c>
      <c r="L192" t="s">
        <v>17</v>
      </c>
      <c r="M192" t="str">
        <f t="shared" si="10"/>
        <v>11</v>
      </c>
      <c r="N192" t="s">
        <v>12</v>
      </c>
    </row>
    <row r="193" spans="1:14" x14ac:dyDescent="0.25">
      <c r="A193">
        <v>20151113</v>
      </c>
      <c r="B193" t="str">
        <f>"020678"</f>
        <v>020678</v>
      </c>
      <c r="C193" t="str">
        <f>"14177"</f>
        <v>14177</v>
      </c>
      <c r="D193" t="s">
        <v>31</v>
      </c>
      <c r="E193" s="3">
        <v>50</v>
      </c>
      <c r="F193">
        <v>20151113</v>
      </c>
      <c r="G193" t="s">
        <v>32</v>
      </c>
      <c r="H193" t="s">
        <v>164</v>
      </c>
      <c r="I193">
        <v>0</v>
      </c>
      <c r="J193" t="s">
        <v>15</v>
      </c>
      <c r="K193" t="s">
        <v>33</v>
      </c>
      <c r="L193" t="s">
        <v>17</v>
      </c>
      <c r="M193" t="str">
        <f t="shared" si="10"/>
        <v>11</v>
      </c>
      <c r="N193" t="s">
        <v>12</v>
      </c>
    </row>
    <row r="194" spans="1:14" x14ac:dyDescent="0.25">
      <c r="A194">
        <v>20151113</v>
      </c>
      <c r="B194" t="str">
        <f>"020679"</f>
        <v>020679</v>
      </c>
      <c r="C194" t="str">
        <f>"19103"</f>
        <v>19103</v>
      </c>
      <c r="D194" t="s">
        <v>73</v>
      </c>
      <c r="E194" s="3">
        <v>225</v>
      </c>
      <c r="F194">
        <v>20151113</v>
      </c>
      <c r="G194" t="s">
        <v>74</v>
      </c>
      <c r="H194" t="s">
        <v>164</v>
      </c>
      <c r="I194">
        <v>0</v>
      </c>
      <c r="J194" t="s">
        <v>15</v>
      </c>
      <c r="K194" t="s">
        <v>75</v>
      </c>
      <c r="L194" t="s">
        <v>17</v>
      </c>
      <c r="M194" t="str">
        <f t="shared" si="10"/>
        <v>11</v>
      </c>
      <c r="N194" t="s">
        <v>12</v>
      </c>
    </row>
    <row r="195" spans="1:14" x14ac:dyDescent="0.25">
      <c r="A195">
        <v>20151113</v>
      </c>
      <c r="B195" t="str">
        <f>"020680"</f>
        <v>020680</v>
      </c>
      <c r="C195" t="str">
        <f>"20682"</f>
        <v>20682</v>
      </c>
      <c r="D195" t="s">
        <v>76</v>
      </c>
      <c r="E195" s="3">
        <v>5350</v>
      </c>
      <c r="F195">
        <v>20151113</v>
      </c>
      <c r="G195" t="s">
        <v>77</v>
      </c>
      <c r="H195" t="s">
        <v>164</v>
      </c>
      <c r="I195">
        <v>0</v>
      </c>
      <c r="J195" t="s">
        <v>15</v>
      </c>
      <c r="K195" t="s">
        <v>78</v>
      </c>
      <c r="L195" t="s">
        <v>17</v>
      </c>
      <c r="M195" t="str">
        <f t="shared" si="10"/>
        <v>11</v>
      </c>
      <c r="N195" t="s">
        <v>12</v>
      </c>
    </row>
    <row r="196" spans="1:14" x14ac:dyDescent="0.25">
      <c r="A196">
        <v>20151113</v>
      </c>
      <c r="B196" t="str">
        <f>"020681"</f>
        <v>020681</v>
      </c>
      <c r="C196" t="str">
        <f>"21504"</f>
        <v>21504</v>
      </c>
      <c r="D196" t="s">
        <v>79</v>
      </c>
      <c r="E196" s="3">
        <v>36.6</v>
      </c>
      <c r="F196">
        <v>20151113</v>
      </c>
      <c r="G196" t="s">
        <v>80</v>
      </c>
      <c r="H196" t="s">
        <v>163</v>
      </c>
      <c r="I196">
        <v>0</v>
      </c>
      <c r="J196" t="s">
        <v>15</v>
      </c>
      <c r="K196" t="s">
        <v>81</v>
      </c>
      <c r="L196" t="s">
        <v>17</v>
      </c>
      <c r="M196" t="str">
        <f t="shared" si="10"/>
        <v>11</v>
      </c>
      <c r="N196" t="s">
        <v>12</v>
      </c>
    </row>
    <row r="197" spans="1:14" x14ac:dyDescent="0.25">
      <c r="A197">
        <v>20151113</v>
      </c>
      <c r="B197" t="str">
        <f>"020682"</f>
        <v>020682</v>
      </c>
      <c r="C197" t="str">
        <f>"21506"</f>
        <v>21506</v>
      </c>
      <c r="D197" t="s">
        <v>34</v>
      </c>
      <c r="E197" s="3">
        <v>359.7</v>
      </c>
      <c r="F197">
        <v>20151113</v>
      </c>
      <c r="G197" t="s">
        <v>37</v>
      </c>
      <c r="H197" t="s">
        <v>163</v>
      </c>
      <c r="I197">
        <v>0</v>
      </c>
      <c r="J197" t="s">
        <v>15</v>
      </c>
      <c r="K197" t="s">
        <v>38</v>
      </c>
      <c r="L197" t="s">
        <v>17</v>
      </c>
      <c r="M197" t="str">
        <f t="shared" si="10"/>
        <v>11</v>
      </c>
      <c r="N197" t="s">
        <v>12</v>
      </c>
    </row>
    <row r="198" spans="1:14" x14ac:dyDescent="0.25">
      <c r="A198">
        <v>20151113</v>
      </c>
      <c r="B198" t="str">
        <f>"020683"</f>
        <v>020683</v>
      </c>
      <c r="C198" t="str">
        <f>"21826"</f>
        <v>21826</v>
      </c>
      <c r="D198" t="s">
        <v>82</v>
      </c>
      <c r="E198" s="3">
        <v>462.53</v>
      </c>
      <c r="F198">
        <v>20151113</v>
      </c>
      <c r="G198" t="s">
        <v>83</v>
      </c>
      <c r="H198" t="s">
        <v>164</v>
      </c>
      <c r="I198">
        <v>0</v>
      </c>
      <c r="J198" t="s">
        <v>15</v>
      </c>
      <c r="K198" t="s">
        <v>84</v>
      </c>
      <c r="L198" t="s">
        <v>17</v>
      </c>
      <c r="M198" t="str">
        <f t="shared" si="10"/>
        <v>11</v>
      </c>
      <c r="N198" t="s">
        <v>12</v>
      </c>
    </row>
    <row r="199" spans="1:14" x14ac:dyDescent="0.25">
      <c r="A199">
        <v>20151113</v>
      </c>
      <c r="B199" t="str">
        <f>"020684"</f>
        <v>020684</v>
      </c>
      <c r="C199" t="str">
        <f>"24960"</f>
        <v>24960</v>
      </c>
      <c r="D199" t="s">
        <v>39</v>
      </c>
      <c r="E199" s="3">
        <v>4163.32</v>
      </c>
      <c r="F199">
        <v>20151113</v>
      </c>
      <c r="G199" t="s">
        <v>40</v>
      </c>
      <c r="H199" t="s">
        <v>165</v>
      </c>
      <c r="I199">
        <v>0</v>
      </c>
      <c r="J199" t="s">
        <v>15</v>
      </c>
      <c r="K199" t="s">
        <v>42</v>
      </c>
      <c r="L199" t="s">
        <v>17</v>
      </c>
      <c r="M199" t="str">
        <f t="shared" si="10"/>
        <v>11</v>
      </c>
      <c r="N199" t="s">
        <v>12</v>
      </c>
    </row>
    <row r="200" spans="1:14" x14ac:dyDescent="0.25">
      <c r="A200">
        <v>20151113</v>
      </c>
      <c r="B200" t="str">
        <f>"020685"</f>
        <v>020685</v>
      </c>
      <c r="C200" t="str">
        <f>"29572"</f>
        <v>29572</v>
      </c>
      <c r="D200" t="s">
        <v>85</v>
      </c>
      <c r="E200" s="3">
        <v>36.200000000000003</v>
      </c>
      <c r="F200">
        <v>20151113</v>
      </c>
      <c r="G200" t="s">
        <v>86</v>
      </c>
      <c r="H200" t="s">
        <v>164</v>
      </c>
      <c r="I200">
        <v>0</v>
      </c>
      <c r="J200" t="s">
        <v>15</v>
      </c>
      <c r="K200" t="s">
        <v>87</v>
      </c>
      <c r="L200" t="s">
        <v>17</v>
      </c>
      <c r="M200" t="str">
        <f t="shared" si="10"/>
        <v>11</v>
      </c>
      <c r="N200" t="s">
        <v>12</v>
      </c>
    </row>
    <row r="201" spans="1:14" x14ac:dyDescent="0.25">
      <c r="A201">
        <v>20151113</v>
      </c>
      <c r="B201" t="str">
        <f>"020686"</f>
        <v>020686</v>
      </c>
      <c r="C201" t="str">
        <f>"42245"</f>
        <v>42245</v>
      </c>
      <c r="D201" t="s">
        <v>43</v>
      </c>
      <c r="E201" s="3">
        <v>9832.1200000000008</v>
      </c>
      <c r="F201">
        <v>20151113</v>
      </c>
      <c r="G201" t="s">
        <v>44</v>
      </c>
      <c r="H201" t="s">
        <v>163</v>
      </c>
      <c r="I201">
        <v>0</v>
      </c>
      <c r="J201" t="s">
        <v>15</v>
      </c>
      <c r="K201" t="s">
        <v>45</v>
      </c>
      <c r="L201" t="s">
        <v>17</v>
      </c>
      <c r="M201" t="str">
        <f t="shared" ref="M201:M232" si="11">"11"</f>
        <v>11</v>
      </c>
      <c r="N201" t="s">
        <v>12</v>
      </c>
    </row>
    <row r="202" spans="1:14" x14ac:dyDescent="0.25">
      <c r="A202">
        <v>20151113</v>
      </c>
      <c r="B202" t="str">
        <f>"020687"</f>
        <v>020687</v>
      </c>
      <c r="C202" t="str">
        <f>"43855"</f>
        <v>43855</v>
      </c>
      <c r="D202" t="s">
        <v>88</v>
      </c>
      <c r="E202" s="3">
        <v>250</v>
      </c>
      <c r="F202">
        <v>20151113</v>
      </c>
      <c r="G202" t="s">
        <v>89</v>
      </c>
      <c r="H202" t="s">
        <v>164</v>
      </c>
      <c r="I202">
        <v>0</v>
      </c>
      <c r="J202" t="s">
        <v>15</v>
      </c>
      <c r="K202" t="s">
        <v>88</v>
      </c>
      <c r="L202" t="s">
        <v>17</v>
      </c>
      <c r="M202" t="str">
        <f t="shared" si="11"/>
        <v>11</v>
      </c>
      <c r="N202" t="s">
        <v>12</v>
      </c>
    </row>
    <row r="203" spans="1:14" x14ac:dyDescent="0.25">
      <c r="A203">
        <v>20151113</v>
      </c>
      <c r="B203" t="str">
        <f>"020688"</f>
        <v>020688</v>
      </c>
      <c r="C203" t="str">
        <f>"48947"</f>
        <v>48947</v>
      </c>
      <c r="D203" t="s">
        <v>46</v>
      </c>
      <c r="E203" s="3">
        <v>1518.89</v>
      </c>
      <c r="F203">
        <v>20151113</v>
      </c>
      <c r="G203" t="s">
        <v>47</v>
      </c>
      <c r="H203" t="s">
        <v>165</v>
      </c>
      <c r="I203">
        <v>0</v>
      </c>
      <c r="J203" t="s">
        <v>15</v>
      </c>
      <c r="K203" t="s">
        <v>48</v>
      </c>
      <c r="L203" t="s">
        <v>17</v>
      </c>
      <c r="M203" t="str">
        <f t="shared" si="11"/>
        <v>11</v>
      </c>
      <c r="N203" t="s">
        <v>12</v>
      </c>
    </row>
    <row r="204" spans="1:14" x14ac:dyDescent="0.25">
      <c r="A204">
        <v>20151113</v>
      </c>
      <c r="B204" t="str">
        <f t="shared" ref="B204:B219" si="12">"020689"</f>
        <v>020689</v>
      </c>
      <c r="C204" t="str">
        <f t="shared" ref="C204:C219" si="13">"54196"</f>
        <v>54196</v>
      </c>
      <c r="D204" t="s">
        <v>49</v>
      </c>
      <c r="E204" s="3">
        <v>50</v>
      </c>
      <c r="F204">
        <v>20151113</v>
      </c>
      <c r="G204" t="s">
        <v>90</v>
      </c>
      <c r="H204" t="s">
        <v>166</v>
      </c>
      <c r="I204">
        <v>0</v>
      </c>
      <c r="J204" t="s">
        <v>15</v>
      </c>
      <c r="K204" t="s">
        <v>91</v>
      </c>
      <c r="L204" t="s">
        <v>17</v>
      </c>
      <c r="M204" t="str">
        <f t="shared" si="11"/>
        <v>11</v>
      </c>
      <c r="N204" t="s">
        <v>12</v>
      </c>
    </row>
    <row r="205" spans="1:14" x14ac:dyDescent="0.25">
      <c r="A205">
        <v>20151113</v>
      </c>
      <c r="B205" t="str">
        <f t="shared" si="12"/>
        <v>020689</v>
      </c>
      <c r="C205" t="str">
        <f t="shared" si="13"/>
        <v>54196</v>
      </c>
      <c r="D205" t="s">
        <v>49</v>
      </c>
      <c r="E205" s="3">
        <v>283</v>
      </c>
      <c r="F205">
        <v>20151113</v>
      </c>
      <c r="G205" t="s">
        <v>92</v>
      </c>
      <c r="H205" t="s">
        <v>166</v>
      </c>
      <c r="I205">
        <v>0</v>
      </c>
      <c r="J205" t="s">
        <v>15</v>
      </c>
      <c r="K205" t="s">
        <v>93</v>
      </c>
      <c r="L205" t="s">
        <v>17</v>
      </c>
      <c r="M205" t="str">
        <f t="shared" si="11"/>
        <v>11</v>
      </c>
      <c r="N205" t="s">
        <v>12</v>
      </c>
    </row>
    <row r="206" spans="1:14" x14ac:dyDescent="0.25">
      <c r="A206">
        <v>20151113</v>
      </c>
      <c r="B206" t="str">
        <f t="shared" si="12"/>
        <v>020689</v>
      </c>
      <c r="C206" t="str">
        <f t="shared" si="13"/>
        <v>54196</v>
      </c>
      <c r="D206" t="s">
        <v>49</v>
      </c>
      <c r="E206" s="3">
        <v>1590</v>
      </c>
      <c r="F206">
        <v>20151113</v>
      </c>
      <c r="G206" t="s">
        <v>94</v>
      </c>
      <c r="H206" t="s">
        <v>166</v>
      </c>
      <c r="I206">
        <v>0</v>
      </c>
      <c r="J206" t="s">
        <v>15</v>
      </c>
      <c r="K206" t="s">
        <v>95</v>
      </c>
      <c r="L206" t="s">
        <v>17</v>
      </c>
      <c r="M206" t="str">
        <f t="shared" si="11"/>
        <v>11</v>
      </c>
      <c r="N206" t="s">
        <v>12</v>
      </c>
    </row>
    <row r="207" spans="1:14" x14ac:dyDescent="0.25">
      <c r="A207">
        <v>20151113</v>
      </c>
      <c r="B207" t="str">
        <f t="shared" si="12"/>
        <v>020689</v>
      </c>
      <c r="C207" t="str">
        <f t="shared" si="13"/>
        <v>54196</v>
      </c>
      <c r="D207" t="s">
        <v>49</v>
      </c>
      <c r="E207" s="3">
        <v>2175</v>
      </c>
      <c r="F207">
        <v>20151113</v>
      </c>
      <c r="G207" t="s">
        <v>96</v>
      </c>
      <c r="H207" t="s">
        <v>166</v>
      </c>
      <c r="I207">
        <v>0</v>
      </c>
      <c r="J207" t="s">
        <v>15</v>
      </c>
      <c r="K207" t="s">
        <v>97</v>
      </c>
      <c r="L207" t="s">
        <v>17</v>
      </c>
      <c r="M207" t="str">
        <f t="shared" si="11"/>
        <v>11</v>
      </c>
      <c r="N207" t="s">
        <v>12</v>
      </c>
    </row>
    <row r="208" spans="1:14" x14ac:dyDescent="0.25">
      <c r="A208">
        <v>20151113</v>
      </c>
      <c r="B208" t="str">
        <f t="shared" si="12"/>
        <v>020689</v>
      </c>
      <c r="C208" t="str">
        <f t="shared" si="13"/>
        <v>54196</v>
      </c>
      <c r="D208" t="s">
        <v>49</v>
      </c>
      <c r="E208" s="3">
        <v>50</v>
      </c>
      <c r="F208">
        <v>20151113</v>
      </c>
      <c r="G208" t="s">
        <v>98</v>
      </c>
      <c r="H208" t="s">
        <v>166</v>
      </c>
      <c r="I208">
        <v>0</v>
      </c>
      <c r="J208" t="s">
        <v>15</v>
      </c>
      <c r="K208" t="s">
        <v>99</v>
      </c>
      <c r="L208" t="s">
        <v>17</v>
      </c>
      <c r="M208" t="str">
        <f t="shared" si="11"/>
        <v>11</v>
      </c>
      <c r="N208" t="s">
        <v>12</v>
      </c>
    </row>
    <row r="209" spans="1:14" x14ac:dyDescent="0.25">
      <c r="A209">
        <v>20151113</v>
      </c>
      <c r="B209" t="str">
        <f t="shared" si="12"/>
        <v>020689</v>
      </c>
      <c r="C209" t="str">
        <f t="shared" si="13"/>
        <v>54196</v>
      </c>
      <c r="D209" t="s">
        <v>49</v>
      </c>
      <c r="E209" s="3">
        <v>1230</v>
      </c>
      <c r="F209">
        <v>20151113</v>
      </c>
      <c r="G209" t="s">
        <v>100</v>
      </c>
      <c r="H209" t="s">
        <v>166</v>
      </c>
      <c r="I209">
        <v>0</v>
      </c>
      <c r="J209" t="s">
        <v>15</v>
      </c>
      <c r="K209" t="s">
        <v>101</v>
      </c>
      <c r="L209" t="s">
        <v>17</v>
      </c>
      <c r="M209" t="str">
        <f t="shared" si="11"/>
        <v>11</v>
      </c>
      <c r="N209" t="s">
        <v>12</v>
      </c>
    </row>
    <row r="210" spans="1:14" x14ac:dyDescent="0.25">
      <c r="A210">
        <v>20151113</v>
      </c>
      <c r="B210" t="str">
        <f t="shared" si="12"/>
        <v>020689</v>
      </c>
      <c r="C210" t="str">
        <f t="shared" si="13"/>
        <v>54196</v>
      </c>
      <c r="D210" t="s">
        <v>49</v>
      </c>
      <c r="E210" s="3">
        <v>10614</v>
      </c>
      <c r="F210">
        <v>20151113</v>
      </c>
      <c r="G210" t="s">
        <v>102</v>
      </c>
      <c r="H210" t="s">
        <v>166</v>
      </c>
      <c r="I210">
        <v>0</v>
      </c>
      <c r="J210" t="s">
        <v>15</v>
      </c>
      <c r="K210" t="s">
        <v>103</v>
      </c>
      <c r="L210" t="s">
        <v>17</v>
      </c>
      <c r="M210" t="str">
        <f t="shared" si="11"/>
        <v>11</v>
      </c>
      <c r="N210" t="s">
        <v>12</v>
      </c>
    </row>
    <row r="211" spans="1:14" x14ac:dyDescent="0.25">
      <c r="A211">
        <v>20151113</v>
      </c>
      <c r="B211" t="str">
        <f t="shared" si="12"/>
        <v>020689</v>
      </c>
      <c r="C211" t="str">
        <f t="shared" si="13"/>
        <v>54196</v>
      </c>
      <c r="D211" t="s">
        <v>49</v>
      </c>
      <c r="E211" s="3">
        <v>972</v>
      </c>
      <c r="F211">
        <v>20151113</v>
      </c>
      <c r="G211" t="s">
        <v>104</v>
      </c>
      <c r="H211" t="s">
        <v>166</v>
      </c>
      <c r="I211">
        <v>0</v>
      </c>
      <c r="J211" t="s">
        <v>15</v>
      </c>
      <c r="K211" t="s">
        <v>105</v>
      </c>
      <c r="L211" t="s">
        <v>17</v>
      </c>
      <c r="M211" t="str">
        <f t="shared" si="11"/>
        <v>11</v>
      </c>
      <c r="N211" t="s">
        <v>12</v>
      </c>
    </row>
    <row r="212" spans="1:14" x14ac:dyDescent="0.25">
      <c r="A212">
        <v>20151113</v>
      </c>
      <c r="B212" t="str">
        <f t="shared" si="12"/>
        <v>020689</v>
      </c>
      <c r="C212" t="str">
        <f t="shared" si="13"/>
        <v>54196</v>
      </c>
      <c r="D212" t="s">
        <v>49</v>
      </c>
      <c r="E212" s="3">
        <v>300</v>
      </c>
      <c r="F212">
        <v>20151113</v>
      </c>
      <c r="G212" t="s">
        <v>108</v>
      </c>
      <c r="H212" t="s">
        <v>166</v>
      </c>
      <c r="I212">
        <v>0</v>
      </c>
      <c r="J212" t="s">
        <v>15</v>
      </c>
      <c r="K212" t="s">
        <v>109</v>
      </c>
      <c r="L212" t="s">
        <v>17</v>
      </c>
      <c r="M212" t="str">
        <f t="shared" si="11"/>
        <v>11</v>
      </c>
      <c r="N212" t="s">
        <v>12</v>
      </c>
    </row>
    <row r="213" spans="1:14" x14ac:dyDescent="0.25">
      <c r="A213">
        <v>20151113</v>
      </c>
      <c r="B213" t="str">
        <f t="shared" si="12"/>
        <v>020689</v>
      </c>
      <c r="C213" t="str">
        <f t="shared" si="13"/>
        <v>54196</v>
      </c>
      <c r="D213" t="s">
        <v>49</v>
      </c>
      <c r="E213" s="3">
        <v>450</v>
      </c>
      <c r="F213">
        <v>20151113</v>
      </c>
      <c r="G213" t="s">
        <v>110</v>
      </c>
      <c r="H213" t="s">
        <v>166</v>
      </c>
      <c r="I213">
        <v>0</v>
      </c>
      <c r="J213" t="s">
        <v>15</v>
      </c>
      <c r="K213" t="s">
        <v>111</v>
      </c>
      <c r="L213" t="s">
        <v>17</v>
      </c>
      <c r="M213" t="str">
        <f t="shared" si="11"/>
        <v>11</v>
      </c>
      <c r="N213" t="s">
        <v>12</v>
      </c>
    </row>
    <row r="214" spans="1:14" x14ac:dyDescent="0.25">
      <c r="A214">
        <v>20151113</v>
      </c>
      <c r="B214" t="str">
        <f t="shared" si="12"/>
        <v>020689</v>
      </c>
      <c r="C214" t="str">
        <f t="shared" si="13"/>
        <v>54196</v>
      </c>
      <c r="D214" t="s">
        <v>49</v>
      </c>
      <c r="E214" s="3">
        <v>750</v>
      </c>
      <c r="F214">
        <v>20151113</v>
      </c>
      <c r="G214" t="s">
        <v>112</v>
      </c>
      <c r="H214" t="s">
        <v>166</v>
      </c>
      <c r="I214">
        <v>0</v>
      </c>
      <c r="J214" t="s">
        <v>15</v>
      </c>
      <c r="K214" t="s">
        <v>113</v>
      </c>
      <c r="L214" t="s">
        <v>17</v>
      </c>
      <c r="M214" t="str">
        <f t="shared" si="11"/>
        <v>11</v>
      </c>
      <c r="N214" t="s">
        <v>12</v>
      </c>
    </row>
    <row r="215" spans="1:14" x14ac:dyDescent="0.25">
      <c r="A215">
        <v>20151113</v>
      </c>
      <c r="B215" t="str">
        <f t="shared" si="12"/>
        <v>020689</v>
      </c>
      <c r="C215" t="str">
        <f t="shared" si="13"/>
        <v>54196</v>
      </c>
      <c r="D215" t="s">
        <v>49</v>
      </c>
      <c r="E215" s="3">
        <v>100</v>
      </c>
      <c r="F215">
        <v>20151113</v>
      </c>
      <c r="G215" t="s">
        <v>149</v>
      </c>
      <c r="H215" t="s">
        <v>166</v>
      </c>
      <c r="I215">
        <v>0</v>
      </c>
      <c r="J215" t="s">
        <v>15</v>
      </c>
      <c r="K215" t="s">
        <v>150</v>
      </c>
      <c r="L215" t="s">
        <v>17</v>
      </c>
      <c r="M215" t="str">
        <f t="shared" si="11"/>
        <v>11</v>
      </c>
      <c r="N215" t="s">
        <v>12</v>
      </c>
    </row>
    <row r="216" spans="1:14" x14ac:dyDescent="0.25">
      <c r="A216">
        <v>20151113</v>
      </c>
      <c r="B216" t="str">
        <f t="shared" si="12"/>
        <v>020689</v>
      </c>
      <c r="C216" t="str">
        <f t="shared" si="13"/>
        <v>54196</v>
      </c>
      <c r="D216" t="s">
        <v>49</v>
      </c>
      <c r="E216" s="3">
        <v>200</v>
      </c>
      <c r="F216">
        <v>20151113</v>
      </c>
      <c r="G216" t="s">
        <v>114</v>
      </c>
      <c r="H216" t="s">
        <v>166</v>
      </c>
      <c r="I216">
        <v>0</v>
      </c>
      <c r="J216" t="s">
        <v>15</v>
      </c>
      <c r="K216" t="s">
        <v>115</v>
      </c>
      <c r="L216" t="s">
        <v>17</v>
      </c>
      <c r="M216" t="str">
        <f t="shared" si="11"/>
        <v>11</v>
      </c>
      <c r="N216" t="s">
        <v>12</v>
      </c>
    </row>
    <row r="217" spans="1:14" x14ac:dyDescent="0.25">
      <c r="A217">
        <v>20151113</v>
      </c>
      <c r="B217" t="str">
        <f t="shared" si="12"/>
        <v>020689</v>
      </c>
      <c r="C217" t="str">
        <f t="shared" si="13"/>
        <v>54196</v>
      </c>
      <c r="D217" t="s">
        <v>49</v>
      </c>
      <c r="E217" s="3">
        <v>575</v>
      </c>
      <c r="F217">
        <v>20151113</v>
      </c>
      <c r="G217" t="s">
        <v>116</v>
      </c>
      <c r="H217" t="s">
        <v>167</v>
      </c>
      <c r="I217">
        <v>0</v>
      </c>
      <c r="J217" t="s">
        <v>15</v>
      </c>
      <c r="K217" t="s">
        <v>118</v>
      </c>
      <c r="L217" t="s">
        <v>17</v>
      </c>
      <c r="M217" t="str">
        <f t="shared" si="11"/>
        <v>11</v>
      </c>
      <c r="N217" t="s">
        <v>12</v>
      </c>
    </row>
    <row r="218" spans="1:14" x14ac:dyDescent="0.25">
      <c r="A218">
        <v>20151113</v>
      </c>
      <c r="B218" t="str">
        <f t="shared" si="12"/>
        <v>020689</v>
      </c>
      <c r="C218" t="str">
        <f t="shared" si="13"/>
        <v>54196</v>
      </c>
      <c r="D218" t="s">
        <v>49</v>
      </c>
      <c r="E218" s="3">
        <v>1225</v>
      </c>
      <c r="F218">
        <v>20151113</v>
      </c>
      <c r="G218" t="s">
        <v>119</v>
      </c>
      <c r="H218" t="s">
        <v>168</v>
      </c>
      <c r="I218">
        <v>0</v>
      </c>
      <c r="J218" t="s">
        <v>15</v>
      </c>
      <c r="K218" t="s">
        <v>103</v>
      </c>
      <c r="L218" t="s">
        <v>17</v>
      </c>
      <c r="M218" t="str">
        <f t="shared" si="11"/>
        <v>11</v>
      </c>
      <c r="N218" t="s">
        <v>12</v>
      </c>
    </row>
    <row r="219" spans="1:14" x14ac:dyDescent="0.25">
      <c r="A219">
        <v>20151113</v>
      </c>
      <c r="B219" t="str">
        <f t="shared" si="12"/>
        <v>020689</v>
      </c>
      <c r="C219" t="str">
        <f t="shared" si="13"/>
        <v>54196</v>
      </c>
      <c r="D219" t="s">
        <v>49</v>
      </c>
      <c r="E219" s="3">
        <v>2800</v>
      </c>
      <c r="F219">
        <v>20151113</v>
      </c>
      <c r="G219" t="s">
        <v>50</v>
      </c>
      <c r="H219" t="s">
        <v>166</v>
      </c>
      <c r="I219">
        <v>0</v>
      </c>
      <c r="J219" t="s">
        <v>15</v>
      </c>
      <c r="K219" t="s">
        <v>52</v>
      </c>
      <c r="L219" t="s">
        <v>17</v>
      </c>
      <c r="M219" t="str">
        <f t="shared" si="11"/>
        <v>11</v>
      </c>
      <c r="N219" t="s">
        <v>12</v>
      </c>
    </row>
    <row r="220" spans="1:14" x14ac:dyDescent="0.25">
      <c r="A220">
        <v>20151113</v>
      </c>
      <c r="B220" t="str">
        <f>"020690"</f>
        <v>020690</v>
      </c>
      <c r="C220" t="str">
        <f>"56220"</f>
        <v>56220</v>
      </c>
      <c r="D220" t="s">
        <v>121</v>
      </c>
      <c r="E220" s="3">
        <v>842</v>
      </c>
      <c r="F220">
        <v>20151113</v>
      </c>
      <c r="G220" t="s">
        <v>122</v>
      </c>
      <c r="H220" t="s">
        <v>164</v>
      </c>
      <c r="I220">
        <v>0</v>
      </c>
      <c r="J220" t="s">
        <v>15</v>
      </c>
      <c r="K220" t="s">
        <v>123</v>
      </c>
      <c r="L220" t="s">
        <v>17</v>
      </c>
      <c r="M220" t="str">
        <f t="shared" si="11"/>
        <v>11</v>
      </c>
      <c r="N220" t="s">
        <v>12</v>
      </c>
    </row>
    <row r="221" spans="1:14" x14ac:dyDescent="0.25">
      <c r="A221">
        <v>20151113</v>
      </c>
      <c r="B221" t="str">
        <f>"020691"</f>
        <v>020691</v>
      </c>
      <c r="C221" t="str">
        <f>"72601"</f>
        <v>72601</v>
      </c>
      <c r="D221" t="s">
        <v>53</v>
      </c>
      <c r="E221" s="3">
        <v>9258.01</v>
      </c>
      <c r="F221">
        <v>20151113</v>
      </c>
      <c r="G221" t="s">
        <v>54</v>
      </c>
      <c r="H221" t="s">
        <v>164</v>
      </c>
      <c r="I221">
        <v>0</v>
      </c>
      <c r="J221" t="s">
        <v>15</v>
      </c>
      <c r="K221" t="s">
        <v>55</v>
      </c>
      <c r="L221" t="s">
        <v>17</v>
      </c>
      <c r="M221" t="str">
        <f t="shared" si="11"/>
        <v>11</v>
      </c>
      <c r="N221" t="s">
        <v>12</v>
      </c>
    </row>
    <row r="222" spans="1:14" x14ac:dyDescent="0.25">
      <c r="A222">
        <v>20151113</v>
      </c>
      <c r="B222" t="str">
        <f>"020692"</f>
        <v>020692</v>
      </c>
      <c r="C222" t="str">
        <f>"75452"</f>
        <v>75452</v>
      </c>
      <c r="D222" t="s">
        <v>56</v>
      </c>
      <c r="E222" s="3">
        <v>9766.27</v>
      </c>
      <c r="F222">
        <v>20151113</v>
      </c>
      <c r="G222" t="s">
        <v>57</v>
      </c>
      <c r="H222" t="s">
        <v>163</v>
      </c>
      <c r="I222">
        <v>0</v>
      </c>
      <c r="J222" t="s">
        <v>15</v>
      </c>
      <c r="K222" t="s">
        <v>58</v>
      </c>
      <c r="L222" t="s">
        <v>17</v>
      </c>
      <c r="M222" t="str">
        <f t="shared" si="11"/>
        <v>11</v>
      </c>
      <c r="N222" t="s">
        <v>12</v>
      </c>
    </row>
    <row r="223" spans="1:14" x14ac:dyDescent="0.25">
      <c r="A223">
        <v>20151113</v>
      </c>
      <c r="B223" t="str">
        <f>"020692"</f>
        <v>020692</v>
      </c>
      <c r="C223" t="str">
        <f>"75452"</f>
        <v>75452</v>
      </c>
      <c r="D223" t="s">
        <v>56</v>
      </c>
      <c r="E223" s="3">
        <v>25</v>
      </c>
      <c r="F223">
        <v>20151113</v>
      </c>
      <c r="G223" t="s">
        <v>153</v>
      </c>
      <c r="H223" t="s">
        <v>169</v>
      </c>
      <c r="I223">
        <v>0</v>
      </c>
      <c r="J223" t="s">
        <v>15</v>
      </c>
      <c r="K223" t="s">
        <v>155</v>
      </c>
      <c r="L223" t="s">
        <v>17</v>
      </c>
      <c r="M223" t="str">
        <f t="shared" si="11"/>
        <v>11</v>
      </c>
      <c r="N223" t="s">
        <v>12</v>
      </c>
    </row>
    <row r="224" spans="1:14" x14ac:dyDescent="0.25">
      <c r="A224">
        <v>20151113</v>
      </c>
      <c r="B224" t="str">
        <f>"020693"</f>
        <v>020693</v>
      </c>
      <c r="C224" t="str">
        <f>"77030"</f>
        <v>77030</v>
      </c>
      <c r="D224" t="s">
        <v>156</v>
      </c>
      <c r="E224" s="3">
        <v>43.5</v>
      </c>
      <c r="F224">
        <v>20151113</v>
      </c>
      <c r="G224" t="s">
        <v>157</v>
      </c>
      <c r="H224" t="s">
        <v>164</v>
      </c>
      <c r="I224">
        <v>0</v>
      </c>
      <c r="J224" t="s">
        <v>15</v>
      </c>
      <c r="K224" t="s">
        <v>158</v>
      </c>
      <c r="L224" t="s">
        <v>17</v>
      </c>
      <c r="M224" t="str">
        <f t="shared" si="11"/>
        <v>11</v>
      </c>
      <c r="N224" t="s">
        <v>12</v>
      </c>
    </row>
    <row r="225" spans="1:14" x14ac:dyDescent="0.25">
      <c r="A225">
        <v>20151113</v>
      </c>
      <c r="B225" t="str">
        <f>"020694"</f>
        <v>020694</v>
      </c>
      <c r="C225" t="str">
        <f>"78428"</f>
        <v>78428</v>
      </c>
      <c r="D225" t="s">
        <v>124</v>
      </c>
      <c r="E225" s="3">
        <v>851.87</v>
      </c>
      <c r="F225">
        <v>20151113</v>
      </c>
      <c r="G225" t="s">
        <v>125</v>
      </c>
      <c r="H225" t="s">
        <v>164</v>
      </c>
      <c r="I225">
        <v>0</v>
      </c>
      <c r="J225" t="s">
        <v>15</v>
      </c>
      <c r="K225" t="s">
        <v>126</v>
      </c>
      <c r="L225" t="s">
        <v>17</v>
      </c>
      <c r="M225" t="str">
        <f t="shared" si="11"/>
        <v>11</v>
      </c>
      <c r="N225" t="s">
        <v>12</v>
      </c>
    </row>
    <row r="226" spans="1:14" x14ac:dyDescent="0.25">
      <c r="A226">
        <v>20151113</v>
      </c>
      <c r="B226" t="str">
        <f>"020695"</f>
        <v>020695</v>
      </c>
      <c r="C226" t="str">
        <f>"79562"</f>
        <v>79562</v>
      </c>
      <c r="D226" t="s">
        <v>127</v>
      </c>
      <c r="E226" s="3">
        <v>341.95</v>
      </c>
      <c r="F226">
        <v>20151113</v>
      </c>
      <c r="G226" t="s">
        <v>128</v>
      </c>
      <c r="H226" t="s">
        <v>170</v>
      </c>
      <c r="I226">
        <v>0</v>
      </c>
      <c r="J226" t="s">
        <v>15</v>
      </c>
      <c r="K226" t="s">
        <v>130</v>
      </c>
      <c r="L226" t="s">
        <v>17</v>
      </c>
      <c r="M226" t="str">
        <f t="shared" si="11"/>
        <v>11</v>
      </c>
      <c r="N226" t="s">
        <v>12</v>
      </c>
    </row>
    <row r="227" spans="1:14" x14ac:dyDescent="0.25">
      <c r="A227">
        <v>20151113</v>
      </c>
      <c r="B227" t="str">
        <f>"020696"</f>
        <v>020696</v>
      </c>
      <c r="C227" t="str">
        <f>"79762"</f>
        <v>79762</v>
      </c>
      <c r="D227" t="s">
        <v>160</v>
      </c>
      <c r="E227" s="3">
        <v>390</v>
      </c>
      <c r="F227">
        <v>20151113</v>
      </c>
      <c r="G227" t="s">
        <v>161</v>
      </c>
      <c r="H227" t="s">
        <v>164</v>
      </c>
      <c r="I227">
        <v>0</v>
      </c>
      <c r="J227" t="s">
        <v>15</v>
      </c>
      <c r="K227" t="s">
        <v>162</v>
      </c>
      <c r="L227" t="s">
        <v>17</v>
      </c>
      <c r="M227" t="str">
        <f t="shared" si="11"/>
        <v>11</v>
      </c>
      <c r="N227" t="s">
        <v>12</v>
      </c>
    </row>
    <row r="228" spans="1:14" x14ac:dyDescent="0.25">
      <c r="A228">
        <v>20151113</v>
      </c>
      <c r="B228" t="str">
        <f>"020697"</f>
        <v>020697</v>
      </c>
      <c r="C228" t="str">
        <f>"81155"</f>
        <v>81155</v>
      </c>
      <c r="D228" t="s">
        <v>131</v>
      </c>
      <c r="E228" s="3">
        <v>280</v>
      </c>
      <c r="F228">
        <v>20151113</v>
      </c>
      <c r="G228" t="s">
        <v>132</v>
      </c>
      <c r="H228" t="s">
        <v>164</v>
      </c>
      <c r="I228">
        <v>0</v>
      </c>
      <c r="J228" t="s">
        <v>15</v>
      </c>
      <c r="K228" t="s">
        <v>133</v>
      </c>
      <c r="L228" t="s">
        <v>17</v>
      </c>
      <c r="M228" t="str">
        <f t="shared" si="11"/>
        <v>11</v>
      </c>
      <c r="N228" t="s">
        <v>12</v>
      </c>
    </row>
    <row r="229" spans="1:14" x14ac:dyDescent="0.25">
      <c r="A229">
        <v>20151113</v>
      </c>
      <c r="B229" t="str">
        <f>"020698"</f>
        <v>020698</v>
      </c>
      <c r="C229" t="str">
        <f>"81173"</f>
        <v>81173</v>
      </c>
      <c r="D229" t="s">
        <v>59</v>
      </c>
      <c r="E229" s="3">
        <v>400</v>
      </c>
      <c r="F229">
        <v>20151113</v>
      </c>
      <c r="G229" t="s">
        <v>60</v>
      </c>
      <c r="H229" t="s">
        <v>164</v>
      </c>
      <c r="I229">
        <v>0</v>
      </c>
      <c r="J229" t="s">
        <v>15</v>
      </c>
      <c r="K229" t="s">
        <v>61</v>
      </c>
      <c r="L229" t="s">
        <v>17</v>
      </c>
      <c r="M229" t="str">
        <f t="shared" si="11"/>
        <v>11</v>
      </c>
      <c r="N229" t="s">
        <v>12</v>
      </c>
    </row>
    <row r="230" spans="1:14" x14ac:dyDescent="0.25">
      <c r="A230">
        <v>20151113</v>
      </c>
      <c r="B230" t="str">
        <f>"020699"</f>
        <v>020699</v>
      </c>
      <c r="C230" t="str">
        <f>"81174"</f>
        <v>81174</v>
      </c>
      <c r="D230" t="s">
        <v>62</v>
      </c>
      <c r="E230" s="3">
        <v>1610</v>
      </c>
      <c r="F230">
        <v>20151113</v>
      </c>
      <c r="G230" t="s">
        <v>63</v>
      </c>
      <c r="H230" t="s">
        <v>164</v>
      </c>
      <c r="I230">
        <v>0</v>
      </c>
      <c r="J230" t="s">
        <v>15</v>
      </c>
      <c r="K230" t="s">
        <v>64</v>
      </c>
      <c r="L230" t="s">
        <v>17</v>
      </c>
      <c r="M230" t="str">
        <f t="shared" si="11"/>
        <v>11</v>
      </c>
      <c r="N230" t="s">
        <v>12</v>
      </c>
    </row>
    <row r="231" spans="1:14" x14ac:dyDescent="0.25">
      <c r="A231">
        <v>20151113</v>
      </c>
      <c r="B231" t="str">
        <f>"020700"</f>
        <v>020700</v>
      </c>
      <c r="C231" t="str">
        <f>"81177"</f>
        <v>81177</v>
      </c>
      <c r="D231" t="s">
        <v>65</v>
      </c>
      <c r="E231" s="3">
        <v>83.65</v>
      </c>
      <c r="F231">
        <v>20151113</v>
      </c>
      <c r="G231" t="s">
        <v>66</v>
      </c>
      <c r="H231" t="s">
        <v>164</v>
      </c>
      <c r="I231">
        <v>0</v>
      </c>
      <c r="J231" t="s">
        <v>15</v>
      </c>
      <c r="K231" t="s">
        <v>67</v>
      </c>
      <c r="L231" t="s">
        <v>17</v>
      </c>
      <c r="M231" t="str">
        <f t="shared" si="11"/>
        <v>11</v>
      </c>
      <c r="N231" t="s">
        <v>12</v>
      </c>
    </row>
    <row r="232" spans="1:14" x14ac:dyDescent="0.25">
      <c r="A232">
        <v>20151113</v>
      </c>
      <c r="B232" t="str">
        <f>"020700"</f>
        <v>020700</v>
      </c>
      <c r="C232" t="str">
        <f>"81177"</f>
        <v>81177</v>
      </c>
      <c r="D232" t="s">
        <v>65</v>
      </c>
      <c r="E232" s="3">
        <v>1901.32</v>
      </c>
      <c r="F232">
        <v>20151113</v>
      </c>
      <c r="G232" t="s">
        <v>134</v>
      </c>
      <c r="H232" t="s">
        <v>164</v>
      </c>
      <c r="I232">
        <v>0</v>
      </c>
      <c r="J232" t="s">
        <v>15</v>
      </c>
      <c r="K232" t="s">
        <v>135</v>
      </c>
      <c r="L232" t="s">
        <v>17</v>
      </c>
      <c r="M232" t="str">
        <f t="shared" si="11"/>
        <v>11</v>
      </c>
      <c r="N232" t="s">
        <v>12</v>
      </c>
    </row>
    <row r="233" spans="1:14" x14ac:dyDescent="0.25">
      <c r="A233">
        <v>20151113</v>
      </c>
      <c r="B233" t="str">
        <f>"020701"</f>
        <v>020701</v>
      </c>
      <c r="C233" t="str">
        <f>"81753"</f>
        <v>81753</v>
      </c>
      <c r="D233" t="s">
        <v>68</v>
      </c>
      <c r="E233" s="3">
        <v>671.85</v>
      </c>
      <c r="F233">
        <v>20151113</v>
      </c>
      <c r="G233" t="s">
        <v>69</v>
      </c>
      <c r="H233" t="s">
        <v>164</v>
      </c>
      <c r="I233">
        <v>0</v>
      </c>
      <c r="J233" t="s">
        <v>15</v>
      </c>
      <c r="K233" t="s">
        <v>68</v>
      </c>
      <c r="L233" t="s">
        <v>17</v>
      </c>
      <c r="M233" t="str">
        <f t="shared" ref="M233:M250" si="14">"11"</f>
        <v>11</v>
      </c>
      <c r="N233" t="s">
        <v>12</v>
      </c>
    </row>
    <row r="234" spans="1:14" x14ac:dyDescent="0.25">
      <c r="A234">
        <v>20151120</v>
      </c>
      <c r="B234" t="str">
        <f>"020739"</f>
        <v>020739</v>
      </c>
      <c r="C234" t="str">
        <f>"04831"</f>
        <v>04831</v>
      </c>
      <c r="D234" t="s">
        <v>11</v>
      </c>
      <c r="E234" s="3">
        <v>56.1</v>
      </c>
      <c r="F234">
        <v>20151120</v>
      </c>
      <c r="G234" t="s">
        <v>13</v>
      </c>
      <c r="H234" t="s">
        <v>163</v>
      </c>
      <c r="I234">
        <v>0</v>
      </c>
      <c r="J234" t="s">
        <v>15</v>
      </c>
      <c r="K234" t="s">
        <v>16</v>
      </c>
      <c r="L234" t="s">
        <v>17</v>
      </c>
      <c r="M234" t="str">
        <f t="shared" si="14"/>
        <v>11</v>
      </c>
      <c r="N234" t="s">
        <v>12</v>
      </c>
    </row>
    <row r="235" spans="1:14" x14ac:dyDescent="0.25">
      <c r="A235">
        <v>20151120</v>
      </c>
      <c r="B235" t="str">
        <f>"020740"</f>
        <v>020740</v>
      </c>
      <c r="C235" t="str">
        <f>"04905"</f>
        <v>04905</v>
      </c>
      <c r="D235" t="s">
        <v>18</v>
      </c>
      <c r="E235" s="3">
        <v>33.85</v>
      </c>
      <c r="F235">
        <v>20151120</v>
      </c>
      <c r="G235" t="s">
        <v>19</v>
      </c>
      <c r="H235" t="s">
        <v>164</v>
      </c>
      <c r="I235">
        <v>0</v>
      </c>
      <c r="J235" t="s">
        <v>15</v>
      </c>
      <c r="K235" t="s">
        <v>21</v>
      </c>
      <c r="L235" t="s">
        <v>17</v>
      </c>
      <c r="M235" t="str">
        <f t="shared" si="14"/>
        <v>11</v>
      </c>
      <c r="N235" t="s">
        <v>12</v>
      </c>
    </row>
    <row r="236" spans="1:14" x14ac:dyDescent="0.25">
      <c r="A236">
        <v>20151120</v>
      </c>
      <c r="B236" t="str">
        <f>"020741"</f>
        <v>020741</v>
      </c>
      <c r="C236" t="str">
        <f>"04987"</f>
        <v>04987</v>
      </c>
      <c r="D236" t="s">
        <v>144</v>
      </c>
      <c r="E236" s="3">
        <v>27.74</v>
      </c>
      <c r="F236">
        <v>20151120</v>
      </c>
      <c r="G236" t="s">
        <v>35</v>
      </c>
      <c r="H236" t="s">
        <v>163</v>
      </c>
      <c r="I236">
        <v>0</v>
      </c>
      <c r="J236" t="s">
        <v>15</v>
      </c>
      <c r="K236" t="s">
        <v>36</v>
      </c>
      <c r="L236" t="s">
        <v>17</v>
      </c>
      <c r="M236" t="str">
        <f t="shared" si="14"/>
        <v>11</v>
      </c>
      <c r="N236" t="s">
        <v>12</v>
      </c>
    </row>
    <row r="237" spans="1:14" x14ac:dyDescent="0.25">
      <c r="A237">
        <v>20151120</v>
      </c>
      <c r="B237" t="str">
        <f>"020742"</f>
        <v>020742</v>
      </c>
      <c r="C237" t="str">
        <f>"07710"</f>
        <v>07710</v>
      </c>
      <c r="D237" t="s">
        <v>22</v>
      </c>
      <c r="E237" s="3">
        <v>6.67</v>
      </c>
      <c r="F237">
        <v>20151120</v>
      </c>
      <c r="G237" t="s">
        <v>23</v>
      </c>
      <c r="H237" t="s">
        <v>164</v>
      </c>
      <c r="I237">
        <v>0</v>
      </c>
      <c r="J237" t="s">
        <v>15</v>
      </c>
      <c r="K237" t="s">
        <v>24</v>
      </c>
      <c r="L237" t="s">
        <v>17</v>
      </c>
      <c r="M237" t="str">
        <f t="shared" si="14"/>
        <v>11</v>
      </c>
      <c r="N237" t="s">
        <v>12</v>
      </c>
    </row>
    <row r="238" spans="1:14" x14ac:dyDescent="0.25">
      <c r="A238">
        <v>20151120</v>
      </c>
      <c r="B238" t="str">
        <f>"020743"</f>
        <v>020743</v>
      </c>
      <c r="C238" t="str">
        <f>"07880"</f>
        <v>07880</v>
      </c>
      <c r="D238" t="s">
        <v>25</v>
      </c>
      <c r="E238" s="3">
        <v>141.46</v>
      </c>
      <c r="F238">
        <v>20151120</v>
      </c>
      <c r="G238" t="s">
        <v>26</v>
      </c>
      <c r="H238" t="s">
        <v>164</v>
      </c>
      <c r="I238">
        <v>0</v>
      </c>
      <c r="J238" t="s">
        <v>15</v>
      </c>
      <c r="K238" t="s">
        <v>27</v>
      </c>
      <c r="L238" t="s">
        <v>17</v>
      </c>
      <c r="M238" t="str">
        <f t="shared" si="14"/>
        <v>11</v>
      </c>
      <c r="N238" t="s">
        <v>12</v>
      </c>
    </row>
    <row r="239" spans="1:14" x14ac:dyDescent="0.25">
      <c r="A239">
        <v>20151120</v>
      </c>
      <c r="B239" t="str">
        <f>"020744"</f>
        <v>020744</v>
      </c>
      <c r="C239" t="str">
        <f>"11211"</f>
        <v>11211</v>
      </c>
      <c r="D239" t="s">
        <v>28</v>
      </c>
      <c r="E239" s="3">
        <v>156.02000000000001</v>
      </c>
      <c r="F239">
        <v>20151120</v>
      </c>
      <c r="G239" t="s">
        <v>29</v>
      </c>
      <c r="H239" t="s">
        <v>163</v>
      </c>
      <c r="I239">
        <v>0</v>
      </c>
      <c r="J239" t="s">
        <v>15</v>
      </c>
      <c r="K239" t="s">
        <v>30</v>
      </c>
      <c r="L239" t="s">
        <v>17</v>
      </c>
      <c r="M239" t="str">
        <f t="shared" si="14"/>
        <v>11</v>
      </c>
      <c r="N239" t="s">
        <v>12</v>
      </c>
    </row>
    <row r="240" spans="1:14" x14ac:dyDescent="0.25">
      <c r="A240">
        <v>20151120</v>
      </c>
      <c r="B240" t="str">
        <f>"020745"</f>
        <v>020745</v>
      </c>
      <c r="C240" t="str">
        <f>"14177"</f>
        <v>14177</v>
      </c>
      <c r="D240" t="s">
        <v>31</v>
      </c>
      <c r="E240" s="3">
        <v>25</v>
      </c>
      <c r="F240">
        <v>20151120</v>
      </c>
      <c r="G240" t="s">
        <v>32</v>
      </c>
      <c r="H240" t="s">
        <v>164</v>
      </c>
      <c r="I240">
        <v>0</v>
      </c>
      <c r="J240" t="s">
        <v>15</v>
      </c>
      <c r="K240" t="s">
        <v>33</v>
      </c>
      <c r="L240" t="s">
        <v>17</v>
      </c>
      <c r="M240" t="str">
        <f t="shared" si="14"/>
        <v>11</v>
      </c>
      <c r="N240" t="s">
        <v>12</v>
      </c>
    </row>
    <row r="241" spans="1:14" x14ac:dyDescent="0.25">
      <c r="A241">
        <v>20151120</v>
      </c>
      <c r="B241" t="str">
        <f>"020746"</f>
        <v>020746</v>
      </c>
      <c r="C241" t="str">
        <f>"24960"</f>
        <v>24960</v>
      </c>
      <c r="D241" t="s">
        <v>39</v>
      </c>
      <c r="E241" s="3">
        <v>308.92</v>
      </c>
      <c r="F241">
        <v>20151120</v>
      </c>
      <c r="G241" t="s">
        <v>40</v>
      </c>
      <c r="H241" t="s">
        <v>165</v>
      </c>
      <c r="I241">
        <v>0</v>
      </c>
      <c r="J241" t="s">
        <v>15</v>
      </c>
      <c r="K241" t="s">
        <v>42</v>
      </c>
      <c r="L241" t="s">
        <v>17</v>
      </c>
      <c r="M241" t="str">
        <f t="shared" si="14"/>
        <v>11</v>
      </c>
      <c r="N241" t="s">
        <v>12</v>
      </c>
    </row>
    <row r="242" spans="1:14" x14ac:dyDescent="0.25">
      <c r="A242">
        <v>20151120</v>
      </c>
      <c r="B242" t="str">
        <f>"020747"</f>
        <v>020747</v>
      </c>
      <c r="C242" t="str">
        <f>"42245"</f>
        <v>42245</v>
      </c>
      <c r="D242" t="s">
        <v>43</v>
      </c>
      <c r="E242" s="3">
        <v>418.94</v>
      </c>
      <c r="F242">
        <v>20151120</v>
      </c>
      <c r="G242" t="s">
        <v>44</v>
      </c>
      <c r="H242" t="s">
        <v>163</v>
      </c>
      <c r="I242">
        <v>0</v>
      </c>
      <c r="J242" t="s">
        <v>15</v>
      </c>
      <c r="K242" t="s">
        <v>45</v>
      </c>
      <c r="L242" t="s">
        <v>17</v>
      </c>
      <c r="M242" t="str">
        <f t="shared" si="14"/>
        <v>11</v>
      </c>
      <c r="N242" t="s">
        <v>12</v>
      </c>
    </row>
    <row r="243" spans="1:14" x14ac:dyDescent="0.25">
      <c r="A243">
        <v>20151120</v>
      </c>
      <c r="B243" t="str">
        <f>"020748"</f>
        <v>020748</v>
      </c>
      <c r="C243" t="str">
        <f>"48947"</f>
        <v>48947</v>
      </c>
      <c r="D243" t="s">
        <v>46</v>
      </c>
      <c r="E243" s="3">
        <v>25.38</v>
      </c>
      <c r="F243">
        <v>20151120</v>
      </c>
      <c r="G243" t="s">
        <v>47</v>
      </c>
      <c r="H243" t="s">
        <v>165</v>
      </c>
      <c r="I243">
        <v>0</v>
      </c>
      <c r="J243" t="s">
        <v>15</v>
      </c>
      <c r="K243" t="s">
        <v>48</v>
      </c>
      <c r="L243" t="s">
        <v>17</v>
      </c>
      <c r="M243" t="str">
        <f t="shared" si="14"/>
        <v>11</v>
      </c>
      <c r="N243" t="s">
        <v>12</v>
      </c>
    </row>
    <row r="244" spans="1:14" x14ac:dyDescent="0.25">
      <c r="A244">
        <v>20151120</v>
      </c>
      <c r="B244" t="str">
        <f>"020749"</f>
        <v>020749</v>
      </c>
      <c r="C244" t="str">
        <f>"54196"</f>
        <v>54196</v>
      </c>
      <c r="D244" t="s">
        <v>49</v>
      </c>
      <c r="E244" s="3">
        <v>50</v>
      </c>
      <c r="F244">
        <v>20151120</v>
      </c>
      <c r="G244" t="s">
        <v>50</v>
      </c>
      <c r="H244" t="s">
        <v>166</v>
      </c>
      <c r="I244">
        <v>0</v>
      </c>
      <c r="J244" t="s">
        <v>15</v>
      </c>
      <c r="K244" t="s">
        <v>52</v>
      </c>
      <c r="L244" t="s">
        <v>17</v>
      </c>
      <c r="M244" t="str">
        <f t="shared" si="14"/>
        <v>11</v>
      </c>
      <c r="N244" t="s">
        <v>12</v>
      </c>
    </row>
    <row r="245" spans="1:14" x14ac:dyDescent="0.25">
      <c r="A245">
        <v>20151120</v>
      </c>
      <c r="B245" t="str">
        <f>"020750"</f>
        <v>020750</v>
      </c>
      <c r="C245" t="str">
        <f>"72601"</f>
        <v>72601</v>
      </c>
      <c r="D245" t="s">
        <v>53</v>
      </c>
      <c r="E245" s="3">
        <v>264.11</v>
      </c>
      <c r="F245">
        <v>20151120</v>
      </c>
      <c r="G245" t="s">
        <v>54</v>
      </c>
      <c r="H245" t="s">
        <v>164</v>
      </c>
      <c r="I245">
        <v>0</v>
      </c>
      <c r="J245" t="s">
        <v>15</v>
      </c>
      <c r="K245" t="s">
        <v>55</v>
      </c>
      <c r="L245" t="s">
        <v>17</v>
      </c>
      <c r="M245" t="str">
        <f t="shared" si="14"/>
        <v>11</v>
      </c>
      <c r="N245" t="s">
        <v>12</v>
      </c>
    </row>
    <row r="246" spans="1:14" x14ac:dyDescent="0.25">
      <c r="A246">
        <v>20151120</v>
      </c>
      <c r="B246" t="str">
        <f>"020751"</f>
        <v>020751</v>
      </c>
      <c r="C246" t="str">
        <f>"75452"</f>
        <v>75452</v>
      </c>
      <c r="D246" t="s">
        <v>56</v>
      </c>
      <c r="E246" s="3">
        <v>370.84</v>
      </c>
      <c r="F246">
        <v>20151120</v>
      </c>
      <c r="G246" t="s">
        <v>57</v>
      </c>
      <c r="H246" t="s">
        <v>163</v>
      </c>
      <c r="I246">
        <v>0</v>
      </c>
      <c r="J246" t="s">
        <v>15</v>
      </c>
      <c r="K246" t="s">
        <v>58</v>
      </c>
      <c r="L246" t="s">
        <v>17</v>
      </c>
      <c r="M246" t="str">
        <f t="shared" si="14"/>
        <v>11</v>
      </c>
      <c r="N246" t="s">
        <v>12</v>
      </c>
    </row>
    <row r="247" spans="1:14" x14ac:dyDescent="0.25">
      <c r="A247">
        <v>20151120</v>
      </c>
      <c r="B247" t="str">
        <f>"020752"</f>
        <v>020752</v>
      </c>
      <c r="C247" t="str">
        <f>"81173"</f>
        <v>81173</v>
      </c>
      <c r="D247" t="s">
        <v>59</v>
      </c>
      <c r="E247" s="3">
        <v>25</v>
      </c>
      <c r="F247">
        <v>20151120</v>
      </c>
      <c r="G247" t="s">
        <v>60</v>
      </c>
      <c r="H247" t="s">
        <v>164</v>
      </c>
      <c r="I247">
        <v>0</v>
      </c>
      <c r="J247" t="s">
        <v>15</v>
      </c>
      <c r="K247" t="s">
        <v>61</v>
      </c>
      <c r="L247" t="s">
        <v>17</v>
      </c>
      <c r="M247" t="str">
        <f t="shared" si="14"/>
        <v>11</v>
      </c>
      <c r="N247" t="s">
        <v>12</v>
      </c>
    </row>
    <row r="248" spans="1:14" x14ac:dyDescent="0.25">
      <c r="A248">
        <v>20151120</v>
      </c>
      <c r="B248" t="str">
        <f>"020753"</f>
        <v>020753</v>
      </c>
      <c r="C248" t="str">
        <f>"81174"</f>
        <v>81174</v>
      </c>
      <c r="D248" t="s">
        <v>62</v>
      </c>
      <c r="E248" s="3">
        <v>60</v>
      </c>
      <c r="F248">
        <v>20151120</v>
      </c>
      <c r="G248" t="s">
        <v>63</v>
      </c>
      <c r="H248" t="s">
        <v>164</v>
      </c>
      <c r="I248">
        <v>0</v>
      </c>
      <c r="J248" t="s">
        <v>15</v>
      </c>
      <c r="K248" t="s">
        <v>64</v>
      </c>
      <c r="L248" t="s">
        <v>17</v>
      </c>
      <c r="M248" t="str">
        <f t="shared" si="14"/>
        <v>11</v>
      </c>
      <c r="N248" t="s">
        <v>12</v>
      </c>
    </row>
    <row r="249" spans="1:14" x14ac:dyDescent="0.25">
      <c r="A249">
        <v>20151120</v>
      </c>
      <c r="B249" t="str">
        <f>"020754"</f>
        <v>020754</v>
      </c>
      <c r="C249" t="str">
        <f>"81177"</f>
        <v>81177</v>
      </c>
      <c r="D249" t="s">
        <v>65</v>
      </c>
      <c r="E249" s="3">
        <v>66.92</v>
      </c>
      <c r="F249">
        <v>20151120</v>
      </c>
      <c r="G249" t="s">
        <v>66</v>
      </c>
      <c r="H249" t="s">
        <v>164</v>
      </c>
      <c r="I249">
        <v>0</v>
      </c>
      <c r="J249" t="s">
        <v>15</v>
      </c>
      <c r="K249" t="s">
        <v>67</v>
      </c>
      <c r="L249" t="s">
        <v>17</v>
      </c>
      <c r="M249" t="str">
        <f t="shared" si="14"/>
        <v>11</v>
      </c>
      <c r="N249" t="s">
        <v>12</v>
      </c>
    </row>
    <row r="250" spans="1:14" x14ac:dyDescent="0.25">
      <c r="A250">
        <v>20151120</v>
      </c>
      <c r="B250" t="str">
        <f>"020755"</f>
        <v>020755</v>
      </c>
      <c r="C250" t="str">
        <f>"81753"</f>
        <v>81753</v>
      </c>
      <c r="D250" t="s">
        <v>68</v>
      </c>
      <c r="E250" s="3">
        <v>27.53</v>
      </c>
      <c r="F250">
        <v>20151120</v>
      </c>
      <c r="G250" t="s">
        <v>69</v>
      </c>
      <c r="H250" t="s">
        <v>164</v>
      </c>
      <c r="I250">
        <v>0</v>
      </c>
      <c r="J250" t="s">
        <v>15</v>
      </c>
      <c r="K250" t="s">
        <v>68</v>
      </c>
      <c r="L250" t="s">
        <v>17</v>
      </c>
      <c r="M250" t="str">
        <f t="shared" si="14"/>
        <v>11</v>
      </c>
      <c r="N250" t="s">
        <v>12</v>
      </c>
    </row>
    <row r="251" spans="1:14" x14ac:dyDescent="0.25">
      <c r="A251">
        <v>20151204</v>
      </c>
      <c r="B251" t="str">
        <f>"020797"</f>
        <v>020797</v>
      </c>
      <c r="C251" t="str">
        <f>"04831"</f>
        <v>04831</v>
      </c>
      <c r="D251" t="s">
        <v>11</v>
      </c>
      <c r="E251" s="3">
        <v>56.1</v>
      </c>
      <c r="F251">
        <v>20151204</v>
      </c>
      <c r="G251" t="s">
        <v>13</v>
      </c>
      <c r="H251" t="s">
        <v>171</v>
      </c>
      <c r="I251">
        <v>0</v>
      </c>
      <c r="J251" t="s">
        <v>15</v>
      </c>
      <c r="K251" t="s">
        <v>16</v>
      </c>
      <c r="L251" t="s">
        <v>17</v>
      </c>
      <c r="M251" t="str">
        <f t="shared" ref="M251:M282" si="15">"12"</f>
        <v>12</v>
      </c>
      <c r="N251" t="s">
        <v>12</v>
      </c>
    </row>
    <row r="252" spans="1:14" x14ac:dyDescent="0.25">
      <c r="A252">
        <v>20151204</v>
      </c>
      <c r="B252" t="str">
        <f>"020798"</f>
        <v>020798</v>
      </c>
      <c r="C252" t="str">
        <f>"04905"</f>
        <v>04905</v>
      </c>
      <c r="D252" t="s">
        <v>18</v>
      </c>
      <c r="E252" s="3">
        <v>33.85</v>
      </c>
      <c r="F252">
        <v>20151204</v>
      </c>
      <c r="G252" t="s">
        <v>19</v>
      </c>
      <c r="H252" t="s">
        <v>172</v>
      </c>
      <c r="I252">
        <v>0</v>
      </c>
      <c r="J252" t="s">
        <v>15</v>
      </c>
      <c r="K252" t="s">
        <v>21</v>
      </c>
      <c r="L252" t="s">
        <v>17</v>
      </c>
      <c r="M252" t="str">
        <f t="shared" si="15"/>
        <v>12</v>
      </c>
      <c r="N252" t="s">
        <v>12</v>
      </c>
    </row>
    <row r="253" spans="1:14" x14ac:dyDescent="0.25">
      <c r="A253">
        <v>20151204</v>
      </c>
      <c r="B253" t="str">
        <f>"020799"</f>
        <v>020799</v>
      </c>
      <c r="C253" t="str">
        <f>"04987"</f>
        <v>04987</v>
      </c>
      <c r="D253" t="s">
        <v>144</v>
      </c>
      <c r="E253" s="3">
        <v>27.74</v>
      </c>
      <c r="F253">
        <v>20151204</v>
      </c>
      <c r="G253" t="s">
        <v>35</v>
      </c>
      <c r="H253" t="s">
        <v>171</v>
      </c>
      <c r="I253">
        <v>0</v>
      </c>
      <c r="J253" t="s">
        <v>15</v>
      </c>
      <c r="K253" t="s">
        <v>36</v>
      </c>
      <c r="L253" t="s">
        <v>17</v>
      </c>
      <c r="M253" t="str">
        <f t="shared" si="15"/>
        <v>12</v>
      </c>
      <c r="N253" t="s">
        <v>12</v>
      </c>
    </row>
    <row r="254" spans="1:14" x14ac:dyDescent="0.25">
      <c r="A254">
        <v>20151204</v>
      </c>
      <c r="B254" t="str">
        <f>"020800"</f>
        <v>020800</v>
      </c>
      <c r="C254" t="str">
        <f>"07710"</f>
        <v>07710</v>
      </c>
      <c r="D254" t="s">
        <v>22</v>
      </c>
      <c r="E254" s="3">
        <v>6.67</v>
      </c>
      <c r="F254">
        <v>20151204</v>
      </c>
      <c r="G254" t="s">
        <v>23</v>
      </c>
      <c r="H254" t="s">
        <v>172</v>
      </c>
      <c r="I254">
        <v>0</v>
      </c>
      <c r="J254" t="s">
        <v>15</v>
      </c>
      <c r="K254" t="s">
        <v>24</v>
      </c>
      <c r="L254" t="s">
        <v>17</v>
      </c>
      <c r="M254" t="str">
        <f t="shared" si="15"/>
        <v>12</v>
      </c>
      <c r="N254" t="s">
        <v>12</v>
      </c>
    </row>
    <row r="255" spans="1:14" x14ac:dyDescent="0.25">
      <c r="A255">
        <v>20151204</v>
      </c>
      <c r="B255" t="str">
        <f>"020801"</f>
        <v>020801</v>
      </c>
      <c r="C255" t="str">
        <f>"07880"</f>
        <v>07880</v>
      </c>
      <c r="D255" t="s">
        <v>25</v>
      </c>
      <c r="E255" s="3">
        <v>489.91</v>
      </c>
      <c r="F255">
        <v>20151204</v>
      </c>
      <c r="G255" t="s">
        <v>26</v>
      </c>
      <c r="H255" t="s">
        <v>172</v>
      </c>
      <c r="I255">
        <v>0</v>
      </c>
      <c r="J255" t="s">
        <v>15</v>
      </c>
      <c r="K255" t="s">
        <v>27</v>
      </c>
      <c r="L255" t="s">
        <v>17</v>
      </c>
      <c r="M255" t="str">
        <f t="shared" si="15"/>
        <v>12</v>
      </c>
      <c r="N255" t="s">
        <v>12</v>
      </c>
    </row>
    <row r="256" spans="1:14" x14ac:dyDescent="0.25">
      <c r="A256">
        <v>20151204</v>
      </c>
      <c r="B256" t="str">
        <f>"020802"</f>
        <v>020802</v>
      </c>
      <c r="C256" t="str">
        <f>"11211"</f>
        <v>11211</v>
      </c>
      <c r="D256" t="s">
        <v>28</v>
      </c>
      <c r="E256" s="3">
        <v>152.37</v>
      </c>
      <c r="F256">
        <v>20151204</v>
      </c>
      <c r="G256" t="s">
        <v>29</v>
      </c>
      <c r="H256" t="s">
        <v>171</v>
      </c>
      <c r="I256">
        <v>0</v>
      </c>
      <c r="J256" t="s">
        <v>15</v>
      </c>
      <c r="K256" t="s">
        <v>30</v>
      </c>
      <c r="L256" t="s">
        <v>17</v>
      </c>
      <c r="M256" t="str">
        <f t="shared" si="15"/>
        <v>12</v>
      </c>
      <c r="N256" t="s">
        <v>12</v>
      </c>
    </row>
    <row r="257" spans="1:14" x14ac:dyDescent="0.25">
      <c r="A257">
        <v>20151204</v>
      </c>
      <c r="B257" t="str">
        <f>"020803"</f>
        <v>020803</v>
      </c>
      <c r="C257" t="str">
        <f>"14177"</f>
        <v>14177</v>
      </c>
      <c r="D257" t="s">
        <v>31</v>
      </c>
      <c r="E257" s="3">
        <v>25</v>
      </c>
      <c r="F257">
        <v>20151204</v>
      </c>
      <c r="G257" t="s">
        <v>32</v>
      </c>
      <c r="H257" t="s">
        <v>172</v>
      </c>
      <c r="I257">
        <v>0</v>
      </c>
      <c r="J257" t="s">
        <v>15</v>
      </c>
      <c r="K257" t="s">
        <v>33</v>
      </c>
      <c r="L257" t="s">
        <v>17</v>
      </c>
      <c r="M257" t="str">
        <f t="shared" si="15"/>
        <v>12</v>
      </c>
      <c r="N257" t="s">
        <v>12</v>
      </c>
    </row>
    <row r="258" spans="1:14" x14ac:dyDescent="0.25">
      <c r="A258">
        <v>20151204</v>
      </c>
      <c r="B258" t="str">
        <f>"020804"</f>
        <v>020804</v>
      </c>
      <c r="C258" t="str">
        <f>"24960"</f>
        <v>24960</v>
      </c>
      <c r="D258" t="s">
        <v>39</v>
      </c>
      <c r="E258" s="3">
        <v>283.66000000000003</v>
      </c>
      <c r="F258">
        <v>20151204</v>
      </c>
      <c r="G258" t="s">
        <v>40</v>
      </c>
      <c r="H258" t="s">
        <v>173</v>
      </c>
      <c r="I258">
        <v>0</v>
      </c>
      <c r="J258" t="s">
        <v>15</v>
      </c>
      <c r="K258" t="s">
        <v>42</v>
      </c>
      <c r="L258" t="s">
        <v>17</v>
      </c>
      <c r="M258" t="str">
        <f t="shared" si="15"/>
        <v>12</v>
      </c>
      <c r="N258" t="s">
        <v>12</v>
      </c>
    </row>
    <row r="259" spans="1:14" x14ac:dyDescent="0.25">
      <c r="A259">
        <v>20151204</v>
      </c>
      <c r="B259" t="str">
        <f>"020805"</f>
        <v>020805</v>
      </c>
      <c r="C259" t="str">
        <f>"42245"</f>
        <v>42245</v>
      </c>
      <c r="D259" t="s">
        <v>43</v>
      </c>
      <c r="E259" s="3">
        <v>431.84</v>
      </c>
      <c r="F259">
        <v>20151204</v>
      </c>
      <c r="G259" t="s">
        <v>44</v>
      </c>
      <c r="H259" t="s">
        <v>171</v>
      </c>
      <c r="I259">
        <v>0</v>
      </c>
      <c r="J259" t="s">
        <v>15</v>
      </c>
      <c r="K259" t="s">
        <v>45</v>
      </c>
      <c r="L259" t="s">
        <v>17</v>
      </c>
      <c r="M259" t="str">
        <f t="shared" si="15"/>
        <v>12</v>
      </c>
      <c r="N259" t="s">
        <v>12</v>
      </c>
    </row>
    <row r="260" spans="1:14" x14ac:dyDescent="0.25">
      <c r="A260">
        <v>20151204</v>
      </c>
      <c r="B260" t="str">
        <f>"020806"</f>
        <v>020806</v>
      </c>
      <c r="C260" t="str">
        <f>"48947"</f>
        <v>48947</v>
      </c>
      <c r="D260" t="s">
        <v>46</v>
      </c>
      <c r="E260" s="3">
        <v>25.38</v>
      </c>
      <c r="F260">
        <v>20151204</v>
      </c>
      <c r="G260" t="s">
        <v>47</v>
      </c>
      <c r="H260" t="s">
        <v>173</v>
      </c>
      <c r="I260">
        <v>0</v>
      </c>
      <c r="J260" t="s">
        <v>15</v>
      </c>
      <c r="K260" t="s">
        <v>48</v>
      </c>
      <c r="L260" t="s">
        <v>17</v>
      </c>
      <c r="M260" t="str">
        <f t="shared" si="15"/>
        <v>12</v>
      </c>
      <c r="N260" t="s">
        <v>12</v>
      </c>
    </row>
    <row r="261" spans="1:14" x14ac:dyDescent="0.25">
      <c r="A261">
        <v>20151204</v>
      </c>
      <c r="B261" t="str">
        <f>"020807"</f>
        <v>020807</v>
      </c>
      <c r="C261" t="str">
        <f>"54196"</f>
        <v>54196</v>
      </c>
      <c r="D261" t="s">
        <v>49</v>
      </c>
      <c r="E261" s="3">
        <v>50</v>
      </c>
      <c r="F261">
        <v>20151204</v>
      </c>
      <c r="G261" t="s">
        <v>50</v>
      </c>
      <c r="H261" t="s">
        <v>174</v>
      </c>
      <c r="I261">
        <v>0</v>
      </c>
      <c r="J261" t="s">
        <v>15</v>
      </c>
      <c r="K261" t="s">
        <v>52</v>
      </c>
      <c r="L261" t="s">
        <v>17</v>
      </c>
      <c r="M261" t="str">
        <f t="shared" si="15"/>
        <v>12</v>
      </c>
      <c r="N261" t="s">
        <v>12</v>
      </c>
    </row>
    <row r="262" spans="1:14" x14ac:dyDescent="0.25">
      <c r="A262">
        <v>20151204</v>
      </c>
      <c r="B262" t="str">
        <f>"020808"</f>
        <v>020808</v>
      </c>
      <c r="C262" t="str">
        <f>"72601"</f>
        <v>72601</v>
      </c>
      <c r="D262" t="s">
        <v>53</v>
      </c>
      <c r="E262" s="3">
        <v>264.11</v>
      </c>
      <c r="F262">
        <v>20151204</v>
      </c>
      <c r="G262" t="s">
        <v>54</v>
      </c>
      <c r="H262" t="s">
        <v>172</v>
      </c>
      <c r="I262">
        <v>0</v>
      </c>
      <c r="J262" t="s">
        <v>15</v>
      </c>
      <c r="K262" t="s">
        <v>55</v>
      </c>
      <c r="L262" t="s">
        <v>17</v>
      </c>
      <c r="M262" t="str">
        <f t="shared" si="15"/>
        <v>12</v>
      </c>
      <c r="N262" t="s">
        <v>12</v>
      </c>
    </row>
    <row r="263" spans="1:14" x14ac:dyDescent="0.25">
      <c r="A263">
        <v>20151204</v>
      </c>
      <c r="B263" t="str">
        <f>"020809"</f>
        <v>020809</v>
      </c>
      <c r="C263" t="str">
        <f>"75452"</f>
        <v>75452</v>
      </c>
      <c r="D263" t="s">
        <v>56</v>
      </c>
      <c r="E263" s="3">
        <v>370.84</v>
      </c>
      <c r="F263">
        <v>20151204</v>
      </c>
      <c r="G263" t="s">
        <v>57</v>
      </c>
      <c r="H263" t="s">
        <v>171</v>
      </c>
      <c r="I263">
        <v>0</v>
      </c>
      <c r="J263" t="s">
        <v>15</v>
      </c>
      <c r="K263" t="s">
        <v>58</v>
      </c>
      <c r="L263" t="s">
        <v>17</v>
      </c>
      <c r="M263" t="str">
        <f t="shared" si="15"/>
        <v>12</v>
      </c>
      <c r="N263" t="s">
        <v>12</v>
      </c>
    </row>
    <row r="264" spans="1:14" x14ac:dyDescent="0.25">
      <c r="A264">
        <v>20151204</v>
      </c>
      <c r="B264" t="str">
        <f>"020810"</f>
        <v>020810</v>
      </c>
      <c r="C264" t="str">
        <f>"81173"</f>
        <v>81173</v>
      </c>
      <c r="D264" t="s">
        <v>59</v>
      </c>
      <c r="E264" s="3">
        <v>25</v>
      </c>
      <c r="F264">
        <v>20151204</v>
      </c>
      <c r="G264" t="s">
        <v>60</v>
      </c>
      <c r="H264" t="s">
        <v>172</v>
      </c>
      <c r="I264">
        <v>0</v>
      </c>
      <c r="J264" t="s">
        <v>15</v>
      </c>
      <c r="K264" t="s">
        <v>61</v>
      </c>
      <c r="L264" t="s">
        <v>17</v>
      </c>
      <c r="M264" t="str">
        <f t="shared" si="15"/>
        <v>12</v>
      </c>
      <c r="N264" t="s">
        <v>12</v>
      </c>
    </row>
    <row r="265" spans="1:14" x14ac:dyDescent="0.25">
      <c r="A265">
        <v>20151204</v>
      </c>
      <c r="B265" t="str">
        <f>"020811"</f>
        <v>020811</v>
      </c>
      <c r="C265" t="str">
        <f>"81174"</f>
        <v>81174</v>
      </c>
      <c r="D265" t="s">
        <v>62</v>
      </c>
      <c r="E265" s="3">
        <v>60</v>
      </c>
      <c r="F265">
        <v>20151204</v>
      </c>
      <c r="G265" t="s">
        <v>63</v>
      </c>
      <c r="H265" t="s">
        <v>172</v>
      </c>
      <c r="I265">
        <v>0</v>
      </c>
      <c r="J265" t="s">
        <v>15</v>
      </c>
      <c r="K265" t="s">
        <v>64</v>
      </c>
      <c r="L265" t="s">
        <v>17</v>
      </c>
      <c r="M265" t="str">
        <f t="shared" si="15"/>
        <v>12</v>
      </c>
      <c r="N265" t="s">
        <v>12</v>
      </c>
    </row>
    <row r="266" spans="1:14" x14ac:dyDescent="0.25">
      <c r="A266">
        <v>20151204</v>
      </c>
      <c r="B266" t="str">
        <f>"020812"</f>
        <v>020812</v>
      </c>
      <c r="C266" t="str">
        <f>"81177"</f>
        <v>81177</v>
      </c>
      <c r="D266" t="s">
        <v>65</v>
      </c>
      <c r="E266" s="3">
        <v>33.46</v>
      </c>
      <c r="F266">
        <v>20151204</v>
      </c>
      <c r="G266" t="s">
        <v>66</v>
      </c>
      <c r="H266" t="s">
        <v>172</v>
      </c>
      <c r="I266">
        <v>0</v>
      </c>
      <c r="J266" t="s">
        <v>15</v>
      </c>
      <c r="K266" t="s">
        <v>67</v>
      </c>
      <c r="L266" t="s">
        <v>17</v>
      </c>
      <c r="M266" t="str">
        <f t="shared" si="15"/>
        <v>12</v>
      </c>
      <c r="N266" t="s">
        <v>12</v>
      </c>
    </row>
    <row r="267" spans="1:14" x14ac:dyDescent="0.25">
      <c r="A267">
        <v>20151204</v>
      </c>
      <c r="B267" t="str">
        <f>"020813"</f>
        <v>020813</v>
      </c>
      <c r="C267" t="str">
        <f>"81753"</f>
        <v>81753</v>
      </c>
      <c r="D267" t="s">
        <v>68</v>
      </c>
      <c r="E267" s="3">
        <v>68.23</v>
      </c>
      <c r="F267">
        <v>20151204</v>
      </c>
      <c r="G267" t="s">
        <v>69</v>
      </c>
      <c r="H267" t="s">
        <v>172</v>
      </c>
      <c r="I267">
        <v>0</v>
      </c>
      <c r="J267" t="s">
        <v>15</v>
      </c>
      <c r="K267" t="s">
        <v>68</v>
      </c>
      <c r="L267" t="s">
        <v>17</v>
      </c>
      <c r="M267" t="str">
        <f t="shared" si="15"/>
        <v>12</v>
      </c>
      <c r="N267" t="s">
        <v>12</v>
      </c>
    </row>
    <row r="268" spans="1:14" x14ac:dyDescent="0.25">
      <c r="A268">
        <v>20151207</v>
      </c>
      <c r="B268" t="str">
        <f>"020814"</f>
        <v>020814</v>
      </c>
      <c r="C268" t="str">
        <f>"99999"</f>
        <v>99999</v>
      </c>
      <c r="D268" t="s">
        <v>175</v>
      </c>
      <c r="E268" s="3">
        <v>7.3</v>
      </c>
      <c r="F268">
        <v>20151207</v>
      </c>
      <c r="G268" t="s">
        <v>29</v>
      </c>
      <c r="H268" t="s">
        <v>176</v>
      </c>
      <c r="I268">
        <v>0</v>
      </c>
      <c r="J268" t="s">
        <v>15</v>
      </c>
      <c r="K268" t="s">
        <v>30</v>
      </c>
      <c r="L268" t="s">
        <v>17</v>
      </c>
      <c r="M268" t="str">
        <f t="shared" si="15"/>
        <v>12</v>
      </c>
      <c r="N268" t="s">
        <v>12</v>
      </c>
    </row>
    <row r="269" spans="1:14" x14ac:dyDescent="0.25">
      <c r="A269">
        <v>20151215</v>
      </c>
      <c r="B269" t="str">
        <f>"020850"</f>
        <v>020850</v>
      </c>
      <c r="C269" t="str">
        <f>"04831"</f>
        <v>04831</v>
      </c>
      <c r="D269" t="s">
        <v>11</v>
      </c>
      <c r="E269" s="3">
        <v>1203.9100000000001</v>
      </c>
      <c r="F269">
        <v>20151215</v>
      </c>
      <c r="G269" t="s">
        <v>13</v>
      </c>
      <c r="H269" t="s">
        <v>171</v>
      </c>
      <c r="I269">
        <v>0</v>
      </c>
      <c r="J269" t="s">
        <v>15</v>
      </c>
      <c r="K269" t="s">
        <v>16</v>
      </c>
      <c r="L269" t="s">
        <v>17</v>
      </c>
      <c r="M269" t="str">
        <f t="shared" si="15"/>
        <v>12</v>
      </c>
      <c r="N269" t="s">
        <v>12</v>
      </c>
    </row>
    <row r="270" spans="1:14" x14ac:dyDescent="0.25">
      <c r="A270">
        <v>20151215</v>
      </c>
      <c r="B270" t="str">
        <f>"020851"</f>
        <v>020851</v>
      </c>
      <c r="C270" t="str">
        <f>"04905"</f>
        <v>04905</v>
      </c>
      <c r="D270" t="s">
        <v>18</v>
      </c>
      <c r="E270" s="3">
        <v>2789.41</v>
      </c>
      <c r="F270">
        <v>20151215</v>
      </c>
      <c r="G270" t="s">
        <v>19</v>
      </c>
      <c r="H270" t="s">
        <v>172</v>
      </c>
      <c r="I270">
        <v>0</v>
      </c>
      <c r="J270" t="s">
        <v>15</v>
      </c>
      <c r="K270" t="s">
        <v>21</v>
      </c>
      <c r="L270" t="s">
        <v>17</v>
      </c>
      <c r="M270" t="str">
        <f t="shared" si="15"/>
        <v>12</v>
      </c>
      <c r="N270" t="s">
        <v>12</v>
      </c>
    </row>
    <row r="271" spans="1:14" x14ac:dyDescent="0.25">
      <c r="A271">
        <v>20151215</v>
      </c>
      <c r="B271" t="str">
        <f>"020852"</f>
        <v>020852</v>
      </c>
      <c r="C271" t="str">
        <f>"04987"</f>
        <v>04987</v>
      </c>
      <c r="D271" t="s">
        <v>144</v>
      </c>
      <c r="E271" s="3">
        <v>508.16</v>
      </c>
      <c r="F271">
        <v>20151215</v>
      </c>
      <c r="G271" t="s">
        <v>35</v>
      </c>
      <c r="H271" t="s">
        <v>171</v>
      </c>
      <c r="I271">
        <v>0</v>
      </c>
      <c r="J271" t="s">
        <v>15</v>
      </c>
      <c r="K271" t="s">
        <v>36</v>
      </c>
      <c r="L271" t="s">
        <v>17</v>
      </c>
      <c r="M271" t="str">
        <f t="shared" si="15"/>
        <v>12</v>
      </c>
      <c r="N271" t="s">
        <v>12</v>
      </c>
    </row>
    <row r="272" spans="1:14" x14ac:dyDescent="0.25">
      <c r="A272">
        <v>20151215</v>
      </c>
      <c r="B272" t="str">
        <f>"020853"</f>
        <v>020853</v>
      </c>
      <c r="C272" t="str">
        <f>"07710"</f>
        <v>07710</v>
      </c>
      <c r="D272" t="s">
        <v>22</v>
      </c>
      <c r="E272" s="3">
        <v>351.59</v>
      </c>
      <c r="F272">
        <v>20151215</v>
      </c>
      <c r="G272" t="s">
        <v>23</v>
      </c>
      <c r="H272" t="s">
        <v>172</v>
      </c>
      <c r="I272">
        <v>0</v>
      </c>
      <c r="J272" t="s">
        <v>15</v>
      </c>
      <c r="K272" t="s">
        <v>24</v>
      </c>
      <c r="L272" t="s">
        <v>17</v>
      </c>
      <c r="M272" t="str">
        <f t="shared" si="15"/>
        <v>12</v>
      </c>
      <c r="N272" t="s">
        <v>12</v>
      </c>
    </row>
    <row r="273" spans="1:14" x14ac:dyDescent="0.25">
      <c r="A273">
        <v>20151215</v>
      </c>
      <c r="B273" t="str">
        <f>"020854"</f>
        <v>020854</v>
      </c>
      <c r="C273" t="str">
        <f>"07880"</f>
        <v>07880</v>
      </c>
      <c r="D273" t="s">
        <v>25</v>
      </c>
      <c r="E273" s="3">
        <v>4575.3999999999996</v>
      </c>
      <c r="F273">
        <v>20151215</v>
      </c>
      <c r="G273" t="s">
        <v>26</v>
      </c>
      <c r="H273" t="s">
        <v>172</v>
      </c>
      <c r="I273">
        <v>0</v>
      </c>
      <c r="J273" t="s">
        <v>15</v>
      </c>
      <c r="K273" t="s">
        <v>27</v>
      </c>
      <c r="L273" t="s">
        <v>17</v>
      </c>
      <c r="M273" t="str">
        <f t="shared" si="15"/>
        <v>12</v>
      </c>
      <c r="N273" t="s">
        <v>12</v>
      </c>
    </row>
    <row r="274" spans="1:14" x14ac:dyDescent="0.25">
      <c r="A274">
        <v>20151215</v>
      </c>
      <c r="B274" t="str">
        <f>"020855"</f>
        <v>020855</v>
      </c>
      <c r="C274" t="str">
        <f>"10095"</f>
        <v>10095</v>
      </c>
      <c r="D274" t="s">
        <v>70</v>
      </c>
      <c r="E274" s="3">
        <v>528.26</v>
      </c>
      <c r="F274">
        <v>20151215</v>
      </c>
      <c r="G274" t="s">
        <v>71</v>
      </c>
      <c r="H274" t="s">
        <v>172</v>
      </c>
      <c r="I274">
        <v>0</v>
      </c>
      <c r="J274" t="s">
        <v>15</v>
      </c>
      <c r="K274" t="s">
        <v>72</v>
      </c>
      <c r="L274" t="s">
        <v>17</v>
      </c>
      <c r="M274" t="str">
        <f t="shared" si="15"/>
        <v>12</v>
      </c>
      <c r="N274" t="s">
        <v>12</v>
      </c>
    </row>
    <row r="275" spans="1:14" x14ac:dyDescent="0.25">
      <c r="A275">
        <v>20151215</v>
      </c>
      <c r="B275" t="str">
        <f>"020856"</f>
        <v>020856</v>
      </c>
      <c r="C275" t="str">
        <f>"11211"</f>
        <v>11211</v>
      </c>
      <c r="D275" t="s">
        <v>28</v>
      </c>
      <c r="E275" s="3">
        <v>2334.31</v>
      </c>
      <c r="F275">
        <v>20151215</v>
      </c>
      <c r="G275" t="s">
        <v>29</v>
      </c>
      <c r="H275" t="s">
        <v>171</v>
      </c>
      <c r="I275">
        <v>0</v>
      </c>
      <c r="J275" t="s">
        <v>15</v>
      </c>
      <c r="K275" t="s">
        <v>30</v>
      </c>
      <c r="L275" t="s">
        <v>17</v>
      </c>
      <c r="M275" t="str">
        <f t="shared" si="15"/>
        <v>12</v>
      </c>
      <c r="N275" t="s">
        <v>12</v>
      </c>
    </row>
    <row r="276" spans="1:14" x14ac:dyDescent="0.25">
      <c r="A276">
        <v>20151215</v>
      </c>
      <c r="B276" t="str">
        <f>"020857"</f>
        <v>020857</v>
      </c>
      <c r="C276" t="str">
        <f>"14177"</f>
        <v>14177</v>
      </c>
      <c r="D276" t="s">
        <v>31</v>
      </c>
      <c r="E276" s="3">
        <v>50</v>
      </c>
      <c r="F276">
        <v>20151215</v>
      </c>
      <c r="G276" t="s">
        <v>32</v>
      </c>
      <c r="H276" t="s">
        <v>172</v>
      </c>
      <c r="I276">
        <v>0</v>
      </c>
      <c r="J276" t="s">
        <v>15</v>
      </c>
      <c r="K276" t="s">
        <v>33</v>
      </c>
      <c r="L276" t="s">
        <v>17</v>
      </c>
      <c r="M276" t="str">
        <f t="shared" si="15"/>
        <v>12</v>
      </c>
      <c r="N276" t="s">
        <v>12</v>
      </c>
    </row>
    <row r="277" spans="1:14" x14ac:dyDescent="0.25">
      <c r="A277">
        <v>20151215</v>
      </c>
      <c r="B277" t="str">
        <f>"020858"</f>
        <v>020858</v>
      </c>
      <c r="C277" t="str">
        <f>"19103"</f>
        <v>19103</v>
      </c>
      <c r="D277" t="s">
        <v>73</v>
      </c>
      <c r="E277" s="3">
        <v>225</v>
      </c>
      <c r="F277">
        <v>20151215</v>
      </c>
      <c r="G277" t="s">
        <v>74</v>
      </c>
      <c r="H277" t="s">
        <v>172</v>
      </c>
      <c r="I277">
        <v>0</v>
      </c>
      <c r="J277" t="s">
        <v>15</v>
      </c>
      <c r="K277" t="s">
        <v>75</v>
      </c>
      <c r="L277" t="s">
        <v>17</v>
      </c>
      <c r="M277" t="str">
        <f t="shared" si="15"/>
        <v>12</v>
      </c>
      <c r="N277" t="s">
        <v>12</v>
      </c>
    </row>
    <row r="278" spans="1:14" x14ac:dyDescent="0.25">
      <c r="A278">
        <v>20151215</v>
      </c>
      <c r="B278" t="str">
        <f>"020859"</f>
        <v>020859</v>
      </c>
      <c r="C278" t="str">
        <f>"20682"</f>
        <v>20682</v>
      </c>
      <c r="D278" t="s">
        <v>76</v>
      </c>
      <c r="E278" s="3">
        <v>5350</v>
      </c>
      <c r="F278">
        <v>20151215</v>
      </c>
      <c r="G278" t="s">
        <v>77</v>
      </c>
      <c r="H278" t="s">
        <v>172</v>
      </c>
      <c r="I278">
        <v>0</v>
      </c>
      <c r="J278" t="s">
        <v>15</v>
      </c>
      <c r="K278" t="s">
        <v>78</v>
      </c>
      <c r="L278" t="s">
        <v>17</v>
      </c>
      <c r="M278" t="str">
        <f t="shared" si="15"/>
        <v>12</v>
      </c>
      <c r="N278" t="s">
        <v>12</v>
      </c>
    </row>
    <row r="279" spans="1:14" x14ac:dyDescent="0.25">
      <c r="A279">
        <v>20151215</v>
      </c>
      <c r="B279" t="str">
        <f>"020860"</f>
        <v>020860</v>
      </c>
      <c r="C279" t="str">
        <f>"21504"</f>
        <v>21504</v>
      </c>
      <c r="D279" t="s">
        <v>79</v>
      </c>
      <c r="E279" s="3">
        <v>36.6</v>
      </c>
      <c r="F279">
        <v>20151215</v>
      </c>
      <c r="G279" t="s">
        <v>80</v>
      </c>
      <c r="H279" t="s">
        <v>171</v>
      </c>
      <c r="I279">
        <v>0</v>
      </c>
      <c r="J279" t="s">
        <v>15</v>
      </c>
      <c r="K279" t="s">
        <v>81</v>
      </c>
      <c r="L279" t="s">
        <v>17</v>
      </c>
      <c r="M279" t="str">
        <f t="shared" si="15"/>
        <v>12</v>
      </c>
      <c r="N279" t="s">
        <v>12</v>
      </c>
    </row>
    <row r="280" spans="1:14" x14ac:dyDescent="0.25">
      <c r="A280">
        <v>20151215</v>
      </c>
      <c r="B280" t="str">
        <f>"020861"</f>
        <v>020861</v>
      </c>
      <c r="C280" t="str">
        <f>"21506"</f>
        <v>21506</v>
      </c>
      <c r="D280" t="s">
        <v>34</v>
      </c>
      <c r="E280" s="3">
        <v>359.7</v>
      </c>
      <c r="F280">
        <v>20151215</v>
      </c>
      <c r="G280" t="s">
        <v>37</v>
      </c>
      <c r="H280" t="s">
        <v>171</v>
      </c>
      <c r="I280">
        <v>0</v>
      </c>
      <c r="J280" t="s">
        <v>15</v>
      </c>
      <c r="K280" t="s">
        <v>38</v>
      </c>
      <c r="L280" t="s">
        <v>17</v>
      </c>
      <c r="M280" t="str">
        <f t="shared" si="15"/>
        <v>12</v>
      </c>
      <c r="N280" t="s">
        <v>12</v>
      </c>
    </row>
    <row r="281" spans="1:14" x14ac:dyDescent="0.25">
      <c r="A281">
        <v>20151215</v>
      </c>
      <c r="B281" t="str">
        <f>"020862"</f>
        <v>020862</v>
      </c>
      <c r="C281" t="str">
        <f>"21826"</f>
        <v>21826</v>
      </c>
      <c r="D281" t="s">
        <v>82</v>
      </c>
      <c r="E281" s="3">
        <v>462.53</v>
      </c>
      <c r="F281">
        <v>20151215</v>
      </c>
      <c r="G281" t="s">
        <v>83</v>
      </c>
      <c r="H281" t="s">
        <v>172</v>
      </c>
      <c r="I281">
        <v>0</v>
      </c>
      <c r="J281" t="s">
        <v>15</v>
      </c>
      <c r="K281" t="s">
        <v>84</v>
      </c>
      <c r="L281" t="s">
        <v>17</v>
      </c>
      <c r="M281" t="str">
        <f t="shared" si="15"/>
        <v>12</v>
      </c>
      <c r="N281" t="s">
        <v>12</v>
      </c>
    </row>
    <row r="282" spans="1:14" x14ac:dyDescent="0.25">
      <c r="A282">
        <v>20151215</v>
      </c>
      <c r="B282" t="str">
        <f>"020863"</f>
        <v>020863</v>
      </c>
      <c r="C282" t="str">
        <f>"24960"</f>
        <v>24960</v>
      </c>
      <c r="D282" t="s">
        <v>39</v>
      </c>
      <c r="E282" s="3">
        <v>4103.57</v>
      </c>
      <c r="F282">
        <v>20151215</v>
      </c>
      <c r="G282" t="s">
        <v>40</v>
      </c>
      <c r="H282" t="s">
        <v>173</v>
      </c>
      <c r="I282">
        <v>0</v>
      </c>
      <c r="J282" t="s">
        <v>15</v>
      </c>
      <c r="K282" t="s">
        <v>42</v>
      </c>
      <c r="L282" t="s">
        <v>17</v>
      </c>
      <c r="M282" t="str">
        <f t="shared" si="15"/>
        <v>12</v>
      </c>
      <c r="N282" t="s">
        <v>12</v>
      </c>
    </row>
    <row r="283" spans="1:14" x14ac:dyDescent="0.25">
      <c r="A283">
        <v>20151215</v>
      </c>
      <c r="B283" t="str">
        <f>"020864"</f>
        <v>020864</v>
      </c>
      <c r="C283" t="str">
        <f>"29572"</f>
        <v>29572</v>
      </c>
      <c r="D283" t="s">
        <v>85</v>
      </c>
      <c r="E283" s="3">
        <v>36.200000000000003</v>
      </c>
      <c r="F283">
        <v>20151215</v>
      </c>
      <c r="G283" t="s">
        <v>86</v>
      </c>
      <c r="H283" t="s">
        <v>172</v>
      </c>
      <c r="I283">
        <v>0</v>
      </c>
      <c r="J283" t="s">
        <v>15</v>
      </c>
      <c r="K283" t="s">
        <v>87</v>
      </c>
      <c r="L283" t="s">
        <v>17</v>
      </c>
      <c r="M283" t="str">
        <f t="shared" ref="M283:M314" si="16">"12"</f>
        <v>12</v>
      </c>
      <c r="N283" t="s">
        <v>12</v>
      </c>
    </row>
    <row r="284" spans="1:14" x14ac:dyDescent="0.25">
      <c r="A284">
        <v>20151215</v>
      </c>
      <c r="B284" t="str">
        <f>"020865"</f>
        <v>020865</v>
      </c>
      <c r="C284" t="str">
        <f>"42245"</f>
        <v>42245</v>
      </c>
      <c r="D284" t="s">
        <v>43</v>
      </c>
      <c r="E284" s="3">
        <v>9728.92</v>
      </c>
      <c r="F284">
        <v>20151215</v>
      </c>
      <c r="G284" t="s">
        <v>44</v>
      </c>
      <c r="H284" t="s">
        <v>171</v>
      </c>
      <c r="I284">
        <v>0</v>
      </c>
      <c r="J284" t="s">
        <v>15</v>
      </c>
      <c r="K284" t="s">
        <v>45</v>
      </c>
      <c r="L284" t="s">
        <v>17</v>
      </c>
      <c r="M284" t="str">
        <f t="shared" si="16"/>
        <v>12</v>
      </c>
      <c r="N284" t="s">
        <v>12</v>
      </c>
    </row>
    <row r="285" spans="1:14" x14ac:dyDescent="0.25">
      <c r="A285">
        <v>20151215</v>
      </c>
      <c r="B285" t="str">
        <f>"020866"</f>
        <v>020866</v>
      </c>
      <c r="C285" t="str">
        <f>"43855"</f>
        <v>43855</v>
      </c>
      <c r="D285" t="s">
        <v>88</v>
      </c>
      <c r="E285" s="3">
        <v>250</v>
      </c>
      <c r="F285">
        <v>20151215</v>
      </c>
      <c r="G285" t="s">
        <v>89</v>
      </c>
      <c r="H285" t="s">
        <v>172</v>
      </c>
      <c r="I285">
        <v>0</v>
      </c>
      <c r="J285" t="s">
        <v>15</v>
      </c>
      <c r="K285" t="s">
        <v>88</v>
      </c>
      <c r="L285" t="s">
        <v>17</v>
      </c>
      <c r="M285" t="str">
        <f t="shared" si="16"/>
        <v>12</v>
      </c>
      <c r="N285" t="s">
        <v>12</v>
      </c>
    </row>
    <row r="286" spans="1:14" x14ac:dyDescent="0.25">
      <c r="A286">
        <v>20151215</v>
      </c>
      <c r="B286" t="str">
        <f>"020867"</f>
        <v>020867</v>
      </c>
      <c r="C286" t="str">
        <f>"48947"</f>
        <v>48947</v>
      </c>
      <c r="D286" t="s">
        <v>46</v>
      </c>
      <c r="E286" s="3">
        <v>1518.89</v>
      </c>
      <c r="F286">
        <v>20151215</v>
      </c>
      <c r="G286" t="s">
        <v>47</v>
      </c>
      <c r="H286" t="s">
        <v>173</v>
      </c>
      <c r="I286">
        <v>0</v>
      </c>
      <c r="J286" t="s">
        <v>15</v>
      </c>
      <c r="K286" t="s">
        <v>48</v>
      </c>
      <c r="L286" t="s">
        <v>17</v>
      </c>
      <c r="M286" t="str">
        <f t="shared" si="16"/>
        <v>12</v>
      </c>
      <c r="N286" t="s">
        <v>12</v>
      </c>
    </row>
    <row r="287" spans="1:14" x14ac:dyDescent="0.25">
      <c r="A287">
        <v>20151215</v>
      </c>
      <c r="B287" t="str">
        <f t="shared" ref="B287:B303" si="17">"020868"</f>
        <v>020868</v>
      </c>
      <c r="C287" t="str">
        <f t="shared" ref="C287:C303" si="18">"54196"</f>
        <v>54196</v>
      </c>
      <c r="D287" t="s">
        <v>49</v>
      </c>
      <c r="E287" s="3">
        <v>50</v>
      </c>
      <c r="F287">
        <v>20151215</v>
      </c>
      <c r="G287" t="s">
        <v>90</v>
      </c>
      <c r="H287" t="s">
        <v>174</v>
      </c>
      <c r="I287">
        <v>0</v>
      </c>
      <c r="J287" t="s">
        <v>15</v>
      </c>
      <c r="K287" t="s">
        <v>91</v>
      </c>
      <c r="L287" t="s">
        <v>17</v>
      </c>
      <c r="M287" t="str">
        <f t="shared" si="16"/>
        <v>12</v>
      </c>
      <c r="N287" t="s">
        <v>12</v>
      </c>
    </row>
    <row r="288" spans="1:14" x14ac:dyDescent="0.25">
      <c r="A288">
        <v>20151215</v>
      </c>
      <c r="B288" t="str">
        <f t="shared" si="17"/>
        <v>020868</v>
      </c>
      <c r="C288" t="str">
        <f t="shared" si="18"/>
        <v>54196</v>
      </c>
      <c r="D288" t="s">
        <v>49</v>
      </c>
      <c r="E288" s="3">
        <v>283</v>
      </c>
      <c r="F288">
        <v>20151215</v>
      </c>
      <c r="G288" t="s">
        <v>92</v>
      </c>
      <c r="H288" t="s">
        <v>174</v>
      </c>
      <c r="I288">
        <v>0</v>
      </c>
      <c r="J288" t="s">
        <v>15</v>
      </c>
      <c r="K288" t="s">
        <v>93</v>
      </c>
      <c r="L288" t="s">
        <v>17</v>
      </c>
      <c r="M288" t="str">
        <f t="shared" si="16"/>
        <v>12</v>
      </c>
      <c r="N288" t="s">
        <v>12</v>
      </c>
    </row>
    <row r="289" spans="1:14" x14ac:dyDescent="0.25">
      <c r="A289">
        <v>20151215</v>
      </c>
      <c r="B289" t="str">
        <f t="shared" si="17"/>
        <v>020868</v>
      </c>
      <c r="C289" t="str">
        <f t="shared" si="18"/>
        <v>54196</v>
      </c>
      <c r="D289" t="s">
        <v>49</v>
      </c>
      <c r="E289" s="3">
        <v>1590</v>
      </c>
      <c r="F289">
        <v>20151215</v>
      </c>
      <c r="G289" t="s">
        <v>94</v>
      </c>
      <c r="H289" t="s">
        <v>174</v>
      </c>
      <c r="I289">
        <v>0</v>
      </c>
      <c r="J289" t="s">
        <v>15</v>
      </c>
      <c r="K289" t="s">
        <v>95</v>
      </c>
      <c r="L289" t="s">
        <v>17</v>
      </c>
      <c r="M289" t="str">
        <f t="shared" si="16"/>
        <v>12</v>
      </c>
      <c r="N289" t="s">
        <v>12</v>
      </c>
    </row>
    <row r="290" spans="1:14" x14ac:dyDescent="0.25">
      <c r="A290">
        <v>20151215</v>
      </c>
      <c r="B290" t="str">
        <f t="shared" si="17"/>
        <v>020868</v>
      </c>
      <c r="C290" t="str">
        <f t="shared" si="18"/>
        <v>54196</v>
      </c>
      <c r="D290" t="s">
        <v>49</v>
      </c>
      <c r="E290" s="3">
        <v>2175</v>
      </c>
      <c r="F290">
        <v>20151215</v>
      </c>
      <c r="G290" t="s">
        <v>96</v>
      </c>
      <c r="H290" t="s">
        <v>174</v>
      </c>
      <c r="I290">
        <v>0</v>
      </c>
      <c r="J290" t="s">
        <v>15</v>
      </c>
      <c r="K290" t="s">
        <v>97</v>
      </c>
      <c r="L290" t="s">
        <v>17</v>
      </c>
      <c r="M290" t="str">
        <f t="shared" si="16"/>
        <v>12</v>
      </c>
      <c r="N290" t="s">
        <v>12</v>
      </c>
    </row>
    <row r="291" spans="1:14" x14ac:dyDescent="0.25">
      <c r="A291">
        <v>20151215</v>
      </c>
      <c r="B291" t="str">
        <f t="shared" si="17"/>
        <v>020868</v>
      </c>
      <c r="C291" t="str">
        <f t="shared" si="18"/>
        <v>54196</v>
      </c>
      <c r="D291" t="s">
        <v>49</v>
      </c>
      <c r="E291" s="3">
        <v>50</v>
      </c>
      <c r="F291">
        <v>20151215</v>
      </c>
      <c r="G291" t="s">
        <v>98</v>
      </c>
      <c r="H291" t="s">
        <v>174</v>
      </c>
      <c r="I291">
        <v>0</v>
      </c>
      <c r="J291" t="s">
        <v>15</v>
      </c>
      <c r="K291" t="s">
        <v>99</v>
      </c>
      <c r="L291" t="s">
        <v>17</v>
      </c>
      <c r="M291" t="str">
        <f t="shared" si="16"/>
        <v>12</v>
      </c>
      <c r="N291" t="s">
        <v>12</v>
      </c>
    </row>
    <row r="292" spans="1:14" x14ac:dyDescent="0.25">
      <c r="A292">
        <v>20151215</v>
      </c>
      <c r="B292" t="str">
        <f t="shared" si="17"/>
        <v>020868</v>
      </c>
      <c r="C292" t="str">
        <f t="shared" si="18"/>
        <v>54196</v>
      </c>
      <c r="D292" t="s">
        <v>49</v>
      </c>
      <c r="E292" s="3">
        <v>1230</v>
      </c>
      <c r="F292">
        <v>20151215</v>
      </c>
      <c r="G292" t="s">
        <v>100</v>
      </c>
      <c r="H292" t="s">
        <v>174</v>
      </c>
      <c r="I292">
        <v>0</v>
      </c>
      <c r="J292" t="s">
        <v>15</v>
      </c>
      <c r="K292" t="s">
        <v>101</v>
      </c>
      <c r="L292" t="s">
        <v>17</v>
      </c>
      <c r="M292" t="str">
        <f t="shared" si="16"/>
        <v>12</v>
      </c>
      <c r="N292" t="s">
        <v>12</v>
      </c>
    </row>
    <row r="293" spans="1:14" x14ac:dyDescent="0.25">
      <c r="A293">
        <v>20151215</v>
      </c>
      <c r="B293" t="str">
        <f t="shared" si="17"/>
        <v>020868</v>
      </c>
      <c r="C293" t="str">
        <f t="shared" si="18"/>
        <v>54196</v>
      </c>
      <c r="D293" t="s">
        <v>49</v>
      </c>
      <c r="E293" s="3">
        <v>2117</v>
      </c>
      <c r="F293">
        <v>20151215</v>
      </c>
      <c r="G293" t="s">
        <v>102</v>
      </c>
      <c r="H293" t="s">
        <v>174</v>
      </c>
      <c r="I293">
        <v>0</v>
      </c>
      <c r="J293" t="s">
        <v>15</v>
      </c>
      <c r="K293" t="s">
        <v>103</v>
      </c>
      <c r="L293" t="s">
        <v>17</v>
      </c>
      <c r="M293" t="str">
        <f t="shared" si="16"/>
        <v>12</v>
      </c>
      <c r="N293" t="s">
        <v>12</v>
      </c>
    </row>
    <row r="294" spans="1:14" x14ac:dyDescent="0.25">
      <c r="A294">
        <v>20151215</v>
      </c>
      <c r="B294" t="str">
        <f t="shared" si="17"/>
        <v>020868</v>
      </c>
      <c r="C294" t="str">
        <f t="shared" si="18"/>
        <v>54196</v>
      </c>
      <c r="D294" t="s">
        <v>49</v>
      </c>
      <c r="E294" s="3">
        <v>972</v>
      </c>
      <c r="F294">
        <v>20151215</v>
      </c>
      <c r="G294" t="s">
        <v>104</v>
      </c>
      <c r="H294" t="s">
        <v>174</v>
      </c>
      <c r="I294">
        <v>0</v>
      </c>
      <c r="J294" t="s">
        <v>15</v>
      </c>
      <c r="K294" t="s">
        <v>105</v>
      </c>
      <c r="L294" t="s">
        <v>17</v>
      </c>
      <c r="M294" t="str">
        <f t="shared" si="16"/>
        <v>12</v>
      </c>
      <c r="N294" t="s">
        <v>12</v>
      </c>
    </row>
    <row r="295" spans="1:14" x14ac:dyDescent="0.25">
      <c r="A295">
        <v>20151215</v>
      </c>
      <c r="B295" t="str">
        <f t="shared" si="17"/>
        <v>020868</v>
      </c>
      <c r="C295" t="str">
        <f t="shared" si="18"/>
        <v>54196</v>
      </c>
      <c r="D295" t="s">
        <v>49</v>
      </c>
      <c r="E295" s="3">
        <v>300</v>
      </c>
      <c r="F295">
        <v>20151215</v>
      </c>
      <c r="G295" t="s">
        <v>108</v>
      </c>
      <c r="H295" t="s">
        <v>174</v>
      </c>
      <c r="I295">
        <v>0</v>
      </c>
      <c r="J295" t="s">
        <v>15</v>
      </c>
      <c r="K295" t="s">
        <v>109</v>
      </c>
      <c r="L295" t="s">
        <v>17</v>
      </c>
      <c r="M295" t="str">
        <f t="shared" si="16"/>
        <v>12</v>
      </c>
      <c r="N295" t="s">
        <v>12</v>
      </c>
    </row>
    <row r="296" spans="1:14" x14ac:dyDescent="0.25">
      <c r="A296">
        <v>20151215</v>
      </c>
      <c r="B296" t="str">
        <f t="shared" si="17"/>
        <v>020868</v>
      </c>
      <c r="C296" t="str">
        <f t="shared" si="18"/>
        <v>54196</v>
      </c>
      <c r="D296" t="s">
        <v>49</v>
      </c>
      <c r="E296" s="3">
        <v>450</v>
      </c>
      <c r="F296">
        <v>20151215</v>
      </c>
      <c r="G296" t="s">
        <v>110</v>
      </c>
      <c r="H296" t="s">
        <v>174</v>
      </c>
      <c r="I296">
        <v>0</v>
      </c>
      <c r="J296" t="s">
        <v>15</v>
      </c>
      <c r="K296" t="s">
        <v>111</v>
      </c>
      <c r="L296" t="s">
        <v>17</v>
      </c>
      <c r="M296" t="str">
        <f t="shared" si="16"/>
        <v>12</v>
      </c>
      <c r="N296" t="s">
        <v>12</v>
      </c>
    </row>
    <row r="297" spans="1:14" x14ac:dyDescent="0.25">
      <c r="A297">
        <v>20151215</v>
      </c>
      <c r="B297" t="str">
        <f t="shared" si="17"/>
        <v>020868</v>
      </c>
      <c r="C297" t="str">
        <f t="shared" si="18"/>
        <v>54196</v>
      </c>
      <c r="D297" t="s">
        <v>49</v>
      </c>
      <c r="E297" s="3">
        <v>750</v>
      </c>
      <c r="F297">
        <v>20151215</v>
      </c>
      <c r="G297" t="s">
        <v>112</v>
      </c>
      <c r="H297" t="s">
        <v>174</v>
      </c>
      <c r="I297">
        <v>0</v>
      </c>
      <c r="J297" t="s">
        <v>15</v>
      </c>
      <c r="K297" t="s">
        <v>113</v>
      </c>
      <c r="L297" t="s">
        <v>17</v>
      </c>
      <c r="M297" t="str">
        <f t="shared" si="16"/>
        <v>12</v>
      </c>
      <c r="N297" t="s">
        <v>12</v>
      </c>
    </row>
    <row r="298" spans="1:14" x14ac:dyDescent="0.25">
      <c r="A298">
        <v>20151215</v>
      </c>
      <c r="B298" t="str">
        <f t="shared" si="17"/>
        <v>020868</v>
      </c>
      <c r="C298" t="str">
        <f t="shared" si="18"/>
        <v>54196</v>
      </c>
      <c r="D298" t="s">
        <v>49</v>
      </c>
      <c r="E298" s="3">
        <v>100</v>
      </c>
      <c r="F298">
        <v>20151215</v>
      </c>
      <c r="G298" t="s">
        <v>149</v>
      </c>
      <c r="H298" t="s">
        <v>174</v>
      </c>
      <c r="I298">
        <v>0</v>
      </c>
      <c r="J298" t="s">
        <v>15</v>
      </c>
      <c r="K298" t="s">
        <v>150</v>
      </c>
      <c r="L298" t="s">
        <v>17</v>
      </c>
      <c r="M298" t="str">
        <f t="shared" si="16"/>
        <v>12</v>
      </c>
      <c r="N298" t="s">
        <v>12</v>
      </c>
    </row>
    <row r="299" spans="1:14" x14ac:dyDescent="0.25">
      <c r="A299">
        <v>20151215</v>
      </c>
      <c r="B299" t="str">
        <f t="shared" si="17"/>
        <v>020868</v>
      </c>
      <c r="C299" t="str">
        <f t="shared" si="18"/>
        <v>54196</v>
      </c>
      <c r="D299" t="s">
        <v>49</v>
      </c>
      <c r="E299" s="3">
        <v>200</v>
      </c>
      <c r="F299">
        <v>20151215</v>
      </c>
      <c r="G299" t="s">
        <v>114</v>
      </c>
      <c r="H299" t="s">
        <v>174</v>
      </c>
      <c r="I299">
        <v>0</v>
      </c>
      <c r="J299" t="s">
        <v>15</v>
      </c>
      <c r="K299" t="s">
        <v>115</v>
      </c>
      <c r="L299" t="s">
        <v>17</v>
      </c>
      <c r="M299" t="str">
        <f t="shared" si="16"/>
        <v>12</v>
      </c>
      <c r="N299" t="s">
        <v>12</v>
      </c>
    </row>
    <row r="300" spans="1:14" x14ac:dyDescent="0.25">
      <c r="A300">
        <v>20151215</v>
      </c>
      <c r="B300" t="str">
        <f t="shared" si="17"/>
        <v>020868</v>
      </c>
      <c r="C300" t="str">
        <f t="shared" si="18"/>
        <v>54196</v>
      </c>
      <c r="D300" t="s">
        <v>49</v>
      </c>
      <c r="E300" s="3">
        <v>9246</v>
      </c>
      <c r="F300">
        <v>20151215</v>
      </c>
      <c r="G300" t="s">
        <v>119</v>
      </c>
      <c r="H300" t="s">
        <v>177</v>
      </c>
      <c r="I300">
        <v>0</v>
      </c>
      <c r="J300" t="s">
        <v>15</v>
      </c>
      <c r="K300" t="s">
        <v>103</v>
      </c>
      <c r="L300" t="s">
        <v>17</v>
      </c>
      <c r="M300" t="str">
        <f t="shared" si="16"/>
        <v>12</v>
      </c>
      <c r="N300" t="s">
        <v>12</v>
      </c>
    </row>
    <row r="301" spans="1:14" x14ac:dyDescent="0.25">
      <c r="A301">
        <v>20151215</v>
      </c>
      <c r="B301" t="str">
        <f t="shared" si="17"/>
        <v>020868</v>
      </c>
      <c r="C301" t="str">
        <f t="shared" si="18"/>
        <v>54196</v>
      </c>
      <c r="D301" t="s">
        <v>49</v>
      </c>
      <c r="E301" s="3">
        <v>650</v>
      </c>
      <c r="F301">
        <v>20151215</v>
      </c>
      <c r="G301" t="s">
        <v>50</v>
      </c>
      <c r="H301" t="s">
        <v>174</v>
      </c>
      <c r="I301">
        <v>0</v>
      </c>
      <c r="J301" t="s">
        <v>15</v>
      </c>
      <c r="K301" t="s">
        <v>52</v>
      </c>
      <c r="L301" t="s">
        <v>17</v>
      </c>
      <c r="M301" t="str">
        <f t="shared" si="16"/>
        <v>12</v>
      </c>
      <c r="N301" t="s">
        <v>12</v>
      </c>
    </row>
    <row r="302" spans="1:14" x14ac:dyDescent="0.25">
      <c r="A302">
        <v>20151215</v>
      </c>
      <c r="B302" t="str">
        <f t="shared" si="17"/>
        <v>020868</v>
      </c>
      <c r="C302" t="str">
        <f t="shared" si="18"/>
        <v>54196</v>
      </c>
      <c r="D302" t="s">
        <v>49</v>
      </c>
      <c r="E302" s="3">
        <v>575</v>
      </c>
      <c r="F302">
        <v>20151215</v>
      </c>
      <c r="G302" t="s">
        <v>178</v>
      </c>
      <c r="H302" t="s">
        <v>179</v>
      </c>
      <c r="I302">
        <v>0</v>
      </c>
      <c r="J302" t="s">
        <v>15</v>
      </c>
      <c r="K302" t="s">
        <v>180</v>
      </c>
      <c r="L302" t="s">
        <v>17</v>
      </c>
      <c r="M302" t="str">
        <f t="shared" si="16"/>
        <v>12</v>
      </c>
      <c r="N302" t="s">
        <v>12</v>
      </c>
    </row>
    <row r="303" spans="1:14" x14ac:dyDescent="0.25">
      <c r="A303">
        <v>20151215</v>
      </c>
      <c r="B303" t="str">
        <f t="shared" si="17"/>
        <v>020868</v>
      </c>
      <c r="C303" t="str">
        <f t="shared" si="18"/>
        <v>54196</v>
      </c>
      <c r="D303" t="s">
        <v>49</v>
      </c>
      <c r="E303" s="3">
        <v>2150</v>
      </c>
      <c r="F303">
        <v>20151215</v>
      </c>
      <c r="G303" t="s">
        <v>181</v>
      </c>
      <c r="H303" t="s">
        <v>177</v>
      </c>
      <c r="I303">
        <v>0</v>
      </c>
      <c r="J303" t="s">
        <v>15</v>
      </c>
      <c r="K303" t="s">
        <v>182</v>
      </c>
      <c r="L303" t="s">
        <v>17</v>
      </c>
      <c r="M303" t="str">
        <f t="shared" si="16"/>
        <v>12</v>
      </c>
      <c r="N303" t="s">
        <v>12</v>
      </c>
    </row>
    <row r="304" spans="1:14" x14ac:dyDescent="0.25">
      <c r="A304">
        <v>20151215</v>
      </c>
      <c r="B304" t="str">
        <f>"020869"</f>
        <v>020869</v>
      </c>
      <c r="C304" t="str">
        <f>"56220"</f>
        <v>56220</v>
      </c>
      <c r="D304" t="s">
        <v>121</v>
      </c>
      <c r="E304" s="3">
        <v>842</v>
      </c>
      <c r="F304">
        <v>20151215</v>
      </c>
      <c r="G304" t="s">
        <v>122</v>
      </c>
      <c r="H304" t="s">
        <v>172</v>
      </c>
      <c r="I304">
        <v>0</v>
      </c>
      <c r="J304" t="s">
        <v>15</v>
      </c>
      <c r="K304" t="s">
        <v>123</v>
      </c>
      <c r="L304" t="s">
        <v>17</v>
      </c>
      <c r="M304" t="str">
        <f t="shared" si="16"/>
        <v>12</v>
      </c>
      <c r="N304" t="s">
        <v>12</v>
      </c>
    </row>
    <row r="305" spans="1:14" x14ac:dyDescent="0.25">
      <c r="A305">
        <v>20151215</v>
      </c>
      <c r="B305" t="str">
        <f>"020870"</f>
        <v>020870</v>
      </c>
      <c r="C305" t="str">
        <f>"72601"</f>
        <v>72601</v>
      </c>
      <c r="D305" t="s">
        <v>53</v>
      </c>
      <c r="E305" s="3">
        <v>9258.01</v>
      </c>
      <c r="F305">
        <v>20151215</v>
      </c>
      <c r="G305" t="s">
        <v>54</v>
      </c>
      <c r="H305" t="s">
        <v>172</v>
      </c>
      <c r="I305">
        <v>0</v>
      </c>
      <c r="J305" t="s">
        <v>15</v>
      </c>
      <c r="K305" t="s">
        <v>55</v>
      </c>
      <c r="L305" t="s">
        <v>17</v>
      </c>
      <c r="M305" t="str">
        <f t="shared" si="16"/>
        <v>12</v>
      </c>
      <c r="N305" t="s">
        <v>12</v>
      </c>
    </row>
    <row r="306" spans="1:14" x14ac:dyDescent="0.25">
      <c r="A306">
        <v>20151215</v>
      </c>
      <c r="B306" t="str">
        <f>"020871"</f>
        <v>020871</v>
      </c>
      <c r="C306" t="str">
        <f>"75452"</f>
        <v>75452</v>
      </c>
      <c r="D306" t="s">
        <v>56</v>
      </c>
      <c r="E306" s="3">
        <v>9766.27</v>
      </c>
      <c r="F306">
        <v>20151215</v>
      </c>
      <c r="G306" t="s">
        <v>57</v>
      </c>
      <c r="H306" t="s">
        <v>171</v>
      </c>
      <c r="I306">
        <v>0</v>
      </c>
      <c r="J306" t="s">
        <v>15</v>
      </c>
      <c r="K306" t="s">
        <v>58</v>
      </c>
      <c r="L306" t="s">
        <v>17</v>
      </c>
      <c r="M306" t="str">
        <f t="shared" si="16"/>
        <v>12</v>
      </c>
      <c r="N306" t="s">
        <v>12</v>
      </c>
    </row>
    <row r="307" spans="1:14" x14ac:dyDescent="0.25">
      <c r="A307">
        <v>20151215</v>
      </c>
      <c r="B307" t="str">
        <f>"020871"</f>
        <v>020871</v>
      </c>
      <c r="C307" t="str">
        <f>"75452"</f>
        <v>75452</v>
      </c>
      <c r="D307" t="s">
        <v>56</v>
      </c>
      <c r="E307" s="3">
        <v>25</v>
      </c>
      <c r="F307">
        <v>20151215</v>
      </c>
      <c r="G307" t="s">
        <v>153</v>
      </c>
      <c r="H307" t="s">
        <v>183</v>
      </c>
      <c r="I307">
        <v>0</v>
      </c>
      <c r="J307" t="s">
        <v>15</v>
      </c>
      <c r="K307" t="s">
        <v>155</v>
      </c>
      <c r="L307" t="s">
        <v>17</v>
      </c>
      <c r="M307" t="str">
        <f t="shared" si="16"/>
        <v>12</v>
      </c>
      <c r="N307" t="s">
        <v>12</v>
      </c>
    </row>
    <row r="308" spans="1:14" x14ac:dyDescent="0.25">
      <c r="A308">
        <v>20151215</v>
      </c>
      <c r="B308" t="str">
        <f>"020872"</f>
        <v>020872</v>
      </c>
      <c r="C308" t="str">
        <f>"77030"</f>
        <v>77030</v>
      </c>
      <c r="D308" t="s">
        <v>156</v>
      </c>
      <c r="E308" s="3">
        <v>139.33000000000001</v>
      </c>
      <c r="F308">
        <v>20151215</v>
      </c>
      <c r="G308" t="s">
        <v>157</v>
      </c>
      <c r="H308" t="s">
        <v>172</v>
      </c>
      <c r="I308">
        <v>0</v>
      </c>
      <c r="J308" t="s">
        <v>15</v>
      </c>
      <c r="K308" t="s">
        <v>158</v>
      </c>
      <c r="L308" t="s">
        <v>17</v>
      </c>
      <c r="M308" t="str">
        <f t="shared" si="16"/>
        <v>12</v>
      </c>
      <c r="N308" t="s">
        <v>12</v>
      </c>
    </row>
    <row r="309" spans="1:14" x14ac:dyDescent="0.25">
      <c r="A309">
        <v>20151215</v>
      </c>
      <c r="B309" t="str">
        <f>"020873"</f>
        <v>020873</v>
      </c>
      <c r="C309" t="str">
        <f>"78428"</f>
        <v>78428</v>
      </c>
      <c r="D309" t="s">
        <v>124</v>
      </c>
      <c r="E309" s="3">
        <v>1213.18</v>
      </c>
      <c r="F309">
        <v>20151215</v>
      </c>
      <c r="G309" t="s">
        <v>125</v>
      </c>
      <c r="H309" t="s">
        <v>172</v>
      </c>
      <c r="I309">
        <v>0</v>
      </c>
      <c r="J309" t="s">
        <v>15</v>
      </c>
      <c r="K309" t="s">
        <v>126</v>
      </c>
      <c r="L309" t="s">
        <v>17</v>
      </c>
      <c r="M309" t="str">
        <f t="shared" si="16"/>
        <v>12</v>
      </c>
      <c r="N309" t="s">
        <v>12</v>
      </c>
    </row>
    <row r="310" spans="1:14" x14ac:dyDescent="0.25">
      <c r="A310">
        <v>20151215</v>
      </c>
      <c r="B310" t="str">
        <f>"020874"</f>
        <v>020874</v>
      </c>
      <c r="C310" t="str">
        <f>"79562"</f>
        <v>79562</v>
      </c>
      <c r="D310" t="s">
        <v>127</v>
      </c>
      <c r="E310" s="3">
        <v>341.95</v>
      </c>
      <c r="F310">
        <v>20151215</v>
      </c>
      <c r="G310" t="s">
        <v>128</v>
      </c>
      <c r="H310" t="s">
        <v>184</v>
      </c>
      <c r="I310">
        <v>0</v>
      </c>
      <c r="J310" t="s">
        <v>15</v>
      </c>
      <c r="K310" t="s">
        <v>130</v>
      </c>
      <c r="L310" t="s">
        <v>17</v>
      </c>
      <c r="M310" t="str">
        <f t="shared" si="16"/>
        <v>12</v>
      </c>
      <c r="N310" t="s">
        <v>12</v>
      </c>
    </row>
    <row r="311" spans="1:14" x14ac:dyDescent="0.25">
      <c r="A311">
        <v>20151215</v>
      </c>
      <c r="B311" t="str">
        <f>"020875"</f>
        <v>020875</v>
      </c>
      <c r="C311" t="str">
        <f>"79762"</f>
        <v>79762</v>
      </c>
      <c r="D311" t="s">
        <v>160</v>
      </c>
      <c r="E311" s="3">
        <v>390</v>
      </c>
      <c r="F311">
        <v>20151215</v>
      </c>
      <c r="G311" t="s">
        <v>161</v>
      </c>
      <c r="H311" t="s">
        <v>172</v>
      </c>
      <c r="I311">
        <v>0</v>
      </c>
      <c r="J311" t="s">
        <v>15</v>
      </c>
      <c r="K311" t="s">
        <v>162</v>
      </c>
      <c r="L311" t="s">
        <v>17</v>
      </c>
      <c r="M311" t="str">
        <f t="shared" si="16"/>
        <v>12</v>
      </c>
      <c r="N311" t="s">
        <v>12</v>
      </c>
    </row>
    <row r="312" spans="1:14" x14ac:dyDescent="0.25">
      <c r="A312">
        <v>20151215</v>
      </c>
      <c r="B312" t="str">
        <f>"020876"</f>
        <v>020876</v>
      </c>
      <c r="C312" t="str">
        <f>"81155"</f>
        <v>81155</v>
      </c>
      <c r="D312" t="s">
        <v>131</v>
      </c>
      <c r="E312" s="3">
        <v>280</v>
      </c>
      <c r="F312">
        <v>20151215</v>
      </c>
      <c r="G312" t="s">
        <v>132</v>
      </c>
      <c r="H312" t="s">
        <v>172</v>
      </c>
      <c r="I312">
        <v>0</v>
      </c>
      <c r="J312" t="s">
        <v>15</v>
      </c>
      <c r="K312" t="s">
        <v>133</v>
      </c>
      <c r="L312" t="s">
        <v>17</v>
      </c>
      <c r="M312" t="str">
        <f t="shared" si="16"/>
        <v>12</v>
      </c>
      <c r="N312" t="s">
        <v>12</v>
      </c>
    </row>
    <row r="313" spans="1:14" x14ac:dyDescent="0.25">
      <c r="A313">
        <v>20151215</v>
      </c>
      <c r="B313" t="str">
        <f>"020877"</f>
        <v>020877</v>
      </c>
      <c r="C313" t="str">
        <f>"81173"</f>
        <v>81173</v>
      </c>
      <c r="D313" t="s">
        <v>59</v>
      </c>
      <c r="E313" s="3">
        <v>400</v>
      </c>
      <c r="F313">
        <v>20151215</v>
      </c>
      <c r="G313" t="s">
        <v>60</v>
      </c>
      <c r="H313" t="s">
        <v>172</v>
      </c>
      <c r="I313">
        <v>0</v>
      </c>
      <c r="J313" t="s">
        <v>15</v>
      </c>
      <c r="K313" t="s">
        <v>61</v>
      </c>
      <c r="L313" t="s">
        <v>17</v>
      </c>
      <c r="M313" t="str">
        <f t="shared" si="16"/>
        <v>12</v>
      </c>
      <c r="N313" t="s">
        <v>12</v>
      </c>
    </row>
    <row r="314" spans="1:14" x14ac:dyDescent="0.25">
      <c r="A314">
        <v>20151215</v>
      </c>
      <c r="B314" t="str">
        <f>"020878"</f>
        <v>020878</v>
      </c>
      <c r="C314" t="str">
        <f>"81174"</f>
        <v>81174</v>
      </c>
      <c r="D314" t="s">
        <v>62</v>
      </c>
      <c r="E314" s="3">
        <v>1610</v>
      </c>
      <c r="F314">
        <v>20151215</v>
      </c>
      <c r="G314" t="s">
        <v>63</v>
      </c>
      <c r="H314" t="s">
        <v>172</v>
      </c>
      <c r="I314">
        <v>0</v>
      </c>
      <c r="J314" t="s">
        <v>15</v>
      </c>
      <c r="K314" t="s">
        <v>64</v>
      </c>
      <c r="L314" t="s">
        <v>17</v>
      </c>
      <c r="M314" t="str">
        <f t="shared" si="16"/>
        <v>12</v>
      </c>
      <c r="N314" t="s">
        <v>12</v>
      </c>
    </row>
    <row r="315" spans="1:14" x14ac:dyDescent="0.25">
      <c r="A315">
        <v>20151215</v>
      </c>
      <c r="B315" t="str">
        <f>"020879"</f>
        <v>020879</v>
      </c>
      <c r="C315" t="str">
        <f>"81177"</f>
        <v>81177</v>
      </c>
      <c r="D315" t="s">
        <v>65</v>
      </c>
      <c r="E315" s="3">
        <v>16.73</v>
      </c>
      <c r="F315">
        <v>20151215</v>
      </c>
      <c r="G315" t="s">
        <v>66</v>
      </c>
      <c r="H315" t="s">
        <v>172</v>
      </c>
      <c r="I315">
        <v>0</v>
      </c>
      <c r="J315" t="s">
        <v>15</v>
      </c>
      <c r="K315" t="s">
        <v>67</v>
      </c>
      <c r="L315" t="s">
        <v>17</v>
      </c>
      <c r="M315" t="str">
        <f t="shared" ref="M315:M335" si="19">"12"</f>
        <v>12</v>
      </c>
      <c r="N315" t="s">
        <v>12</v>
      </c>
    </row>
    <row r="316" spans="1:14" x14ac:dyDescent="0.25">
      <c r="A316">
        <v>20151215</v>
      </c>
      <c r="B316" t="str">
        <f>"020879"</f>
        <v>020879</v>
      </c>
      <c r="C316" t="str">
        <f>"81177"</f>
        <v>81177</v>
      </c>
      <c r="D316" t="s">
        <v>65</v>
      </c>
      <c r="E316" s="3">
        <v>458</v>
      </c>
      <c r="F316">
        <v>20151215</v>
      </c>
      <c r="G316" t="s">
        <v>134</v>
      </c>
      <c r="H316" t="s">
        <v>172</v>
      </c>
      <c r="I316">
        <v>0</v>
      </c>
      <c r="J316" t="s">
        <v>15</v>
      </c>
      <c r="K316" t="s">
        <v>135</v>
      </c>
      <c r="L316" t="s">
        <v>17</v>
      </c>
      <c r="M316" t="str">
        <f t="shared" si="19"/>
        <v>12</v>
      </c>
      <c r="N316" t="s">
        <v>12</v>
      </c>
    </row>
    <row r="317" spans="1:14" x14ac:dyDescent="0.25">
      <c r="A317">
        <v>20151215</v>
      </c>
      <c r="B317" t="str">
        <f>"020880"</f>
        <v>020880</v>
      </c>
      <c r="C317" t="str">
        <f>"81753"</f>
        <v>81753</v>
      </c>
      <c r="D317" t="s">
        <v>68</v>
      </c>
      <c r="E317" s="3">
        <v>818.4</v>
      </c>
      <c r="F317">
        <v>20151215</v>
      </c>
      <c r="G317" t="s">
        <v>69</v>
      </c>
      <c r="H317" t="s">
        <v>172</v>
      </c>
      <c r="I317">
        <v>0</v>
      </c>
      <c r="J317" t="s">
        <v>15</v>
      </c>
      <c r="K317" t="s">
        <v>68</v>
      </c>
      <c r="L317" t="s">
        <v>17</v>
      </c>
      <c r="M317" t="str">
        <f t="shared" si="19"/>
        <v>12</v>
      </c>
      <c r="N317" t="s">
        <v>12</v>
      </c>
    </row>
    <row r="318" spans="1:14" x14ac:dyDescent="0.25">
      <c r="A318">
        <v>20151218</v>
      </c>
      <c r="B318" t="str">
        <f>"020926"</f>
        <v>020926</v>
      </c>
      <c r="C318" t="str">
        <f>"04831"</f>
        <v>04831</v>
      </c>
      <c r="D318" t="s">
        <v>11</v>
      </c>
      <c r="E318" s="3">
        <v>56.1</v>
      </c>
      <c r="F318">
        <v>20151218</v>
      </c>
      <c r="G318" t="s">
        <v>13</v>
      </c>
      <c r="H318" t="s">
        <v>171</v>
      </c>
      <c r="I318">
        <v>0</v>
      </c>
      <c r="J318" t="s">
        <v>15</v>
      </c>
      <c r="K318" t="s">
        <v>16</v>
      </c>
      <c r="L318" t="s">
        <v>17</v>
      </c>
      <c r="M318" t="str">
        <f t="shared" si="19"/>
        <v>12</v>
      </c>
      <c r="N318" t="s">
        <v>12</v>
      </c>
    </row>
    <row r="319" spans="1:14" x14ac:dyDescent="0.25">
      <c r="A319">
        <v>20151218</v>
      </c>
      <c r="B319" t="str">
        <f>"020927"</f>
        <v>020927</v>
      </c>
      <c r="C319" t="str">
        <f>"04905"</f>
        <v>04905</v>
      </c>
      <c r="D319" t="s">
        <v>18</v>
      </c>
      <c r="E319" s="3">
        <v>33.85</v>
      </c>
      <c r="F319">
        <v>20151218</v>
      </c>
      <c r="G319" t="s">
        <v>19</v>
      </c>
      <c r="H319" t="s">
        <v>172</v>
      </c>
      <c r="I319">
        <v>0</v>
      </c>
      <c r="J319" t="s">
        <v>15</v>
      </c>
      <c r="K319" t="s">
        <v>21</v>
      </c>
      <c r="L319" t="s">
        <v>17</v>
      </c>
      <c r="M319" t="str">
        <f t="shared" si="19"/>
        <v>12</v>
      </c>
      <c r="N319" t="s">
        <v>12</v>
      </c>
    </row>
    <row r="320" spans="1:14" x14ac:dyDescent="0.25">
      <c r="A320">
        <v>20151218</v>
      </c>
      <c r="B320" t="str">
        <f>"020928"</f>
        <v>020928</v>
      </c>
      <c r="C320" t="str">
        <f>"04987"</f>
        <v>04987</v>
      </c>
      <c r="D320" t="s">
        <v>144</v>
      </c>
      <c r="E320" s="3">
        <v>27.74</v>
      </c>
      <c r="F320">
        <v>20151218</v>
      </c>
      <c r="G320" t="s">
        <v>35</v>
      </c>
      <c r="H320" t="s">
        <v>171</v>
      </c>
      <c r="I320">
        <v>0</v>
      </c>
      <c r="J320" t="s">
        <v>15</v>
      </c>
      <c r="K320" t="s">
        <v>36</v>
      </c>
      <c r="L320" t="s">
        <v>17</v>
      </c>
      <c r="M320" t="str">
        <f t="shared" si="19"/>
        <v>12</v>
      </c>
      <c r="N320" t="s">
        <v>12</v>
      </c>
    </row>
    <row r="321" spans="1:14" x14ac:dyDescent="0.25">
      <c r="A321">
        <v>20151218</v>
      </c>
      <c r="B321" t="str">
        <f>"020929"</f>
        <v>020929</v>
      </c>
      <c r="C321" t="str">
        <f>"07710"</f>
        <v>07710</v>
      </c>
      <c r="D321" t="s">
        <v>22</v>
      </c>
      <c r="E321" s="3">
        <v>6.67</v>
      </c>
      <c r="F321">
        <v>20151218</v>
      </c>
      <c r="G321" t="s">
        <v>23</v>
      </c>
      <c r="H321" t="s">
        <v>172</v>
      </c>
      <c r="I321">
        <v>0</v>
      </c>
      <c r="J321" t="s">
        <v>15</v>
      </c>
      <c r="K321" t="s">
        <v>24</v>
      </c>
      <c r="L321" t="s">
        <v>17</v>
      </c>
      <c r="M321" t="str">
        <f t="shared" si="19"/>
        <v>12</v>
      </c>
      <c r="N321" t="s">
        <v>12</v>
      </c>
    </row>
    <row r="322" spans="1:14" x14ac:dyDescent="0.25">
      <c r="A322">
        <v>20151218</v>
      </c>
      <c r="B322" t="str">
        <f>"020930"</f>
        <v>020930</v>
      </c>
      <c r="C322" t="str">
        <f>"07880"</f>
        <v>07880</v>
      </c>
      <c r="D322" t="s">
        <v>25</v>
      </c>
      <c r="E322" s="3">
        <v>489.91</v>
      </c>
      <c r="F322">
        <v>20151218</v>
      </c>
      <c r="G322" t="s">
        <v>26</v>
      </c>
      <c r="H322" t="s">
        <v>172</v>
      </c>
      <c r="I322">
        <v>0</v>
      </c>
      <c r="J322" t="s">
        <v>15</v>
      </c>
      <c r="K322" t="s">
        <v>27</v>
      </c>
      <c r="L322" t="s">
        <v>17</v>
      </c>
      <c r="M322" t="str">
        <f t="shared" si="19"/>
        <v>12</v>
      </c>
      <c r="N322" t="s">
        <v>12</v>
      </c>
    </row>
    <row r="323" spans="1:14" x14ac:dyDescent="0.25">
      <c r="A323">
        <v>20151218</v>
      </c>
      <c r="B323" t="str">
        <f>"020931"</f>
        <v>020931</v>
      </c>
      <c r="C323" t="str">
        <f>"11211"</f>
        <v>11211</v>
      </c>
      <c r="D323" t="s">
        <v>28</v>
      </c>
      <c r="E323" s="3">
        <v>139.93</v>
      </c>
      <c r="F323">
        <v>20151218</v>
      </c>
      <c r="G323" t="s">
        <v>29</v>
      </c>
      <c r="H323" t="s">
        <v>171</v>
      </c>
      <c r="I323">
        <v>0</v>
      </c>
      <c r="J323" t="s">
        <v>15</v>
      </c>
      <c r="K323" t="s">
        <v>30</v>
      </c>
      <c r="L323" t="s">
        <v>17</v>
      </c>
      <c r="M323" t="str">
        <f t="shared" si="19"/>
        <v>12</v>
      </c>
      <c r="N323" t="s">
        <v>12</v>
      </c>
    </row>
    <row r="324" spans="1:14" x14ac:dyDescent="0.25">
      <c r="A324">
        <v>20151218</v>
      </c>
      <c r="B324" t="str">
        <f>"020932"</f>
        <v>020932</v>
      </c>
      <c r="C324" t="str">
        <f>"14177"</f>
        <v>14177</v>
      </c>
      <c r="D324" t="s">
        <v>31</v>
      </c>
      <c r="E324" s="3">
        <v>25</v>
      </c>
      <c r="F324">
        <v>20151218</v>
      </c>
      <c r="G324" t="s">
        <v>32</v>
      </c>
      <c r="H324" t="s">
        <v>172</v>
      </c>
      <c r="I324">
        <v>0</v>
      </c>
      <c r="J324" t="s">
        <v>15</v>
      </c>
      <c r="K324" t="s">
        <v>33</v>
      </c>
      <c r="L324" t="s">
        <v>17</v>
      </c>
      <c r="M324" t="str">
        <f t="shared" si="19"/>
        <v>12</v>
      </c>
      <c r="N324" t="s">
        <v>12</v>
      </c>
    </row>
    <row r="325" spans="1:14" x14ac:dyDescent="0.25">
      <c r="A325">
        <v>20151218</v>
      </c>
      <c r="B325" t="str">
        <f>"020933"</f>
        <v>020933</v>
      </c>
      <c r="C325" t="str">
        <f>"24960"</f>
        <v>24960</v>
      </c>
      <c r="D325" t="s">
        <v>39</v>
      </c>
      <c r="E325" s="3">
        <v>283.66000000000003</v>
      </c>
      <c r="F325">
        <v>20151218</v>
      </c>
      <c r="G325" t="s">
        <v>40</v>
      </c>
      <c r="H325" t="s">
        <v>173</v>
      </c>
      <c r="I325">
        <v>0</v>
      </c>
      <c r="J325" t="s">
        <v>15</v>
      </c>
      <c r="K325" t="s">
        <v>42</v>
      </c>
      <c r="L325" t="s">
        <v>17</v>
      </c>
      <c r="M325" t="str">
        <f t="shared" si="19"/>
        <v>12</v>
      </c>
      <c r="N325" t="s">
        <v>12</v>
      </c>
    </row>
    <row r="326" spans="1:14" x14ac:dyDescent="0.25">
      <c r="A326">
        <v>20151218</v>
      </c>
      <c r="B326" t="str">
        <f>"020934"</f>
        <v>020934</v>
      </c>
      <c r="C326" t="str">
        <f>"42245"</f>
        <v>42245</v>
      </c>
      <c r="D326" t="s">
        <v>43</v>
      </c>
      <c r="E326" s="3">
        <v>321.48</v>
      </c>
      <c r="F326">
        <v>20151218</v>
      </c>
      <c r="G326" t="s">
        <v>44</v>
      </c>
      <c r="H326" t="s">
        <v>171</v>
      </c>
      <c r="I326">
        <v>0</v>
      </c>
      <c r="J326" t="s">
        <v>15</v>
      </c>
      <c r="K326" t="s">
        <v>45</v>
      </c>
      <c r="L326" t="s">
        <v>17</v>
      </c>
      <c r="M326" t="str">
        <f t="shared" si="19"/>
        <v>12</v>
      </c>
      <c r="N326" t="s">
        <v>12</v>
      </c>
    </row>
    <row r="327" spans="1:14" x14ac:dyDescent="0.25">
      <c r="A327">
        <v>20151218</v>
      </c>
      <c r="B327" t="str">
        <f>"020935"</f>
        <v>020935</v>
      </c>
      <c r="C327" t="str">
        <f>"48947"</f>
        <v>48947</v>
      </c>
      <c r="D327" t="s">
        <v>46</v>
      </c>
      <c r="E327" s="3">
        <v>25.38</v>
      </c>
      <c r="F327">
        <v>20151218</v>
      </c>
      <c r="G327" t="s">
        <v>47</v>
      </c>
      <c r="H327" t="s">
        <v>173</v>
      </c>
      <c r="I327">
        <v>0</v>
      </c>
      <c r="J327" t="s">
        <v>15</v>
      </c>
      <c r="K327" t="s">
        <v>48</v>
      </c>
      <c r="L327" t="s">
        <v>17</v>
      </c>
      <c r="M327" t="str">
        <f t="shared" si="19"/>
        <v>12</v>
      </c>
      <c r="N327" t="s">
        <v>12</v>
      </c>
    </row>
    <row r="328" spans="1:14" x14ac:dyDescent="0.25">
      <c r="A328">
        <v>20151218</v>
      </c>
      <c r="B328" t="str">
        <f>"020936"</f>
        <v>020936</v>
      </c>
      <c r="C328" t="str">
        <f>"54196"</f>
        <v>54196</v>
      </c>
      <c r="D328" t="s">
        <v>49</v>
      </c>
      <c r="E328" s="3">
        <v>50</v>
      </c>
      <c r="F328">
        <v>20151218</v>
      </c>
      <c r="G328" t="s">
        <v>50</v>
      </c>
      <c r="H328" t="s">
        <v>174</v>
      </c>
      <c r="I328">
        <v>0</v>
      </c>
      <c r="J328" t="s">
        <v>15</v>
      </c>
      <c r="K328" t="s">
        <v>52</v>
      </c>
      <c r="L328" t="s">
        <v>17</v>
      </c>
      <c r="M328" t="str">
        <f t="shared" si="19"/>
        <v>12</v>
      </c>
      <c r="N328" t="s">
        <v>12</v>
      </c>
    </row>
    <row r="329" spans="1:14" x14ac:dyDescent="0.25">
      <c r="A329">
        <v>20151218</v>
      </c>
      <c r="B329" t="str">
        <f>"020937"</f>
        <v>020937</v>
      </c>
      <c r="C329" t="str">
        <f>"72601"</f>
        <v>72601</v>
      </c>
      <c r="D329" t="s">
        <v>53</v>
      </c>
      <c r="E329" s="3">
        <v>248.49</v>
      </c>
      <c r="F329">
        <v>20151218</v>
      </c>
      <c r="G329" t="s">
        <v>54</v>
      </c>
      <c r="H329" t="s">
        <v>172</v>
      </c>
      <c r="I329">
        <v>0</v>
      </c>
      <c r="J329" t="s">
        <v>15</v>
      </c>
      <c r="K329" t="s">
        <v>55</v>
      </c>
      <c r="L329" t="s">
        <v>17</v>
      </c>
      <c r="M329" t="str">
        <f t="shared" si="19"/>
        <v>12</v>
      </c>
      <c r="N329" t="s">
        <v>12</v>
      </c>
    </row>
    <row r="330" spans="1:14" x14ac:dyDescent="0.25">
      <c r="A330">
        <v>20151218</v>
      </c>
      <c r="B330" t="str">
        <f>"020938"</f>
        <v>020938</v>
      </c>
      <c r="C330" t="str">
        <f>"75452"</f>
        <v>75452</v>
      </c>
      <c r="D330" t="s">
        <v>56</v>
      </c>
      <c r="E330" s="3">
        <v>370.84</v>
      </c>
      <c r="F330">
        <v>20151218</v>
      </c>
      <c r="G330" t="s">
        <v>57</v>
      </c>
      <c r="H330" t="s">
        <v>171</v>
      </c>
      <c r="I330">
        <v>0</v>
      </c>
      <c r="J330" t="s">
        <v>15</v>
      </c>
      <c r="K330" t="s">
        <v>58</v>
      </c>
      <c r="L330" t="s">
        <v>17</v>
      </c>
      <c r="M330" t="str">
        <f t="shared" si="19"/>
        <v>12</v>
      </c>
      <c r="N330" t="s">
        <v>12</v>
      </c>
    </row>
    <row r="331" spans="1:14" x14ac:dyDescent="0.25">
      <c r="A331">
        <v>20151218</v>
      </c>
      <c r="B331" t="str">
        <f>"020939"</f>
        <v>020939</v>
      </c>
      <c r="C331" t="str">
        <f>"81173"</f>
        <v>81173</v>
      </c>
      <c r="D331" t="s">
        <v>59</v>
      </c>
      <c r="E331" s="3">
        <v>25</v>
      </c>
      <c r="F331">
        <v>20151218</v>
      </c>
      <c r="G331" t="s">
        <v>60</v>
      </c>
      <c r="H331" t="s">
        <v>172</v>
      </c>
      <c r="I331">
        <v>0</v>
      </c>
      <c r="J331" t="s">
        <v>15</v>
      </c>
      <c r="K331" t="s">
        <v>61</v>
      </c>
      <c r="L331" t="s">
        <v>17</v>
      </c>
      <c r="M331" t="str">
        <f t="shared" si="19"/>
        <v>12</v>
      </c>
      <c r="N331" t="s">
        <v>12</v>
      </c>
    </row>
    <row r="332" spans="1:14" x14ac:dyDescent="0.25">
      <c r="A332">
        <v>20151218</v>
      </c>
      <c r="B332" t="str">
        <f>"020940"</f>
        <v>020940</v>
      </c>
      <c r="C332" t="str">
        <f>"81174"</f>
        <v>81174</v>
      </c>
      <c r="D332" t="s">
        <v>62</v>
      </c>
      <c r="E332" s="3">
        <v>60</v>
      </c>
      <c r="F332">
        <v>20151218</v>
      </c>
      <c r="G332" t="s">
        <v>63</v>
      </c>
      <c r="H332" t="s">
        <v>172</v>
      </c>
      <c r="I332">
        <v>0</v>
      </c>
      <c r="J332" t="s">
        <v>15</v>
      </c>
      <c r="K332" t="s">
        <v>64</v>
      </c>
      <c r="L332" t="s">
        <v>17</v>
      </c>
      <c r="M332" t="str">
        <f t="shared" si="19"/>
        <v>12</v>
      </c>
      <c r="N332" t="s">
        <v>12</v>
      </c>
    </row>
    <row r="333" spans="1:14" x14ac:dyDescent="0.25">
      <c r="A333">
        <v>20151218</v>
      </c>
      <c r="B333" t="str">
        <f>"020941"</f>
        <v>020941</v>
      </c>
      <c r="C333" t="str">
        <f>"81177"</f>
        <v>81177</v>
      </c>
      <c r="D333" t="s">
        <v>65</v>
      </c>
      <c r="E333" s="3">
        <v>33.46</v>
      </c>
      <c r="F333">
        <v>20151218</v>
      </c>
      <c r="G333" t="s">
        <v>66</v>
      </c>
      <c r="H333" t="s">
        <v>172</v>
      </c>
      <c r="I333">
        <v>0</v>
      </c>
      <c r="J333" t="s">
        <v>15</v>
      </c>
      <c r="K333" t="s">
        <v>67</v>
      </c>
      <c r="L333" t="s">
        <v>17</v>
      </c>
      <c r="M333" t="str">
        <f t="shared" si="19"/>
        <v>12</v>
      </c>
      <c r="N333" t="s">
        <v>12</v>
      </c>
    </row>
    <row r="334" spans="1:14" x14ac:dyDescent="0.25">
      <c r="A334">
        <v>20151218</v>
      </c>
      <c r="B334" t="str">
        <f>"020942"</f>
        <v>020942</v>
      </c>
      <c r="C334" t="str">
        <f>"81753"</f>
        <v>81753</v>
      </c>
      <c r="D334" t="s">
        <v>68</v>
      </c>
      <c r="E334" s="3">
        <v>36.25</v>
      </c>
      <c r="F334">
        <v>20151218</v>
      </c>
      <c r="G334" t="s">
        <v>69</v>
      </c>
      <c r="H334" t="s">
        <v>172</v>
      </c>
      <c r="I334">
        <v>0</v>
      </c>
      <c r="J334" t="s">
        <v>15</v>
      </c>
      <c r="K334" t="s">
        <v>68</v>
      </c>
      <c r="L334" t="s">
        <v>17</v>
      </c>
      <c r="M334" t="str">
        <f t="shared" si="19"/>
        <v>12</v>
      </c>
      <c r="N334" t="s">
        <v>12</v>
      </c>
    </row>
    <row r="335" spans="1:14" x14ac:dyDescent="0.25">
      <c r="A335">
        <v>20151231</v>
      </c>
      <c r="B335" t="str">
        <f>"021000"</f>
        <v>021000</v>
      </c>
      <c r="C335" t="str">
        <f>"07880"</f>
        <v>07880</v>
      </c>
      <c r="D335" t="s">
        <v>25</v>
      </c>
      <c r="E335" s="3">
        <v>489.91</v>
      </c>
      <c r="F335">
        <v>20151231</v>
      </c>
      <c r="G335" t="s">
        <v>26</v>
      </c>
      <c r="H335" t="s">
        <v>172</v>
      </c>
      <c r="I335">
        <v>0</v>
      </c>
      <c r="J335" t="s">
        <v>15</v>
      </c>
      <c r="K335" t="s">
        <v>27</v>
      </c>
      <c r="L335" t="s">
        <v>17</v>
      </c>
      <c r="M335" t="str">
        <f t="shared" si="19"/>
        <v>12</v>
      </c>
      <c r="N335" t="s">
        <v>12</v>
      </c>
    </row>
    <row r="336" spans="1:14" x14ac:dyDescent="0.25">
      <c r="A336">
        <v>20160104</v>
      </c>
      <c r="B336" t="str">
        <f>"021001"</f>
        <v>021001</v>
      </c>
      <c r="C336" t="str">
        <f>"99999"</f>
        <v>99999</v>
      </c>
      <c r="D336" t="s">
        <v>175</v>
      </c>
      <c r="E336" s="3">
        <v>25.8</v>
      </c>
      <c r="F336">
        <v>20160105</v>
      </c>
      <c r="G336" t="s">
        <v>44</v>
      </c>
      <c r="H336" t="s">
        <v>185</v>
      </c>
      <c r="I336">
        <v>0</v>
      </c>
      <c r="J336" t="s">
        <v>15</v>
      </c>
      <c r="K336" t="s">
        <v>45</v>
      </c>
      <c r="L336" t="s">
        <v>17</v>
      </c>
      <c r="M336" t="str">
        <f t="shared" ref="M336:M367" si="20">"01"</f>
        <v>01</v>
      </c>
      <c r="N336" t="s">
        <v>12</v>
      </c>
    </row>
    <row r="337" spans="1:14" x14ac:dyDescent="0.25">
      <c r="A337">
        <v>20160104</v>
      </c>
      <c r="B337" t="str">
        <f>"021002"</f>
        <v>021002</v>
      </c>
      <c r="C337" t="str">
        <f>"99999"</f>
        <v>99999</v>
      </c>
      <c r="D337" t="s">
        <v>175</v>
      </c>
      <c r="E337" s="3">
        <v>225</v>
      </c>
      <c r="F337">
        <v>20160105</v>
      </c>
      <c r="G337" t="s">
        <v>186</v>
      </c>
      <c r="H337" t="s">
        <v>187</v>
      </c>
      <c r="I337">
        <v>0</v>
      </c>
      <c r="J337" t="s">
        <v>15</v>
      </c>
      <c r="K337" t="s">
        <v>188</v>
      </c>
      <c r="L337" t="s">
        <v>17</v>
      </c>
      <c r="M337" t="str">
        <f t="shared" si="20"/>
        <v>01</v>
      </c>
      <c r="N337" t="s">
        <v>12</v>
      </c>
    </row>
    <row r="338" spans="1:14" x14ac:dyDescent="0.25">
      <c r="A338">
        <v>20160122</v>
      </c>
      <c r="B338" t="str">
        <f>"021004"</f>
        <v>021004</v>
      </c>
      <c r="C338" t="str">
        <f>"54196"</f>
        <v>54196</v>
      </c>
      <c r="D338" t="s">
        <v>49</v>
      </c>
      <c r="E338" s="3">
        <v>3000</v>
      </c>
      <c r="F338">
        <v>20160126</v>
      </c>
      <c r="G338" t="s">
        <v>181</v>
      </c>
      <c r="H338" t="s">
        <v>189</v>
      </c>
      <c r="I338">
        <v>0</v>
      </c>
      <c r="J338" t="s">
        <v>15</v>
      </c>
      <c r="K338" t="s">
        <v>182</v>
      </c>
      <c r="L338" t="s">
        <v>17</v>
      </c>
      <c r="M338" t="str">
        <f t="shared" si="20"/>
        <v>01</v>
      </c>
      <c r="N338" t="s">
        <v>12</v>
      </c>
    </row>
    <row r="339" spans="1:14" x14ac:dyDescent="0.25">
      <c r="A339">
        <v>20160115</v>
      </c>
      <c r="B339" t="str">
        <f>"021030"</f>
        <v>021030</v>
      </c>
      <c r="C339" t="str">
        <f>"04831"</f>
        <v>04831</v>
      </c>
      <c r="D339" t="s">
        <v>11</v>
      </c>
      <c r="E339" s="3">
        <v>56.1</v>
      </c>
      <c r="F339">
        <v>20160115</v>
      </c>
      <c r="G339" t="s">
        <v>13</v>
      </c>
      <c r="H339" t="s">
        <v>190</v>
      </c>
      <c r="I339">
        <v>0</v>
      </c>
      <c r="J339" t="s">
        <v>15</v>
      </c>
      <c r="K339" t="s">
        <v>16</v>
      </c>
      <c r="L339" t="s">
        <v>17</v>
      </c>
      <c r="M339" t="str">
        <f t="shared" si="20"/>
        <v>01</v>
      </c>
      <c r="N339" t="s">
        <v>12</v>
      </c>
    </row>
    <row r="340" spans="1:14" x14ac:dyDescent="0.25">
      <c r="A340">
        <v>20160115</v>
      </c>
      <c r="B340" t="str">
        <f>"021031"</f>
        <v>021031</v>
      </c>
      <c r="C340" t="str">
        <f>"04987"</f>
        <v>04987</v>
      </c>
      <c r="D340" t="s">
        <v>144</v>
      </c>
      <c r="E340" s="3">
        <v>27.74</v>
      </c>
      <c r="F340">
        <v>20160115</v>
      </c>
      <c r="G340" t="s">
        <v>35</v>
      </c>
      <c r="H340" t="s">
        <v>190</v>
      </c>
      <c r="I340">
        <v>0</v>
      </c>
      <c r="J340" t="s">
        <v>15</v>
      </c>
      <c r="K340" t="s">
        <v>36</v>
      </c>
      <c r="L340" t="s">
        <v>17</v>
      </c>
      <c r="M340" t="str">
        <f t="shared" si="20"/>
        <v>01</v>
      </c>
      <c r="N340" t="s">
        <v>12</v>
      </c>
    </row>
    <row r="341" spans="1:14" x14ac:dyDescent="0.25">
      <c r="A341">
        <v>20160115</v>
      </c>
      <c r="B341" t="str">
        <f>"021032"</f>
        <v>021032</v>
      </c>
      <c r="C341" t="str">
        <f>"07710"</f>
        <v>07710</v>
      </c>
      <c r="D341" t="s">
        <v>22</v>
      </c>
      <c r="E341" s="3">
        <v>6.67</v>
      </c>
      <c r="F341">
        <v>20160115</v>
      </c>
      <c r="G341" t="s">
        <v>23</v>
      </c>
      <c r="H341" t="s">
        <v>191</v>
      </c>
      <c r="I341">
        <v>0</v>
      </c>
      <c r="J341" t="s">
        <v>15</v>
      </c>
      <c r="K341" t="s">
        <v>24</v>
      </c>
      <c r="L341" t="s">
        <v>17</v>
      </c>
      <c r="M341" t="str">
        <f t="shared" si="20"/>
        <v>01</v>
      </c>
      <c r="N341" t="s">
        <v>12</v>
      </c>
    </row>
    <row r="342" spans="1:14" x14ac:dyDescent="0.25">
      <c r="A342">
        <v>20160115</v>
      </c>
      <c r="B342" t="str">
        <f>"021033"</f>
        <v>021033</v>
      </c>
      <c r="C342" t="str">
        <f>"07880"</f>
        <v>07880</v>
      </c>
      <c r="D342" t="s">
        <v>25</v>
      </c>
      <c r="E342" s="3">
        <v>516.76</v>
      </c>
      <c r="F342">
        <v>20160115</v>
      </c>
      <c r="G342" t="s">
        <v>26</v>
      </c>
      <c r="H342" t="s">
        <v>191</v>
      </c>
      <c r="I342">
        <v>0</v>
      </c>
      <c r="J342" t="s">
        <v>15</v>
      </c>
      <c r="K342" t="s">
        <v>27</v>
      </c>
      <c r="L342" t="s">
        <v>17</v>
      </c>
      <c r="M342" t="str">
        <f t="shared" si="20"/>
        <v>01</v>
      </c>
      <c r="N342" t="s">
        <v>12</v>
      </c>
    </row>
    <row r="343" spans="1:14" x14ac:dyDescent="0.25">
      <c r="A343">
        <v>20160115</v>
      </c>
      <c r="B343" t="str">
        <f>"021034"</f>
        <v>021034</v>
      </c>
      <c r="C343" t="str">
        <f>"11211"</f>
        <v>11211</v>
      </c>
      <c r="D343" t="s">
        <v>28</v>
      </c>
      <c r="E343" s="3">
        <v>146.15</v>
      </c>
      <c r="F343">
        <v>20160115</v>
      </c>
      <c r="G343" t="s">
        <v>29</v>
      </c>
      <c r="H343" t="s">
        <v>190</v>
      </c>
      <c r="I343">
        <v>0</v>
      </c>
      <c r="J343" t="s">
        <v>15</v>
      </c>
      <c r="K343" t="s">
        <v>30</v>
      </c>
      <c r="L343" t="s">
        <v>17</v>
      </c>
      <c r="M343" t="str">
        <f t="shared" si="20"/>
        <v>01</v>
      </c>
      <c r="N343" t="s">
        <v>12</v>
      </c>
    </row>
    <row r="344" spans="1:14" x14ac:dyDescent="0.25">
      <c r="A344">
        <v>20160115</v>
      </c>
      <c r="B344" t="str">
        <f>"021035"</f>
        <v>021035</v>
      </c>
      <c r="C344" t="str">
        <f>"14177"</f>
        <v>14177</v>
      </c>
      <c r="D344" t="s">
        <v>31</v>
      </c>
      <c r="E344" s="3">
        <v>25</v>
      </c>
      <c r="F344">
        <v>20160115</v>
      </c>
      <c r="G344" t="s">
        <v>32</v>
      </c>
      <c r="H344" t="s">
        <v>191</v>
      </c>
      <c r="I344">
        <v>0</v>
      </c>
      <c r="J344" t="s">
        <v>15</v>
      </c>
      <c r="K344" t="s">
        <v>33</v>
      </c>
      <c r="L344" t="s">
        <v>17</v>
      </c>
      <c r="M344" t="str">
        <f t="shared" si="20"/>
        <v>01</v>
      </c>
      <c r="N344" t="s">
        <v>12</v>
      </c>
    </row>
    <row r="345" spans="1:14" x14ac:dyDescent="0.25">
      <c r="A345">
        <v>20160115</v>
      </c>
      <c r="B345" t="str">
        <f>"021036"</f>
        <v>021036</v>
      </c>
      <c r="C345" t="str">
        <f>"24960"</f>
        <v>24960</v>
      </c>
      <c r="D345" t="s">
        <v>39</v>
      </c>
      <c r="E345" s="3">
        <v>283.66000000000003</v>
      </c>
      <c r="F345">
        <v>20160115</v>
      </c>
      <c r="G345" t="s">
        <v>40</v>
      </c>
      <c r="H345" t="s">
        <v>192</v>
      </c>
      <c r="I345">
        <v>0</v>
      </c>
      <c r="J345" t="s">
        <v>15</v>
      </c>
      <c r="K345" t="s">
        <v>42</v>
      </c>
      <c r="L345" t="s">
        <v>17</v>
      </c>
      <c r="M345" t="str">
        <f t="shared" si="20"/>
        <v>01</v>
      </c>
      <c r="N345" t="s">
        <v>12</v>
      </c>
    </row>
    <row r="346" spans="1:14" x14ac:dyDescent="0.25">
      <c r="A346">
        <v>20160115</v>
      </c>
      <c r="B346" t="str">
        <f>"021037"</f>
        <v>021037</v>
      </c>
      <c r="C346" t="str">
        <f>"42245"</f>
        <v>42245</v>
      </c>
      <c r="D346" t="s">
        <v>43</v>
      </c>
      <c r="E346" s="3">
        <v>363.76</v>
      </c>
      <c r="F346">
        <v>20160115</v>
      </c>
      <c r="G346" t="s">
        <v>44</v>
      </c>
      <c r="H346" t="s">
        <v>190</v>
      </c>
      <c r="I346">
        <v>0</v>
      </c>
      <c r="J346" t="s">
        <v>15</v>
      </c>
      <c r="K346" t="s">
        <v>45</v>
      </c>
      <c r="L346" t="s">
        <v>17</v>
      </c>
      <c r="M346" t="str">
        <f t="shared" si="20"/>
        <v>01</v>
      </c>
      <c r="N346" t="s">
        <v>12</v>
      </c>
    </row>
    <row r="347" spans="1:14" x14ac:dyDescent="0.25">
      <c r="A347">
        <v>20160115</v>
      </c>
      <c r="B347" t="str">
        <f>"021038"</f>
        <v>021038</v>
      </c>
      <c r="C347" t="str">
        <f>"48947"</f>
        <v>48947</v>
      </c>
      <c r="D347" t="s">
        <v>46</v>
      </c>
      <c r="E347" s="3">
        <v>25.38</v>
      </c>
      <c r="F347">
        <v>20160115</v>
      </c>
      <c r="G347" t="s">
        <v>47</v>
      </c>
      <c r="H347" t="s">
        <v>192</v>
      </c>
      <c r="I347">
        <v>0</v>
      </c>
      <c r="J347" t="s">
        <v>15</v>
      </c>
      <c r="K347" t="s">
        <v>48</v>
      </c>
      <c r="L347" t="s">
        <v>17</v>
      </c>
      <c r="M347" t="str">
        <f t="shared" si="20"/>
        <v>01</v>
      </c>
      <c r="N347" t="s">
        <v>12</v>
      </c>
    </row>
    <row r="348" spans="1:14" x14ac:dyDescent="0.25">
      <c r="A348">
        <v>20160115</v>
      </c>
      <c r="B348" t="str">
        <f>"021039"</f>
        <v>021039</v>
      </c>
      <c r="C348" t="str">
        <f>"54196"</f>
        <v>54196</v>
      </c>
      <c r="D348" t="s">
        <v>49</v>
      </c>
      <c r="E348" s="3">
        <v>50</v>
      </c>
      <c r="F348">
        <v>20160115</v>
      </c>
      <c r="G348" t="s">
        <v>50</v>
      </c>
      <c r="H348" t="s">
        <v>193</v>
      </c>
      <c r="I348">
        <v>0</v>
      </c>
      <c r="J348" t="s">
        <v>15</v>
      </c>
      <c r="K348" t="s">
        <v>52</v>
      </c>
      <c r="L348" t="s">
        <v>17</v>
      </c>
      <c r="M348" t="str">
        <f t="shared" si="20"/>
        <v>01</v>
      </c>
      <c r="N348" t="s">
        <v>12</v>
      </c>
    </row>
    <row r="349" spans="1:14" x14ac:dyDescent="0.25">
      <c r="A349">
        <v>20160115</v>
      </c>
      <c r="B349" t="str">
        <f>"021040"</f>
        <v>021040</v>
      </c>
      <c r="C349" t="str">
        <f>"72601"</f>
        <v>72601</v>
      </c>
      <c r="D349" t="s">
        <v>53</v>
      </c>
      <c r="E349" s="3">
        <v>256.3</v>
      </c>
      <c r="F349">
        <v>20160115</v>
      </c>
      <c r="G349" t="s">
        <v>54</v>
      </c>
      <c r="H349" t="s">
        <v>191</v>
      </c>
      <c r="I349">
        <v>0</v>
      </c>
      <c r="J349" t="s">
        <v>15</v>
      </c>
      <c r="K349" t="s">
        <v>55</v>
      </c>
      <c r="L349" t="s">
        <v>17</v>
      </c>
      <c r="M349" t="str">
        <f t="shared" si="20"/>
        <v>01</v>
      </c>
      <c r="N349" t="s">
        <v>12</v>
      </c>
    </row>
    <row r="350" spans="1:14" x14ac:dyDescent="0.25">
      <c r="A350">
        <v>20160115</v>
      </c>
      <c r="B350" t="str">
        <f>"021041"</f>
        <v>021041</v>
      </c>
      <c r="C350" t="str">
        <f>"75452"</f>
        <v>75452</v>
      </c>
      <c r="D350" t="s">
        <v>56</v>
      </c>
      <c r="E350" s="3">
        <v>370.84</v>
      </c>
      <c r="F350">
        <v>20160115</v>
      </c>
      <c r="G350" t="s">
        <v>57</v>
      </c>
      <c r="H350" t="s">
        <v>190</v>
      </c>
      <c r="I350">
        <v>0</v>
      </c>
      <c r="J350" t="s">
        <v>15</v>
      </c>
      <c r="K350" t="s">
        <v>58</v>
      </c>
      <c r="L350" t="s">
        <v>17</v>
      </c>
      <c r="M350" t="str">
        <f t="shared" si="20"/>
        <v>01</v>
      </c>
      <c r="N350" t="s">
        <v>12</v>
      </c>
    </row>
    <row r="351" spans="1:14" x14ac:dyDescent="0.25">
      <c r="A351">
        <v>20160115</v>
      </c>
      <c r="B351" t="str">
        <f>"021042"</f>
        <v>021042</v>
      </c>
      <c r="C351" t="str">
        <f>"81174"</f>
        <v>81174</v>
      </c>
      <c r="D351" t="s">
        <v>62</v>
      </c>
      <c r="E351" s="3">
        <v>35</v>
      </c>
      <c r="F351">
        <v>20160115</v>
      </c>
      <c r="G351" t="s">
        <v>63</v>
      </c>
      <c r="H351" t="s">
        <v>191</v>
      </c>
      <c r="I351">
        <v>0</v>
      </c>
      <c r="J351" t="s">
        <v>15</v>
      </c>
      <c r="K351" t="s">
        <v>64</v>
      </c>
      <c r="L351" t="s">
        <v>17</v>
      </c>
      <c r="M351" t="str">
        <f t="shared" si="20"/>
        <v>01</v>
      </c>
      <c r="N351" t="s">
        <v>12</v>
      </c>
    </row>
    <row r="352" spans="1:14" x14ac:dyDescent="0.25">
      <c r="A352">
        <v>20160115</v>
      </c>
      <c r="B352" t="str">
        <f>"021043"</f>
        <v>021043</v>
      </c>
      <c r="C352" t="str">
        <f>"81177"</f>
        <v>81177</v>
      </c>
      <c r="D352" t="s">
        <v>65</v>
      </c>
      <c r="E352" s="3">
        <v>80.47</v>
      </c>
      <c r="F352">
        <v>20160115</v>
      </c>
      <c r="G352" t="s">
        <v>134</v>
      </c>
      <c r="H352" t="s">
        <v>191</v>
      </c>
      <c r="I352">
        <v>0</v>
      </c>
      <c r="J352" t="s">
        <v>15</v>
      </c>
      <c r="K352" t="s">
        <v>135</v>
      </c>
      <c r="L352" t="s">
        <v>17</v>
      </c>
      <c r="M352" t="str">
        <f t="shared" si="20"/>
        <v>01</v>
      </c>
      <c r="N352" t="s">
        <v>12</v>
      </c>
    </row>
    <row r="353" spans="1:14" x14ac:dyDescent="0.25">
      <c r="A353">
        <v>20160115</v>
      </c>
      <c r="B353" t="str">
        <f>"021044"</f>
        <v>021044</v>
      </c>
      <c r="C353" t="str">
        <f>"04831"</f>
        <v>04831</v>
      </c>
      <c r="D353" t="s">
        <v>11</v>
      </c>
      <c r="E353" s="3">
        <v>1203.9100000000001</v>
      </c>
      <c r="F353">
        <v>20160115</v>
      </c>
      <c r="G353" t="s">
        <v>13</v>
      </c>
      <c r="H353" t="s">
        <v>190</v>
      </c>
      <c r="I353">
        <v>0</v>
      </c>
      <c r="J353" t="s">
        <v>15</v>
      </c>
      <c r="K353" t="s">
        <v>16</v>
      </c>
      <c r="L353" t="s">
        <v>17</v>
      </c>
      <c r="M353" t="str">
        <f t="shared" si="20"/>
        <v>01</v>
      </c>
      <c r="N353" t="s">
        <v>12</v>
      </c>
    </row>
    <row r="354" spans="1:14" x14ac:dyDescent="0.25">
      <c r="A354">
        <v>20160115</v>
      </c>
      <c r="B354" t="str">
        <f>"021045"</f>
        <v>021045</v>
      </c>
      <c r="C354" t="str">
        <f>"04905"</f>
        <v>04905</v>
      </c>
      <c r="D354" t="s">
        <v>18</v>
      </c>
      <c r="E354" s="3">
        <v>2743.16</v>
      </c>
      <c r="F354">
        <v>20160115</v>
      </c>
      <c r="G354" t="s">
        <v>19</v>
      </c>
      <c r="H354" t="s">
        <v>191</v>
      </c>
      <c r="I354">
        <v>0</v>
      </c>
      <c r="J354" t="s">
        <v>15</v>
      </c>
      <c r="K354" t="s">
        <v>21</v>
      </c>
      <c r="L354" t="s">
        <v>17</v>
      </c>
      <c r="M354" t="str">
        <f t="shared" si="20"/>
        <v>01</v>
      </c>
      <c r="N354" t="s">
        <v>12</v>
      </c>
    </row>
    <row r="355" spans="1:14" x14ac:dyDescent="0.25">
      <c r="A355">
        <v>20160115</v>
      </c>
      <c r="B355" t="str">
        <f>"021046"</f>
        <v>021046</v>
      </c>
      <c r="C355" t="str">
        <f>"04987"</f>
        <v>04987</v>
      </c>
      <c r="D355" t="s">
        <v>144</v>
      </c>
      <c r="E355" s="3">
        <v>488.36</v>
      </c>
      <c r="F355">
        <v>20160115</v>
      </c>
      <c r="G355" t="s">
        <v>35</v>
      </c>
      <c r="H355" t="s">
        <v>190</v>
      </c>
      <c r="I355">
        <v>0</v>
      </c>
      <c r="J355" t="s">
        <v>15</v>
      </c>
      <c r="K355" t="s">
        <v>36</v>
      </c>
      <c r="L355" t="s">
        <v>17</v>
      </c>
      <c r="M355" t="str">
        <f t="shared" si="20"/>
        <v>01</v>
      </c>
      <c r="N355" t="s">
        <v>12</v>
      </c>
    </row>
    <row r="356" spans="1:14" x14ac:dyDescent="0.25">
      <c r="A356">
        <v>20160115</v>
      </c>
      <c r="B356" t="str">
        <f>"021047"</f>
        <v>021047</v>
      </c>
      <c r="C356" t="str">
        <f>"07710"</f>
        <v>07710</v>
      </c>
      <c r="D356" t="s">
        <v>22</v>
      </c>
      <c r="E356" s="3">
        <v>351.59</v>
      </c>
      <c r="F356">
        <v>20160115</v>
      </c>
      <c r="G356" t="s">
        <v>23</v>
      </c>
      <c r="H356" t="s">
        <v>191</v>
      </c>
      <c r="I356">
        <v>0</v>
      </c>
      <c r="J356" t="s">
        <v>15</v>
      </c>
      <c r="K356" t="s">
        <v>24</v>
      </c>
      <c r="L356" t="s">
        <v>17</v>
      </c>
      <c r="M356" t="str">
        <f t="shared" si="20"/>
        <v>01</v>
      </c>
      <c r="N356" t="s">
        <v>12</v>
      </c>
    </row>
    <row r="357" spans="1:14" x14ac:dyDescent="0.25">
      <c r="A357">
        <v>20160115</v>
      </c>
      <c r="B357" t="str">
        <f>"021048"</f>
        <v>021048</v>
      </c>
      <c r="C357" t="str">
        <f>"07880"</f>
        <v>07880</v>
      </c>
      <c r="D357" t="s">
        <v>25</v>
      </c>
      <c r="E357" s="3">
        <v>4575.3999999999996</v>
      </c>
      <c r="F357">
        <v>20160115</v>
      </c>
      <c r="G357" t="s">
        <v>26</v>
      </c>
      <c r="H357" t="s">
        <v>191</v>
      </c>
      <c r="I357">
        <v>0</v>
      </c>
      <c r="J357" t="s">
        <v>15</v>
      </c>
      <c r="K357" t="s">
        <v>27</v>
      </c>
      <c r="L357" t="s">
        <v>17</v>
      </c>
      <c r="M357" t="str">
        <f t="shared" si="20"/>
        <v>01</v>
      </c>
      <c r="N357" t="s">
        <v>12</v>
      </c>
    </row>
    <row r="358" spans="1:14" x14ac:dyDescent="0.25">
      <c r="A358">
        <v>20160115</v>
      </c>
      <c r="B358" t="str">
        <f>"021049"</f>
        <v>021049</v>
      </c>
      <c r="C358" t="str">
        <f>"10095"</f>
        <v>10095</v>
      </c>
      <c r="D358" t="s">
        <v>70</v>
      </c>
      <c r="E358" s="3">
        <v>528.26</v>
      </c>
      <c r="F358">
        <v>20160115</v>
      </c>
      <c r="G358" t="s">
        <v>71</v>
      </c>
      <c r="H358" t="s">
        <v>191</v>
      </c>
      <c r="I358">
        <v>0</v>
      </c>
      <c r="J358" t="s">
        <v>15</v>
      </c>
      <c r="K358" t="s">
        <v>72</v>
      </c>
      <c r="L358" t="s">
        <v>17</v>
      </c>
      <c r="M358" t="str">
        <f t="shared" si="20"/>
        <v>01</v>
      </c>
      <c r="N358" t="s">
        <v>12</v>
      </c>
    </row>
    <row r="359" spans="1:14" x14ac:dyDescent="0.25">
      <c r="A359">
        <v>20160115</v>
      </c>
      <c r="B359" t="str">
        <f>"021050"</f>
        <v>021050</v>
      </c>
      <c r="C359" t="str">
        <f>"11211"</f>
        <v>11211</v>
      </c>
      <c r="D359" t="s">
        <v>28</v>
      </c>
      <c r="E359" s="3">
        <v>2332.15</v>
      </c>
      <c r="F359">
        <v>20160115</v>
      </c>
      <c r="G359" t="s">
        <v>29</v>
      </c>
      <c r="H359" t="s">
        <v>190</v>
      </c>
      <c r="I359">
        <v>0</v>
      </c>
      <c r="J359" t="s">
        <v>15</v>
      </c>
      <c r="K359" t="s">
        <v>30</v>
      </c>
      <c r="L359" t="s">
        <v>17</v>
      </c>
      <c r="M359" t="str">
        <f t="shared" si="20"/>
        <v>01</v>
      </c>
      <c r="N359" t="s">
        <v>12</v>
      </c>
    </row>
    <row r="360" spans="1:14" x14ac:dyDescent="0.25">
      <c r="A360">
        <v>20160115</v>
      </c>
      <c r="B360" t="str">
        <f>"021051"</f>
        <v>021051</v>
      </c>
      <c r="C360" t="str">
        <f>"14177"</f>
        <v>14177</v>
      </c>
      <c r="D360" t="s">
        <v>31</v>
      </c>
      <c r="E360" s="3">
        <v>50</v>
      </c>
      <c r="F360">
        <v>20160115</v>
      </c>
      <c r="G360" t="s">
        <v>32</v>
      </c>
      <c r="H360" t="s">
        <v>191</v>
      </c>
      <c r="I360">
        <v>0</v>
      </c>
      <c r="J360" t="s">
        <v>15</v>
      </c>
      <c r="K360" t="s">
        <v>33</v>
      </c>
      <c r="L360" t="s">
        <v>17</v>
      </c>
      <c r="M360" t="str">
        <f t="shared" si="20"/>
        <v>01</v>
      </c>
      <c r="N360" t="s">
        <v>12</v>
      </c>
    </row>
    <row r="361" spans="1:14" x14ac:dyDescent="0.25">
      <c r="A361">
        <v>20160115</v>
      </c>
      <c r="B361" t="str">
        <f>"021052"</f>
        <v>021052</v>
      </c>
      <c r="C361" t="str">
        <f>"19103"</f>
        <v>19103</v>
      </c>
      <c r="D361" t="s">
        <v>73</v>
      </c>
      <c r="E361" s="3">
        <v>225</v>
      </c>
      <c r="F361">
        <v>20160115</v>
      </c>
      <c r="G361" t="s">
        <v>74</v>
      </c>
      <c r="H361" t="s">
        <v>191</v>
      </c>
      <c r="I361">
        <v>0</v>
      </c>
      <c r="J361" t="s">
        <v>15</v>
      </c>
      <c r="K361" t="s">
        <v>75</v>
      </c>
      <c r="L361" t="s">
        <v>17</v>
      </c>
      <c r="M361" t="str">
        <f t="shared" si="20"/>
        <v>01</v>
      </c>
      <c r="N361" t="s">
        <v>12</v>
      </c>
    </row>
    <row r="362" spans="1:14" x14ac:dyDescent="0.25">
      <c r="A362">
        <v>20160115</v>
      </c>
      <c r="B362" t="str">
        <f>"021053"</f>
        <v>021053</v>
      </c>
      <c r="C362" t="str">
        <f>"20682"</f>
        <v>20682</v>
      </c>
      <c r="D362" t="s">
        <v>76</v>
      </c>
      <c r="E362" s="3">
        <v>5350</v>
      </c>
      <c r="F362">
        <v>20160115</v>
      </c>
      <c r="G362" t="s">
        <v>77</v>
      </c>
      <c r="H362" t="s">
        <v>191</v>
      </c>
      <c r="I362">
        <v>0</v>
      </c>
      <c r="J362" t="s">
        <v>15</v>
      </c>
      <c r="K362" t="s">
        <v>78</v>
      </c>
      <c r="L362" t="s">
        <v>17</v>
      </c>
      <c r="M362" t="str">
        <f t="shared" si="20"/>
        <v>01</v>
      </c>
      <c r="N362" t="s">
        <v>12</v>
      </c>
    </row>
    <row r="363" spans="1:14" x14ac:dyDescent="0.25">
      <c r="A363">
        <v>20160115</v>
      </c>
      <c r="B363" t="str">
        <f>"021054"</f>
        <v>021054</v>
      </c>
      <c r="C363" t="str">
        <f>"21504"</f>
        <v>21504</v>
      </c>
      <c r="D363" t="s">
        <v>79</v>
      </c>
      <c r="E363" s="3">
        <v>36.6</v>
      </c>
      <c r="F363">
        <v>20160115</v>
      </c>
      <c r="G363" t="s">
        <v>80</v>
      </c>
      <c r="H363" t="s">
        <v>190</v>
      </c>
      <c r="I363">
        <v>0</v>
      </c>
      <c r="J363" t="s">
        <v>15</v>
      </c>
      <c r="K363" t="s">
        <v>81</v>
      </c>
      <c r="L363" t="s">
        <v>17</v>
      </c>
      <c r="M363" t="str">
        <f t="shared" si="20"/>
        <v>01</v>
      </c>
      <c r="N363" t="s">
        <v>12</v>
      </c>
    </row>
    <row r="364" spans="1:14" x14ac:dyDescent="0.25">
      <c r="A364">
        <v>20160115</v>
      </c>
      <c r="B364" t="str">
        <f>"021055"</f>
        <v>021055</v>
      </c>
      <c r="C364" t="str">
        <f>"21506"</f>
        <v>21506</v>
      </c>
      <c r="D364" t="s">
        <v>34</v>
      </c>
      <c r="E364" s="3">
        <v>359.7</v>
      </c>
      <c r="F364">
        <v>20160115</v>
      </c>
      <c r="G364" t="s">
        <v>37</v>
      </c>
      <c r="H364" t="s">
        <v>190</v>
      </c>
      <c r="I364">
        <v>0</v>
      </c>
      <c r="J364" t="s">
        <v>15</v>
      </c>
      <c r="K364" t="s">
        <v>38</v>
      </c>
      <c r="L364" t="s">
        <v>17</v>
      </c>
      <c r="M364" t="str">
        <f t="shared" si="20"/>
        <v>01</v>
      </c>
      <c r="N364" t="s">
        <v>12</v>
      </c>
    </row>
    <row r="365" spans="1:14" x14ac:dyDescent="0.25">
      <c r="A365">
        <v>20160115</v>
      </c>
      <c r="B365" t="str">
        <f>"021056"</f>
        <v>021056</v>
      </c>
      <c r="C365" t="str">
        <f>"21826"</f>
        <v>21826</v>
      </c>
      <c r="D365" t="s">
        <v>82</v>
      </c>
      <c r="E365" s="3">
        <v>462.53</v>
      </c>
      <c r="F365">
        <v>20160115</v>
      </c>
      <c r="G365" t="s">
        <v>83</v>
      </c>
      <c r="H365" t="s">
        <v>191</v>
      </c>
      <c r="I365">
        <v>0</v>
      </c>
      <c r="J365" t="s">
        <v>15</v>
      </c>
      <c r="K365" t="s">
        <v>84</v>
      </c>
      <c r="L365" t="s">
        <v>17</v>
      </c>
      <c r="M365" t="str">
        <f t="shared" si="20"/>
        <v>01</v>
      </c>
      <c r="N365" t="s">
        <v>12</v>
      </c>
    </row>
    <row r="366" spans="1:14" x14ac:dyDescent="0.25">
      <c r="A366">
        <v>20160115</v>
      </c>
      <c r="B366" t="str">
        <f>"021057"</f>
        <v>021057</v>
      </c>
      <c r="C366" t="str">
        <f>"24960"</f>
        <v>24960</v>
      </c>
      <c r="D366" t="s">
        <v>39</v>
      </c>
      <c r="E366" s="3">
        <v>4128.26</v>
      </c>
      <c r="F366">
        <v>20160115</v>
      </c>
      <c r="G366" t="s">
        <v>40</v>
      </c>
      <c r="H366" t="s">
        <v>192</v>
      </c>
      <c r="I366">
        <v>0</v>
      </c>
      <c r="J366" t="s">
        <v>15</v>
      </c>
      <c r="K366" t="s">
        <v>42</v>
      </c>
      <c r="L366" t="s">
        <v>17</v>
      </c>
      <c r="M366" t="str">
        <f t="shared" si="20"/>
        <v>01</v>
      </c>
      <c r="N366" t="s">
        <v>12</v>
      </c>
    </row>
    <row r="367" spans="1:14" x14ac:dyDescent="0.25">
      <c r="A367">
        <v>20160115</v>
      </c>
      <c r="B367" t="str">
        <f>"021058"</f>
        <v>021058</v>
      </c>
      <c r="C367" t="str">
        <f>"29572"</f>
        <v>29572</v>
      </c>
      <c r="D367" t="s">
        <v>85</v>
      </c>
      <c r="E367" s="3">
        <v>36.200000000000003</v>
      </c>
      <c r="F367">
        <v>20160115</v>
      </c>
      <c r="G367" t="s">
        <v>86</v>
      </c>
      <c r="H367" t="s">
        <v>191</v>
      </c>
      <c r="I367">
        <v>0</v>
      </c>
      <c r="J367" t="s">
        <v>15</v>
      </c>
      <c r="K367" t="s">
        <v>87</v>
      </c>
      <c r="L367" t="s">
        <v>17</v>
      </c>
      <c r="M367" t="str">
        <f t="shared" si="20"/>
        <v>01</v>
      </c>
      <c r="N367" t="s">
        <v>12</v>
      </c>
    </row>
    <row r="368" spans="1:14" x14ac:dyDescent="0.25">
      <c r="A368">
        <v>20160115</v>
      </c>
      <c r="B368" t="str">
        <f>"021059"</f>
        <v>021059</v>
      </c>
      <c r="C368" t="str">
        <f>"42245"</f>
        <v>42245</v>
      </c>
      <c r="D368" t="s">
        <v>43</v>
      </c>
      <c r="E368" s="3">
        <v>9736.08</v>
      </c>
      <c r="F368">
        <v>20160115</v>
      </c>
      <c r="G368" t="s">
        <v>44</v>
      </c>
      <c r="H368" t="s">
        <v>190</v>
      </c>
      <c r="I368">
        <v>0</v>
      </c>
      <c r="J368" t="s">
        <v>15</v>
      </c>
      <c r="K368" t="s">
        <v>45</v>
      </c>
      <c r="L368" t="s">
        <v>17</v>
      </c>
      <c r="M368" t="str">
        <f t="shared" ref="M368:M399" si="21">"01"</f>
        <v>01</v>
      </c>
      <c r="N368" t="s">
        <v>12</v>
      </c>
    </row>
    <row r="369" spans="1:14" x14ac:dyDescent="0.25">
      <c r="A369">
        <v>20160115</v>
      </c>
      <c r="B369" t="str">
        <f>"021060"</f>
        <v>021060</v>
      </c>
      <c r="C369" t="str">
        <f>"43855"</f>
        <v>43855</v>
      </c>
      <c r="D369" t="s">
        <v>88</v>
      </c>
      <c r="E369" s="3">
        <v>250</v>
      </c>
      <c r="F369">
        <v>20160115</v>
      </c>
      <c r="G369" t="s">
        <v>89</v>
      </c>
      <c r="H369" t="s">
        <v>191</v>
      </c>
      <c r="I369">
        <v>0</v>
      </c>
      <c r="J369" t="s">
        <v>15</v>
      </c>
      <c r="K369" t="s">
        <v>88</v>
      </c>
      <c r="L369" t="s">
        <v>17</v>
      </c>
      <c r="M369" t="str">
        <f t="shared" si="21"/>
        <v>01</v>
      </c>
      <c r="N369" t="s">
        <v>12</v>
      </c>
    </row>
    <row r="370" spans="1:14" x14ac:dyDescent="0.25">
      <c r="A370">
        <v>20160115</v>
      </c>
      <c r="B370" t="str">
        <f>"021061"</f>
        <v>021061</v>
      </c>
      <c r="C370" t="str">
        <f>"48947"</f>
        <v>48947</v>
      </c>
      <c r="D370" t="s">
        <v>46</v>
      </c>
      <c r="E370" s="3">
        <v>1518.89</v>
      </c>
      <c r="F370">
        <v>20160115</v>
      </c>
      <c r="G370" t="s">
        <v>47</v>
      </c>
      <c r="H370" t="s">
        <v>192</v>
      </c>
      <c r="I370">
        <v>0</v>
      </c>
      <c r="J370" t="s">
        <v>15</v>
      </c>
      <c r="K370" t="s">
        <v>48</v>
      </c>
      <c r="L370" t="s">
        <v>17</v>
      </c>
      <c r="M370" t="str">
        <f t="shared" si="21"/>
        <v>01</v>
      </c>
      <c r="N370" t="s">
        <v>12</v>
      </c>
    </row>
    <row r="371" spans="1:14" x14ac:dyDescent="0.25">
      <c r="A371">
        <v>20160115</v>
      </c>
      <c r="B371" t="str">
        <f t="shared" ref="B371:B387" si="22">"021062"</f>
        <v>021062</v>
      </c>
      <c r="C371" t="str">
        <f t="shared" ref="C371:C387" si="23">"54196"</f>
        <v>54196</v>
      </c>
      <c r="D371" t="s">
        <v>49</v>
      </c>
      <c r="E371" s="3">
        <v>50</v>
      </c>
      <c r="F371">
        <v>20160115</v>
      </c>
      <c r="G371" t="s">
        <v>90</v>
      </c>
      <c r="H371" t="s">
        <v>193</v>
      </c>
      <c r="I371">
        <v>0</v>
      </c>
      <c r="J371" t="s">
        <v>15</v>
      </c>
      <c r="K371" t="s">
        <v>91</v>
      </c>
      <c r="L371" t="s">
        <v>17</v>
      </c>
      <c r="M371" t="str">
        <f t="shared" si="21"/>
        <v>01</v>
      </c>
      <c r="N371" t="s">
        <v>12</v>
      </c>
    </row>
    <row r="372" spans="1:14" x14ac:dyDescent="0.25">
      <c r="A372">
        <v>20160115</v>
      </c>
      <c r="B372" t="str">
        <f t="shared" si="22"/>
        <v>021062</v>
      </c>
      <c r="C372" t="str">
        <f t="shared" si="23"/>
        <v>54196</v>
      </c>
      <c r="D372" t="s">
        <v>49</v>
      </c>
      <c r="E372" s="3">
        <v>283</v>
      </c>
      <c r="F372">
        <v>20160115</v>
      </c>
      <c r="G372" t="s">
        <v>92</v>
      </c>
      <c r="H372" t="s">
        <v>193</v>
      </c>
      <c r="I372">
        <v>0</v>
      </c>
      <c r="J372" t="s">
        <v>15</v>
      </c>
      <c r="K372" t="s">
        <v>93</v>
      </c>
      <c r="L372" t="s">
        <v>17</v>
      </c>
      <c r="M372" t="str">
        <f t="shared" si="21"/>
        <v>01</v>
      </c>
      <c r="N372" t="s">
        <v>12</v>
      </c>
    </row>
    <row r="373" spans="1:14" x14ac:dyDescent="0.25">
      <c r="A373">
        <v>20160115</v>
      </c>
      <c r="B373" t="str">
        <f t="shared" si="22"/>
        <v>021062</v>
      </c>
      <c r="C373" t="str">
        <f t="shared" si="23"/>
        <v>54196</v>
      </c>
      <c r="D373" t="s">
        <v>49</v>
      </c>
      <c r="E373" s="3">
        <v>1590</v>
      </c>
      <c r="F373">
        <v>20160115</v>
      </c>
      <c r="G373" t="s">
        <v>94</v>
      </c>
      <c r="H373" t="s">
        <v>193</v>
      </c>
      <c r="I373">
        <v>0</v>
      </c>
      <c r="J373" t="s">
        <v>15</v>
      </c>
      <c r="K373" t="s">
        <v>95</v>
      </c>
      <c r="L373" t="s">
        <v>17</v>
      </c>
      <c r="M373" t="str">
        <f t="shared" si="21"/>
        <v>01</v>
      </c>
      <c r="N373" t="s">
        <v>12</v>
      </c>
    </row>
    <row r="374" spans="1:14" x14ac:dyDescent="0.25">
      <c r="A374">
        <v>20160115</v>
      </c>
      <c r="B374" t="str">
        <f t="shared" si="22"/>
        <v>021062</v>
      </c>
      <c r="C374" t="str">
        <f t="shared" si="23"/>
        <v>54196</v>
      </c>
      <c r="D374" t="s">
        <v>49</v>
      </c>
      <c r="E374" s="3">
        <v>2175</v>
      </c>
      <c r="F374">
        <v>20160115</v>
      </c>
      <c r="G374" t="s">
        <v>96</v>
      </c>
      <c r="H374" t="s">
        <v>193</v>
      </c>
      <c r="I374">
        <v>0</v>
      </c>
      <c r="J374" t="s">
        <v>15</v>
      </c>
      <c r="K374" t="s">
        <v>97</v>
      </c>
      <c r="L374" t="s">
        <v>17</v>
      </c>
      <c r="M374" t="str">
        <f t="shared" si="21"/>
        <v>01</v>
      </c>
      <c r="N374" t="s">
        <v>12</v>
      </c>
    </row>
    <row r="375" spans="1:14" x14ac:dyDescent="0.25">
      <c r="A375">
        <v>20160115</v>
      </c>
      <c r="B375" t="str">
        <f t="shared" si="22"/>
        <v>021062</v>
      </c>
      <c r="C375" t="str">
        <f t="shared" si="23"/>
        <v>54196</v>
      </c>
      <c r="D375" t="s">
        <v>49</v>
      </c>
      <c r="E375" s="3">
        <v>50</v>
      </c>
      <c r="F375">
        <v>20160115</v>
      </c>
      <c r="G375" t="s">
        <v>98</v>
      </c>
      <c r="H375" t="s">
        <v>193</v>
      </c>
      <c r="I375">
        <v>0</v>
      </c>
      <c r="J375" t="s">
        <v>15</v>
      </c>
      <c r="K375" t="s">
        <v>99</v>
      </c>
      <c r="L375" t="s">
        <v>17</v>
      </c>
      <c r="M375" t="str">
        <f t="shared" si="21"/>
        <v>01</v>
      </c>
      <c r="N375" t="s">
        <v>12</v>
      </c>
    </row>
    <row r="376" spans="1:14" x14ac:dyDescent="0.25">
      <c r="A376">
        <v>20160115</v>
      </c>
      <c r="B376" t="str">
        <f t="shared" si="22"/>
        <v>021062</v>
      </c>
      <c r="C376" t="str">
        <f t="shared" si="23"/>
        <v>54196</v>
      </c>
      <c r="D376" t="s">
        <v>49</v>
      </c>
      <c r="E376" s="3">
        <v>1230</v>
      </c>
      <c r="F376">
        <v>20160115</v>
      </c>
      <c r="G376" t="s">
        <v>100</v>
      </c>
      <c r="H376" t="s">
        <v>193</v>
      </c>
      <c r="I376">
        <v>0</v>
      </c>
      <c r="J376" t="s">
        <v>15</v>
      </c>
      <c r="K376" t="s">
        <v>101</v>
      </c>
      <c r="L376" t="s">
        <v>17</v>
      </c>
      <c r="M376" t="str">
        <f t="shared" si="21"/>
        <v>01</v>
      </c>
      <c r="N376" t="s">
        <v>12</v>
      </c>
    </row>
    <row r="377" spans="1:14" x14ac:dyDescent="0.25">
      <c r="A377">
        <v>20160115</v>
      </c>
      <c r="B377" t="str">
        <f t="shared" si="22"/>
        <v>021062</v>
      </c>
      <c r="C377" t="str">
        <f t="shared" si="23"/>
        <v>54196</v>
      </c>
      <c r="D377" t="s">
        <v>49</v>
      </c>
      <c r="E377" s="3">
        <v>2117</v>
      </c>
      <c r="F377">
        <v>20160115</v>
      </c>
      <c r="G377" t="s">
        <v>102</v>
      </c>
      <c r="H377" t="s">
        <v>193</v>
      </c>
      <c r="I377">
        <v>0</v>
      </c>
      <c r="J377" t="s">
        <v>15</v>
      </c>
      <c r="K377" t="s">
        <v>103</v>
      </c>
      <c r="L377" t="s">
        <v>17</v>
      </c>
      <c r="M377" t="str">
        <f t="shared" si="21"/>
        <v>01</v>
      </c>
      <c r="N377" t="s">
        <v>12</v>
      </c>
    </row>
    <row r="378" spans="1:14" x14ac:dyDescent="0.25">
      <c r="A378">
        <v>20160115</v>
      </c>
      <c r="B378" t="str">
        <f t="shared" si="22"/>
        <v>021062</v>
      </c>
      <c r="C378" t="str">
        <f t="shared" si="23"/>
        <v>54196</v>
      </c>
      <c r="D378" t="s">
        <v>49</v>
      </c>
      <c r="E378" s="3">
        <v>972</v>
      </c>
      <c r="F378">
        <v>20160115</v>
      </c>
      <c r="G378" t="s">
        <v>104</v>
      </c>
      <c r="H378" t="s">
        <v>193</v>
      </c>
      <c r="I378">
        <v>0</v>
      </c>
      <c r="J378" t="s">
        <v>15</v>
      </c>
      <c r="K378" t="s">
        <v>105</v>
      </c>
      <c r="L378" t="s">
        <v>17</v>
      </c>
      <c r="M378" t="str">
        <f t="shared" si="21"/>
        <v>01</v>
      </c>
      <c r="N378" t="s">
        <v>12</v>
      </c>
    </row>
    <row r="379" spans="1:14" x14ac:dyDescent="0.25">
      <c r="A379">
        <v>20160115</v>
      </c>
      <c r="B379" t="str">
        <f t="shared" si="22"/>
        <v>021062</v>
      </c>
      <c r="C379" t="str">
        <f t="shared" si="23"/>
        <v>54196</v>
      </c>
      <c r="D379" t="s">
        <v>49</v>
      </c>
      <c r="E379" s="3">
        <v>300</v>
      </c>
      <c r="F379">
        <v>20160115</v>
      </c>
      <c r="G379" t="s">
        <v>108</v>
      </c>
      <c r="H379" t="s">
        <v>193</v>
      </c>
      <c r="I379">
        <v>0</v>
      </c>
      <c r="J379" t="s">
        <v>15</v>
      </c>
      <c r="K379" t="s">
        <v>109</v>
      </c>
      <c r="L379" t="s">
        <v>17</v>
      </c>
      <c r="M379" t="str">
        <f t="shared" si="21"/>
        <v>01</v>
      </c>
      <c r="N379" t="s">
        <v>12</v>
      </c>
    </row>
    <row r="380" spans="1:14" x14ac:dyDescent="0.25">
      <c r="A380">
        <v>20160115</v>
      </c>
      <c r="B380" t="str">
        <f t="shared" si="22"/>
        <v>021062</v>
      </c>
      <c r="C380" t="str">
        <f t="shared" si="23"/>
        <v>54196</v>
      </c>
      <c r="D380" t="s">
        <v>49</v>
      </c>
      <c r="E380" s="3">
        <v>450</v>
      </c>
      <c r="F380">
        <v>20160115</v>
      </c>
      <c r="G380" t="s">
        <v>110</v>
      </c>
      <c r="H380" t="s">
        <v>193</v>
      </c>
      <c r="I380">
        <v>0</v>
      </c>
      <c r="J380" t="s">
        <v>15</v>
      </c>
      <c r="K380" t="s">
        <v>111</v>
      </c>
      <c r="L380" t="s">
        <v>17</v>
      </c>
      <c r="M380" t="str">
        <f t="shared" si="21"/>
        <v>01</v>
      </c>
      <c r="N380" t="s">
        <v>12</v>
      </c>
    </row>
    <row r="381" spans="1:14" x14ac:dyDescent="0.25">
      <c r="A381">
        <v>20160115</v>
      </c>
      <c r="B381" t="str">
        <f t="shared" si="22"/>
        <v>021062</v>
      </c>
      <c r="C381" t="str">
        <f t="shared" si="23"/>
        <v>54196</v>
      </c>
      <c r="D381" t="s">
        <v>49</v>
      </c>
      <c r="E381" s="3">
        <v>750</v>
      </c>
      <c r="F381">
        <v>20160115</v>
      </c>
      <c r="G381" t="s">
        <v>112</v>
      </c>
      <c r="H381" t="s">
        <v>193</v>
      </c>
      <c r="I381">
        <v>0</v>
      </c>
      <c r="J381" t="s">
        <v>15</v>
      </c>
      <c r="K381" t="s">
        <v>113</v>
      </c>
      <c r="L381" t="s">
        <v>17</v>
      </c>
      <c r="M381" t="str">
        <f t="shared" si="21"/>
        <v>01</v>
      </c>
      <c r="N381" t="s">
        <v>12</v>
      </c>
    </row>
    <row r="382" spans="1:14" x14ac:dyDescent="0.25">
      <c r="A382">
        <v>20160115</v>
      </c>
      <c r="B382" t="str">
        <f t="shared" si="22"/>
        <v>021062</v>
      </c>
      <c r="C382" t="str">
        <f t="shared" si="23"/>
        <v>54196</v>
      </c>
      <c r="D382" t="s">
        <v>49</v>
      </c>
      <c r="E382" s="3">
        <v>100</v>
      </c>
      <c r="F382">
        <v>20160115</v>
      </c>
      <c r="G382" t="s">
        <v>149</v>
      </c>
      <c r="H382" t="s">
        <v>193</v>
      </c>
      <c r="I382">
        <v>0</v>
      </c>
      <c r="J382" t="s">
        <v>15</v>
      </c>
      <c r="K382" t="s">
        <v>150</v>
      </c>
      <c r="L382" t="s">
        <v>17</v>
      </c>
      <c r="M382" t="str">
        <f t="shared" si="21"/>
        <v>01</v>
      </c>
      <c r="N382" t="s">
        <v>12</v>
      </c>
    </row>
    <row r="383" spans="1:14" x14ac:dyDescent="0.25">
      <c r="A383">
        <v>20160115</v>
      </c>
      <c r="B383" t="str">
        <f t="shared" si="22"/>
        <v>021062</v>
      </c>
      <c r="C383" t="str">
        <f t="shared" si="23"/>
        <v>54196</v>
      </c>
      <c r="D383" t="s">
        <v>49</v>
      </c>
      <c r="E383" s="3">
        <v>200</v>
      </c>
      <c r="F383">
        <v>20160115</v>
      </c>
      <c r="G383" t="s">
        <v>114</v>
      </c>
      <c r="H383" t="s">
        <v>193</v>
      </c>
      <c r="I383">
        <v>0</v>
      </c>
      <c r="J383" t="s">
        <v>15</v>
      </c>
      <c r="K383" t="s">
        <v>115</v>
      </c>
      <c r="L383" t="s">
        <v>17</v>
      </c>
      <c r="M383" t="str">
        <f t="shared" si="21"/>
        <v>01</v>
      </c>
      <c r="N383" t="s">
        <v>12</v>
      </c>
    </row>
    <row r="384" spans="1:14" x14ac:dyDescent="0.25">
      <c r="A384">
        <v>20160115</v>
      </c>
      <c r="B384" t="str">
        <f t="shared" si="22"/>
        <v>021062</v>
      </c>
      <c r="C384" t="str">
        <f t="shared" si="23"/>
        <v>54196</v>
      </c>
      <c r="D384" t="s">
        <v>49</v>
      </c>
      <c r="E384" s="3">
        <v>8288</v>
      </c>
      <c r="F384">
        <v>20160115</v>
      </c>
      <c r="G384" t="s">
        <v>119</v>
      </c>
      <c r="H384" t="s">
        <v>194</v>
      </c>
      <c r="I384">
        <v>0</v>
      </c>
      <c r="J384" t="s">
        <v>15</v>
      </c>
      <c r="K384" t="s">
        <v>103</v>
      </c>
      <c r="L384" t="s">
        <v>17</v>
      </c>
      <c r="M384" t="str">
        <f t="shared" si="21"/>
        <v>01</v>
      </c>
      <c r="N384" t="s">
        <v>12</v>
      </c>
    </row>
    <row r="385" spans="1:14" x14ac:dyDescent="0.25">
      <c r="A385">
        <v>20160115</v>
      </c>
      <c r="B385" t="str">
        <f t="shared" si="22"/>
        <v>021062</v>
      </c>
      <c r="C385" t="str">
        <f t="shared" si="23"/>
        <v>54196</v>
      </c>
      <c r="D385" t="s">
        <v>49</v>
      </c>
      <c r="E385" s="3">
        <v>650</v>
      </c>
      <c r="F385">
        <v>20160115</v>
      </c>
      <c r="G385" t="s">
        <v>50</v>
      </c>
      <c r="H385" t="s">
        <v>193</v>
      </c>
      <c r="I385">
        <v>0</v>
      </c>
      <c r="J385" t="s">
        <v>15</v>
      </c>
      <c r="K385" t="s">
        <v>52</v>
      </c>
      <c r="L385" t="s">
        <v>17</v>
      </c>
      <c r="M385" t="str">
        <f t="shared" si="21"/>
        <v>01</v>
      </c>
      <c r="N385" t="s">
        <v>12</v>
      </c>
    </row>
    <row r="386" spans="1:14" x14ac:dyDescent="0.25">
      <c r="A386">
        <v>20160115</v>
      </c>
      <c r="B386" t="str">
        <f t="shared" si="22"/>
        <v>021062</v>
      </c>
      <c r="C386" t="str">
        <f t="shared" si="23"/>
        <v>54196</v>
      </c>
      <c r="D386" t="s">
        <v>49</v>
      </c>
      <c r="E386" s="3">
        <v>575</v>
      </c>
      <c r="F386">
        <v>20160115</v>
      </c>
      <c r="G386" t="s">
        <v>178</v>
      </c>
      <c r="H386" t="s">
        <v>195</v>
      </c>
      <c r="I386">
        <v>0</v>
      </c>
      <c r="J386" t="s">
        <v>15</v>
      </c>
      <c r="K386" t="s">
        <v>180</v>
      </c>
      <c r="L386" t="s">
        <v>17</v>
      </c>
      <c r="M386" t="str">
        <f t="shared" si="21"/>
        <v>01</v>
      </c>
      <c r="N386" t="s">
        <v>12</v>
      </c>
    </row>
    <row r="387" spans="1:14" x14ac:dyDescent="0.25">
      <c r="A387">
        <v>20160115</v>
      </c>
      <c r="B387" t="str">
        <f t="shared" si="22"/>
        <v>021062</v>
      </c>
      <c r="C387" t="str">
        <f t="shared" si="23"/>
        <v>54196</v>
      </c>
      <c r="D387" t="s">
        <v>49</v>
      </c>
      <c r="E387" s="3">
        <v>2150</v>
      </c>
      <c r="F387">
        <v>20160115</v>
      </c>
      <c r="G387" t="s">
        <v>181</v>
      </c>
      <c r="H387" t="s">
        <v>194</v>
      </c>
      <c r="I387">
        <v>0</v>
      </c>
      <c r="J387" t="s">
        <v>15</v>
      </c>
      <c r="K387" t="s">
        <v>182</v>
      </c>
      <c r="L387" t="s">
        <v>17</v>
      </c>
      <c r="M387" t="str">
        <f t="shared" si="21"/>
        <v>01</v>
      </c>
      <c r="N387" t="s">
        <v>12</v>
      </c>
    </row>
    <row r="388" spans="1:14" x14ac:dyDescent="0.25">
      <c r="A388">
        <v>20160115</v>
      </c>
      <c r="B388" t="str">
        <f>"021063"</f>
        <v>021063</v>
      </c>
      <c r="C388" t="str">
        <f>"72601"</f>
        <v>72601</v>
      </c>
      <c r="D388" t="s">
        <v>53</v>
      </c>
      <c r="E388" s="3">
        <v>9258.01</v>
      </c>
      <c r="F388">
        <v>20160115</v>
      </c>
      <c r="G388" t="s">
        <v>54</v>
      </c>
      <c r="H388" t="s">
        <v>191</v>
      </c>
      <c r="I388">
        <v>0</v>
      </c>
      <c r="J388" t="s">
        <v>15</v>
      </c>
      <c r="K388" t="s">
        <v>55</v>
      </c>
      <c r="L388" t="s">
        <v>17</v>
      </c>
      <c r="M388" t="str">
        <f t="shared" si="21"/>
        <v>01</v>
      </c>
      <c r="N388" t="s">
        <v>12</v>
      </c>
    </row>
    <row r="389" spans="1:14" x14ac:dyDescent="0.25">
      <c r="A389">
        <v>20160115</v>
      </c>
      <c r="B389" t="str">
        <f>"021064"</f>
        <v>021064</v>
      </c>
      <c r="C389" t="str">
        <f>"75452"</f>
        <v>75452</v>
      </c>
      <c r="D389" t="s">
        <v>56</v>
      </c>
      <c r="E389" s="3">
        <v>9960.56</v>
      </c>
      <c r="F389">
        <v>20160115</v>
      </c>
      <c r="G389" t="s">
        <v>57</v>
      </c>
      <c r="H389" t="s">
        <v>190</v>
      </c>
      <c r="I389">
        <v>0</v>
      </c>
      <c r="J389" t="s">
        <v>15</v>
      </c>
      <c r="K389" t="s">
        <v>58</v>
      </c>
      <c r="L389" t="s">
        <v>17</v>
      </c>
      <c r="M389" t="str">
        <f t="shared" si="21"/>
        <v>01</v>
      </c>
      <c r="N389" t="s">
        <v>12</v>
      </c>
    </row>
    <row r="390" spans="1:14" x14ac:dyDescent="0.25">
      <c r="A390">
        <v>20160115</v>
      </c>
      <c r="B390" t="str">
        <f>"021064"</f>
        <v>021064</v>
      </c>
      <c r="C390" t="str">
        <f>"75452"</f>
        <v>75452</v>
      </c>
      <c r="D390" t="s">
        <v>56</v>
      </c>
      <c r="E390" s="3">
        <v>25</v>
      </c>
      <c r="F390">
        <v>20160115</v>
      </c>
      <c r="G390" t="s">
        <v>153</v>
      </c>
      <c r="H390" t="s">
        <v>196</v>
      </c>
      <c r="I390">
        <v>0</v>
      </c>
      <c r="J390" t="s">
        <v>15</v>
      </c>
      <c r="K390" t="s">
        <v>155</v>
      </c>
      <c r="L390" t="s">
        <v>17</v>
      </c>
      <c r="M390" t="str">
        <f t="shared" si="21"/>
        <v>01</v>
      </c>
      <c r="N390" t="s">
        <v>12</v>
      </c>
    </row>
    <row r="391" spans="1:14" x14ac:dyDescent="0.25">
      <c r="A391">
        <v>20160115</v>
      </c>
      <c r="B391" t="str">
        <f>"021065"</f>
        <v>021065</v>
      </c>
      <c r="C391" t="str">
        <f>"77030"</f>
        <v>77030</v>
      </c>
      <c r="D391" t="s">
        <v>156</v>
      </c>
      <c r="E391" s="3">
        <v>139.33000000000001</v>
      </c>
      <c r="F391">
        <v>20160115</v>
      </c>
      <c r="G391" t="s">
        <v>157</v>
      </c>
      <c r="H391" t="s">
        <v>191</v>
      </c>
      <c r="I391">
        <v>0</v>
      </c>
      <c r="J391" t="s">
        <v>15</v>
      </c>
      <c r="K391" t="s">
        <v>158</v>
      </c>
      <c r="L391" t="s">
        <v>17</v>
      </c>
      <c r="M391" t="str">
        <f t="shared" si="21"/>
        <v>01</v>
      </c>
      <c r="N391" t="s">
        <v>12</v>
      </c>
    </row>
    <row r="392" spans="1:14" x14ac:dyDescent="0.25">
      <c r="A392">
        <v>20160115</v>
      </c>
      <c r="B392" t="str">
        <f>"021066"</f>
        <v>021066</v>
      </c>
      <c r="C392" t="str">
        <f>"78428"</f>
        <v>78428</v>
      </c>
      <c r="D392" t="s">
        <v>124</v>
      </c>
      <c r="E392" s="3">
        <v>1213.18</v>
      </c>
      <c r="F392">
        <v>20160115</v>
      </c>
      <c r="G392" t="s">
        <v>125</v>
      </c>
      <c r="H392" t="s">
        <v>191</v>
      </c>
      <c r="I392">
        <v>0</v>
      </c>
      <c r="J392" t="s">
        <v>15</v>
      </c>
      <c r="K392" t="s">
        <v>126</v>
      </c>
      <c r="L392" t="s">
        <v>17</v>
      </c>
      <c r="M392" t="str">
        <f t="shared" si="21"/>
        <v>01</v>
      </c>
      <c r="N392" t="s">
        <v>12</v>
      </c>
    </row>
    <row r="393" spans="1:14" x14ac:dyDescent="0.25">
      <c r="A393">
        <v>20160115</v>
      </c>
      <c r="B393" t="str">
        <f>"021067"</f>
        <v>021067</v>
      </c>
      <c r="C393" t="str">
        <f>"79562"</f>
        <v>79562</v>
      </c>
      <c r="D393" t="s">
        <v>127</v>
      </c>
      <c r="E393" s="3">
        <v>341.95</v>
      </c>
      <c r="F393">
        <v>20160115</v>
      </c>
      <c r="G393" t="s">
        <v>128</v>
      </c>
      <c r="H393" t="s">
        <v>197</v>
      </c>
      <c r="I393">
        <v>0</v>
      </c>
      <c r="J393" t="s">
        <v>15</v>
      </c>
      <c r="K393" t="s">
        <v>130</v>
      </c>
      <c r="L393" t="s">
        <v>17</v>
      </c>
      <c r="M393" t="str">
        <f t="shared" si="21"/>
        <v>01</v>
      </c>
      <c r="N393" t="s">
        <v>12</v>
      </c>
    </row>
    <row r="394" spans="1:14" x14ac:dyDescent="0.25">
      <c r="A394">
        <v>20160115</v>
      </c>
      <c r="B394" t="str">
        <f>"021068"</f>
        <v>021068</v>
      </c>
      <c r="C394" t="str">
        <f>"79762"</f>
        <v>79762</v>
      </c>
      <c r="D394" t="s">
        <v>160</v>
      </c>
      <c r="E394" s="3">
        <v>390</v>
      </c>
      <c r="F394">
        <v>20160115</v>
      </c>
      <c r="G394" t="s">
        <v>161</v>
      </c>
      <c r="H394" t="s">
        <v>191</v>
      </c>
      <c r="I394">
        <v>0</v>
      </c>
      <c r="J394" t="s">
        <v>15</v>
      </c>
      <c r="K394" t="s">
        <v>162</v>
      </c>
      <c r="L394" t="s">
        <v>17</v>
      </c>
      <c r="M394" t="str">
        <f t="shared" si="21"/>
        <v>01</v>
      </c>
      <c r="N394" t="s">
        <v>12</v>
      </c>
    </row>
    <row r="395" spans="1:14" x14ac:dyDescent="0.25">
      <c r="A395">
        <v>20160115</v>
      </c>
      <c r="B395" t="str">
        <f>"021069"</f>
        <v>021069</v>
      </c>
      <c r="C395" t="str">
        <f>"81155"</f>
        <v>81155</v>
      </c>
      <c r="D395" t="s">
        <v>131</v>
      </c>
      <c r="E395" s="3">
        <v>280</v>
      </c>
      <c r="F395">
        <v>20160115</v>
      </c>
      <c r="G395" t="s">
        <v>132</v>
      </c>
      <c r="H395" t="s">
        <v>191</v>
      </c>
      <c r="I395">
        <v>0</v>
      </c>
      <c r="J395" t="s">
        <v>15</v>
      </c>
      <c r="K395" t="s">
        <v>133</v>
      </c>
      <c r="L395" t="s">
        <v>17</v>
      </c>
      <c r="M395" t="str">
        <f t="shared" si="21"/>
        <v>01</v>
      </c>
      <c r="N395" t="s">
        <v>12</v>
      </c>
    </row>
    <row r="396" spans="1:14" x14ac:dyDescent="0.25">
      <c r="A396">
        <v>20160115</v>
      </c>
      <c r="B396" t="str">
        <f>"021070"</f>
        <v>021070</v>
      </c>
      <c r="C396" t="str">
        <f>"81173"</f>
        <v>81173</v>
      </c>
      <c r="D396" t="s">
        <v>59</v>
      </c>
      <c r="E396" s="3">
        <v>400</v>
      </c>
      <c r="F396">
        <v>20160115</v>
      </c>
      <c r="G396" t="s">
        <v>60</v>
      </c>
      <c r="H396" t="s">
        <v>191</v>
      </c>
      <c r="I396">
        <v>0</v>
      </c>
      <c r="J396" t="s">
        <v>15</v>
      </c>
      <c r="K396" t="s">
        <v>61</v>
      </c>
      <c r="L396" t="s">
        <v>17</v>
      </c>
      <c r="M396" t="str">
        <f t="shared" si="21"/>
        <v>01</v>
      </c>
      <c r="N396" t="s">
        <v>12</v>
      </c>
    </row>
    <row r="397" spans="1:14" x14ac:dyDescent="0.25">
      <c r="A397">
        <v>20160115</v>
      </c>
      <c r="B397" t="str">
        <f>"021071"</f>
        <v>021071</v>
      </c>
      <c r="C397" t="str">
        <f>"81174"</f>
        <v>81174</v>
      </c>
      <c r="D397" t="s">
        <v>62</v>
      </c>
      <c r="E397" s="3">
        <v>1610</v>
      </c>
      <c r="F397">
        <v>20160115</v>
      </c>
      <c r="G397" t="s">
        <v>63</v>
      </c>
      <c r="H397" t="s">
        <v>191</v>
      </c>
      <c r="I397">
        <v>0</v>
      </c>
      <c r="J397" t="s">
        <v>15</v>
      </c>
      <c r="K397" t="s">
        <v>64</v>
      </c>
      <c r="L397" t="s">
        <v>17</v>
      </c>
      <c r="M397" t="str">
        <f t="shared" si="21"/>
        <v>01</v>
      </c>
      <c r="N397" t="s">
        <v>12</v>
      </c>
    </row>
    <row r="398" spans="1:14" x14ac:dyDescent="0.25">
      <c r="A398">
        <v>20160115</v>
      </c>
      <c r="B398" t="str">
        <f>"021072"</f>
        <v>021072</v>
      </c>
      <c r="C398" t="str">
        <f>"81177"</f>
        <v>81177</v>
      </c>
      <c r="D398" t="s">
        <v>65</v>
      </c>
      <c r="E398" s="3">
        <v>458</v>
      </c>
      <c r="F398">
        <v>20160115</v>
      </c>
      <c r="G398" t="s">
        <v>134</v>
      </c>
      <c r="H398" t="s">
        <v>191</v>
      </c>
      <c r="I398">
        <v>0</v>
      </c>
      <c r="J398" t="s">
        <v>15</v>
      </c>
      <c r="K398" t="s">
        <v>135</v>
      </c>
      <c r="L398" t="s">
        <v>17</v>
      </c>
      <c r="M398" t="str">
        <f t="shared" si="21"/>
        <v>01</v>
      </c>
      <c r="N398" t="s">
        <v>12</v>
      </c>
    </row>
    <row r="399" spans="1:14" x14ac:dyDescent="0.25">
      <c r="A399">
        <v>20160115</v>
      </c>
      <c r="B399" t="str">
        <f>"021073"</f>
        <v>021073</v>
      </c>
      <c r="C399" t="str">
        <f>"81753"</f>
        <v>81753</v>
      </c>
      <c r="D399" t="s">
        <v>68</v>
      </c>
      <c r="E399" s="3">
        <v>818.4</v>
      </c>
      <c r="F399">
        <v>20160115</v>
      </c>
      <c r="G399" t="s">
        <v>69</v>
      </c>
      <c r="H399" t="s">
        <v>191</v>
      </c>
      <c r="I399">
        <v>0</v>
      </c>
      <c r="J399" t="s">
        <v>15</v>
      </c>
      <c r="K399" t="s">
        <v>68</v>
      </c>
      <c r="L399" t="s">
        <v>17</v>
      </c>
      <c r="M399" t="str">
        <f t="shared" si="21"/>
        <v>01</v>
      </c>
      <c r="N399" t="s">
        <v>12</v>
      </c>
    </row>
    <row r="400" spans="1:14" x14ac:dyDescent="0.25">
      <c r="A400">
        <v>20160129</v>
      </c>
      <c r="B400" t="str">
        <f>"021104"</f>
        <v>021104</v>
      </c>
      <c r="C400" t="str">
        <f>"04831"</f>
        <v>04831</v>
      </c>
      <c r="D400" t="s">
        <v>11</v>
      </c>
      <c r="E400" s="3">
        <v>56.1</v>
      </c>
      <c r="F400">
        <v>20160129</v>
      </c>
      <c r="G400" t="s">
        <v>13</v>
      </c>
      <c r="H400" t="s">
        <v>190</v>
      </c>
      <c r="I400">
        <v>0</v>
      </c>
      <c r="J400" t="s">
        <v>15</v>
      </c>
      <c r="K400" t="s">
        <v>16</v>
      </c>
      <c r="L400" t="s">
        <v>17</v>
      </c>
      <c r="M400" t="str">
        <f t="shared" ref="M400:M415" si="24">"01"</f>
        <v>01</v>
      </c>
      <c r="N400" t="s">
        <v>12</v>
      </c>
    </row>
    <row r="401" spans="1:14" x14ac:dyDescent="0.25">
      <c r="A401">
        <v>20160129</v>
      </c>
      <c r="B401" t="str">
        <f>"021105"</f>
        <v>021105</v>
      </c>
      <c r="C401" t="str">
        <f>"04905"</f>
        <v>04905</v>
      </c>
      <c r="D401" t="s">
        <v>18</v>
      </c>
      <c r="E401" s="3">
        <v>18.329999999999998</v>
      </c>
      <c r="F401">
        <v>20160129</v>
      </c>
      <c r="G401" t="s">
        <v>19</v>
      </c>
      <c r="H401" t="s">
        <v>191</v>
      </c>
      <c r="I401">
        <v>0</v>
      </c>
      <c r="J401" t="s">
        <v>15</v>
      </c>
      <c r="K401" t="s">
        <v>21</v>
      </c>
      <c r="L401" t="s">
        <v>17</v>
      </c>
      <c r="M401" t="str">
        <f t="shared" si="24"/>
        <v>01</v>
      </c>
      <c r="N401" t="s">
        <v>12</v>
      </c>
    </row>
    <row r="402" spans="1:14" x14ac:dyDescent="0.25">
      <c r="A402">
        <v>20160129</v>
      </c>
      <c r="B402" t="str">
        <f>"021106"</f>
        <v>021106</v>
      </c>
      <c r="C402" t="str">
        <f>"04987"</f>
        <v>04987</v>
      </c>
      <c r="D402" t="s">
        <v>144</v>
      </c>
      <c r="E402" s="3">
        <v>27.74</v>
      </c>
      <c r="F402">
        <v>20160129</v>
      </c>
      <c r="G402" t="s">
        <v>35</v>
      </c>
      <c r="H402" t="s">
        <v>190</v>
      </c>
      <c r="I402">
        <v>0</v>
      </c>
      <c r="J402" t="s">
        <v>15</v>
      </c>
      <c r="K402" t="s">
        <v>36</v>
      </c>
      <c r="L402" t="s">
        <v>17</v>
      </c>
      <c r="M402" t="str">
        <f t="shared" si="24"/>
        <v>01</v>
      </c>
      <c r="N402" t="s">
        <v>12</v>
      </c>
    </row>
    <row r="403" spans="1:14" x14ac:dyDescent="0.25">
      <c r="A403">
        <v>20160129</v>
      </c>
      <c r="B403" t="str">
        <f>"021107"</f>
        <v>021107</v>
      </c>
      <c r="C403" t="str">
        <f>"07710"</f>
        <v>07710</v>
      </c>
      <c r="D403" t="s">
        <v>22</v>
      </c>
      <c r="E403" s="3">
        <v>6.67</v>
      </c>
      <c r="F403">
        <v>20160129</v>
      </c>
      <c r="G403" t="s">
        <v>23</v>
      </c>
      <c r="H403" t="s">
        <v>191</v>
      </c>
      <c r="I403">
        <v>0</v>
      </c>
      <c r="J403" t="s">
        <v>15</v>
      </c>
      <c r="K403" t="s">
        <v>24</v>
      </c>
      <c r="L403" t="s">
        <v>17</v>
      </c>
      <c r="M403" t="str">
        <f t="shared" si="24"/>
        <v>01</v>
      </c>
      <c r="N403" t="s">
        <v>12</v>
      </c>
    </row>
    <row r="404" spans="1:14" x14ac:dyDescent="0.25">
      <c r="A404">
        <v>20160129</v>
      </c>
      <c r="B404" t="str">
        <f>"021108"</f>
        <v>021108</v>
      </c>
      <c r="C404" t="str">
        <f>"07880"</f>
        <v>07880</v>
      </c>
      <c r="D404" t="s">
        <v>25</v>
      </c>
      <c r="E404" s="3">
        <v>283.05</v>
      </c>
      <c r="F404">
        <v>20160129</v>
      </c>
      <c r="G404" t="s">
        <v>26</v>
      </c>
      <c r="H404" t="s">
        <v>191</v>
      </c>
      <c r="I404">
        <v>0</v>
      </c>
      <c r="J404" t="s">
        <v>15</v>
      </c>
      <c r="K404" t="s">
        <v>27</v>
      </c>
      <c r="L404" t="s">
        <v>17</v>
      </c>
      <c r="M404" t="str">
        <f t="shared" si="24"/>
        <v>01</v>
      </c>
      <c r="N404" t="s">
        <v>12</v>
      </c>
    </row>
    <row r="405" spans="1:14" x14ac:dyDescent="0.25">
      <c r="A405">
        <v>20160129</v>
      </c>
      <c r="B405" t="str">
        <f>"021109"</f>
        <v>021109</v>
      </c>
      <c r="C405" t="str">
        <f>"11211"</f>
        <v>11211</v>
      </c>
      <c r="D405" t="s">
        <v>28</v>
      </c>
      <c r="E405" s="3">
        <v>126.41</v>
      </c>
      <c r="F405">
        <v>20160129</v>
      </c>
      <c r="G405" t="s">
        <v>29</v>
      </c>
      <c r="H405" t="s">
        <v>190</v>
      </c>
      <c r="I405">
        <v>0</v>
      </c>
      <c r="J405" t="s">
        <v>15</v>
      </c>
      <c r="K405" t="s">
        <v>30</v>
      </c>
      <c r="L405" t="s">
        <v>17</v>
      </c>
      <c r="M405" t="str">
        <f t="shared" si="24"/>
        <v>01</v>
      </c>
      <c r="N405" t="s">
        <v>12</v>
      </c>
    </row>
    <row r="406" spans="1:14" x14ac:dyDescent="0.25">
      <c r="A406">
        <v>20160129</v>
      </c>
      <c r="B406" t="str">
        <f>"021110"</f>
        <v>021110</v>
      </c>
      <c r="C406" t="str">
        <f>"14177"</f>
        <v>14177</v>
      </c>
      <c r="D406" t="s">
        <v>31</v>
      </c>
      <c r="E406" s="3">
        <v>25</v>
      </c>
      <c r="F406">
        <v>20160129</v>
      </c>
      <c r="G406" t="s">
        <v>32</v>
      </c>
      <c r="H406" t="s">
        <v>191</v>
      </c>
      <c r="I406">
        <v>0</v>
      </c>
      <c r="J406" t="s">
        <v>15</v>
      </c>
      <c r="K406" t="s">
        <v>33</v>
      </c>
      <c r="L406" t="s">
        <v>17</v>
      </c>
      <c r="M406" t="str">
        <f t="shared" si="24"/>
        <v>01</v>
      </c>
      <c r="N406" t="s">
        <v>12</v>
      </c>
    </row>
    <row r="407" spans="1:14" x14ac:dyDescent="0.25">
      <c r="A407">
        <v>20160129</v>
      </c>
      <c r="B407" t="str">
        <f>"021111"</f>
        <v>021111</v>
      </c>
      <c r="C407" t="str">
        <f>"24960"</f>
        <v>24960</v>
      </c>
      <c r="D407" t="s">
        <v>39</v>
      </c>
      <c r="E407" s="3">
        <v>242.06</v>
      </c>
      <c r="F407">
        <v>20160129</v>
      </c>
      <c r="G407" t="s">
        <v>40</v>
      </c>
      <c r="H407" t="s">
        <v>192</v>
      </c>
      <c r="I407">
        <v>0</v>
      </c>
      <c r="J407" t="s">
        <v>15</v>
      </c>
      <c r="K407" t="s">
        <v>42</v>
      </c>
      <c r="L407" t="s">
        <v>17</v>
      </c>
      <c r="M407" t="str">
        <f t="shared" si="24"/>
        <v>01</v>
      </c>
      <c r="N407" t="s">
        <v>12</v>
      </c>
    </row>
    <row r="408" spans="1:14" x14ac:dyDescent="0.25">
      <c r="A408">
        <v>20160129</v>
      </c>
      <c r="B408" t="str">
        <f>"021112"</f>
        <v>021112</v>
      </c>
      <c r="C408" t="str">
        <f>"42245"</f>
        <v>42245</v>
      </c>
      <c r="D408" t="s">
        <v>43</v>
      </c>
      <c r="E408" s="3">
        <v>363.76</v>
      </c>
      <c r="F408">
        <v>20160129</v>
      </c>
      <c r="G408" t="s">
        <v>44</v>
      </c>
      <c r="H408" t="s">
        <v>190</v>
      </c>
      <c r="I408">
        <v>0</v>
      </c>
      <c r="J408" t="s">
        <v>15</v>
      </c>
      <c r="K408" t="s">
        <v>45</v>
      </c>
      <c r="L408" t="s">
        <v>17</v>
      </c>
      <c r="M408" t="str">
        <f t="shared" si="24"/>
        <v>01</v>
      </c>
      <c r="N408" t="s">
        <v>12</v>
      </c>
    </row>
    <row r="409" spans="1:14" x14ac:dyDescent="0.25">
      <c r="A409">
        <v>20160129</v>
      </c>
      <c r="B409" t="str">
        <f>"021113"</f>
        <v>021113</v>
      </c>
      <c r="C409" t="str">
        <f>"48947"</f>
        <v>48947</v>
      </c>
      <c r="D409" t="s">
        <v>46</v>
      </c>
      <c r="E409" s="3">
        <v>25.38</v>
      </c>
      <c r="F409">
        <v>20160129</v>
      </c>
      <c r="G409" t="s">
        <v>47</v>
      </c>
      <c r="H409" t="s">
        <v>192</v>
      </c>
      <c r="I409">
        <v>0</v>
      </c>
      <c r="J409" t="s">
        <v>15</v>
      </c>
      <c r="K409" t="s">
        <v>48</v>
      </c>
      <c r="L409" t="s">
        <v>17</v>
      </c>
      <c r="M409" t="str">
        <f t="shared" si="24"/>
        <v>01</v>
      </c>
      <c r="N409" t="s">
        <v>12</v>
      </c>
    </row>
    <row r="410" spans="1:14" x14ac:dyDescent="0.25">
      <c r="A410">
        <v>20160129</v>
      </c>
      <c r="B410" t="str">
        <f>"021114"</f>
        <v>021114</v>
      </c>
      <c r="C410" t="str">
        <f>"54196"</f>
        <v>54196</v>
      </c>
      <c r="D410" t="s">
        <v>49</v>
      </c>
      <c r="E410" s="3">
        <v>50</v>
      </c>
      <c r="F410">
        <v>20160129</v>
      </c>
      <c r="G410" t="s">
        <v>50</v>
      </c>
      <c r="H410" t="s">
        <v>193</v>
      </c>
      <c r="I410">
        <v>0</v>
      </c>
      <c r="J410" t="s">
        <v>15</v>
      </c>
      <c r="K410" t="s">
        <v>52</v>
      </c>
      <c r="L410" t="s">
        <v>17</v>
      </c>
      <c r="M410" t="str">
        <f t="shared" si="24"/>
        <v>01</v>
      </c>
      <c r="N410" t="s">
        <v>12</v>
      </c>
    </row>
    <row r="411" spans="1:14" x14ac:dyDescent="0.25">
      <c r="A411">
        <v>20160129</v>
      </c>
      <c r="B411" t="str">
        <f>"021115"</f>
        <v>021115</v>
      </c>
      <c r="C411" t="str">
        <f>"72601"</f>
        <v>72601</v>
      </c>
      <c r="D411" t="s">
        <v>53</v>
      </c>
      <c r="E411" s="3">
        <v>256.3</v>
      </c>
      <c r="F411">
        <v>20160129</v>
      </c>
      <c r="G411" t="s">
        <v>54</v>
      </c>
      <c r="H411" t="s">
        <v>191</v>
      </c>
      <c r="I411">
        <v>0</v>
      </c>
      <c r="J411" t="s">
        <v>15</v>
      </c>
      <c r="K411" t="s">
        <v>55</v>
      </c>
      <c r="L411" t="s">
        <v>17</v>
      </c>
      <c r="M411" t="str">
        <f t="shared" si="24"/>
        <v>01</v>
      </c>
      <c r="N411" t="s">
        <v>12</v>
      </c>
    </row>
    <row r="412" spans="1:14" x14ac:dyDescent="0.25">
      <c r="A412">
        <v>20160129</v>
      </c>
      <c r="B412" t="str">
        <f>"021116"</f>
        <v>021116</v>
      </c>
      <c r="C412" t="str">
        <f>"75452"</f>
        <v>75452</v>
      </c>
      <c r="D412" t="s">
        <v>56</v>
      </c>
      <c r="E412" s="3">
        <v>370.84</v>
      </c>
      <c r="F412">
        <v>20160129</v>
      </c>
      <c r="G412" t="s">
        <v>57</v>
      </c>
      <c r="H412" t="s">
        <v>190</v>
      </c>
      <c r="I412">
        <v>0</v>
      </c>
      <c r="J412" t="s">
        <v>15</v>
      </c>
      <c r="K412" t="s">
        <v>58</v>
      </c>
      <c r="L412" t="s">
        <v>17</v>
      </c>
      <c r="M412" t="str">
        <f t="shared" si="24"/>
        <v>01</v>
      </c>
      <c r="N412" t="s">
        <v>12</v>
      </c>
    </row>
    <row r="413" spans="1:14" x14ac:dyDescent="0.25">
      <c r="A413">
        <v>20160129</v>
      </c>
      <c r="B413" t="str">
        <f>"021117"</f>
        <v>021117</v>
      </c>
      <c r="C413" t="str">
        <f>"81173"</f>
        <v>81173</v>
      </c>
      <c r="D413" t="s">
        <v>59</v>
      </c>
      <c r="E413" s="3">
        <v>25</v>
      </c>
      <c r="F413">
        <v>20160129</v>
      </c>
      <c r="G413" t="s">
        <v>60</v>
      </c>
      <c r="H413" t="s">
        <v>191</v>
      </c>
      <c r="I413">
        <v>0</v>
      </c>
      <c r="J413" t="s">
        <v>15</v>
      </c>
      <c r="K413" t="s">
        <v>61</v>
      </c>
      <c r="L413" t="s">
        <v>17</v>
      </c>
      <c r="M413" t="str">
        <f t="shared" si="24"/>
        <v>01</v>
      </c>
      <c r="N413" t="s">
        <v>12</v>
      </c>
    </row>
    <row r="414" spans="1:14" x14ac:dyDescent="0.25">
      <c r="A414">
        <v>20160129</v>
      </c>
      <c r="B414" t="str">
        <f>"021118"</f>
        <v>021118</v>
      </c>
      <c r="C414" t="str">
        <f>"81174"</f>
        <v>81174</v>
      </c>
      <c r="D414" t="s">
        <v>62</v>
      </c>
      <c r="E414" s="3">
        <v>60</v>
      </c>
      <c r="F414">
        <v>20160129</v>
      </c>
      <c r="G414" t="s">
        <v>63</v>
      </c>
      <c r="H414" t="s">
        <v>191</v>
      </c>
      <c r="I414">
        <v>0</v>
      </c>
      <c r="J414" t="s">
        <v>15</v>
      </c>
      <c r="K414" t="s">
        <v>64</v>
      </c>
      <c r="L414" t="s">
        <v>17</v>
      </c>
      <c r="M414" t="str">
        <f t="shared" si="24"/>
        <v>01</v>
      </c>
      <c r="N414" t="s">
        <v>12</v>
      </c>
    </row>
    <row r="415" spans="1:14" x14ac:dyDescent="0.25">
      <c r="A415">
        <v>20160129</v>
      </c>
      <c r="B415" t="str">
        <f>"021119"</f>
        <v>021119</v>
      </c>
      <c r="C415" t="str">
        <f>"81753"</f>
        <v>81753</v>
      </c>
      <c r="D415" t="s">
        <v>68</v>
      </c>
      <c r="E415" s="3">
        <v>35.590000000000003</v>
      </c>
      <c r="F415">
        <v>20160129</v>
      </c>
      <c r="G415" t="s">
        <v>69</v>
      </c>
      <c r="H415" t="s">
        <v>191</v>
      </c>
      <c r="I415">
        <v>0</v>
      </c>
      <c r="J415" t="s">
        <v>15</v>
      </c>
      <c r="K415" t="s">
        <v>68</v>
      </c>
      <c r="L415" t="s">
        <v>17</v>
      </c>
      <c r="M415" t="str">
        <f t="shared" si="24"/>
        <v>01</v>
      </c>
      <c r="N415" t="s">
        <v>12</v>
      </c>
    </row>
    <row r="416" spans="1:14" x14ac:dyDescent="0.25">
      <c r="A416">
        <v>20160212</v>
      </c>
      <c r="B416" t="str">
        <f>"021164"</f>
        <v>021164</v>
      </c>
      <c r="C416" t="str">
        <f>"04831"</f>
        <v>04831</v>
      </c>
      <c r="D416" t="s">
        <v>11</v>
      </c>
      <c r="E416" s="3">
        <v>56.1</v>
      </c>
      <c r="F416">
        <v>20160212</v>
      </c>
      <c r="G416" t="s">
        <v>13</v>
      </c>
      <c r="H416" t="s">
        <v>198</v>
      </c>
      <c r="I416">
        <v>0</v>
      </c>
      <c r="J416" t="s">
        <v>15</v>
      </c>
      <c r="K416" t="s">
        <v>16</v>
      </c>
      <c r="L416" t="s">
        <v>17</v>
      </c>
      <c r="M416" t="str">
        <f t="shared" ref="M416:M447" si="25">"02"</f>
        <v>02</v>
      </c>
      <c r="N416" t="s">
        <v>12</v>
      </c>
    </row>
    <row r="417" spans="1:14" x14ac:dyDescent="0.25">
      <c r="A417">
        <v>20160212</v>
      </c>
      <c r="B417" t="str">
        <f>"021165"</f>
        <v>021165</v>
      </c>
      <c r="C417" t="str">
        <f>"04905"</f>
        <v>04905</v>
      </c>
      <c r="D417" t="s">
        <v>18</v>
      </c>
      <c r="E417" s="3">
        <v>18.329999999999998</v>
      </c>
      <c r="F417">
        <v>20160212</v>
      </c>
      <c r="G417" t="s">
        <v>19</v>
      </c>
      <c r="H417" t="s">
        <v>199</v>
      </c>
      <c r="I417">
        <v>0</v>
      </c>
      <c r="J417" t="s">
        <v>15</v>
      </c>
      <c r="K417" t="s">
        <v>21</v>
      </c>
      <c r="L417" t="s">
        <v>17</v>
      </c>
      <c r="M417" t="str">
        <f t="shared" si="25"/>
        <v>02</v>
      </c>
      <c r="N417" t="s">
        <v>12</v>
      </c>
    </row>
    <row r="418" spans="1:14" x14ac:dyDescent="0.25">
      <c r="A418">
        <v>20160212</v>
      </c>
      <c r="B418" t="str">
        <f>"021166"</f>
        <v>021166</v>
      </c>
      <c r="C418" t="str">
        <f>"04987"</f>
        <v>04987</v>
      </c>
      <c r="D418" t="s">
        <v>144</v>
      </c>
      <c r="E418" s="3">
        <v>27.74</v>
      </c>
      <c r="F418">
        <v>20160212</v>
      </c>
      <c r="G418" t="s">
        <v>35</v>
      </c>
      <c r="H418" t="s">
        <v>198</v>
      </c>
      <c r="I418">
        <v>0</v>
      </c>
      <c r="J418" t="s">
        <v>15</v>
      </c>
      <c r="K418" t="s">
        <v>36</v>
      </c>
      <c r="L418" t="s">
        <v>17</v>
      </c>
      <c r="M418" t="str">
        <f t="shared" si="25"/>
        <v>02</v>
      </c>
      <c r="N418" t="s">
        <v>12</v>
      </c>
    </row>
    <row r="419" spans="1:14" x14ac:dyDescent="0.25">
      <c r="A419">
        <v>20160212</v>
      </c>
      <c r="B419" t="str">
        <f>"021167"</f>
        <v>021167</v>
      </c>
      <c r="C419" t="str">
        <f>"07710"</f>
        <v>07710</v>
      </c>
      <c r="D419" t="s">
        <v>22</v>
      </c>
      <c r="E419" s="3">
        <v>6.67</v>
      </c>
      <c r="F419">
        <v>20160212</v>
      </c>
      <c r="G419" t="s">
        <v>23</v>
      </c>
      <c r="H419" t="s">
        <v>199</v>
      </c>
      <c r="I419">
        <v>0</v>
      </c>
      <c r="J419" t="s">
        <v>15</v>
      </c>
      <c r="K419" t="s">
        <v>24</v>
      </c>
      <c r="L419" t="s">
        <v>17</v>
      </c>
      <c r="M419" t="str">
        <f t="shared" si="25"/>
        <v>02</v>
      </c>
      <c r="N419" t="s">
        <v>12</v>
      </c>
    </row>
    <row r="420" spans="1:14" x14ac:dyDescent="0.25">
      <c r="A420">
        <v>20160212</v>
      </c>
      <c r="B420" t="str">
        <f>"021168"</f>
        <v>021168</v>
      </c>
      <c r="C420" t="str">
        <f>"07880"</f>
        <v>07880</v>
      </c>
      <c r="D420" t="s">
        <v>25</v>
      </c>
      <c r="E420" s="3">
        <v>393.3</v>
      </c>
      <c r="F420">
        <v>20160212</v>
      </c>
      <c r="G420" t="s">
        <v>26</v>
      </c>
      <c r="H420" t="s">
        <v>199</v>
      </c>
      <c r="I420">
        <v>0</v>
      </c>
      <c r="J420" t="s">
        <v>15</v>
      </c>
      <c r="K420" t="s">
        <v>27</v>
      </c>
      <c r="L420" t="s">
        <v>17</v>
      </c>
      <c r="M420" t="str">
        <f t="shared" si="25"/>
        <v>02</v>
      </c>
      <c r="N420" t="s">
        <v>12</v>
      </c>
    </row>
    <row r="421" spans="1:14" x14ac:dyDescent="0.25">
      <c r="A421">
        <v>20160212</v>
      </c>
      <c r="B421" t="str">
        <f>"021169"</f>
        <v>021169</v>
      </c>
      <c r="C421" t="str">
        <f>"11211"</f>
        <v>11211</v>
      </c>
      <c r="D421" t="s">
        <v>28</v>
      </c>
      <c r="E421" s="3">
        <v>128.97999999999999</v>
      </c>
      <c r="F421">
        <v>20160212</v>
      </c>
      <c r="G421" t="s">
        <v>29</v>
      </c>
      <c r="H421" t="s">
        <v>198</v>
      </c>
      <c r="I421">
        <v>0</v>
      </c>
      <c r="J421" t="s">
        <v>15</v>
      </c>
      <c r="K421" t="s">
        <v>30</v>
      </c>
      <c r="L421" t="s">
        <v>17</v>
      </c>
      <c r="M421" t="str">
        <f t="shared" si="25"/>
        <v>02</v>
      </c>
      <c r="N421" t="s">
        <v>12</v>
      </c>
    </row>
    <row r="422" spans="1:14" x14ac:dyDescent="0.25">
      <c r="A422">
        <v>20160212</v>
      </c>
      <c r="B422" t="str">
        <f>"021170"</f>
        <v>021170</v>
      </c>
      <c r="C422" t="str">
        <f>"14177"</f>
        <v>14177</v>
      </c>
      <c r="D422" t="s">
        <v>31</v>
      </c>
      <c r="E422" s="3">
        <v>25</v>
      </c>
      <c r="F422">
        <v>20160212</v>
      </c>
      <c r="G422" t="s">
        <v>32</v>
      </c>
      <c r="H422" t="s">
        <v>199</v>
      </c>
      <c r="I422">
        <v>0</v>
      </c>
      <c r="J422" t="s">
        <v>15</v>
      </c>
      <c r="K422" t="s">
        <v>33</v>
      </c>
      <c r="L422" t="s">
        <v>17</v>
      </c>
      <c r="M422" t="str">
        <f t="shared" si="25"/>
        <v>02</v>
      </c>
      <c r="N422" t="s">
        <v>12</v>
      </c>
    </row>
    <row r="423" spans="1:14" x14ac:dyDescent="0.25">
      <c r="A423">
        <v>20160212</v>
      </c>
      <c r="B423" t="str">
        <f>"021171"</f>
        <v>021171</v>
      </c>
      <c r="C423" t="str">
        <f>"24960"</f>
        <v>24960</v>
      </c>
      <c r="D423" t="s">
        <v>39</v>
      </c>
      <c r="E423" s="3">
        <v>259.77999999999997</v>
      </c>
      <c r="F423">
        <v>20160212</v>
      </c>
      <c r="G423" t="s">
        <v>40</v>
      </c>
      <c r="H423" t="s">
        <v>200</v>
      </c>
      <c r="I423">
        <v>0</v>
      </c>
      <c r="J423" t="s">
        <v>15</v>
      </c>
      <c r="K423" t="s">
        <v>42</v>
      </c>
      <c r="L423" t="s">
        <v>17</v>
      </c>
      <c r="M423" t="str">
        <f t="shared" si="25"/>
        <v>02</v>
      </c>
      <c r="N423" t="s">
        <v>12</v>
      </c>
    </row>
    <row r="424" spans="1:14" x14ac:dyDescent="0.25">
      <c r="A424">
        <v>20160212</v>
      </c>
      <c r="B424" t="str">
        <f>"021172"</f>
        <v>021172</v>
      </c>
      <c r="C424" t="str">
        <f>"42245"</f>
        <v>42245</v>
      </c>
      <c r="D424" t="s">
        <v>43</v>
      </c>
      <c r="E424" s="3">
        <v>337.96</v>
      </c>
      <c r="F424">
        <v>20160212</v>
      </c>
      <c r="G424" t="s">
        <v>44</v>
      </c>
      <c r="H424" t="s">
        <v>198</v>
      </c>
      <c r="I424">
        <v>0</v>
      </c>
      <c r="J424" t="s">
        <v>15</v>
      </c>
      <c r="K424" t="s">
        <v>45</v>
      </c>
      <c r="L424" t="s">
        <v>17</v>
      </c>
      <c r="M424" t="str">
        <f t="shared" si="25"/>
        <v>02</v>
      </c>
      <c r="N424" t="s">
        <v>12</v>
      </c>
    </row>
    <row r="425" spans="1:14" x14ac:dyDescent="0.25">
      <c r="A425">
        <v>20160212</v>
      </c>
      <c r="B425" t="str">
        <f>"021173"</f>
        <v>021173</v>
      </c>
      <c r="C425" t="str">
        <f>"48947"</f>
        <v>48947</v>
      </c>
      <c r="D425" t="s">
        <v>46</v>
      </c>
      <c r="E425" s="3">
        <v>25.38</v>
      </c>
      <c r="F425">
        <v>20160212</v>
      </c>
      <c r="G425" t="s">
        <v>47</v>
      </c>
      <c r="H425" t="s">
        <v>200</v>
      </c>
      <c r="I425">
        <v>0</v>
      </c>
      <c r="J425" t="s">
        <v>15</v>
      </c>
      <c r="K425" t="s">
        <v>48</v>
      </c>
      <c r="L425" t="s">
        <v>17</v>
      </c>
      <c r="M425" t="str">
        <f t="shared" si="25"/>
        <v>02</v>
      </c>
      <c r="N425" t="s">
        <v>12</v>
      </c>
    </row>
    <row r="426" spans="1:14" x14ac:dyDescent="0.25">
      <c r="A426">
        <v>20160212</v>
      </c>
      <c r="B426" t="str">
        <f>"021174"</f>
        <v>021174</v>
      </c>
      <c r="C426" t="str">
        <f>"54196"</f>
        <v>54196</v>
      </c>
      <c r="D426" t="s">
        <v>49</v>
      </c>
      <c r="E426" s="3">
        <v>50</v>
      </c>
      <c r="F426">
        <v>20160212</v>
      </c>
      <c r="G426" t="s">
        <v>50</v>
      </c>
      <c r="H426" t="s">
        <v>201</v>
      </c>
      <c r="I426">
        <v>0</v>
      </c>
      <c r="J426" t="s">
        <v>15</v>
      </c>
      <c r="K426" t="s">
        <v>52</v>
      </c>
      <c r="L426" t="s">
        <v>17</v>
      </c>
      <c r="M426" t="str">
        <f t="shared" si="25"/>
        <v>02</v>
      </c>
      <c r="N426" t="s">
        <v>12</v>
      </c>
    </row>
    <row r="427" spans="1:14" x14ac:dyDescent="0.25">
      <c r="A427">
        <v>20160212</v>
      </c>
      <c r="B427" t="str">
        <f>"021175"</f>
        <v>021175</v>
      </c>
      <c r="C427" t="str">
        <f>"72601"</f>
        <v>72601</v>
      </c>
      <c r="D427" t="s">
        <v>53</v>
      </c>
      <c r="E427" s="3">
        <v>256.3</v>
      </c>
      <c r="F427">
        <v>20160212</v>
      </c>
      <c r="G427" t="s">
        <v>54</v>
      </c>
      <c r="H427" t="s">
        <v>199</v>
      </c>
      <c r="I427">
        <v>0</v>
      </c>
      <c r="J427" t="s">
        <v>15</v>
      </c>
      <c r="K427" t="s">
        <v>55</v>
      </c>
      <c r="L427" t="s">
        <v>17</v>
      </c>
      <c r="M427" t="str">
        <f t="shared" si="25"/>
        <v>02</v>
      </c>
      <c r="N427" t="s">
        <v>12</v>
      </c>
    </row>
    <row r="428" spans="1:14" x14ac:dyDescent="0.25">
      <c r="A428">
        <v>20160212</v>
      </c>
      <c r="B428" t="str">
        <f>"021176"</f>
        <v>021176</v>
      </c>
      <c r="C428" t="str">
        <f>"75452"</f>
        <v>75452</v>
      </c>
      <c r="D428" t="s">
        <v>56</v>
      </c>
      <c r="E428" s="3">
        <v>670.84</v>
      </c>
      <c r="F428">
        <v>20160212</v>
      </c>
      <c r="G428" t="s">
        <v>57</v>
      </c>
      <c r="H428" t="s">
        <v>198</v>
      </c>
      <c r="I428">
        <v>0</v>
      </c>
      <c r="J428" t="s">
        <v>15</v>
      </c>
      <c r="K428" t="s">
        <v>58</v>
      </c>
      <c r="L428" t="s">
        <v>17</v>
      </c>
      <c r="M428" t="str">
        <f t="shared" si="25"/>
        <v>02</v>
      </c>
      <c r="N428" t="s">
        <v>12</v>
      </c>
    </row>
    <row r="429" spans="1:14" x14ac:dyDescent="0.25">
      <c r="A429">
        <v>20160212</v>
      </c>
      <c r="B429" t="str">
        <f>"021177"</f>
        <v>021177</v>
      </c>
      <c r="C429" t="str">
        <f>"81173"</f>
        <v>81173</v>
      </c>
      <c r="D429" t="s">
        <v>59</v>
      </c>
      <c r="E429" s="3">
        <v>25</v>
      </c>
      <c r="F429">
        <v>20160212</v>
      </c>
      <c r="G429" t="s">
        <v>60</v>
      </c>
      <c r="H429" t="s">
        <v>199</v>
      </c>
      <c r="I429">
        <v>0</v>
      </c>
      <c r="J429" t="s">
        <v>15</v>
      </c>
      <c r="K429" t="s">
        <v>61</v>
      </c>
      <c r="L429" t="s">
        <v>17</v>
      </c>
      <c r="M429" t="str">
        <f t="shared" si="25"/>
        <v>02</v>
      </c>
      <c r="N429" t="s">
        <v>12</v>
      </c>
    </row>
    <row r="430" spans="1:14" x14ac:dyDescent="0.25">
      <c r="A430">
        <v>20160212</v>
      </c>
      <c r="B430" t="str">
        <f>"021178"</f>
        <v>021178</v>
      </c>
      <c r="C430" t="str">
        <f>"81174"</f>
        <v>81174</v>
      </c>
      <c r="D430" t="s">
        <v>62</v>
      </c>
      <c r="E430" s="3">
        <v>60</v>
      </c>
      <c r="F430">
        <v>20160212</v>
      </c>
      <c r="G430" t="s">
        <v>63</v>
      </c>
      <c r="H430" t="s">
        <v>199</v>
      </c>
      <c r="I430">
        <v>0</v>
      </c>
      <c r="J430" t="s">
        <v>15</v>
      </c>
      <c r="K430" t="s">
        <v>64</v>
      </c>
      <c r="L430" t="s">
        <v>17</v>
      </c>
      <c r="M430" t="str">
        <f t="shared" si="25"/>
        <v>02</v>
      </c>
      <c r="N430" t="s">
        <v>12</v>
      </c>
    </row>
    <row r="431" spans="1:14" x14ac:dyDescent="0.25">
      <c r="A431">
        <v>20160212</v>
      </c>
      <c r="B431" t="str">
        <f>"021179"</f>
        <v>021179</v>
      </c>
      <c r="C431" t="str">
        <f>"81753"</f>
        <v>81753</v>
      </c>
      <c r="D431" t="s">
        <v>68</v>
      </c>
      <c r="E431" s="3">
        <v>62.16</v>
      </c>
      <c r="F431">
        <v>20160212</v>
      </c>
      <c r="G431" t="s">
        <v>69</v>
      </c>
      <c r="H431" t="s">
        <v>199</v>
      </c>
      <c r="I431">
        <v>0</v>
      </c>
      <c r="J431" t="s">
        <v>15</v>
      </c>
      <c r="K431" t="s">
        <v>68</v>
      </c>
      <c r="L431" t="s">
        <v>17</v>
      </c>
      <c r="M431" t="str">
        <f t="shared" si="25"/>
        <v>02</v>
      </c>
      <c r="N431" t="s">
        <v>12</v>
      </c>
    </row>
    <row r="432" spans="1:14" x14ac:dyDescent="0.25">
      <c r="A432">
        <v>20160212</v>
      </c>
      <c r="B432" t="str">
        <f>"021180"</f>
        <v>021180</v>
      </c>
      <c r="C432" t="str">
        <f>"04831"</f>
        <v>04831</v>
      </c>
      <c r="D432" t="s">
        <v>11</v>
      </c>
      <c r="E432" s="3">
        <v>1203.9100000000001</v>
      </c>
      <c r="F432">
        <v>20160212</v>
      </c>
      <c r="G432" t="s">
        <v>13</v>
      </c>
      <c r="H432" t="s">
        <v>198</v>
      </c>
      <c r="I432">
        <v>0</v>
      </c>
      <c r="J432" t="s">
        <v>15</v>
      </c>
      <c r="K432" t="s">
        <v>16</v>
      </c>
      <c r="L432" t="s">
        <v>17</v>
      </c>
      <c r="M432" t="str">
        <f t="shared" si="25"/>
        <v>02</v>
      </c>
      <c r="N432" t="s">
        <v>12</v>
      </c>
    </row>
    <row r="433" spans="1:14" x14ac:dyDescent="0.25">
      <c r="A433">
        <v>20160212</v>
      </c>
      <c r="B433" t="str">
        <f>"021181"</f>
        <v>021181</v>
      </c>
      <c r="C433" t="str">
        <f>"04905"</f>
        <v>04905</v>
      </c>
      <c r="D433" t="s">
        <v>18</v>
      </c>
      <c r="E433" s="3">
        <v>2806.66</v>
      </c>
      <c r="F433">
        <v>20160212</v>
      </c>
      <c r="G433" t="s">
        <v>19</v>
      </c>
      <c r="H433" t="s">
        <v>199</v>
      </c>
      <c r="I433">
        <v>0</v>
      </c>
      <c r="J433" t="s">
        <v>15</v>
      </c>
      <c r="K433" t="s">
        <v>21</v>
      </c>
      <c r="L433" t="s">
        <v>17</v>
      </c>
      <c r="M433" t="str">
        <f t="shared" si="25"/>
        <v>02</v>
      </c>
      <c r="N433" t="s">
        <v>12</v>
      </c>
    </row>
    <row r="434" spans="1:14" x14ac:dyDescent="0.25">
      <c r="A434">
        <v>20160212</v>
      </c>
      <c r="B434" t="str">
        <f>"021182"</f>
        <v>021182</v>
      </c>
      <c r="C434" t="str">
        <f>"04987"</f>
        <v>04987</v>
      </c>
      <c r="D434" t="s">
        <v>144</v>
      </c>
      <c r="E434" s="3">
        <v>488.36</v>
      </c>
      <c r="F434">
        <v>20160212</v>
      </c>
      <c r="G434" t="s">
        <v>35</v>
      </c>
      <c r="H434" t="s">
        <v>198</v>
      </c>
      <c r="I434">
        <v>0</v>
      </c>
      <c r="J434" t="s">
        <v>15</v>
      </c>
      <c r="K434" t="s">
        <v>36</v>
      </c>
      <c r="L434" t="s">
        <v>17</v>
      </c>
      <c r="M434" t="str">
        <f t="shared" si="25"/>
        <v>02</v>
      </c>
      <c r="N434" t="s">
        <v>12</v>
      </c>
    </row>
    <row r="435" spans="1:14" x14ac:dyDescent="0.25">
      <c r="A435">
        <v>20160212</v>
      </c>
      <c r="B435" t="str">
        <f>"021183"</f>
        <v>021183</v>
      </c>
      <c r="C435" t="str">
        <f>"07710"</f>
        <v>07710</v>
      </c>
      <c r="D435" t="s">
        <v>22</v>
      </c>
      <c r="E435" s="3">
        <v>327.42</v>
      </c>
      <c r="F435">
        <v>20160212</v>
      </c>
      <c r="G435" t="s">
        <v>23</v>
      </c>
      <c r="H435" t="s">
        <v>199</v>
      </c>
      <c r="I435">
        <v>0</v>
      </c>
      <c r="J435" t="s">
        <v>15</v>
      </c>
      <c r="K435" t="s">
        <v>24</v>
      </c>
      <c r="L435" t="s">
        <v>17</v>
      </c>
      <c r="M435" t="str">
        <f t="shared" si="25"/>
        <v>02</v>
      </c>
      <c r="N435" t="s">
        <v>12</v>
      </c>
    </row>
    <row r="436" spans="1:14" x14ac:dyDescent="0.25">
      <c r="A436">
        <v>20160212</v>
      </c>
      <c r="B436" t="str">
        <f>"021184"</f>
        <v>021184</v>
      </c>
      <c r="C436" t="str">
        <f>"07880"</f>
        <v>07880</v>
      </c>
      <c r="D436" t="s">
        <v>25</v>
      </c>
      <c r="E436" s="3">
        <v>4261.3999999999996</v>
      </c>
      <c r="F436">
        <v>20160212</v>
      </c>
      <c r="G436" t="s">
        <v>26</v>
      </c>
      <c r="H436" t="s">
        <v>199</v>
      </c>
      <c r="I436">
        <v>0</v>
      </c>
      <c r="J436" t="s">
        <v>15</v>
      </c>
      <c r="K436" t="s">
        <v>27</v>
      </c>
      <c r="L436" t="s">
        <v>17</v>
      </c>
      <c r="M436" t="str">
        <f t="shared" si="25"/>
        <v>02</v>
      </c>
      <c r="N436" t="s">
        <v>12</v>
      </c>
    </row>
    <row r="437" spans="1:14" x14ac:dyDescent="0.25">
      <c r="A437">
        <v>20160212</v>
      </c>
      <c r="B437" t="str">
        <f>"021185"</f>
        <v>021185</v>
      </c>
      <c r="C437" t="str">
        <f>"10095"</f>
        <v>10095</v>
      </c>
      <c r="D437" t="s">
        <v>70</v>
      </c>
      <c r="E437" s="3">
        <v>528.26</v>
      </c>
      <c r="F437">
        <v>20160212</v>
      </c>
      <c r="G437" t="s">
        <v>71</v>
      </c>
      <c r="H437" t="s">
        <v>199</v>
      </c>
      <c r="I437">
        <v>0</v>
      </c>
      <c r="J437" t="s">
        <v>15</v>
      </c>
      <c r="K437" t="s">
        <v>72</v>
      </c>
      <c r="L437" t="s">
        <v>17</v>
      </c>
      <c r="M437" t="str">
        <f t="shared" si="25"/>
        <v>02</v>
      </c>
      <c r="N437" t="s">
        <v>12</v>
      </c>
    </row>
    <row r="438" spans="1:14" x14ac:dyDescent="0.25">
      <c r="A438">
        <v>20160212</v>
      </c>
      <c r="B438" t="str">
        <f>"021186"</f>
        <v>021186</v>
      </c>
      <c r="C438" t="str">
        <f>"11211"</f>
        <v>11211</v>
      </c>
      <c r="D438" t="s">
        <v>28</v>
      </c>
      <c r="E438" s="3">
        <v>2346.75</v>
      </c>
      <c r="F438">
        <v>20160212</v>
      </c>
      <c r="G438" t="s">
        <v>29</v>
      </c>
      <c r="H438" t="s">
        <v>198</v>
      </c>
      <c r="I438">
        <v>0</v>
      </c>
      <c r="J438" t="s">
        <v>15</v>
      </c>
      <c r="K438" t="s">
        <v>30</v>
      </c>
      <c r="L438" t="s">
        <v>17</v>
      </c>
      <c r="M438" t="str">
        <f t="shared" si="25"/>
        <v>02</v>
      </c>
      <c r="N438" t="s">
        <v>12</v>
      </c>
    </row>
    <row r="439" spans="1:14" x14ac:dyDescent="0.25">
      <c r="A439">
        <v>20160212</v>
      </c>
      <c r="B439" t="str">
        <f>"021187"</f>
        <v>021187</v>
      </c>
      <c r="C439" t="str">
        <f>"14177"</f>
        <v>14177</v>
      </c>
      <c r="D439" t="s">
        <v>31</v>
      </c>
      <c r="E439" s="3">
        <v>50</v>
      </c>
      <c r="F439">
        <v>20160212</v>
      </c>
      <c r="G439" t="s">
        <v>32</v>
      </c>
      <c r="H439" t="s">
        <v>199</v>
      </c>
      <c r="I439">
        <v>0</v>
      </c>
      <c r="J439" t="s">
        <v>15</v>
      </c>
      <c r="K439" t="s">
        <v>33</v>
      </c>
      <c r="L439" t="s">
        <v>17</v>
      </c>
      <c r="M439" t="str">
        <f t="shared" si="25"/>
        <v>02</v>
      </c>
      <c r="N439" t="s">
        <v>12</v>
      </c>
    </row>
    <row r="440" spans="1:14" x14ac:dyDescent="0.25">
      <c r="A440">
        <v>20160212</v>
      </c>
      <c r="B440" t="str">
        <f>"021188"</f>
        <v>021188</v>
      </c>
      <c r="C440" t="str">
        <f>"19103"</f>
        <v>19103</v>
      </c>
      <c r="D440" t="s">
        <v>73</v>
      </c>
      <c r="E440" s="3">
        <v>225</v>
      </c>
      <c r="F440">
        <v>20160212</v>
      </c>
      <c r="G440" t="s">
        <v>74</v>
      </c>
      <c r="H440" t="s">
        <v>199</v>
      </c>
      <c r="I440">
        <v>0</v>
      </c>
      <c r="J440" t="s">
        <v>15</v>
      </c>
      <c r="K440" t="s">
        <v>75</v>
      </c>
      <c r="L440" t="s">
        <v>17</v>
      </c>
      <c r="M440" t="str">
        <f t="shared" si="25"/>
        <v>02</v>
      </c>
      <c r="N440" t="s">
        <v>12</v>
      </c>
    </row>
    <row r="441" spans="1:14" x14ac:dyDescent="0.25">
      <c r="A441">
        <v>20160212</v>
      </c>
      <c r="B441" t="str">
        <f>"021189"</f>
        <v>021189</v>
      </c>
      <c r="C441" t="str">
        <f>"20682"</f>
        <v>20682</v>
      </c>
      <c r="D441" t="s">
        <v>76</v>
      </c>
      <c r="E441" s="3">
        <v>5350</v>
      </c>
      <c r="F441">
        <v>20160212</v>
      </c>
      <c r="G441" t="s">
        <v>77</v>
      </c>
      <c r="H441" t="s">
        <v>199</v>
      </c>
      <c r="I441">
        <v>0</v>
      </c>
      <c r="J441" t="s">
        <v>15</v>
      </c>
      <c r="K441" t="s">
        <v>78</v>
      </c>
      <c r="L441" t="s">
        <v>17</v>
      </c>
      <c r="M441" t="str">
        <f t="shared" si="25"/>
        <v>02</v>
      </c>
      <c r="N441" t="s">
        <v>12</v>
      </c>
    </row>
    <row r="442" spans="1:14" x14ac:dyDescent="0.25">
      <c r="A442">
        <v>20160212</v>
      </c>
      <c r="B442" t="str">
        <f>"021190"</f>
        <v>021190</v>
      </c>
      <c r="C442" t="str">
        <f>"21504"</f>
        <v>21504</v>
      </c>
      <c r="D442" t="s">
        <v>79</v>
      </c>
      <c r="E442" s="3">
        <v>36.6</v>
      </c>
      <c r="F442">
        <v>20160212</v>
      </c>
      <c r="G442" t="s">
        <v>80</v>
      </c>
      <c r="H442" t="s">
        <v>198</v>
      </c>
      <c r="I442">
        <v>0</v>
      </c>
      <c r="J442" t="s">
        <v>15</v>
      </c>
      <c r="K442" t="s">
        <v>81</v>
      </c>
      <c r="L442" t="s">
        <v>17</v>
      </c>
      <c r="M442" t="str">
        <f t="shared" si="25"/>
        <v>02</v>
      </c>
      <c r="N442" t="s">
        <v>12</v>
      </c>
    </row>
    <row r="443" spans="1:14" x14ac:dyDescent="0.25">
      <c r="A443">
        <v>20160212</v>
      </c>
      <c r="B443" t="str">
        <f>"021191"</f>
        <v>021191</v>
      </c>
      <c r="C443" t="str">
        <f>"21506"</f>
        <v>21506</v>
      </c>
      <c r="D443" t="s">
        <v>34</v>
      </c>
      <c r="E443" s="3">
        <v>332.75</v>
      </c>
      <c r="F443">
        <v>20160212</v>
      </c>
      <c r="G443" t="s">
        <v>37</v>
      </c>
      <c r="H443" t="s">
        <v>198</v>
      </c>
      <c r="I443">
        <v>0</v>
      </c>
      <c r="J443" t="s">
        <v>15</v>
      </c>
      <c r="K443" t="s">
        <v>38</v>
      </c>
      <c r="L443" t="s">
        <v>17</v>
      </c>
      <c r="M443" t="str">
        <f t="shared" si="25"/>
        <v>02</v>
      </c>
      <c r="N443" t="s">
        <v>12</v>
      </c>
    </row>
    <row r="444" spans="1:14" x14ac:dyDescent="0.25">
      <c r="A444">
        <v>20160212</v>
      </c>
      <c r="B444" t="str">
        <f>"021192"</f>
        <v>021192</v>
      </c>
      <c r="C444" t="str">
        <f>"21826"</f>
        <v>21826</v>
      </c>
      <c r="D444" t="s">
        <v>82</v>
      </c>
      <c r="E444" s="3">
        <v>519.59</v>
      </c>
      <c r="F444">
        <v>20160212</v>
      </c>
      <c r="G444" t="s">
        <v>83</v>
      </c>
      <c r="H444" t="s">
        <v>199</v>
      </c>
      <c r="I444">
        <v>0</v>
      </c>
      <c r="J444" t="s">
        <v>15</v>
      </c>
      <c r="K444" t="s">
        <v>84</v>
      </c>
      <c r="L444" t="s">
        <v>17</v>
      </c>
      <c r="M444" t="str">
        <f t="shared" si="25"/>
        <v>02</v>
      </c>
      <c r="N444" t="s">
        <v>12</v>
      </c>
    </row>
    <row r="445" spans="1:14" x14ac:dyDescent="0.25">
      <c r="A445">
        <v>20160212</v>
      </c>
      <c r="B445" t="str">
        <f>"021193"</f>
        <v>021193</v>
      </c>
      <c r="C445" t="str">
        <f>"24960"</f>
        <v>24960</v>
      </c>
      <c r="D445" t="s">
        <v>39</v>
      </c>
      <c r="E445" s="3">
        <v>4090.34</v>
      </c>
      <c r="F445">
        <v>20160212</v>
      </c>
      <c r="G445" t="s">
        <v>40</v>
      </c>
      <c r="H445" t="s">
        <v>200</v>
      </c>
      <c r="I445">
        <v>0</v>
      </c>
      <c r="J445" t="s">
        <v>15</v>
      </c>
      <c r="K445" t="s">
        <v>42</v>
      </c>
      <c r="L445" t="s">
        <v>17</v>
      </c>
      <c r="M445" t="str">
        <f t="shared" si="25"/>
        <v>02</v>
      </c>
      <c r="N445" t="s">
        <v>12</v>
      </c>
    </row>
    <row r="446" spans="1:14" x14ac:dyDescent="0.25">
      <c r="A446">
        <v>20160212</v>
      </c>
      <c r="B446" t="str">
        <f>"021194"</f>
        <v>021194</v>
      </c>
      <c r="C446" t="str">
        <f>"42245"</f>
        <v>42245</v>
      </c>
      <c r="D446" t="s">
        <v>43</v>
      </c>
      <c r="E446" s="3">
        <v>9881.92</v>
      </c>
      <c r="F446">
        <v>20160212</v>
      </c>
      <c r="G446" t="s">
        <v>44</v>
      </c>
      <c r="H446" t="s">
        <v>198</v>
      </c>
      <c r="I446">
        <v>0</v>
      </c>
      <c r="J446" t="s">
        <v>15</v>
      </c>
      <c r="K446" t="s">
        <v>45</v>
      </c>
      <c r="L446" t="s">
        <v>17</v>
      </c>
      <c r="M446" t="str">
        <f t="shared" si="25"/>
        <v>02</v>
      </c>
      <c r="N446" t="s">
        <v>12</v>
      </c>
    </row>
    <row r="447" spans="1:14" x14ac:dyDescent="0.25">
      <c r="A447">
        <v>20160212</v>
      </c>
      <c r="B447" t="str">
        <f>"021195"</f>
        <v>021195</v>
      </c>
      <c r="C447" t="str">
        <f>"43855"</f>
        <v>43855</v>
      </c>
      <c r="D447" t="s">
        <v>88</v>
      </c>
      <c r="E447" s="3">
        <v>250</v>
      </c>
      <c r="F447">
        <v>20160212</v>
      </c>
      <c r="G447" t="s">
        <v>89</v>
      </c>
      <c r="H447" t="s">
        <v>199</v>
      </c>
      <c r="I447">
        <v>0</v>
      </c>
      <c r="J447" t="s">
        <v>15</v>
      </c>
      <c r="K447" t="s">
        <v>88</v>
      </c>
      <c r="L447" t="s">
        <v>17</v>
      </c>
      <c r="M447" t="str">
        <f t="shared" si="25"/>
        <v>02</v>
      </c>
      <c r="N447" t="s">
        <v>12</v>
      </c>
    </row>
    <row r="448" spans="1:14" x14ac:dyDescent="0.25">
      <c r="A448">
        <v>20160212</v>
      </c>
      <c r="B448" t="str">
        <f>"021196"</f>
        <v>021196</v>
      </c>
      <c r="C448" t="str">
        <f>"48947"</f>
        <v>48947</v>
      </c>
      <c r="D448" t="s">
        <v>46</v>
      </c>
      <c r="E448" s="3">
        <v>1518.89</v>
      </c>
      <c r="F448">
        <v>20160212</v>
      </c>
      <c r="G448" t="s">
        <v>47</v>
      </c>
      <c r="H448" t="s">
        <v>200</v>
      </c>
      <c r="I448">
        <v>0</v>
      </c>
      <c r="J448" t="s">
        <v>15</v>
      </c>
      <c r="K448" t="s">
        <v>48</v>
      </c>
      <c r="L448" t="s">
        <v>17</v>
      </c>
      <c r="M448" t="str">
        <f t="shared" ref="M448:M479" si="26">"02"</f>
        <v>02</v>
      </c>
      <c r="N448" t="s">
        <v>12</v>
      </c>
    </row>
    <row r="449" spans="1:14" x14ac:dyDescent="0.25">
      <c r="A449">
        <v>20160212</v>
      </c>
      <c r="B449" t="str">
        <f t="shared" ref="B449:B465" si="27">"021197"</f>
        <v>021197</v>
      </c>
      <c r="C449" t="str">
        <f t="shared" ref="C449:C465" si="28">"54196"</f>
        <v>54196</v>
      </c>
      <c r="D449" t="s">
        <v>49</v>
      </c>
      <c r="E449" s="3">
        <v>50</v>
      </c>
      <c r="F449">
        <v>20160212</v>
      </c>
      <c r="G449" t="s">
        <v>90</v>
      </c>
      <c r="H449" t="s">
        <v>201</v>
      </c>
      <c r="I449">
        <v>0</v>
      </c>
      <c r="J449" t="s">
        <v>15</v>
      </c>
      <c r="K449" t="s">
        <v>91</v>
      </c>
      <c r="L449" t="s">
        <v>17</v>
      </c>
      <c r="M449" t="str">
        <f t="shared" si="26"/>
        <v>02</v>
      </c>
      <c r="N449" t="s">
        <v>12</v>
      </c>
    </row>
    <row r="450" spans="1:14" x14ac:dyDescent="0.25">
      <c r="A450">
        <v>20160212</v>
      </c>
      <c r="B450" t="str">
        <f t="shared" si="27"/>
        <v>021197</v>
      </c>
      <c r="C450" t="str">
        <f t="shared" si="28"/>
        <v>54196</v>
      </c>
      <c r="D450" t="s">
        <v>49</v>
      </c>
      <c r="E450" s="3">
        <v>283</v>
      </c>
      <c r="F450">
        <v>20160212</v>
      </c>
      <c r="G450" t="s">
        <v>92</v>
      </c>
      <c r="H450" t="s">
        <v>201</v>
      </c>
      <c r="I450">
        <v>0</v>
      </c>
      <c r="J450" t="s">
        <v>15</v>
      </c>
      <c r="K450" t="s">
        <v>93</v>
      </c>
      <c r="L450" t="s">
        <v>17</v>
      </c>
      <c r="M450" t="str">
        <f t="shared" si="26"/>
        <v>02</v>
      </c>
      <c r="N450" t="s">
        <v>12</v>
      </c>
    </row>
    <row r="451" spans="1:14" x14ac:dyDescent="0.25">
      <c r="A451">
        <v>20160212</v>
      </c>
      <c r="B451" t="str">
        <f t="shared" si="27"/>
        <v>021197</v>
      </c>
      <c r="C451" t="str">
        <f t="shared" si="28"/>
        <v>54196</v>
      </c>
      <c r="D451" t="s">
        <v>49</v>
      </c>
      <c r="E451" s="3">
        <v>1590</v>
      </c>
      <c r="F451">
        <v>20160212</v>
      </c>
      <c r="G451" t="s">
        <v>94</v>
      </c>
      <c r="H451" t="s">
        <v>201</v>
      </c>
      <c r="I451">
        <v>0</v>
      </c>
      <c r="J451" t="s">
        <v>15</v>
      </c>
      <c r="K451" t="s">
        <v>95</v>
      </c>
      <c r="L451" t="s">
        <v>17</v>
      </c>
      <c r="M451" t="str">
        <f t="shared" si="26"/>
        <v>02</v>
      </c>
      <c r="N451" t="s">
        <v>12</v>
      </c>
    </row>
    <row r="452" spans="1:14" x14ac:dyDescent="0.25">
      <c r="A452">
        <v>20160212</v>
      </c>
      <c r="B452" t="str">
        <f t="shared" si="27"/>
        <v>021197</v>
      </c>
      <c r="C452" t="str">
        <f t="shared" si="28"/>
        <v>54196</v>
      </c>
      <c r="D452" t="s">
        <v>49</v>
      </c>
      <c r="E452" s="3">
        <v>2175</v>
      </c>
      <c r="F452">
        <v>20160212</v>
      </c>
      <c r="G452" t="s">
        <v>96</v>
      </c>
      <c r="H452" t="s">
        <v>201</v>
      </c>
      <c r="I452">
        <v>0</v>
      </c>
      <c r="J452" t="s">
        <v>15</v>
      </c>
      <c r="K452" t="s">
        <v>97</v>
      </c>
      <c r="L452" t="s">
        <v>17</v>
      </c>
      <c r="M452" t="str">
        <f t="shared" si="26"/>
        <v>02</v>
      </c>
      <c r="N452" t="s">
        <v>12</v>
      </c>
    </row>
    <row r="453" spans="1:14" x14ac:dyDescent="0.25">
      <c r="A453">
        <v>20160212</v>
      </c>
      <c r="B453" t="str">
        <f t="shared" si="27"/>
        <v>021197</v>
      </c>
      <c r="C453" t="str">
        <f t="shared" si="28"/>
        <v>54196</v>
      </c>
      <c r="D453" t="s">
        <v>49</v>
      </c>
      <c r="E453" s="3">
        <v>50</v>
      </c>
      <c r="F453">
        <v>20160212</v>
      </c>
      <c r="G453" t="s">
        <v>98</v>
      </c>
      <c r="H453" t="s">
        <v>201</v>
      </c>
      <c r="I453">
        <v>0</v>
      </c>
      <c r="J453" t="s">
        <v>15</v>
      </c>
      <c r="K453" t="s">
        <v>99</v>
      </c>
      <c r="L453" t="s">
        <v>17</v>
      </c>
      <c r="M453" t="str">
        <f t="shared" si="26"/>
        <v>02</v>
      </c>
      <c r="N453" t="s">
        <v>12</v>
      </c>
    </row>
    <row r="454" spans="1:14" x14ac:dyDescent="0.25">
      <c r="A454">
        <v>20160212</v>
      </c>
      <c r="B454" t="str">
        <f t="shared" si="27"/>
        <v>021197</v>
      </c>
      <c r="C454" t="str">
        <f t="shared" si="28"/>
        <v>54196</v>
      </c>
      <c r="D454" t="s">
        <v>49</v>
      </c>
      <c r="E454" s="3">
        <v>1230</v>
      </c>
      <c r="F454">
        <v>20160212</v>
      </c>
      <c r="G454" t="s">
        <v>100</v>
      </c>
      <c r="H454" t="s">
        <v>201</v>
      </c>
      <c r="I454">
        <v>0</v>
      </c>
      <c r="J454" t="s">
        <v>15</v>
      </c>
      <c r="K454" t="s">
        <v>101</v>
      </c>
      <c r="L454" t="s">
        <v>17</v>
      </c>
      <c r="M454" t="str">
        <f t="shared" si="26"/>
        <v>02</v>
      </c>
      <c r="N454" t="s">
        <v>12</v>
      </c>
    </row>
    <row r="455" spans="1:14" x14ac:dyDescent="0.25">
      <c r="A455">
        <v>20160212</v>
      </c>
      <c r="B455" t="str">
        <f t="shared" si="27"/>
        <v>021197</v>
      </c>
      <c r="C455" t="str">
        <f t="shared" si="28"/>
        <v>54196</v>
      </c>
      <c r="D455" t="s">
        <v>49</v>
      </c>
      <c r="E455" s="3">
        <v>2117</v>
      </c>
      <c r="F455">
        <v>20160212</v>
      </c>
      <c r="G455" t="s">
        <v>102</v>
      </c>
      <c r="H455" t="s">
        <v>201</v>
      </c>
      <c r="I455">
        <v>0</v>
      </c>
      <c r="J455" t="s">
        <v>15</v>
      </c>
      <c r="K455" t="s">
        <v>103</v>
      </c>
      <c r="L455" t="s">
        <v>17</v>
      </c>
      <c r="M455" t="str">
        <f t="shared" si="26"/>
        <v>02</v>
      </c>
      <c r="N455" t="s">
        <v>12</v>
      </c>
    </row>
    <row r="456" spans="1:14" x14ac:dyDescent="0.25">
      <c r="A456">
        <v>20160212</v>
      </c>
      <c r="B456" t="str">
        <f t="shared" si="27"/>
        <v>021197</v>
      </c>
      <c r="C456" t="str">
        <f t="shared" si="28"/>
        <v>54196</v>
      </c>
      <c r="D456" t="s">
        <v>49</v>
      </c>
      <c r="E456" s="3">
        <v>972</v>
      </c>
      <c r="F456">
        <v>20160212</v>
      </c>
      <c r="G456" t="s">
        <v>104</v>
      </c>
      <c r="H456" t="s">
        <v>201</v>
      </c>
      <c r="I456">
        <v>0</v>
      </c>
      <c r="J456" t="s">
        <v>15</v>
      </c>
      <c r="K456" t="s">
        <v>105</v>
      </c>
      <c r="L456" t="s">
        <v>17</v>
      </c>
      <c r="M456" t="str">
        <f t="shared" si="26"/>
        <v>02</v>
      </c>
      <c r="N456" t="s">
        <v>12</v>
      </c>
    </row>
    <row r="457" spans="1:14" x14ac:dyDescent="0.25">
      <c r="A457">
        <v>20160212</v>
      </c>
      <c r="B457" t="str">
        <f t="shared" si="27"/>
        <v>021197</v>
      </c>
      <c r="C457" t="str">
        <f t="shared" si="28"/>
        <v>54196</v>
      </c>
      <c r="D457" t="s">
        <v>49</v>
      </c>
      <c r="E457" s="3">
        <v>300</v>
      </c>
      <c r="F457">
        <v>20160212</v>
      </c>
      <c r="G457" t="s">
        <v>108</v>
      </c>
      <c r="H457" t="s">
        <v>201</v>
      </c>
      <c r="I457">
        <v>0</v>
      </c>
      <c r="J457" t="s">
        <v>15</v>
      </c>
      <c r="K457" t="s">
        <v>109</v>
      </c>
      <c r="L457" t="s">
        <v>17</v>
      </c>
      <c r="M457" t="str">
        <f t="shared" si="26"/>
        <v>02</v>
      </c>
      <c r="N457" t="s">
        <v>12</v>
      </c>
    </row>
    <row r="458" spans="1:14" x14ac:dyDescent="0.25">
      <c r="A458">
        <v>20160212</v>
      </c>
      <c r="B458" t="str">
        <f t="shared" si="27"/>
        <v>021197</v>
      </c>
      <c r="C458" t="str">
        <f t="shared" si="28"/>
        <v>54196</v>
      </c>
      <c r="D458" t="s">
        <v>49</v>
      </c>
      <c r="E458" s="3">
        <v>450</v>
      </c>
      <c r="F458">
        <v>20160212</v>
      </c>
      <c r="G458" t="s">
        <v>110</v>
      </c>
      <c r="H458" t="s">
        <v>201</v>
      </c>
      <c r="I458">
        <v>0</v>
      </c>
      <c r="J458" t="s">
        <v>15</v>
      </c>
      <c r="K458" t="s">
        <v>111</v>
      </c>
      <c r="L458" t="s">
        <v>17</v>
      </c>
      <c r="M458" t="str">
        <f t="shared" si="26"/>
        <v>02</v>
      </c>
      <c r="N458" t="s">
        <v>12</v>
      </c>
    </row>
    <row r="459" spans="1:14" x14ac:dyDescent="0.25">
      <c r="A459">
        <v>20160212</v>
      </c>
      <c r="B459" t="str">
        <f t="shared" si="27"/>
        <v>021197</v>
      </c>
      <c r="C459" t="str">
        <f t="shared" si="28"/>
        <v>54196</v>
      </c>
      <c r="D459" t="s">
        <v>49</v>
      </c>
      <c r="E459" s="3">
        <v>750</v>
      </c>
      <c r="F459">
        <v>20160212</v>
      </c>
      <c r="G459" t="s">
        <v>112</v>
      </c>
      <c r="H459" t="s">
        <v>201</v>
      </c>
      <c r="I459">
        <v>0</v>
      </c>
      <c r="J459" t="s">
        <v>15</v>
      </c>
      <c r="K459" t="s">
        <v>113</v>
      </c>
      <c r="L459" t="s">
        <v>17</v>
      </c>
      <c r="M459" t="str">
        <f t="shared" si="26"/>
        <v>02</v>
      </c>
      <c r="N459" t="s">
        <v>12</v>
      </c>
    </row>
    <row r="460" spans="1:14" x14ac:dyDescent="0.25">
      <c r="A460">
        <v>20160212</v>
      </c>
      <c r="B460" t="str">
        <f t="shared" si="27"/>
        <v>021197</v>
      </c>
      <c r="C460" t="str">
        <f t="shared" si="28"/>
        <v>54196</v>
      </c>
      <c r="D460" t="s">
        <v>49</v>
      </c>
      <c r="E460" s="3">
        <v>100</v>
      </c>
      <c r="F460">
        <v>20160212</v>
      </c>
      <c r="G460" t="s">
        <v>149</v>
      </c>
      <c r="H460" t="s">
        <v>201</v>
      </c>
      <c r="I460">
        <v>0</v>
      </c>
      <c r="J460" t="s">
        <v>15</v>
      </c>
      <c r="K460" t="s">
        <v>150</v>
      </c>
      <c r="L460" t="s">
        <v>17</v>
      </c>
      <c r="M460" t="str">
        <f t="shared" si="26"/>
        <v>02</v>
      </c>
      <c r="N460" t="s">
        <v>12</v>
      </c>
    </row>
    <row r="461" spans="1:14" x14ac:dyDescent="0.25">
      <c r="A461">
        <v>20160212</v>
      </c>
      <c r="B461" t="str">
        <f t="shared" si="27"/>
        <v>021197</v>
      </c>
      <c r="C461" t="str">
        <f t="shared" si="28"/>
        <v>54196</v>
      </c>
      <c r="D461" t="s">
        <v>49</v>
      </c>
      <c r="E461" s="3">
        <v>200</v>
      </c>
      <c r="F461">
        <v>20160212</v>
      </c>
      <c r="G461" t="s">
        <v>114</v>
      </c>
      <c r="H461" t="s">
        <v>201</v>
      </c>
      <c r="I461">
        <v>0</v>
      </c>
      <c r="J461" t="s">
        <v>15</v>
      </c>
      <c r="K461" t="s">
        <v>115</v>
      </c>
      <c r="L461" t="s">
        <v>17</v>
      </c>
      <c r="M461" t="str">
        <f t="shared" si="26"/>
        <v>02</v>
      </c>
      <c r="N461" t="s">
        <v>12</v>
      </c>
    </row>
    <row r="462" spans="1:14" x14ac:dyDescent="0.25">
      <c r="A462">
        <v>20160212</v>
      </c>
      <c r="B462" t="str">
        <f t="shared" si="27"/>
        <v>021197</v>
      </c>
      <c r="C462" t="str">
        <f t="shared" si="28"/>
        <v>54196</v>
      </c>
      <c r="D462" t="s">
        <v>49</v>
      </c>
      <c r="E462" s="3">
        <v>8288</v>
      </c>
      <c r="F462">
        <v>20160212</v>
      </c>
      <c r="G462" t="s">
        <v>119</v>
      </c>
      <c r="H462" t="s">
        <v>202</v>
      </c>
      <c r="I462">
        <v>0</v>
      </c>
      <c r="J462" t="s">
        <v>15</v>
      </c>
      <c r="K462" t="s">
        <v>103</v>
      </c>
      <c r="L462" t="s">
        <v>17</v>
      </c>
      <c r="M462" t="str">
        <f t="shared" si="26"/>
        <v>02</v>
      </c>
      <c r="N462" t="s">
        <v>12</v>
      </c>
    </row>
    <row r="463" spans="1:14" x14ac:dyDescent="0.25">
      <c r="A463">
        <v>20160212</v>
      </c>
      <c r="B463" t="str">
        <f t="shared" si="27"/>
        <v>021197</v>
      </c>
      <c r="C463" t="str">
        <f t="shared" si="28"/>
        <v>54196</v>
      </c>
      <c r="D463" t="s">
        <v>49</v>
      </c>
      <c r="E463" s="3">
        <v>650</v>
      </c>
      <c r="F463">
        <v>20160212</v>
      </c>
      <c r="G463" t="s">
        <v>50</v>
      </c>
      <c r="H463" t="s">
        <v>201</v>
      </c>
      <c r="I463">
        <v>0</v>
      </c>
      <c r="J463" t="s">
        <v>15</v>
      </c>
      <c r="K463" t="s">
        <v>52</v>
      </c>
      <c r="L463" t="s">
        <v>17</v>
      </c>
      <c r="M463" t="str">
        <f t="shared" si="26"/>
        <v>02</v>
      </c>
      <c r="N463" t="s">
        <v>12</v>
      </c>
    </row>
    <row r="464" spans="1:14" x14ac:dyDescent="0.25">
      <c r="A464">
        <v>20160212</v>
      </c>
      <c r="B464" t="str">
        <f t="shared" si="27"/>
        <v>021197</v>
      </c>
      <c r="C464" t="str">
        <f t="shared" si="28"/>
        <v>54196</v>
      </c>
      <c r="D464" t="s">
        <v>49</v>
      </c>
      <c r="E464" s="3">
        <v>575</v>
      </c>
      <c r="F464">
        <v>20160212</v>
      </c>
      <c r="G464" t="s">
        <v>178</v>
      </c>
      <c r="H464" t="s">
        <v>203</v>
      </c>
      <c r="I464">
        <v>0</v>
      </c>
      <c r="J464" t="s">
        <v>15</v>
      </c>
      <c r="K464" t="s">
        <v>180</v>
      </c>
      <c r="L464" t="s">
        <v>17</v>
      </c>
      <c r="M464" t="str">
        <f t="shared" si="26"/>
        <v>02</v>
      </c>
      <c r="N464" t="s">
        <v>12</v>
      </c>
    </row>
    <row r="465" spans="1:14" x14ac:dyDescent="0.25">
      <c r="A465">
        <v>20160212</v>
      </c>
      <c r="B465" t="str">
        <f t="shared" si="27"/>
        <v>021197</v>
      </c>
      <c r="C465" t="str">
        <f t="shared" si="28"/>
        <v>54196</v>
      </c>
      <c r="D465" t="s">
        <v>49</v>
      </c>
      <c r="E465" s="3">
        <v>2150</v>
      </c>
      <c r="F465">
        <v>20160212</v>
      </c>
      <c r="G465" t="s">
        <v>181</v>
      </c>
      <c r="H465" t="s">
        <v>202</v>
      </c>
      <c r="I465">
        <v>0</v>
      </c>
      <c r="J465" t="s">
        <v>15</v>
      </c>
      <c r="K465" t="s">
        <v>182</v>
      </c>
      <c r="L465" t="s">
        <v>17</v>
      </c>
      <c r="M465" t="str">
        <f t="shared" si="26"/>
        <v>02</v>
      </c>
      <c r="N465" t="s">
        <v>12</v>
      </c>
    </row>
    <row r="466" spans="1:14" x14ac:dyDescent="0.25">
      <c r="A466">
        <v>20160212</v>
      </c>
      <c r="B466" t="str">
        <f>"021198"</f>
        <v>021198</v>
      </c>
      <c r="C466" t="str">
        <f>"72601"</f>
        <v>72601</v>
      </c>
      <c r="D466" t="s">
        <v>53</v>
      </c>
      <c r="E466" s="3">
        <v>9338.51</v>
      </c>
      <c r="F466">
        <v>20160212</v>
      </c>
      <c r="G466" t="s">
        <v>54</v>
      </c>
      <c r="H466" t="s">
        <v>199</v>
      </c>
      <c r="I466">
        <v>0</v>
      </c>
      <c r="J466" t="s">
        <v>15</v>
      </c>
      <c r="K466" t="s">
        <v>55</v>
      </c>
      <c r="L466" t="s">
        <v>17</v>
      </c>
      <c r="M466" t="str">
        <f t="shared" si="26"/>
        <v>02</v>
      </c>
      <c r="N466" t="s">
        <v>12</v>
      </c>
    </row>
    <row r="467" spans="1:14" x14ac:dyDescent="0.25">
      <c r="A467">
        <v>20160212</v>
      </c>
      <c r="B467" t="str">
        <f>"021199"</f>
        <v>021199</v>
      </c>
      <c r="C467" t="str">
        <f>"75452"</f>
        <v>75452</v>
      </c>
      <c r="D467" t="s">
        <v>56</v>
      </c>
      <c r="E467" s="3">
        <v>10150.01</v>
      </c>
      <c r="F467">
        <v>20160212</v>
      </c>
      <c r="G467" t="s">
        <v>57</v>
      </c>
      <c r="H467" t="s">
        <v>198</v>
      </c>
      <c r="I467">
        <v>0</v>
      </c>
      <c r="J467" t="s">
        <v>15</v>
      </c>
      <c r="K467" t="s">
        <v>58</v>
      </c>
      <c r="L467" t="s">
        <v>17</v>
      </c>
      <c r="M467" t="str">
        <f t="shared" si="26"/>
        <v>02</v>
      </c>
      <c r="N467" t="s">
        <v>12</v>
      </c>
    </row>
    <row r="468" spans="1:14" x14ac:dyDescent="0.25">
      <c r="A468">
        <v>20160212</v>
      </c>
      <c r="B468" t="str">
        <f>"021199"</f>
        <v>021199</v>
      </c>
      <c r="C468" t="str">
        <f>"75452"</f>
        <v>75452</v>
      </c>
      <c r="D468" t="s">
        <v>56</v>
      </c>
      <c r="E468" s="3">
        <v>25</v>
      </c>
      <c r="F468">
        <v>20160212</v>
      </c>
      <c r="G468" t="s">
        <v>153</v>
      </c>
      <c r="H468" t="s">
        <v>204</v>
      </c>
      <c r="I468">
        <v>0</v>
      </c>
      <c r="J468" t="s">
        <v>15</v>
      </c>
      <c r="K468" t="s">
        <v>155</v>
      </c>
      <c r="L468" t="s">
        <v>17</v>
      </c>
      <c r="M468" t="str">
        <f t="shared" si="26"/>
        <v>02</v>
      </c>
      <c r="N468" t="s">
        <v>12</v>
      </c>
    </row>
    <row r="469" spans="1:14" x14ac:dyDescent="0.25">
      <c r="A469">
        <v>20160212</v>
      </c>
      <c r="B469" t="str">
        <f>"021200"</f>
        <v>021200</v>
      </c>
      <c r="C469" t="str">
        <f>"77030"</f>
        <v>77030</v>
      </c>
      <c r="D469" t="s">
        <v>156</v>
      </c>
      <c r="E469" s="3">
        <v>139.33000000000001</v>
      </c>
      <c r="F469">
        <v>20160212</v>
      </c>
      <c r="G469" t="s">
        <v>157</v>
      </c>
      <c r="H469" t="s">
        <v>199</v>
      </c>
      <c r="I469">
        <v>0</v>
      </c>
      <c r="J469" t="s">
        <v>15</v>
      </c>
      <c r="K469" t="s">
        <v>158</v>
      </c>
      <c r="L469" t="s">
        <v>17</v>
      </c>
      <c r="M469" t="str">
        <f t="shared" si="26"/>
        <v>02</v>
      </c>
      <c r="N469" t="s">
        <v>12</v>
      </c>
    </row>
    <row r="470" spans="1:14" x14ac:dyDescent="0.25">
      <c r="A470">
        <v>20160212</v>
      </c>
      <c r="B470" t="str">
        <f>"021201"</f>
        <v>021201</v>
      </c>
      <c r="C470" t="str">
        <f>"78428"</f>
        <v>78428</v>
      </c>
      <c r="D470" t="s">
        <v>124</v>
      </c>
      <c r="E470" s="3">
        <v>1213.18</v>
      </c>
      <c r="F470">
        <v>20160212</v>
      </c>
      <c r="G470" t="s">
        <v>125</v>
      </c>
      <c r="H470" t="s">
        <v>199</v>
      </c>
      <c r="I470">
        <v>0</v>
      </c>
      <c r="J470" t="s">
        <v>15</v>
      </c>
      <c r="K470" t="s">
        <v>126</v>
      </c>
      <c r="L470" t="s">
        <v>17</v>
      </c>
      <c r="M470" t="str">
        <f t="shared" si="26"/>
        <v>02</v>
      </c>
      <c r="N470" t="s">
        <v>12</v>
      </c>
    </row>
    <row r="471" spans="1:14" x14ac:dyDescent="0.25">
      <c r="A471">
        <v>20160212</v>
      </c>
      <c r="B471" t="str">
        <f>"021202"</f>
        <v>021202</v>
      </c>
      <c r="C471" t="str">
        <f>"79562"</f>
        <v>79562</v>
      </c>
      <c r="D471" t="s">
        <v>127</v>
      </c>
      <c r="E471" s="3">
        <v>341.95</v>
      </c>
      <c r="F471">
        <v>20160212</v>
      </c>
      <c r="G471" t="s">
        <v>128</v>
      </c>
      <c r="H471" t="s">
        <v>205</v>
      </c>
      <c r="I471">
        <v>0</v>
      </c>
      <c r="J471" t="s">
        <v>15</v>
      </c>
      <c r="K471" t="s">
        <v>130</v>
      </c>
      <c r="L471" t="s">
        <v>17</v>
      </c>
      <c r="M471" t="str">
        <f t="shared" si="26"/>
        <v>02</v>
      </c>
      <c r="N471" t="s">
        <v>12</v>
      </c>
    </row>
    <row r="472" spans="1:14" x14ac:dyDescent="0.25">
      <c r="A472">
        <v>20160212</v>
      </c>
      <c r="B472" t="str">
        <f>"021203"</f>
        <v>021203</v>
      </c>
      <c r="C472" t="str">
        <f>"79762"</f>
        <v>79762</v>
      </c>
      <c r="D472" t="s">
        <v>160</v>
      </c>
      <c r="E472" s="3">
        <v>390</v>
      </c>
      <c r="F472">
        <v>20160212</v>
      </c>
      <c r="G472" t="s">
        <v>161</v>
      </c>
      <c r="H472" t="s">
        <v>199</v>
      </c>
      <c r="I472">
        <v>0</v>
      </c>
      <c r="J472" t="s">
        <v>15</v>
      </c>
      <c r="K472" t="s">
        <v>162</v>
      </c>
      <c r="L472" t="s">
        <v>17</v>
      </c>
      <c r="M472" t="str">
        <f t="shared" si="26"/>
        <v>02</v>
      </c>
      <c r="N472" t="s">
        <v>12</v>
      </c>
    </row>
    <row r="473" spans="1:14" x14ac:dyDescent="0.25">
      <c r="A473">
        <v>20160212</v>
      </c>
      <c r="B473" t="str">
        <f>"021204"</f>
        <v>021204</v>
      </c>
      <c r="C473" t="str">
        <f>"81155"</f>
        <v>81155</v>
      </c>
      <c r="D473" t="s">
        <v>131</v>
      </c>
      <c r="E473" s="3">
        <v>280</v>
      </c>
      <c r="F473">
        <v>20160212</v>
      </c>
      <c r="G473" t="s">
        <v>132</v>
      </c>
      <c r="H473" t="s">
        <v>199</v>
      </c>
      <c r="I473">
        <v>0</v>
      </c>
      <c r="J473" t="s">
        <v>15</v>
      </c>
      <c r="K473" t="s">
        <v>133</v>
      </c>
      <c r="L473" t="s">
        <v>17</v>
      </c>
      <c r="M473" t="str">
        <f t="shared" si="26"/>
        <v>02</v>
      </c>
      <c r="N473" t="s">
        <v>12</v>
      </c>
    </row>
    <row r="474" spans="1:14" x14ac:dyDescent="0.25">
      <c r="A474">
        <v>20160212</v>
      </c>
      <c r="B474" t="str">
        <f>"021205"</f>
        <v>021205</v>
      </c>
      <c r="C474" t="str">
        <f>"81173"</f>
        <v>81173</v>
      </c>
      <c r="D474" t="s">
        <v>59</v>
      </c>
      <c r="E474" s="3">
        <v>400</v>
      </c>
      <c r="F474">
        <v>20160212</v>
      </c>
      <c r="G474" t="s">
        <v>60</v>
      </c>
      <c r="H474" t="s">
        <v>199</v>
      </c>
      <c r="I474">
        <v>0</v>
      </c>
      <c r="J474" t="s">
        <v>15</v>
      </c>
      <c r="K474" t="s">
        <v>61</v>
      </c>
      <c r="L474" t="s">
        <v>17</v>
      </c>
      <c r="M474" t="str">
        <f t="shared" si="26"/>
        <v>02</v>
      </c>
      <c r="N474" t="s">
        <v>12</v>
      </c>
    </row>
    <row r="475" spans="1:14" x14ac:dyDescent="0.25">
      <c r="A475">
        <v>20160212</v>
      </c>
      <c r="B475" t="str">
        <f>"021206"</f>
        <v>021206</v>
      </c>
      <c r="C475" t="str">
        <f>"81174"</f>
        <v>81174</v>
      </c>
      <c r="D475" t="s">
        <v>62</v>
      </c>
      <c r="E475" s="3">
        <v>1610</v>
      </c>
      <c r="F475">
        <v>20160212</v>
      </c>
      <c r="G475" t="s">
        <v>63</v>
      </c>
      <c r="H475" t="s">
        <v>199</v>
      </c>
      <c r="I475">
        <v>0</v>
      </c>
      <c r="J475" t="s">
        <v>15</v>
      </c>
      <c r="K475" t="s">
        <v>64</v>
      </c>
      <c r="L475" t="s">
        <v>17</v>
      </c>
      <c r="M475" t="str">
        <f t="shared" si="26"/>
        <v>02</v>
      </c>
      <c r="N475" t="s">
        <v>12</v>
      </c>
    </row>
    <row r="476" spans="1:14" x14ac:dyDescent="0.25">
      <c r="A476">
        <v>20160212</v>
      </c>
      <c r="B476" t="str">
        <f>"021207"</f>
        <v>021207</v>
      </c>
      <c r="C476" t="str">
        <f>"81177"</f>
        <v>81177</v>
      </c>
      <c r="D476" t="s">
        <v>65</v>
      </c>
      <c r="E476" s="3">
        <v>414.33</v>
      </c>
      <c r="F476">
        <v>20160212</v>
      </c>
      <c r="G476" t="s">
        <v>134</v>
      </c>
      <c r="H476" t="s">
        <v>199</v>
      </c>
      <c r="I476">
        <v>0</v>
      </c>
      <c r="J476" t="s">
        <v>15</v>
      </c>
      <c r="K476" t="s">
        <v>135</v>
      </c>
      <c r="L476" t="s">
        <v>17</v>
      </c>
      <c r="M476" t="str">
        <f t="shared" si="26"/>
        <v>02</v>
      </c>
      <c r="N476" t="s">
        <v>12</v>
      </c>
    </row>
    <row r="477" spans="1:14" x14ac:dyDescent="0.25">
      <c r="A477">
        <v>20160212</v>
      </c>
      <c r="B477" t="str">
        <f>"021208"</f>
        <v>021208</v>
      </c>
      <c r="C477" t="str">
        <f>"81753"</f>
        <v>81753</v>
      </c>
      <c r="D477" t="s">
        <v>68</v>
      </c>
      <c r="E477" s="3">
        <v>818.4</v>
      </c>
      <c r="F477">
        <v>20160212</v>
      </c>
      <c r="G477" t="s">
        <v>69</v>
      </c>
      <c r="H477" t="s">
        <v>199</v>
      </c>
      <c r="I477">
        <v>0</v>
      </c>
      <c r="J477" t="s">
        <v>15</v>
      </c>
      <c r="K477" t="s">
        <v>68</v>
      </c>
      <c r="L477" t="s">
        <v>17</v>
      </c>
      <c r="M477" t="str">
        <f t="shared" si="26"/>
        <v>02</v>
      </c>
      <c r="N477" t="s">
        <v>12</v>
      </c>
    </row>
    <row r="478" spans="1:14" x14ac:dyDescent="0.25">
      <c r="A478">
        <v>20160226</v>
      </c>
      <c r="B478" t="str">
        <f>"021252"</f>
        <v>021252</v>
      </c>
      <c r="C478" t="str">
        <f>"04831"</f>
        <v>04831</v>
      </c>
      <c r="D478" t="s">
        <v>11</v>
      </c>
      <c r="E478" s="3">
        <v>56.1</v>
      </c>
      <c r="F478">
        <v>20160226</v>
      </c>
      <c r="G478" t="s">
        <v>13</v>
      </c>
      <c r="H478" t="s">
        <v>198</v>
      </c>
      <c r="I478">
        <v>0</v>
      </c>
      <c r="J478" t="s">
        <v>15</v>
      </c>
      <c r="K478" t="s">
        <v>16</v>
      </c>
      <c r="L478" t="s">
        <v>17</v>
      </c>
      <c r="M478" t="str">
        <f t="shared" si="26"/>
        <v>02</v>
      </c>
      <c r="N478" t="s">
        <v>12</v>
      </c>
    </row>
    <row r="479" spans="1:14" x14ac:dyDescent="0.25">
      <c r="A479">
        <v>20160226</v>
      </c>
      <c r="B479" t="str">
        <f>"021253"</f>
        <v>021253</v>
      </c>
      <c r="C479" t="str">
        <f>"04905"</f>
        <v>04905</v>
      </c>
      <c r="D479" t="s">
        <v>18</v>
      </c>
      <c r="E479" s="3">
        <v>18.329999999999998</v>
      </c>
      <c r="F479">
        <v>20160226</v>
      </c>
      <c r="G479" t="s">
        <v>19</v>
      </c>
      <c r="H479" t="s">
        <v>199</v>
      </c>
      <c r="I479">
        <v>0</v>
      </c>
      <c r="J479" t="s">
        <v>15</v>
      </c>
      <c r="K479" t="s">
        <v>21</v>
      </c>
      <c r="L479" t="s">
        <v>17</v>
      </c>
      <c r="M479" t="str">
        <f t="shared" si="26"/>
        <v>02</v>
      </c>
      <c r="N479" t="s">
        <v>12</v>
      </c>
    </row>
    <row r="480" spans="1:14" x14ac:dyDescent="0.25">
      <c r="A480">
        <v>20160226</v>
      </c>
      <c r="B480" t="str">
        <f>"021254"</f>
        <v>021254</v>
      </c>
      <c r="C480" t="str">
        <f>"04987"</f>
        <v>04987</v>
      </c>
      <c r="D480" t="s">
        <v>144</v>
      </c>
      <c r="E480" s="3">
        <v>27.74</v>
      </c>
      <c r="F480">
        <v>20160226</v>
      </c>
      <c r="G480" t="s">
        <v>35</v>
      </c>
      <c r="H480" t="s">
        <v>198</v>
      </c>
      <c r="I480">
        <v>0</v>
      </c>
      <c r="J480" t="s">
        <v>15</v>
      </c>
      <c r="K480" t="s">
        <v>36</v>
      </c>
      <c r="L480" t="s">
        <v>17</v>
      </c>
      <c r="M480" t="str">
        <f t="shared" ref="M480:M493" si="29">"02"</f>
        <v>02</v>
      </c>
      <c r="N480" t="s">
        <v>12</v>
      </c>
    </row>
    <row r="481" spans="1:14" x14ac:dyDescent="0.25">
      <c r="A481">
        <v>20160226</v>
      </c>
      <c r="B481" t="str">
        <f>"021255"</f>
        <v>021255</v>
      </c>
      <c r="C481" t="str">
        <f>"07710"</f>
        <v>07710</v>
      </c>
      <c r="D481" t="s">
        <v>22</v>
      </c>
      <c r="E481" s="3">
        <v>6.67</v>
      </c>
      <c r="F481">
        <v>20160226</v>
      </c>
      <c r="G481" t="s">
        <v>23</v>
      </c>
      <c r="H481" t="s">
        <v>199</v>
      </c>
      <c r="I481">
        <v>0</v>
      </c>
      <c r="J481" t="s">
        <v>15</v>
      </c>
      <c r="K481" t="s">
        <v>24</v>
      </c>
      <c r="L481" t="s">
        <v>17</v>
      </c>
      <c r="M481" t="str">
        <f t="shared" si="29"/>
        <v>02</v>
      </c>
      <c r="N481" t="s">
        <v>12</v>
      </c>
    </row>
    <row r="482" spans="1:14" x14ac:dyDescent="0.25">
      <c r="A482">
        <v>20160226</v>
      </c>
      <c r="B482" t="str">
        <f>"021256"</f>
        <v>021256</v>
      </c>
      <c r="C482" t="str">
        <f>"07880"</f>
        <v>07880</v>
      </c>
      <c r="D482" t="s">
        <v>25</v>
      </c>
      <c r="E482" s="3">
        <v>158.41999999999999</v>
      </c>
      <c r="F482">
        <v>20160226</v>
      </c>
      <c r="G482" t="s">
        <v>26</v>
      </c>
      <c r="H482" t="s">
        <v>199</v>
      </c>
      <c r="I482">
        <v>0</v>
      </c>
      <c r="J482" t="s">
        <v>15</v>
      </c>
      <c r="K482" t="s">
        <v>27</v>
      </c>
      <c r="L482" t="s">
        <v>17</v>
      </c>
      <c r="M482" t="str">
        <f t="shared" si="29"/>
        <v>02</v>
      </c>
      <c r="N482" t="s">
        <v>12</v>
      </c>
    </row>
    <row r="483" spans="1:14" x14ac:dyDescent="0.25">
      <c r="A483">
        <v>20160226</v>
      </c>
      <c r="B483" t="str">
        <f>"021257"</f>
        <v>021257</v>
      </c>
      <c r="C483" t="str">
        <f>"11211"</f>
        <v>11211</v>
      </c>
      <c r="D483" t="s">
        <v>28</v>
      </c>
      <c r="E483" s="3">
        <v>121.68</v>
      </c>
      <c r="F483">
        <v>20160226</v>
      </c>
      <c r="G483" t="s">
        <v>29</v>
      </c>
      <c r="H483" t="s">
        <v>198</v>
      </c>
      <c r="I483">
        <v>0</v>
      </c>
      <c r="J483" t="s">
        <v>15</v>
      </c>
      <c r="K483" t="s">
        <v>30</v>
      </c>
      <c r="L483" t="s">
        <v>17</v>
      </c>
      <c r="M483" t="str">
        <f t="shared" si="29"/>
        <v>02</v>
      </c>
      <c r="N483" t="s">
        <v>12</v>
      </c>
    </row>
    <row r="484" spans="1:14" x14ac:dyDescent="0.25">
      <c r="A484">
        <v>20160226</v>
      </c>
      <c r="B484" t="str">
        <f>"021258"</f>
        <v>021258</v>
      </c>
      <c r="C484" t="str">
        <f>"14177"</f>
        <v>14177</v>
      </c>
      <c r="D484" t="s">
        <v>31</v>
      </c>
      <c r="E484" s="3">
        <v>25</v>
      </c>
      <c r="F484">
        <v>20160226</v>
      </c>
      <c r="G484" t="s">
        <v>32</v>
      </c>
      <c r="H484" t="s">
        <v>199</v>
      </c>
      <c r="I484">
        <v>0</v>
      </c>
      <c r="J484" t="s">
        <v>15</v>
      </c>
      <c r="K484" t="s">
        <v>33</v>
      </c>
      <c r="L484" t="s">
        <v>17</v>
      </c>
      <c r="M484" t="str">
        <f t="shared" si="29"/>
        <v>02</v>
      </c>
      <c r="N484" t="s">
        <v>12</v>
      </c>
    </row>
    <row r="485" spans="1:14" x14ac:dyDescent="0.25">
      <c r="A485">
        <v>20160226</v>
      </c>
      <c r="B485" t="str">
        <f>"021259"</f>
        <v>021259</v>
      </c>
      <c r="C485" t="str">
        <f>"24960"</f>
        <v>24960</v>
      </c>
      <c r="D485" t="s">
        <v>39</v>
      </c>
      <c r="E485" s="3">
        <v>259.77999999999997</v>
      </c>
      <c r="F485">
        <v>20160226</v>
      </c>
      <c r="G485" t="s">
        <v>40</v>
      </c>
      <c r="H485" t="s">
        <v>200</v>
      </c>
      <c r="I485">
        <v>0</v>
      </c>
      <c r="J485" t="s">
        <v>15</v>
      </c>
      <c r="K485" t="s">
        <v>42</v>
      </c>
      <c r="L485" t="s">
        <v>17</v>
      </c>
      <c r="M485" t="str">
        <f t="shared" si="29"/>
        <v>02</v>
      </c>
      <c r="N485" t="s">
        <v>12</v>
      </c>
    </row>
    <row r="486" spans="1:14" x14ac:dyDescent="0.25">
      <c r="A486">
        <v>20160226</v>
      </c>
      <c r="B486" t="str">
        <f>"021260"</f>
        <v>021260</v>
      </c>
      <c r="C486" t="str">
        <f>"42245"</f>
        <v>42245</v>
      </c>
      <c r="D486" t="s">
        <v>43</v>
      </c>
      <c r="E486" s="3">
        <v>286.36</v>
      </c>
      <c r="F486">
        <v>20160226</v>
      </c>
      <c r="G486" t="s">
        <v>44</v>
      </c>
      <c r="H486" t="s">
        <v>198</v>
      </c>
      <c r="I486">
        <v>0</v>
      </c>
      <c r="J486" t="s">
        <v>15</v>
      </c>
      <c r="K486" t="s">
        <v>45</v>
      </c>
      <c r="L486" t="s">
        <v>17</v>
      </c>
      <c r="M486" t="str">
        <f t="shared" si="29"/>
        <v>02</v>
      </c>
      <c r="N486" t="s">
        <v>12</v>
      </c>
    </row>
    <row r="487" spans="1:14" x14ac:dyDescent="0.25">
      <c r="A487">
        <v>20160226</v>
      </c>
      <c r="B487" t="str">
        <f>"021261"</f>
        <v>021261</v>
      </c>
      <c r="C487" t="str">
        <f>"48947"</f>
        <v>48947</v>
      </c>
      <c r="D487" t="s">
        <v>46</v>
      </c>
      <c r="E487" s="3">
        <v>25.38</v>
      </c>
      <c r="F487">
        <v>20160226</v>
      </c>
      <c r="G487" t="s">
        <v>47</v>
      </c>
      <c r="H487" t="s">
        <v>200</v>
      </c>
      <c r="I487">
        <v>0</v>
      </c>
      <c r="J487" t="s">
        <v>15</v>
      </c>
      <c r="K487" t="s">
        <v>48</v>
      </c>
      <c r="L487" t="s">
        <v>17</v>
      </c>
      <c r="M487" t="str">
        <f t="shared" si="29"/>
        <v>02</v>
      </c>
      <c r="N487" t="s">
        <v>12</v>
      </c>
    </row>
    <row r="488" spans="1:14" x14ac:dyDescent="0.25">
      <c r="A488">
        <v>20160226</v>
      </c>
      <c r="B488" t="str">
        <f>"021262"</f>
        <v>021262</v>
      </c>
      <c r="C488" t="str">
        <f>"54196"</f>
        <v>54196</v>
      </c>
      <c r="D488" t="s">
        <v>49</v>
      </c>
      <c r="E488" s="3">
        <v>50</v>
      </c>
      <c r="F488">
        <v>20160226</v>
      </c>
      <c r="G488" t="s">
        <v>50</v>
      </c>
      <c r="H488" t="s">
        <v>201</v>
      </c>
      <c r="I488">
        <v>0</v>
      </c>
      <c r="J488" t="s">
        <v>15</v>
      </c>
      <c r="K488" t="s">
        <v>52</v>
      </c>
      <c r="L488" t="s">
        <v>17</v>
      </c>
      <c r="M488" t="str">
        <f t="shared" si="29"/>
        <v>02</v>
      </c>
      <c r="N488" t="s">
        <v>12</v>
      </c>
    </row>
    <row r="489" spans="1:14" x14ac:dyDescent="0.25">
      <c r="A489">
        <v>20160226</v>
      </c>
      <c r="B489" t="str">
        <f>"021263"</f>
        <v>021263</v>
      </c>
      <c r="C489" t="str">
        <f>"72601"</f>
        <v>72601</v>
      </c>
      <c r="D489" t="s">
        <v>53</v>
      </c>
      <c r="E489" s="3">
        <v>256.3</v>
      </c>
      <c r="F489">
        <v>20160226</v>
      </c>
      <c r="G489" t="s">
        <v>54</v>
      </c>
      <c r="H489" t="s">
        <v>199</v>
      </c>
      <c r="I489">
        <v>0</v>
      </c>
      <c r="J489" t="s">
        <v>15</v>
      </c>
      <c r="K489" t="s">
        <v>55</v>
      </c>
      <c r="L489" t="s">
        <v>17</v>
      </c>
      <c r="M489" t="str">
        <f t="shared" si="29"/>
        <v>02</v>
      </c>
      <c r="N489" t="s">
        <v>12</v>
      </c>
    </row>
    <row r="490" spans="1:14" x14ac:dyDescent="0.25">
      <c r="A490">
        <v>20160226</v>
      </c>
      <c r="B490" t="str">
        <f>"021264"</f>
        <v>021264</v>
      </c>
      <c r="C490" t="str">
        <f>"75452"</f>
        <v>75452</v>
      </c>
      <c r="D490" t="s">
        <v>56</v>
      </c>
      <c r="E490" s="3">
        <v>350.84</v>
      </c>
      <c r="F490">
        <v>20160226</v>
      </c>
      <c r="G490" t="s">
        <v>57</v>
      </c>
      <c r="H490" t="s">
        <v>198</v>
      </c>
      <c r="I490">
        <v>0</v>
      </c>
      <c r="J490" t="s">
        <v>15</v>
      </c>
      <c r="K490" t="s">
        <v>58</v>
      </c>
      <c r="L490" t="s">
        <v>17</v>
      </c>
      <c r="M490" t="str">
        <f t="shared" si="29"/>
        <v>02</v>
      </c>
      <c r="N490" t="s">
        <v>12</v>
      </c>
    </row>
    <row r="491" spans="1:14" x14ac:dyDescent="0.25">
      <c r="A491">
        <v>20160226</v>
      </c>
      <c r="B491" t="str">
        <f>"021265"</f>
        <v>021265</v>
      </c>
      <c r="C491" t="str">
        <f>"81173"</f>
        <v>81173</v>
      </c>
      <c r="D491" t="s">
        <v>59</v>
      </c>
      <c r="E491" s="3">
        <v>25</v>
      </c>
      <c r="F491">
        <v>20160226</v>
      </c>
      <c r="G491" t="s">
        <v>60</v>
      </c>
      <c r="H491" t="s">
        <v>199</v>
      </c>
      <c r="I491">
        <v>0</v>
      </c>
      <c r="J491" t="s">
        <v>15</v>
      </c>
      <c r="K491" t="s">
        <v>61</v>
      </c>
      <c r="L491" t="s">
        <v>17</v>
      </c>
      <c r="M491" t="str">
        <f t="shared" si="29"/>
        <v>02</v>
      </c>
      <c r="N491" t="s">
        <v>12</v>
      </c>
    </row>
    <row r="492" spans="1:14" x14ac:dyDescent="0.25">
      <c r="A492">
        <v>20160226</v>
      </c>
      <c r="B492" t="str">
        <f>"021266"</f>
        <v>021266</v>
      </c>
      <c r="C492" t="str">
        <f>"81174"</f>
        <v>81174</v>
      </c>
      <c r="D492" t="s">
        <v>62</v>
      </c>
      <c r="E492" s="3">
        <v>60</v>
      </c>
      <c r="F492">
        <v>20160226</v>
      </c>
      <c r="G492" t="s">
        <v>63</v>
      </c>
      <c r="H492" t="s">
        <v>199</v>
      </c>
      <c r="I492">
        <v>0</v>
      </c>
      <c r="J492" t="s">
        <v>15</v>
      </c>
      <c r="K492" t="s">
        <v>64</v>
      </c>
      <c r="L492" t="s">
        <v>17</v>
      </c>
      <c r="M492" t="str">
        <f t="shared" si="29"/>
        <v>02</v>
      </c>
      <c r="N492" t="s">
        <v>12</v>
      </c>
    </row>
    <row r="493" spans="1:14" x14ac:dyDescent="0.25">
      <c r="A493">
        <v>20160226</v>
      </c>
      <c r="B493" t="str">
        <f>"021267"</f>
        <v>021267</v>
      </c>
      <c r="C493" t="str">
        <f>"81753"</f>
        <v>81753</v>
      </c>
      <c r="D493" t="s">
        <v>68</v>
      </c>
      <c r="E493" s="3">
        <v>68.290000000000006</v>
      </c>
      <c r="F493">
        <v>20160226</v>
      </c>
      <c r="G493" t="s">
        <v>69</v>
      </c>
      <c r="H493" t="s">
        <v>199</v>
      </c>
      <c r="I493">
        <v>0</v>
      </c>
      <c r="J493" t="s">
        <v>15</v>
      </c>
      <c r="K493" t="s">
        <v>68</v>
      </c>
      <c r="L493" t="s">
        <v>17</v>
      </c>
      <c r="M493" t="str">
        <f t="shared" si="29"/>
        <v>02</v>
      </c>
      <c r="N493" t="s">
        <v>12</v>
      </c>
    </row>
    <row r="494" spans="1:14" x14ac:dyDescent="0.25">
      <c r="A494">
        <v>20160311</v>
      </c>
      <c r="B494" t="str">
        <f>"021324"</f>
        <v>021324</v>
      </c>
      <c r="C494" t="str">
        <f>"04831"</f>
        <v>04831</v>
      </c>
      <c r="D494" t="s">
        <v>11</v>
      </c>
      <c r="E494" s="3">
        <v>56.1</v>
      </c>
      <c r="F494">
        <v>20160311</v>
      </c>
      <c r="G494" t="s">
        <v>13</v>
      </c>
      <c r="H494" t="s">
        <v>206</v>
      </c>
      <c r="I494">
        <v>0</v>
      </c>
      <c r="J494" t="s">
        <v>15</v>
      </c>
      <c r="K494" t="s">
        <v>16</v>
      </c>
      <c r="L494" t="s">
        <v>17</v>
      </c>
      <c r="M494" t="str">
        <f t="shared" ref="M494:M525" si="30">"03"</f>
        <v>03</v>
      </c>
      <c r="N494" t="s">
        <v>12</v>
      </c>
    </row>
    <row r="495" spans="1:14" x14ac:dyDescent="0.25">
      <c r="A495">
        <v>20160311</v>
      </c>
      <c r="B495" t="str">
        <f>"021325"</f>
        <v>021325</v>
      </c>
      <c r="C495" t="str">
        <f>"04905"</f>
        <v>04905</v>
      </c>
      <c r="D495" t="s">
        <v>18</v>
      </c>
      <c r="E495" s="3">
        <v>18.329999999999998</v>
      </c>
      <c r="F495">
        <v>20160311</v>
      </c>
      <c r="G495" t="s">
        <v>19</v>
      </c>
      <c r="H495" t="s">
        <v>207</v>
      </c>
      <c r="I495">
        <v>0</v>
      </c>
      <c r="J495" t="s">
        <v>15</v>
      </c>
      <c r="K495" t="s">
        <v>21</v>
      </c>
      <c r="L495" t="s">
        <v>17</v>
      </c>
      <c r="M495" t="str">
        <f t="shared" si="30"/>
        <v>03</v>
      </c>
      <c r="N495" t="s">
        <v>12</v>
      </c>
    </row>
    <row r="496" spans="1:14" x14ac:dyDescent="0.25">
      <c r="A496">
        <v>20160311</v>
      </c>
      <c r="B496" t="str">
        <f>"021326"</f>
        <v>021326</v>
      </c>
      <c r="C496" t="str">
        <f>"04987"</f>
        <v>04987</v>
      </c>
      <c r="D496" t="s">
        <v>144</v>
      </c>
      <c r="E496" s="3">
        <v>27.74</v>
      </c>
      <c r="F496">
        <v>20160311</v>
      </c>
      <c r="G496" t="s">
        <v>35</v>
      </c>
      <c r="H496" t="s">
        <v>206</v>
      </c>
      <c r="I496">
        <v>0</v>
      </c>
      <c r="J496" t="s">
        <v>15</v>
      </c>
      <c r="K496" t="s">
        <v>36</v>
      </c>
      <c r="L496" t="s">
        <v>17</v>
      </c>
      <c r="M496" t="str">
        <f t="shared" si="30"/>
        <v>03</v>
      </c>
      <c r="N496" t="s">
        <v>12</v>
      </c>
    </row>
    <row r="497" spans="1:14" x14ac:dyDescent="0.25">
      <c r="A497">
        <v>20160311</v>
      </c>
      <c r="B497" t="str">
        <f>"021327"</f>
        <v>021327</v>
      </c>
      <c r="C497" t="str">
        <f>"07880"</f>
        <v>07880</v>
      </c>
      <c r="D497" t="s">
        <v>25</v>
      </c>
      <c r="E497" s="3">
        <v>158.41999999999999</v>
      </c>
      <c r="F497">
        <v>20160311</v>
      </c>
      <c r="G497" t="s">
        <v>26</v>
      </c>
      <c r="H497" t="s">
        <v>207</v>
      </c>
      <c r="I497">
        <v>0</v>
      </c>
      <c r="J497" t="s">
        <v>15</v>
      </c>
      <c r="K497" t="s">
        <v>27</v>
      </c>
      <c r="L497" t="s">
        <v>17</v>
      </c>
      <c r="M497" t="str">
        <f t="shared" si="30"/>
        <v>03</v>
      </c>
      <c r="N497" t="s">
        <v>12</v>
      </c>
    </row>
    <row r="498" spans="1:14" x14ac:dyDescent="0.25">
      <c r="A498">
        <v>20160311</v>
      </c>
      <c r="B498" t="str">
        <f>"021328"</f>
        <v>021328</v>
      </c>
      <c r="C498" t="str">
        <f>"11211"</f>
        <v>11211</v>
      </c>
      <c r="D498" t="s">
        <v>28</v>
      </c>
      <c r="E498" s="3">
        <v>128.97999999999999</v>
      </c>
      <c r="F498">
        <v>20160311</v>
      </c>
      <c r="G498" t="s">
        <v>29</v>
      </c>
      <c r="H498" t="s">
        <v>206</v>
      </c>
      <c r="I498">
        <v>0</v>
      </c>
      <c r="J498" t="s">
        <v>15</v>
      </c>
      <c r="K498" t="s">
        <v>30</v>
      </c>
      <c r="L498" t="s">
        <v>17</v>
      </c>
      <c r="M498" t="str">
        <f t="shared" si="30"/>
        <v>03</v>
      </c>
      <c r="N498" t="s">
        <v>12</v>
      </c>
    </row>
    <row r="499" spans="1:14" x14ac:dyDescent="0.25">
      <c r="A499">
        <v>20160311</v>
      </c>
      <c r="B499" t="str">
        <f>"021329"</f>
        <v>021329</v>
      </c>
      <c r="C499" t="str">
        <f>"14177"</f>
        <v>14177</v>
      </c>
      <c r="D499" t="s">
        <v>31</v>
      </c>
      <c r="E499" s="3">
        <v>25</v>
      </c>
      <c r="F499">
        <v>20160311</v>
      </c>
      <c r="G499" t="s">
        <v>32</v>
      </c>
      <c r="H499" t="s">
        <v>207</v>
      </c>
      <c r="I499">
        <v>0</v>
      </c>
      <c r="J499" t="s">
        <v>15</v>
      </c>
      <c r="K499" t="s">
        <v>33</v>
      </c>
      <c r="L499" t="s">
        <v>17</v>
      </c>
      <c r="M499" t="str">
        <f t="shared" si="30"/>
        <v>03</v>
      </c>
      <c r="N499" t="s">
        <v>12</v>
      </c>
    </row>
    <row r="500" spans="1:14" x14ac:dyDescent="0.25">
      <c r="A500">
        <v>20160311</v>
      </c>
      <c r="B500" t="str">
        <f>"021330"</f>
        <v>021330</v>
      </c>
      <c r="C500" t="str">
        <f>"24960"</f>
        <v>24960</v>
      </c>
      <c r="D500" t="s">
        <v>39</v>
      </c>
      <c r="E500" s="3">
        <v>259.77999999999997</v>
      </c>
      <c r="F500">
        <v>20160311</v>
      </c>
      <c r="G500" t="s">
        <v>40</v>
      </c>
      <c r="H500" t="s">
        <v>208</v>
      </c>
      <c r="I500">
        <v>0</v>
      </c>
      <c r="J500" t="s">
        <v>15</v>
      </c>
      <c r="K500" t="s">
        <v>42</v>
      </c>
      <c r="L500" t="s">
        <v>17</v>
      </c>
      <c r="M500" t="str">
        <f t="shared" si="30"/>
        <v>03</v>
      </c>
      <c r="N500" t="s">
        <v>12</v>
      </c>
    </row>
    <row r="501" spans="1:14" x14ac:dyDescent="0.25">
      <c r="A501">
        <v>20160311</v>
      </c>
      <c r="B501" t="str">
        <f>"021331"</f>
        <v>021331</v>
      </c>
      <c r="C501" t="str">
        <f>"42245"</f>
        <v>42245</v>
      </c>
      <c r="D501" t="s">
        <v>43</v>
      </c>
      <c r="E501" s="3">
        <v>312.16000000000003</v>
      </c>
      <c r="F501">
        <v>20160311</v>
      </c>
      <c r="G501" t="s">
        <v>44</v>
      </c>
      <c r="H501" t="s">
        <v>206</v>
      </c>
      <c r="I501">
        <v>0</v>
      </c>
      <c r="J501" t="s">
        <v>15</v>
      </c>
      <c r="K501" t="s">
        <v>45</v>
      </c>
      <c r="L501" t="s">
        <v>17</v>
      </c>
      <c r="M501" t="str">
        <f t="shared" si="30"/>
        <v>03</v>
      </c>
      <c r="N501" t="s">
        <v>12</v>
      </c>
    </row>
    <row r="502" spans="1:14" x14ac:dyDescent="0.25">
      <c r="A502">
        <v>20160311</v>
      </c>
      <c r="B502" t="str">
        <f>"021332"</f>
        <v>021332</v>
      </c>
      <c r="C502" t="str">
        <f>"48947"</f>
        <v>48947</v>
      </c>
      <c r="D502" t="s">
        <v>46</v>
      </c>
      <c r="E502" s="3">
        <v>25.38</v>
      </c>
      <c r="F502">
        <v>20160311</v>
      </c>
      <c r="G502" t="s">
        <v>47</v>
      </c>
      <c r="H502" t="s">
        <v>208</v>
      </c>
      <c r="I502">
        <v>0</v>
      </c>
      <c r="J502" t="s">
        <v>15</v>
      </c>
      <c r="K502" t="s">
        <v>48</v>
      </c>
      <c r="L502" t="s">
        <v>17</v>
      </c>
      <c r="M502" t="str">
        <f t="shared" si="30"/>
        <v>03</v>
      </c>
      <c r="N502" t="s">
        <v>12</v>
      </c>
    </row>
    <row r="503" spans="1:14" x14ac:dyDescent="0.25">
      <c r="A503">
        <v>20160311</v>
      </c>
      <c r="B503" t="str">
        <f>"021333"</f>
        <v>021333</v>
      </c>
      <c r="C503" t="str">
        <f>"54196"</f>
        <v>54196</v>
      </c>
      <c r="D503" t="s">
        <v>49</v>
      </c>
      <c r="E503" s="3">
        <v>50</v>
      </c>
      <c r="F503">
        <v>20160311</v>
      </c>
      <c r="G503" t="s">
        <v>50</v>
      </c>
      <c r="H503" t="s">
        <v>209</v>
      </c>
      <c r="I503">
        <v>0</v>
      </c>
      <c r="J503" t="s">
        <v>15</v>
      </c>
      <c r="K503" t="s">
        <v>52</v>
      </c>
      <c r="L503" t="s">
        <v>17</v>
      </c>
      <c r="M503" t="str">
        <f t="shared" si="30"/>
        <v>03</v>
      </c>
      <c r="N503" t="s">
        <v>12</v>
      </c>
    </row>
    <row r="504" spans="1:14" x14ac:dyDescent="0.25">
      <c r="A504">
        <v>20160311</v>
      </c>
      <c r="B504" t="str">
        <f>"021334"</f>
        <v>021334</v>
      </c>
      <c r="C504" t="str">
        <f>"72601"</f>
        <v>72601</v>
      </c>
      <c r="D504" t="s">
        <v>53</v>
      </c>
      <c r="E504" s="3">
        <v>256.3</v>
      </c>
      <c r="F504">
        <v>20160311</v>
      </c>
      <c r="G504" t="s">
        <v>54</v>
      </c>
      <c r="H504" t="s">
        <v>207</v>
      </c>
      <c r="I504">
        <v>0</v>
      </c>
      <c r="J504" t="s">
        <v>15</v>
      </c>
      <c r="K504" t="s">
        <v>55</v>
      </c>
      <c r="L504" t="s">
        <v>17</v>
      </c>
      <c r="M504" t="str">
        <f t="shared" si="30"/>
        <v>03</v>
      </c>
      <c r="N504" t="s">
        <v>12</v>
      </c>
    </row>
    <row r="505" spans="1:14" x14ac:dyDescent="0.25">
      <c r="A505">
        <v>20160311</v>
      </c>
      <c r="B505" t="str">
        <f>"021335"</f>
        <v>021335</v>
      </c>
      <c r="C505" t="str">
        <f>"75452"</f>
        <v>75452</v>
      </c>
      <c r="D505" t="s">
        <v>56</v>
      </c>
      <c r="E505" s="3">
        <v>350.84</v>
      </c>
      <c r="F505">
        <v>20160311</v>
      </c>
      <c r="G505" t="s">
        <v>57</v>
      </c>
      <c r="H505" t="s">
        <v>206</v>
      </c>
      <c r="I505">
        <v>0</v>
      </c>
      <c r="J505" t="s">
        <v>15</v>
      </c>
      <c r="K505" t="s">
        <v>58</v>
      </c>
      <c r="L505" t="s">
        <v>17</v>
      </c>
      <c r="M505" t="str">
        <f t="shared" si="30"/>
        <v>03</v>
      </c>
      <c r="N505" t="s">
        <v>12</v>
      </c>
    </row>
    <row r="506" spans="1:14" x14ac:dyDescent="0.25">
      <c r="A506">
        <v>20160311</v>
      </c>
      <c r="B506" t="str">
        <f>"021336"</f>
        <v>021336</v>
      </c>
      <c r="C506" t="str">
        <f>"81173"</f>
        <v>81173</v>
      </c>
      <c r="D506" t="s">
        <v>59</v>
      </c>
      <c r="E506" s="3">
        <v>25</v>
      </c>
      <c r="F506">
        <v>20160311</v>
      </c>
      <c r="G506" t="s">
        <v>60</v>
      </c>
      <c r="H506" t="s">
        <v>207</v>
      </c>
      <c r="I506">
        <v>0</v>
      </c>
      <c r="J506" t="s">
        <v>15</v>
      </c>
      <c r="K506" t="s">
        <v>61</v>
      </c>
      <c r="L506" t="s">
        <v>17</v>
      </c>
      <c r="M506" t="str">
        <f t="shared" si="30"/>
        <v>03</v>
      </c>
      <c r="N506" t="s">
        <v>12</v>
      </c>
    </row>
    <row r="507" spans="1:14" x14ac:dyDescent="0.25">
      <c r="A507">
        <v>20160311</v>
      </c>
      <c r="B507" t="str">
        <f>"021337"</f>
        <v>021337</v>
      </c>
      <c r="C507" t="str">
        <f>"81174"</f>
        <v>81174</v>
      </c>
      <c r="D507" t="s">
        <v>62</v>
      </c>
      <c r="E507" s="3">
        <v>60</v>
      </c>
      <c r="F507">
        <v>20160311</v>
      </c>
      <c r="G507" t="s">
        <v>63</v>
      </c>
      <c r="H507" t="s">
        <v>207</v>
      </c>
      <c r="I507">
        <v>0</v>
      </c>
      <c r="J507" t="s">
        <v>15</v>
      </c>
      <c r="K507" t="s">
        <v>64</v>
      </c>
      <c r="L507" t="s">
        <v>17</v>
      </c>
      <c r="M507" t="str">
        <f t="shared" si="30"/>
        <v>03</v>
      </c>
      <c r="N507" t="s">
        <v>12</v>
      </c>
    </row>
    <row r="508" spans="1:14" x14ac:dyDescent="0.25">
      <c r="A508">
        <v>20160311</v>
      </c>
      <c r="B508" t="str">
        <f>"021338"</f>
        <v>021338</v>
      </c>
      <c r="C508" t="str">
        <f>"81753"</f>
        <v>81753</v>
      </c>
      <c r="D508" t="s">
        <v>68</v>
      </c>
      <c r="E508" s="3">
        <v>32.200000000000003</v>
      </c>
      <c r="F508">
        <v>20160311</v>
      </c>
      <c r="G508" t="s">
        <v>69</v>
      </c>
      <c r="H508" t="s">
        <v>207</v>
      </c>
      <c r="I508">
        <v>0</v>
      </c>
      <c r="J508" t="s">
        <v>15</v>
      </c>
      <c r="K508" t="s">
        <v>68</v>
      </c>
      <c r="L508" t="s">
        <v>17</v>
      </c>
      <c r="M508" t="str">
        <f t="shared" si="30"/>
        <v>03</v>
      </c>
      <c r="N508" t="s">
        <v>12</v>
      </c>
    </row>
    <row r="509" spans="1:14" x14ac:dyDescent="0.25">
      <c r="A509">
        <v>20160315</v>
      </c>
      <c r="B509" t="str">
        <f>"021339"</f>
        <v>021339</v>
      </c>
      <c r="C509" t="str">
        <f>"04831"</f>
        <v>04831</v>
      </c>
      <c r="D509" t="s">
        <v>11</v>
      </c>
      <c r="E509" s="3">
        <v>1203.9100000000001</v>
      </c>
      <c r="F509">
        <v>20160315</v>
      </c>
      <c r="G509" t="s">
        <v>13</v>
      </c>
      <c r="H509" t="s">
        <v>206</v>
      </c>
      <c r="I509">
        <v>0</v>
      </c>
      <c r="J509" t="s">
        <v>15</v>
      </c>
      <c r="K509" t="s">
        <v>16</v>
      </c>
      <c r="L509" t="s">
        <v>17</v>
      </c>
      <c r="M509" t="str">
        <f t="shared" si="30"/>
        <v>03</v>
      </c>
      <c r="N509" t="s">
        <v>12</v>
      </c>
    </row>
    <row r="510" spans="1:14" x14ac:dyDescent="0.25">
      <c r="A510">
        <v>20160315</v>
      </c>
      <c r="B510" t="str">
        <f>"021340"</f>
        <v>021340</v>
      </c>
      <c r="C510" t="str">
        <f>"04905"</f>
        <v>04905</v>
      </c>
      <c r="D510" t="s">
        <v>18</v>
      </c>
      <c r="E510" s="3">
        <v>2806.66</v>
      </c>
      <c r="F510">
        <v>20160315</v>
      </c>
      <c r="G510" t="s">
        <v>19</v>
      </c>
      <c r="H510" t="s">
        <v>207</v>
      </c>
      <c r="I510">
        <v>0</v>
      </c>
      <c r="J510" t="s">
        <v>15</v>
      </c>
      <c r="K510" t="s">
        <v>21</v>
      </c>
      <c r="L510" t="s">
        <v>17</v>
      </c>
      <c r="M510" t="str">
        <f t="shared" si="30"/>
        <v>03</v>
      </c>
      <c r="N510" t="s">
        <v>12</v>
      </c>
    </row>
    <row r="511" spans="1:14" x14ac:dyDescent="0.25">
      <c r="A511">
        <v>20160315</v>
      </c>
      <c r="B511" t="str">
        <f>"021341"</f>
        <v>021341</v>
      </c>
      <c r="C511" t="str">
        <f>"04987"</f>
        <v>04987</v>
      </c>
      <c r="D511" t="s">
        <v>144</v>
      </c>
      <c r="E511" s="3">
        <v>488.36</v>
      </c>
      <c r="F511">
        <v>20160315</v>
      </c>
      <c r="G511" t="s">
        <v>35</v>
      </c>
      <c r="H511" t="s">
        <v>206</v>
      </c>
      <c r="I511">
        <v>0</v>
      </c>
      <c r="J511" t="s">
        <v>15</v>
      </c>
      <c r="K511" t="s">
        <v>36</v>
      </c>
      <c r="L511" t="s">
        <v>17</v>
      </c>
      <c r="M511" t="str">
        <f t="shared" si="30"/>
        <v>03</v>
      </c>
      <c r="N511" t="s">
        <v>12</v>
      </c>
    </row>
    <row r="512" spans="1:14" x14ac:dyDescent="0.25">
      <c r="A512">
        <v>20160315</v>
      </c>
      <c r="B512" t="str">
        <f>"021342"</f>
        <v>021342</v>
      </c>
      <c r="C512" t="str">
        <f>"07710"</f>
        <v>07710</v>
      </c>
      <c r="D512" t="s">
        <v>22</v>
      </c>
      <c r="E512" s="3">
        <v>327.42</v>
      </c>
      <c r="F512">
        <v>20160315</v>
      </c>
      <c r="G512" t="s">
        <v>23</v>
      </c>
      <c r="H512" t="s">
        <v>207</v>
      </c>
      <c r="I512">
        <v>0</v>
      </c>
      <c r="J512" t="s">
        <v>15</v>
      </c>
      <c r="K512" t="s">
        <v>24</v>
      </c>
      <c r="L512" t="s">
        <v>17</v>
      </c>
      <c r="M512" t="str">
        <f t="shared" si="30"/>
        <v>03</v>
      </c>
      <c r="N512" t="s">
        <v>12</v>
      </c>
    </row>
    <row r="513" spans="1:14" x14ac:dyDescent="0.25">
      <c r="A513">
        <v>20160315</v>
      </c>
      <c r="B513" t="str">
        <f>"021343"</f>
        <v>021343</v>
      </c>
      <c r="C513" t="str">
        <f>"07880"</f>
        <v>07880</v>
      </c>
      <c r="D513" t="s">
        <v>25</v>
      </c>
      <c r="E513" s="3">
        <v>4261.3999999999996</v>
      </c>
      <c r="F513">
        <v>20160315</v>
      </c>
      <c r="G513" t="s">
        <v>26</v>
      </c>
      <c r="H513" t="s">
        <v>207</v>
      </c>
      <c r="I513">
        <v>0</v>
      </c>
      <c r="J513" t="s">
        <v>15</v>
      </c>
      <c r="K513" t="s">
        <v>27</v>
      </c>
      <c r="L513" t="s">
        <v>17</v>
      </c>
      <c r="M513" t="str">
        <f t="shared" si="30"/>
        <v>03</v>
      </c>
      <c r="N513" t="s">
        <v>12</v>
      </c>
    </row>
    <row r="514" spans="1:14" x14ac:dyDescent="0.25">
      <c r="A514">
        <v>20160315</v>
      </c>
      <c r="B514" t="str">
        <f>"021344"</f>
        <v>021344</v>
      </c>
      <c r="C514" t="str">
        <f>"10095"</f>
        <v>10095</v>
      </c>
      <c r="D514" t="s">
        <v>70</v>
      </c>
      <c r="E514" s="3">
        <v>458.98</v>
      </c>
      <c r="F514">
        <v>20160315</v>
      </c>
      <c r="G514" t="s">
        <v>71</v>
      </c>
      <c r="H514" t="s">
        <v>207</v>
      </c>
      <c r="I514">
        <v>0</v>
      </c>
      <c r="J514" t="s">
        <v>15</v>
      </c>
      <c r="K514" t="s">
        <v>72</v>
      </c>
      <c r="L514" t="s">
        <v>17</v>
      </c>
      <c r="M514" t="str">
        <f t="shared" si="30"/>
        <v>03</v>
      </c>
      <c r="N514" t="s">
        <v>12</v>
      </c>
    </row>
    <row r="515" spans="1:14" x14ac:dyDescent="0.25">
      <c r="A515">
        <v>20160315</v>
      </c>
      <c r="B515" t="str">
        <f>"021345"</f>
        <v>021345</v>
      </c>
      <c r="C515" t="str">
        <f>"11211"</f>
        <v>11211</v>
      </c>
      <c r="D515" t="s">
        <v>28</v>
      </c>
      <c r="E515" s="3">
        <v>2339.4499999999998</v>
      </c>
      <c r="F515">
        <v>20160315</v>
      </c>
      <c r="G515" t="s">
        <v>29</v>
      </c>
      <c r="H515" t="s">
        <v>206</v>
      </c>
      <c r="I515">
        <v>0</v>
      </c>
      <c r="J515" t="s">
        <v>15</v>
      </c>
      <c r="K515" t="s">
        <v>30</v>
      </c>
      <c r="L515" t="s">
        <v>17</v>
      </c>
      <c r="M515" t="str">
        <f t="shared" si="30"/>
        <v>03</v>
      </c>
      <c r="N515" t="s">
        <v>12</v>
      </c>
    </row>
    <row r="516" spans="1:14" x14ac:dyDescent="0.25">
      <c r="A516">
        <v>20160315</v>
      </c>
      <c r="B516" t="str">
        <f>"021346"</f>
        <v>021346</v>
      </c>
      <c r="C516" t="str">
        <f>"14177"</f>
        <v>14177</v>
      </c>
      <c r="D516" t="s">
        <v>31</v>
      </c>
      <c r="E516" s="3">
        <v>50</v>
      </c>
      <c r="F516">
        <v>20160315</v>
      </c>
      <c r="G516" t="s">
        <v>32</v>
      </c>
      <c r="H516" t="s">
        <v>207</v>
      </c>
      <c r="I516">
        <v>0</v>
      </c>
      <c r="J516" t="s">
        <v>15</v>
      </c>
      <c r="K516" t="s">
        <v>33</v>
      </c>
      <c r="L516" t="s">
        <v>17</v>
      </c>
      <c r="M516" t="str">
        <f t="shared" si="30"/>
        <v>03</v>
      </c>
      <c r="N516" t="s">
        <v>12</v>
      </c>
    </row>
    <row r="517" spans="1:14" x14ac:dyDescent="0.25">
      <c r="A517">
        <v>20160315</v>
      </c>
      <c r="B517" t="str">
        <f>"021347"</f>
        <v>021347</v>
      </c>
      <c r="C517" t="str">
        <f>"19103"</f>
        <v>19103</v>
      </c>
      <c r="D517" t="s">
        <v>73</v>
      </c>
      <c r="E517" s="3">
        <v>225</v>
      </c>
      <c r="F517">
        <v>20160315</v>
      </c>
      <c r="G517" t="s">
        <v>74</v>
      </c>
      <c r="H517" t="s">
        <v>207</v>
      </c>
      <c r="I517">
        <v>0</v>
      </c>
      <c r="J517" t="s">
        <v>15</v>
      </c>
      <c r="K517" t="s">
        <v>75</v>
      </c>
      <c r="L517" t="s">
        <v>17</v>
      </c>
      <c r="M517" t="str">
        <f t="shared" si="30"/>
        <v>03</v>
      </c>
      <c r="N517" t="s">
        <v>12</v>
      </c>
    </row>
    <row r="518" spans="1:14" x14ac:dyDescent="0.25">
      <c r="A518">
        <v>20160315</v>
      </c>
      <c r="B518" t="str">
        <f>"021348"</f>
        <v>021348</v>
      </c>
      <c r="C518" t="str">
        <f>"20682"</f>
        <v>20682</v>
      </c>
      <c r="D518" t="s">
        <v>76</v>
      </c>
      <c r="E518" s="3">
        <v>5350</v>
      </c>
      <c r="F518">
        <v>20160315</v>
      </c>
      <c r="G518" t="s">
        <v>77</v>
      </c>
      <c r="H518" t="s">
        <v>207</v>
      </c>
      <c r="I518">
        <v>0</v>
      </c>
      <c r="J518" t="s">
        <v>15</v>
      </c>
      <c r="K518" t="s">
        <v>78</v>
      </c>
      <c r="L518" t="s">
        <v>17</v>
      </c>
      <c r="M518" t="str">
        <f t="shared" si="30"/>
        <v>03</v>
      </c>
      <c r="N518" t="s">
        <v>12</v>
      </c>
    </row>
    <row r="519" spans="1:14" x14ac:dyDescent="0.25">
      <c r="A519">
        <v>20160315</v>
      </c>
      <c r="B519" t="str">
        <f>"021349"</f>
        <v>021349</v>
      </c>
      <c r="C519" t="str">
        <f>"21504"</f>
        <v>21504</v>
      </c>
      <c r="D519" t="s">
        <v>79</v>
      </c>
      <c r="E519" s="3">
        <v>36.6</v>
      </c>
      <c r="F519">
        <v>20160315</v>
      </c>
      <c r="G519" t="s">
        <v>80</v>
      </c>
      <c r="H519" t="s">
        <v>206</v>
      </c>
      <c r="I519">
        <v>0</v>
      </c>
      <c r="J519" t="s">
        <v>15</v>
      </c>
      <c r="K519" t="s">
        <v>81</v>
      </c>
      <c r="L519" t="s">
        <v>17</v>
      </c>
      <c r="M519" t="str">
        <f t="shared" si="30"/>
        <v>03</v>
      </c>
      <c r="N519" t="s">
        <v>12</v>
      </c>
    </row>
    <row r="520" spans="1:14" x14ac:dyDescent="0.25">
      <c r="A520">
        <v>20160315</v>
      </c>
      <c r="B520" t="str">
        <f>"021350"</f>
        <v>021350</v>
      </c>
      <c r="C520" t="str">
        <f>"21506"</f>
        <v>21506</v>
      </c>
      <c r="D520" t="s">
        <v>34</v>
      </c>
      <c r="E520" s="3">
        <v>332.75</v>
      </c>
      <c r="F520">
        <v>20160315</v>
      </c>
      <c r="G520" t="s">
        <v>37</v>
      </c>
      <c r="H520" t="s">
        <v>206</v>
      </c>
      <c r="I520">
        <v>0</v>
      </c>
      <c r="J520" t="s">
        <v>15</v>
      </c>
      <c r="K520" t="s">
        <v>38</v>
      </c>
      <c r="L520" t="s">
        <v>17</v>
      </c>
      <c r="M520" t="str">
        <f t="shared" si="30"/>
        <v>03</v>
      </c>
      <c r="N520" t="s">
        <v>12</v>
      </c>
    </row>
    <row r="521" spans="1:14" x14ac:dyDescent="0.25">
      <c r="A521">
        <v>20160315</v>
      </c>
      <c r="B521" t="str">
        <f>"021351"</f>
        <v>021351</v>
      </c>
      <c r="C521" t="str">
        <f>"21826"</f>
        <v>21826</v>
      </c>
      <c r="D521" t="s">
        <v>82</v>
      </c>
      <c r="E521" s="3">
        <v>519.59</v>
      </c>
      <c r="F521">
        <v>20160315</v>
      </c>
      <c r="G521" t="s">
        <v>83</v>
      </c>
      <c r="H521" t="s">
        <v>207</v>
      </c>
      <c r="I521">
        <v>0</v>
      </c>
      <c r="J521" t="s">
        <v>15</v>
      </c>
      <c r="K521" t="s">
        <v>84</v>
      </c>
      <c r="L521" t="s">
        <v>17</v>
      </c>
      <c r="M521" t="str">
        <f t="shared" si="30"/>
        <v>03</v>
      </c>
      <c r="N521" t="s">
        <v>12</v>
      </c>
    </row>
    <row r="522" spans="1:14" x14ac:dyDescent="0.25">
      <c r="A522">
        <v>20160315</v>
      </c>
      <c r="B522" t="str">
        <f>"021352"</f>
        <v>021352</v>
      </c>
      <c r="C522" t="str">
        <f>"24960"</f>
        <v>24960</v>
      </c>
      <c r="D522" t="s">
        <v>39</v>
      </c>
      <c r="E522" s="3">
        <v>4078.79</v>
      </c>
      <c r="F522">
        <v>20160315</v>
      </c>
      <c r="G522" t="s">
        <v>40</v>
      </c>
      <c r="H522" t="s">
        <v>208</v>
      </c>
      <c r="I522">
        <v>0</v>
      </c>
      <c r="J522" t="s">
        <v>15</v>
      </c>
      <c r="K522" t="s">
        <v>42</v>
      </c>
      <c r="L522" t="s">
        <v>17</v>
      </c>
      <c r="M522" t="str">
        <f t="shared" si="30"/>
        <v>03</v>
      </c>
      <c r="N522" t="s">
        <v>12</v>
      </c>
    </row>
    <row r="523" spans="1:14" x14ac:dyDescent="0.25">
      <c r="A523">
        <v>20160315</v>
      </c>
      <c r="B523" t="str">
        <f>"021353"</f>
        <v>021353</v>
      </c>
      <c r="C523" t="str">
        <f>"42245"</f>
        <v>42245</v>
      </c>
      <c r="D523" t="s">
        <v>43</v>
      </c>
      <c r="E523" s="3">
        <v>9916.14</v>
      </c>
      <c r="F523">
        <v>20160315</v>
      </c>
      <c r="G523" t="s">
        <v>44</v>
      </c>
      <c r="H523" t="s">
        <v>206</v>
      </c>
      <c r="I523">
        <v>0</v>
      </c>
      <c r="J523" t="s">
        <v>15</v>
      </c>
      <c r="K523" t="s">
        <v>45</v>
      </c>
      <c r="L523" t="s">
        <v>17</v>
      </c>
      <c r="M523" t="str">
        <f t="shared" si="30"/>
        <v>03</v>
      </c>
      <c r="N523" t="s">
        <v>12</v>
      </c>
    </row>
    <row r="524" spans="1:14" x14ac:dyDescent="0.25">
      <c r="A524">
        <v>20160315</v>
      </c>
      <c r="B524" t="str">
        <f>"021354"</f>
        <v>021354</v>
      </c>
      <c r="C524" t="str">
        <f>"43855"</f>
        <v>43855</v>
      </c>
      <c r="D524" t="s">
        <v>88</v>
      </c>
      <c r="E524" s="3">
        <v>250</v>
      </c>
      <c r="F524">
        <v>20160315</v>
      </c>
      <c r="G524" t="s">
        <v>89</v>
      </c>
      <c r="H524" t="s">
        <v>207</v>
      </c>
      <c r="I524">
        <v>0</v>
      </c>
      <c r="J524" t="s">
        <v>15</v>
      </c>
      <c r="K524" t="s">
        <v>88</v>
      </c>
      <c r="L524" t="s">
        <v>17</v>
      </c>
      <c r="M524" t="str">
        <f t="shared" si="30"/>
        <v>03</v>
      </c>
      <c r="N524" t="s">
        <v>12</v>
      </c>
    </row>
    <row r="525" spans="1:14" x14ac:dyDescent="0.25">
      <c r="A525">
        <v>20160315</v>
      </c>
      <c r="B525" t="str">
        <f>"021355"</f>
        <v>021355</v>
      </c>
      <c r="C525" t="str">
        <f>"48947"</f>
        <v>48947</v>
      </c>
      <c r="D525" t="s">
        <v>46</v>
      </c>
      <c r="E525" s="3">
        <v>1518.89</v>
      </c>
      <c r="F525">
        <v>20160315</v>
      </c>
      <c r="G525" t="s">
        <v>47</v>
      </c>
      <c r="H525" t="s">
        <v>208</v>
      </c>
      <c r="I525">
        <v>0</v>
      </c>
      <c r="J525" t="s">
        <v>15</v>
      </c>
      <c r="K525" t="s">
        <v>48</v>
      </c>
      <c r="L525" t="s">
        <v>17</v>
      </c>
      <c r="M525" t="str">
        <f t="shared" si="30"/>
        <v>03</v>
      </c>
      <c r="N525" t="s">
        <v>12</v>
      </c>
    </row>
    <row r="526" spans="1:14" x14ac:dyDescent="0.25">
      <c r="A526">
        <v>20160315</v>
      </c>
      <c r="B526" t="str">
        <f t="shared" ref="B526:B542" si="31">"021356"</f>
        <v>021356</v>
      </c>
      <c r="C526" t="str">
        <f t="shared" ref="C526:C542" si="32">"54196"</f>
        <v>54196</v>
      </c>
      <c r="D526" t="s">
        <v>49</v>
      </c>
      <c r="E526" s="3">
        <v>50</v>
      </c>
      <c r="F526">
        <v>20160315</v>
      </c>
      <c r="G526" t="s">
        <v>90</v>
      </c>
      <c r="H526" t="s">
        <v>209</v>
      </c>
      <c r="I526">
        <v>0</v>
      </c>
      <c r="J526" t="s">
        <v>15</v>
      </c>
      <c r="K526" t="s">
        <v>91</v>
      </c>
      <c r="L526" t="s">
        <v>17</v>
      </c>
      <c r="M526" t="str">
        <f t="shared" ref="M526:M557" si="33">"03"</f>
        <v>03</v>
      </c>
      <c r="N526" t="s">
        <v>12</v>
      </c>
    </row>
    <row r="527" spans="1:14" x14ac:dyDescent="0.25">
      <c r="A527">
        <v>20160315</v>
      </c>
      <c r="B527" t="str">
        <f t="shared" si="31"/>
        <v>021356</v>
      </c>
      <c r="C527" t="str">
        <f t="shared" si="32"/>
        <v>54196</v>
      </c>
      <c r="D527" t="s">
        <v>49</v>
      </c>
      <c r="E527" s="3">
        <v>283</v>
      </c>
      <c r="F527">
        <v>20160315</v>
      </c>
      <c r="G527" t="s">
        <v>92</v>
      </c>
      <c r="H527" t="s">
        <v>209</v>
      </c>
      <c r="I527">
        <v>0</v>
      </c>
      <c r="J527" t="s">
        <v>15</v>
      </c>
      <c r="K527" t="s">
        <v>93</v>
      </c>
      <c r="L527" t="s">
        <v>17</v>
      </c>
      <c r="M527" t="str">
        <f t="shared" si="33"/>
        <v>03</v>
      </c>
      <c r="N527" t="s">
        <v>12</v>
      </c>
    </row>
    <row r="528" spans="1:14" x14ac:dyDescent="0.25">
      <c r="A528">
        <v>20160315</v>
      </c>
      <c r="B528" t="str">
        <f t="shared" si="31"/>
        <v>021356</v>
      </c>
      <c r="C528" t="str">
        <f t="shared" si="32"/>
        <v>54196</v>
      </c>
      <c r="D528" t="s">
        <v>49</v>
      </c>
      <c r="E528" s="3">
        <v>1590</v>
      </c>
      <c r="F528">
        <v>20160315</v>
      </c>
      <c r="G528" t="s">
        <v>94</v>
      </c>
      <c r="H528" t="s">
        <v>209</v>
      </c>
      <c r="I528">
        <v>0</v>
      </c>
      <c r="J528" t="s">
        <v>15</v>
      </c>
      <c r="K528" t="s">
        <v>95</v>
      </c>
      <c r="L528" t="s">
        <v>17</v>
      </c>
      <c r="M528" t="str">
        <f t="shared" si="33"/>
        <v>03</v>
      </c>
      <c r="N528" t="s">
        <v>12</v>
      </c>
    </row>
    <row r="529" spans="1:14" x14ac:dyDescent="0.25">
      <c r="A529">
        <v>20160315</v>
      </c>
      <c r="B529" t="str">
        <f t="shared" si="31"/>
        <v>021356</v>
      </c>
      <c r="C529" t="str">
        <f t="shared" si="32"/>
        <v>54196</v>
      </c>
      <c r="D529" t="s">
        <v>49</v>
      </c>
      <c r="E529" s="3">
        <v>2175</v>
      </c>
      <c r="F529">
        <v>20160315</v>
      </c>
      <c r="G529" t="s">
        <v>96</v>
      </c>
      <c r="H529" t="s">
        <v>209</v>
      </c>
      <c r="I529">
        <v>0</v>
      </c>
      <c r="J529" t="s">
        <v>15</v>
      </c>
      <c r="K529" t="s">
        <v>97</v>
      </c>
      <c r="L529" t="s">
        <v>17</v>
      </c>
      <c r="M529" t="str">
        <f t="shared" si="33"/>
        <v>03</v>
      </c>
      <c r="N529" t="s">
        <v>12</v>
      </c>
    </row>
    <row r="530" spans="1:14" x14ac:dyDescent="0.25">
      <c r="A530">
        <v>20160315</v>
      </c>
      <c r="B530" t="str">
        <f t="shared" si="31"/>
        <v>021356</v>
      </c>
      <c r="C530" t="str">
        <f t="shared" si="32"/>
        <v>54196</v>
      </c>
      <c r="D530" t="s">
        <v>49</v>
      </c>
      <c r="E530" s="3">
        <v>50</v>
      </c>
      <c r="F530">
        <v>20160315</v>
      </c>
      <c r="G530" t="s">
        <v>98</v>
      </c>
      <c r="H530" t="s">
        <v>209</v>
      </c>
      <c r="I530">
        <v>0</v>
      </c>
      <c r="J530" t="s">
        <v>15</v>
      </c>
      <c r="K530" t="s">
        <v>99</v>
      </c>
      <c r="L530" t="s">
        <v>17</v>
      </c>
      <c r="M530" t="str">
        <f t="shared" si="33"/>
        <v>03</v>
      </c>
      <c r="N530" t="s">
        <v>12</v>
      </c>
    </row>
    <row r="531" spans="1:14" x14ac:dyDescent="0.25">
      <c r="A531">
        <v>20160315</v>
      </c>
      <c r="B531" t="str">
        <f t="shared" si="31"/>
        <v>021356</v>
      </c>
      <c r="C531" t="str">
        <f t="shared" si="32"/>
        <v>54196</v>
      </c>
      <c r="D531" t="s">
        <v>49</v>
      </c>
      <c r="E531" s="3">
        <v>1230</v>
      </c>
      <c r="F531">
        <v>20160315</v>
      </c>
      <c r="G531" t="s">
        <v>100</v>
      </c>
      <c r="H531" t="s">
        <v>209</v>
      </c>
      <c r="I531">
        <v>0</v>
      </c>
      <c r="J531" t="s">
        <v>15</v>
      </c>
      <c r="K531" t="s">
        <v>101</v>
      </c>
      <c r="L531" t="s">
        <v>17</v>
      </c>
      <c r="M531" t="str">
        <f t="shared" si="33"/>
        <v>03</v>
      </c>
      <c r="N531" t="s">
        <v>12</v>
      </c>
    </row>
    <row r="532" spans="1:14" x14ac:dyDescent="0.25">
      <c r="A532">
        <v>20160315</v>
      </c>
      <c r="B532" t="str">
        <f t="shared" si="31"/>
        <v>021356</v>
      </c>
      <c r="C532" t="str">
        <f t="shared" si="32"/>
        <v>54196</v>
      </c>
      <c r="D532" t="s">
        <v>49</v>
      </c>
      <c r="E532" s="3">
        <v>2117</v>
      </c>
      <c r="F532">
        <v>20160315</v>
      </c>
      <c r="G532" t="s">
        <v>102</v>
      </c>
      <c r="H532" t="s">
        <v>209</v>
      </c>
      <c r="I532">
        <v>0</v>
      </c>
      <c r="J532" t="s">
        <v>15</v>
      </c>
      <c r="K532" t="s">
        <v>103</v>
      </c>
      <c r="L532" t="s">
        <v>17</v>
      </c>
      <c r="M532" t="str">
        <f t="shared" si="33"/>
        <v>03</v>
      </c>
      <c r="N532" t="s">
        <v>12</v>
      </c>
    </row>
    <row r="533" spans="1:14" x14ac:dyDescent="0.25">
      <c r="A533">
        <v>20160315</v>
      </c>
      <c r="B533" t="str">
        <f t="shared" si="31"/>
        <v>021356</v>
      </c>
      <c r="C533" t="str">
        <f t="shared" si="32"/>
        <v>54196</v>
      </c>
      <c r="D533" t="s">
        <v>49</v>
      </c>
      <c r="E533" s="3">
        <v>972</v>
      </c>
      <c r="F533">
        <v>20160315</v>
      </c>
      <c r="G533" t="s">
        <v>104</v>
      </c>
      <c r="H533" t="s">
        <v>209</v>
      </c>
      <c r="I533">
        <v>0</v>
      </c>
      <c r="J533" t="s">
        <v>15</v>
      </c>
      <c r="K533" t="s">
        <v>105</v>
      </c>
      <c r="L533" t="s">
        <v>17</v>
      </c>
      <c r="M533" t="str">
        <f t="shared" si="33"/>
        <v>03</v>
      </c>
      <c r="N533" t="s">
        <v>12</v>
      </c>
    </row>
    <row r="534" spans="1:14" x14ac:dyDescent="0.25">
      <c r="A534">
        <v>20160315</v>
      </c>
      <c r="B534" t="str">
        <f t="shared" si="31"/>
        <v>021356</v>
      </c>
      <c r="C534" t="str">
        <f t="shared" si="32"/>
        <v>54196</v>
      </c>
      <c r="D534" t="s">
        <v>49</v>
      </c>
      <c r="E534" s="3">
        <v>300</v>
      </c>
      <c r="F534">
        <v>20160315</v>
      </c>
      <c r="G534" t="s">
        <v>108</v>
      </c>
      <c r="H534" t="s">
        <v>209</v>
      </c>
      <c r="I534">
        <v>0</v>
      </c>
      <c r="J534" t="s">
        <v>15</v>
      </c>
      <c r="K534" t="s">
        <v>109</v>
      </c>
      <c r="L534" t="s">
        <v>17</v>
      </c>
      <c r="M534" t="str">
        <f t="shared" si="33"/>
        <v>03</v>
      </c>
      <c r="N534" t="s">
        <v>12</v>
      </c>
    </row>
    <row r="535" spans="1:14" x14ac:dyDescent="0.25">
      <c r="A535">
        <v>20160315</v>
      </c>
      <c r="B535" t="str">
        <f t="shared" si="31"/>
        <v>021356</v>
      </c>
      <c r="C535" t="str">
        <f t="shared" si="32"/>
        <v>54196</v>
      </c>
      <c r="D535" t="s">
        <v>49</v>
      </c>
      <c r="E535" s="3">
        <v>450</v>
      </c>
      <c r="F535">
        <v>20160315</v>
      </c>
      <c r="G535" t="s">
        <v>110</v>
      </c>
      <c r="H535" t="s">
        <v>209</v>
      </c>
      <c r="I535">
        <v>0</v>
      </c>
      <c r="J535" t="s">
        <v>15</v>
      </c>
      <c r="K535" t="s">
        <v>111</v>
      </c>
      <c r="L535" t="s">
        <v>17</v>
      </c>
      <c r="M535" t="str">
        <f t="shared" si="33"/>
        <v>03</v>
      </c>
      <c r="N535" t="s">
        <v>12</v>
      </c>
    </row>
    <row r="536" spans="1:14" x14ac:dyDescent="0.25">
      <c r="A536">
        <v>20160315</v>
      </c>
      <c r="B536" t="str">
        <f t="shared" si="31"/>
        <v>021356</v>
      </c>
      <c r="C536" t="str">
        <f t="shared" si="32"/>
        <v>54196</v>
      </c>
      <c r="D536" t="s">
        <v>49</v>
      </c>
      <c r="E536" s="3">
        <v>750</v>
      </c>
      <c r="F536">
        <v>20160315</v>
      </c>
      <c r="G536" t="s">
        <v>112</v>
      </c>
      <c r="H536" t="s">
        <v>209</v>
      </c>
      <c r="I536">
        <v>0</v>
      </c>
      <c r="J536" t="s">
        <v>15</v>
      </c>
      <c r="K536" t="s">
        <v>113</v>
      </c>
      <c r="L536" t="s">
        <v>17</v>
      </c>
      <c r="M536" t="str">
        <f t="shared" si="33"/>
        <v>03</v>
      </c>
      <c r="N536" t="s">
        <v>12</v>
      </c>
    </row>
    <row r="537" spans="1:14" x14ac:dyDescent="0.25">
      <c r="A537">
        <v>20160315</v>
      </c>
      <c r="B537" t="str">
        <f t="shared" si="31"/>
        <v>021356</v>
      </c>
      <c r="C537" t="str">
        <f t="shared" si="32"/>
        <v>54196</v>
      </c>
      <c r="D537" t="s">
        <v>49</v>
      </c>
      <c r="E537" s="3">
        <v>100</v>
      </c>
      <c r="F537">
        <v>20160315</v>
      </c>
      <c r="G537" t="s">
        <v>149</v>
      </c>
      <c r="H537" t="s">
        <v>209</v>
      </c>
      <c r="I537">
        <v>0</v>
      </c>
      <c r="J537" t="s">
        <v>15</v>
      </c>
      <c r="K537" t="s">
        <v>150</v>
      </c>
      <c r="L537" t="s">
        <v>17</v>
      </c>
      <c r="M537" t="str">
        <f t="shared" si="33"/>
        <v>03</v>
      </c>
      <c r="N537" t="s">
        <v>12</v>
      </c>
    </row>
    <row r="538" spans="1:14" x14ac:dyDescent="0.25">
      <c r="A538">
        <v>20160315</v>
      </c>
      <c r="B538" t="str">
        <f t="shared" si="31"/>
        <v>021356</v>
      </c>
      <c r="C538" t="str">
        <f t="shared" si="32"/>
        <v>54196</v>
      </c>
      <c r="D538" t="s">
        <v>49</v>
      </c>
      <c r="E538" s="3">
        <v>200</v>
      </c>
      <c r="F538">
        <v>20160315</v>
      </c>
      <c r="G538" t="s">
        <v>114</v>
      </c>
      <c r="H538" t="s">
        <v>209</v>
      </c>
      <c r="I538">
        <v>0</v>
      </c>
      <c r="J538" t="s">
        <v>15</v>
      </c>
      <c r="K538" t="s">
        <v>115</v>
      </c>
      <c r="L538" t="s">
        <v>17</v>
      </c>
      <c r="M538" t="str">
        <f t="shared" si="33"/>
        <v>03</v>
      </c>
      <c r="N538" t="s">
        <v>12</v>
      </c>
    </row>
    <row r="539" spans="1:14" x14ac:dyDescent="0.25">
      <c r="A539">
        <v>20160315</v>
      </c>
      <c r="B539" t="str">
        <f t="shared" si="31"/>
        <v>021356</v>
      </c>
      <c r="C539" t="str">
        <f t="shared" si="32"/>
        <v>54196</v>
      </c>
      <c r="D539" t="s">
        <v>49</v>
      </c>
      <c r="E539" s="3">
        <v>8288</v>
      </c>
      <c r="F539">
        <v>20160315</v>
      </c>
      <c r="G539" t="s">
        <v>119</v>
      </c>
      <c r="H539" t="s">
        <v>210</v>
      </c>
      <c r="I539">
        <v>0</v>
      </c>
      <c r="J539" t="s">
        <v>15</v>
      </c>
      <c r="K539" t="s">
        <v>103</v>
      </c>
      <c r="L539" t="s">
        <v>17</v>
      </c>
      <c r="M539" t="str">
        <f t="shared" si="33"/>
        <v>03</v>
      </c>
      <c r="N539" t="s">
        <v>12</v>
      </c>
    </row>
    <row r="540" spans="1:14" x14ac:dyDescent="0.25">
      <c r="A540">
        <v>20160315</v>
      </c>
      <c r="B540" t="str">
        <f t="shared" si="31"/>
        <v>021356</v>
      </c>
      <c r="C540" t="str">
        <f t="shared" si="32"/>
        <v>54196</v>
      </c>
      <c r="D540" t="s">
        <v>49</v>
      </c>
      <c r="E540" s="3">
        <v>650</v>
      </c>
      <c r="F540">
        <v>20160315</v>
      </c>
      <c r="G540" t="s">
        <v>50</v>
      </c>
      <c r="H540" t="s">
        <v>209</v>
      </c>
      <c r="I540">
        <v>0</v>
      </c>
      <c r="J540" t="s">
        <v>15</v>
      </c>
      <c r="K540" t="s">
        <v>52</v>
      </c>
      <c r="L540" t="s">
        <v>17</v>
      </c>
      <c r="M540" t="str">
        <f t="shared" si="33"/>
        <v>03</v>
      </c>
      <c r="N540" t="s">
        <v>12</v>
      </c>
    </row>
    <row r="541" spans="1:14" x14ac:dyDescent="0.25">
      <c r="A541">
        <v>20160315</v>
      </c>
      <c r="B541" t="str">
        <f t="shared" si="31"/>
        <v>021356</v>
      </c>
      <c r="C541" t="str">
        <f t="shared" si="32"/>
        <v>54196</v>
      </c>
      <c r="D541" t="s">
        <v>49</v>
      </c>
      <c r="E541" s="3">
        <v>475</v>
      </c>
      <c r="F541">
        <v>20160315</v>
      </c>
      <c r="G541" t="s">
        <v>178</v>
      </c>
      <c r="H541" t="s">
        <v>211</v>
      </c>
      <c r="I541">
        <v>0</v>
      </c>
      <c r="J541" t="s">
        <v>15</v>
      </c>
      <c r="K541" t="s">
        <v>180</v>
      </c>
      <c r="L541" t="s">
        <v>17</v>
      </c>
      <c r="M541" t="str">
        <f t="shared" si="33"/>
        <v>03</v>
      </c>
      <c r="N541" t="s">
        <v>12</v>
      </c>
    </row>
    <row r="542" spans="1:14" x14ac:dyDescent="0.25">
      <c r="A542">
        <v>20160315</v>
      </c>
      <c r="B542" t="str">
        <f t="shared" si="31"/>
        <v>021356</v>
      </c>
      <c r="C542" t="str">
        <f t="shared" si="32"/>
        <v>54196</v>
      </c>
      <c r="D542" t="s">
        <v>49</v>
      </c>
      <c r="E542" s="3">
        <v>2150</v>
      </c>
      <c r="F542">
        <v>20160315</v>
      </c>
      <c r="G542" t="s">
        <v>181</v>
      </c>
      <c r="H542" t="s">
        <v>210</v>
      </c>
      <c r="I542">
        <v>0</v>
      </c>
      <c r="J542" t="s">
        <v>15</v>
      </c>
      <c r="K542" t="s">
        <v>182</v>
      </c>
      <c r="L542" t="s">
        <v>17</v>
      </c>
      <c r="M542" t="str">
        <f t="shared" si="33"/>
        <v>03</v>
      </c>
      <c r="N542" t="s">
        <v>12</v>
      </c>
    </row>
    <row r="543" spans="1:14" x14ac:dyDescent="0.25">
      <c r="A543">
        <v>20160315</v>
      </c>
      <c r="B543" t="str">
        <f>"021357"</f>
        <v>021357</v>
      </c>
      <c r="C543" t="str">
        <f>"72601"</f>
        <v>72601</v>
      </c>
      <c r="D543" t="s">
        <v>53</v>
      </c>
      <c r="E543" s="3">
        <v>9298.26</v>
      </c>
      <c r="F543">
        <v>20160315</v>
      </c>
      <c r="G543" t="s">
        <v>54</v>
      </c>
      <c r="H543" t="s">
        <v>207</v>
      </c>
      <c r="I543">
        <v>0</v>
      </c>
      <c r="J543" t="s">
        <v>15</v>
      </c>
      <c r="K543" t="s">
        <v>55</v>
      </c>
      <c r="L543" t="s">
        <v>17</v>
      </c>
      <c r="M543" t="str">
        <f t="shared" si="33"/>
        <v>03</v>
      </c>
      <c r="N543" t="s">
        <v>12</v>
      </c>
    </row>
    <row r="544" spans="1:14" x14ac:dyDescent="0.25">
      <c r="A544">
        <v>20160315</v>
      </c>
      <c r="B544" t="str">
        <f>"021358"</f>
        <v>021358</v>
      </c>
      <c r="C544" t="str">
        <f>"75452"</f>
        <v>75452</v>
      </c>
      <c r="D544" t="s">
        <v>56</v>
      </c>
      <c r="E544" s="3">
        <v>9750.01</v>
      </c>
      <c r="F544">
        <v>20160315</v>
      </c>
      <c r="G544" t="s">
        <v>57</v>
      </c>
      <c r="H544" t="s">
        <v>206</v>
      </c>
      <c r="I544">
        <v>0</v>
      </c>
      <c r="J544" t="s">
        <v>15</v>
      </c>
      <c r="K544" t="s">
        <v>58</v>
      </c>
      <c r="L544" t="s">
        <v>17</v>
      </c>
      <c r="M544" t="str">
        <f t="shared" si="33"/>
        <v>03</v>
      </c>
      <c r="N544" t="s">
        <v>12</v>
      </c>
    </row>
    <row r="545" spans="1:14" x14ac:dyDescent="0.25">
      <c r="A545">
        <v>20160315</v>
      </c>
      <c r="B545" t="str">
        <f>"021358"</f>
        <v>021358</v>
      </c>
      <c r="C545" t="str">
        <f>"75452"</f>
        <v>75452</v>
      </c>
      <c r="D545" t="s">
        <v>56</v>
      </c>
      <c r="E545" s="3">
        <v>25</v>
      </c>
      <c r="F545">
        <v>20160315</v>
      </c>
      <c r="G545" t="s">
        <v>153</v>
      </c>
      <c r="H545" t="s">
        <v>212</v>
      </c>
      <c r="I545">
        <v>0</v>
      </c>
      <c r="J545" t="s">
        <v>15</v>
      </c>
      <c r="K545" t="s">
        <v>155</v>
      </c>
      <c r="L545" t="s">
        <v>17</v>
      </c>
      <c r="M545" t="str">
        <f t="shared" si="33"/>
        <v>03</v>
      </c>
      <c r="N545" t="s">
        <v>12</v>
      </c>
    </row>
    <row r="546" spans="1:14" x14ac:dyDescent="0.25">
      <c r="A546">
        <v>20160315</v>
      </c>
      <c r="B546" t="str">
        <f>"021359"</f>
        <v>021359</v>
      </c>
      <c r="C546" t="str">
        <f>"77030"</f>
        <v>77030</v>
      </c>
      <c r="D546" t="s">
        <v>156</v>
      </c>
      <c r="E546" s="3">
        <v>139.33000000000001</v>
      </c>
      <c r="F546">
        <v>20160315</v>
      </c>
      <c r="G546" t="s">
        <v>157</v>
      </c>
      <c r="H546" t="s">
        <v>207</v>
      </c>
      <c r="I546">
        <v>0</v>
      </c>
      <c r="J546" t="s">
        <v>15</v>
      </c>
      <c r="K546" t="s">
        <v>158</v>
      </c>
      <c r="L546" t="s">
        <v>17</v>
      </c>
      <c r="M546" t="str">
        <f t="shared" si="33"/>
        <v>03</v>
      </c>
      <c r="N546" t="s">
        <v>12</v>
      </c>
    </row>
    <row r="547" spans="1:14" x14ac:dyDescent="0.25">
      <c r="A547">
        <v>20160315</v>
      </c>
      <c r="B547" t="str">
        <f>"021360"</f>
        <v>021360</v>
      </c>
      <c r="C547" t="str">
        <f>"78428"</f>
        <v>78428</v>
      </c>
      <c r="D547" t="s">
        <v>124</v>
      </c>
      <c r="E547" s="3">
        <v>851.87</v>
      </c>
      <c r="F547">
        <v>20160315</v>
      </c>
      <c r="G547" t="s">
        <v>125</v>
      </c>
      <c r="H547" t="s">
        <v>207</v>
      </c>
      <c r="I547">
        <v>0</v>
      </c>
      <c r="J547" t="s">
        <v>15</v>
      </c>
      <c r="K547" t="s">
        <v>126</v>
      </c>
      <c r="L547" t="s">
        <v>17</v>
      </c>
      <c r="M547" t="str">
        <f t="shared" si="33"/>
        <v>03</v>
      </c>
      <c r="N547" t="s">
        <v>12</v>
      </c>
    </row>
    <row r="548" spans="1:14" x14ac:dyDescent="0.25">
      <c r="A548">
        <v>20160315</v>
      </c>
      <c r="B548" t="str">
        <f>"021361"</f>
        <v>021361</v>
      </c>
      <c r="C548" t="str">
        <f>"79562"</f>
        <v>79562</v>
      </c>
      <c r="D548" t="s">
        <v>127</v>
      </c>
      <c r="E548" s="3">
        <v>341.95</v>
      </c>
      <c r="F548">
        <v>20160315</v>
      </c>
      <c r="G548" t="s">
        <v>128</v>
      </c>
      <c r="H548" t="s">
        <v>213</v>
      </c>
      <c r="I548">
        <v>0</v>
      </c>
      <c r="J548" t="s">
        <v>15</v>
      </c>
      <c r="K548" t="s">
        <v>130</v>
      </c>
      <c r="L548" t="s">
        <v>17</v>
      </c>
      <c r="M548" t="str">
        <f t="shared" si="33"/>
        <v>03</v>
      </c>
      <c r="N548" t="s">
        <v>12</v>
      </c>
    </row>
    <row r="549" spans="1:14" x14ac:dyDescent="0.25">
      <c r="A549">
        <v>20160315</v>
      </c>
      <c r="B549" t="str">
        <f>"021362"</f>
        <v>021362</v>
      </c>
      <c r="C549" t="str">
        <f>"79762"</f>
        <v>79762</v>
      </c>
      <c r="D549" t="s">
        <v>160</v>
      </c>
      <c r="E549" s="3">
        <v>390</v>
      </c>
      <c r="F549">
        <v>20160315</v>
      </c>
      <c r="G549" t="s">
        <v>161</v>
      </c>
      <c r="H549" t="s">
        <v>207</v>
      </c>
      <c r="I549">
        <v>0</v>
      </c>
      <c r="J549" t="s">
        <v>15</v>
      </c>
      <c r="K549" t="s">
        <v>162</v>
      </c>
      <c r="L549" t="s">
        <v>17</v>
      </c>
      <c r="M549" t="str">
        <f t="shared" si="33"/>
        <v>03</v>
      </c>
      <c r="N549" t="s">
        <v>12</v>
      </c>
    </row>
    <row r="550" spans="1:14" x14ac:dyDescent="0.25">
      <c r="A550">
        <v>20160315</v>
      </c>
      <c r="B550" t="str">
        <f>"021363"</f>
        <v>021363</v>
      </c>
      <c r="C550" t="str">
        <f>"81155"</f>
        <v>81155</v>
      </c>
      <c r="D550" t="s">
        <v>131</v>
      </c>
      <c r="E550" s="3">
        <v>280</v>
      </c>
      <c r="F550">
        <v>20160315</v>
      </c>
      <c r="G550" t="s">
        <v>132</v>
      </c>
      <c r="H550" t="s">
        <v>207</v>
      </c>
      <c r="I550">
        <v>0</v>
      </c>
      <c r="J550" t="s">
        <v>15</v>
      </c>
      <c r="K550" t="s">
        <v>133</v>
      </c>
      <c r="L550" t="s">
        <v>17</v>
      </c>
      <c r="M550" t="str">
        <f t="shared" si="33"/>
        <v>03</v>
      </c>
      <c r="N550" t="s">
        <v>12</v>
      </c>
    </row>
    <row r="551" spans="1:14" x14ac:dyDescent="0.25">
      <c r="A551">
        <v>20160315</v>
      </c>
      <c r="B551" t="str">
        <f>"021364"</f>
        <v>021364</v>
      </c>
      <c r="C551" t="str">
        <f>"81173"</f>
        <v>81173</v>
      </c>
      <c r="D551" t="s">
        <v>59</v>
      </c>
      <c r="E551" s="3">
        <v>400</v>
      </c>
      <c r="F551">
        <v>20160315</v>
      </c>
      <c r="G551" t="s">
        <v>60</v>
      </c>
      <c r="H551" t="s">
        <v>207</v>
      </c>
      <c r="I551">
        <v>0</v>
      </c>
      <c r="J551" t="s">
        <v>15</v>
      </c>
      <c r="K551" t="s">
        <v>61</v>
      </c>
      <c r="L551" t="s">
        <v>17</v>
      </c>
      <c r="M551" t="str">
        <f t="shared" si="33"/>
        <v>03</v>
      </c>
      <c r="N551" t="s">
        <v>12</v>
      </c>
    </row>
    <row r="552" spans="1:14" x14ac:dyDescent="0.25">
      <c r="A552">
        <v>20160315</v>
      </c>
      <c r="B552" t="str">
        <f>"021365"</f>
        <v>021365</v>
      </c>
      <c r="C552" t="str">
        <f>"81174"</f>
        <v>81174</v>
      </c>
      <c r="D552" t="s">
        <v>62</v>
      </c>
      <c r="E552" s="3">
        <v>1610</v>
      </c>
      <c r="F552">
        <v>20160315</v>
      </c>
      <c r="G552" t="s">
        <v>63</v>
      </c>
      <c r="H552" t="s">
        <v>207</v>
      </c>
      <c r="I552">
        <v>0</v>
      </c>
      <c r="J552" t="s">
        <v>15</v>
      </c>
      <c r="K552" t="s">
        <v>64</v>
      </c>
      <c r="L552" t="s">
        <v>17</v>
      </c>
      <c r="M552" t="str">
        <f t="shared" si="33"/>
        <v>03</v>
      </c>
      <c r="N552" t="s">
        <v>12</v>
      </c>
    </row>
    <row r="553" spans="1:14" x14ac:dyDescent="0.25">
      <c r="A553">
        <v>20160315</v>
      </c>
      <c r="B553" t="str">
        <f>"021366"</f>
        <v>021366</v>
      </c>
      <c r="C553" t="str">
        <f>"81177"</f>
        <v>81177</v>
      </c>
      <c r="D553" t="s">
        <v>65</v>
      </c>
      <c r="E553" s="3">
        <v>414.33</v>
      </c>
      <c r="F553">
        <v>20160315</v>
      </c>
      <c r="G553" t="s">
        <v>134</v>
      </c>
      <c r="H553" t="s">
        <v>207</v>
      </c>
      <c r="I553">
        <v>0</v>
      </c>
      <c r="J553" t="s">
        <v>15</v>
      </c>
      <c r="K553" t="s">
        <v>135</v>
      </c>
      <c r="L553" t="s">
        <v>17</v>
      </c>
      <c r="M553" t="str">
        <f t="shared" si="33"/>
        <v>03</v>
      </c>
      <c r="N553" t="s">
        <v>12</v>
      </c>
    </row>
    <row r="554" spans="1:14" x14ac:dyDescent="0.25">
      <c r="A554">
        <v>20160315</v>
      </c>
      <c r="B554" t="str">
        <f>"021367"</f>
        <v>021367</v>
      </c>
      <c r="C554" t="str">
        <f>"81753"</f>
        <v>81753</v>
      </c>
      <c r="D554" t="s">
        <v>68</v>
      </c>
      <c r="E554" s="3">
        <v>818.4</v>
      </c>
      <c r="F554">
        <v>20160315</v>
      </c>
      <c r="G554" t="s">
        <v>69</v>
      </c>
      <c r="H554" t="s">
        <v>207</v>
      </c>
      <c r="I554">
        <v>0</v>
      </c>
      <c r="J554" t="s">
        <v>15</v>
      </c>
      <c r="K554" t="s">
        <v>68</v>
      </c>
      <c r="L554" t="s">
        <v>17</v>
      </c>
      <c r="M554" t="str">
        <f t="shared" si="33"/>
        <v>03</v>
      </c>
      <c r="N554" t="s">
        <v>12</v>
      </c>
    </row>
    <row r="555" spans="1:14" x14ac:dyDescent="0.25">
      <c r="A555">
        <v>20160325</v>
      </c>
      <c r="B555" t="str">
        <f>"021399"</f>
        <v>021399</v>
      </c>
      <c r="C555" t="str">
        <f>"04831"</f>
        <v>04831</v>
      </c>
      <c r="D555" t="s">
        <v>11</v>
      </c>
      <c r="E555" s="3">
        <v>56.1</v>
      </c>
      <c r="F555">
        <v>20160325</v>
      </c>
      <c r="G555" t="s">
        <v>13</v>
      </c>
      <c r="H555" t="s">
        <v>206</v>
      </c>
      <c r="I555">
        <v>0</v>
      </c>
      <c r="J555" t="s">
        <v>15</v>
      </c>
      <c r="K555" t="s">
        <v>16</v>
      </c>
      <c r="L555" t="s">
        <v>17</v>
      </c>
      <c r="M555" t="str">
        <f t="shared" si="33"/>
        <v>03</v>
      </c>
      <c r="N555" t="s">
        <v>12</v>
      </c>
    </row>
    <row r="556" spans="1:14" x14ac:dyDescent="0.25">
      <c r="A556">
        <v>20160325</v>
      </c>
      <c r="B556" t="str">
        <f>"021400"</f>
        <v>021400</v>
      </c>
      <c r="C556" t="str">
        <f>"04905"</f>
        <v>04905</v>
      </c>
      <c r="D556" t="s">
        <v>18</v>
      </c>
      <c r="E556" s="3">
        <v>18.329999999999998</v>
      </c>
      <c r="F556">
        <v>20160325</v>
      </c>
      <c r="G556" t="s">
        <v>19</v>
      </c>
      <c r="H556" t="s">
        <v>207</v>
      </c>
      <c r="I556">
        <v>0</v>
      </c>
      <c r="J556" t="s">
        <v>15</v>
      </c>
      <c r="K556" t="s">
        <v>21</v>
      </c>
      <c r="L556" t="s">
        <v>17</v>
      </c>
      <c r="M556" t="str">
        <f t="shared" si="33"/>
        <v>03</v>
      </c>
      <c r="N556" t="s">
        <v>12</v>
      </c>
    </row>
    <row r="557" spans="1:14" x14ac:dyDescent="0.25">
      <c r="A557">
        <v>20160325</v>
      </c>
      <c r="B557" t="str">
        <f>"021401"</f>
        <v>021401</v>
      </c>
      <c r="C557" t="str">
        <f>"04987"</f>
        <v>04987</v>
      </c>
      <c r="D557" t="s">
        <v>144</v>
      </c>
      <c r="E557" s="3">
        <v>27.74</v>
      </c>
      <c r="F557">
        <v>20160325</v>
      </c>
      <c r="G557" t="s">
        <v>35</v>
      </c>
      <c r="H557" t="s">
        <v>206</v>
      </c>
      <c r="I557">
        <v>0</v>
      </c>
      <c r="J557" t="s">
        <v>15</v>
      </c>
      <c r="K557" t="s">
        <v>36</v>
      </c>
      <c r="L557" t="s">
        <v>17</v>
      </c>
      <c r="M557" t="str">
        <f t="shared" si="33"/>
        <v>03</v>
      </c>
      <c r="N557" t="s">
        <v>12</v>
      </c>
    </row>
    <row r="558" spans="1:14" x14ac:dyDescent="0.25">
      <c r="A558">
        <v>20160325</v>
      </c>
      <c r="B558" t="str">
        <f>"021402"</f>
        <v>021402</v>
      </c>
      <c r="C558" t="str">
        <f>"07880"</f>
        <v>07880</v>
      </c>
      <c r="D558" t="s">
        <v>25</v>
      </c>
      <c r="E558" s="3">
        <v>158.41999999999999</v>
      </c>
      <c r="F558">
        <v>20160325</v>
      </c>
      <c r="G558" t="s">
        <v>26</v>
      </c>
      <c r="H558" t="s">
        <v>207</v>
      </c>
      <c r="I558">
        <v>0</v>
      </c>
      <c r="J558" t="s">
        <v>15</v>
      </c>
      <c r="K558" t="s">
        <v>27</v>
      </c>
      <c r="L558" t="s">
        <v>17</v>
      </c>
      <c r="M558" t="str">
        <f t="shared" ref="M558:M573" si="34">"03"</f>
        <v>03</v>
      </c>
      <c r="N558" t="s">
        <v>12</v>
      </c>
    </row>
    <row r="559" spans="1:14" x14ac:dyDescent="0.25">
      <c r="A559">
        <v>20160325</v>
      </c>
      <c r="B559" t="str">
        <f>"021403"</f>
        <v>021403</v>
      </c>
      <c r="C559" t="str">
        <f>"11211"</f>
        <v>11211</v>
      </c>
      <c r="D559" t="s">
        <v>28</v>
      </c>
      <c r="E559" s="3">
        <v>143.58000000000001</v>
      </c>
      <c r="F559">
        <v>20160325</v>
      </c>
      <c r="G559" t="s">
        <v>29</v>
      </c>
      <c r="H559" t="s">
        <v>206</v>
      </c>
      <c r="I559">
        <v>0</v>
      </c>
      <c r="J559" t="s">
        <v>15</v>
      </c>
      <c r="K559" t="s">
        <v>30</v>
      </c>
      <c r="L559" t="s">
        <v>17</v>
      </c>
      <c r="M559" t="str">
        <f t="shared" si="34"/>
        <v>03</v>
      </c>
      <c r="N559" t="s">
        <v>12</v>
      </c>
    </row>
    <row r="560" spans="1:14" x14ac:dyDescent="0.25">
      <c r="A560">
        <v>20160325</v>
      </c>
      <c r="B560" t="str">
        <f>"021404"</f>
        <v>021404</v>
      </c>
      <c r="C560" t="str">
        <f>"14177"</f>
        <v>14177</v>
      </c>
      <c r="D560" t="s">
        <v>31</v>
      </c>
      <c r="E560" s="3">
        <v>25</v>
      </c>
      <c r="F560">
        <v>20160325</v>
      </c>
      <c r="G560" t="s">
        <v>32</v>
      </c>
      <c r="H560" t="s">
        <v>207</v>
      </c>
      <c r="I560">
        <v>0</v>
      </c>
      <c r="J560" t="s">
        <v>15</v>
      </c>
      <c r="K560" t="s">
        <v>33</v>
      </c>
      <c r="L560" t="s">
        <v>17</v>
      </c>
      <c r="M560" t="str">
        <f t="shared" si="34"/>
        <v>03</v>
      </c>
      <c r="N560" t="s">
        <v>12</v>
      </c>
    </row>
    <row r="561" spans="1:14" x14ac:dyDescent="0.25">
      <c r="A561">
        <v>20160325</v>
      </c>
      <c r="B561" t="str">
        <f>"021405"</f>
        <v>021405</v>
      </c>
      <c r="C561" t="str">
        <f>"21826"</f>
        <v>21826</v>
      </c>
      <c r="D561" t="s">
        <v>82</v>
      </c>
      <c r="E561" s="3">
        <v>28.53</v>
      </c>
      <c r="F561">
        <v>20160325</v>
      </c>
      <c r="G561" t="s">
        <v>83</v>
      </c>
      <c r="H561" t="s">
        <v>207</v>
      </c>
      <c r="I561">
        <v>0</v>
      </c>
      <c r="J561" t="s">
        <v>15</v>
      </c>
      <c r="K561" t="s">
        <v>84</v>
      </c>
      <c r="L561" t="s">
        <v>17</v>
      </c>
      <c r="M561" t="str">
        <f t="shared" si="34"/>
        <v>03</v>
      </c>
      <c r="N561" t="s">
        <v>12</v>
      </c>
    </row>
    <row r="562" spans="1:14" x14ac:dyDescent="0.25">
      <c r="A562">
        <v>20160325</v>
      </c>
      <c r="B562" t="str">
        <f>"021406"</f>
        <v>021406</v>
      </c>
      <c r="C562" t="str">
        <f>"24960"</f>
        <v>24960</v>
      </c>
      <c r="D562" t="s">
        <v>39</v>
      </c>
      <c r="E562" s="3">
        <v>259.77999999999997</v>
      </c>
      <c r="F562">
        <v>20160325</v>
      </c>
      <c r="G562" t="s">
        <v>40</v>
      </c>
      <c r="H562" t="s">
        <v>208</v>
      </c>
      <c r="I562">
        <v>0</v>
      </c>
      <c r="J562" t="s">
        <v>15</v>
      </c>
      <c r="K562" t="s">
        <v>42</v>
      </c>
      <c r="L562" t="s">
        <v>17</v>
      </c>
      <c r="M562" t="str">
        <f t="shared" si="34"/>
        <v>03</v>
      </c>
      <c r="N562" t="s">
        <v>12</v>
      </c>
    </row>
    <row r="563" spans="1:14" x14ac:dyDescent="0.25">
      <c r="A563">
        <v>20160325</v>
      </c>
      <c r="B563" t="str">
        <f>"021407"</f>
        <v>021407</v>
      </c>
      <c r="C563" t="str">
        <f>"42245"</f>
        <v>42245</v>
      </c>
      <c r="D563" t="s">
        <v>43</v>
      </c>
      <c r="E563" s="3">
        <v>312.16000000000003</v>
      </c>
      <c r="F563">
        <v>20160325</v>
      </c>
      <c r="G563" t="s">
        <v>44</v>
      </c>
      <c r="H563" t="s">
        <v>206</v>
      </c>
      <c r="I563">
        <v>0</v>
      </c>
      <c r="J563" t="s">
        <v>15</v>
      </c>
      <c r="K563" t="s">
        <v>45</v>
      </c>
      <c r="L563" t="s">
        <v>17</v>
      </c>
      <c r="M563" t="str">
        <f t="shared" si="34"/>
        <v>03</v>
      </c>
      <c r="N563" t="s">
        <v>12</v>
      </c>
    </row>
    <row r="564" spans="1:14" x14ac:dyDescent="0.25">
      <c r="A564">
        <v>20160325</v>
      </c>
      <c r="B564" t="str">
        <f>"021407"</f>
        <v>021407</v>
      </c>
      <c r="C564" t="str">
        <f>"42245"</f>
        <v>42245</v>
      </c>
      <c r="D564" t="s">
        <v>43</v>
      </c>
      <c r="E564" s="3">
        <v>-312.16000000000003</v>
      </c>
      <c r="F564">
        <v>20160324</v>
      </c>
      <c r="G564" t="s">
        <v>44</v>
      </c>
      <c r="H564" t="s">
        <v>214</v>
      </c>
      <c r="I564">
        <v>0</v>
      </c>
      <c r="J564" t="s">
        <v>15</v>
      </c>
      <c r="K564" t="s">
        <v>45</v>
      </c>
      <c r="L564" t="s">
        <v>17</v>
      </c>
      <c r="M564" t="str">
        <f t="shared" si="34"/>
        <v>03</v>
      </c>
      <c r="N564" t="s">
        <v>12</v>
      </c>
    </row>
    <row r="565" spans="1:14" x14ac:dyDescent="0.25">
      <c r="A565">
        <v>20160325</v>
      </c>
      <c r="B565" t="str">
        <f>"021408"</f>
        <v>021408</v>
      </c>
      <c r="C565" t="str">
        <f>"48947"</f>
        <v>48947</v>
      </c>
      <c r="D565" t="s">
        <v>46</v>
      </c>
      <c r="E565" s="3">
        <v>25.38</v>
      </c>
      <c r="F565">
        <v>20160325</v>
      </c>
      <c r="G565" t="s">
        <v>47</v>
      </c>
      <c r="H565" t="s">
        <v>208</v>
      </c>
      <c r="I565">
        <v>0</v>
      </c>
      <c r="J565" t="s">
        <v>15</v>
      </c>
      <c r="K565" t="s">
        <v>48</v>
      </c>
      <c r="L565" t="s">
        <v>17</v>
      </c>
      <c r="M565" t="str">
        <f t="shared" si="34"/>
        <v>03</v>
      </c>
      <c r="N565" t="s">
        <v>12</v>
      </c>
    </row>
    <row r="566" spans="1:14" x14ac:dyDescent="0.25">
      <c r="A566">
        <v>20160325</v>
      </c>
      <c r="B566" t="str">
        <f>"021409"</f>
        <v>021409</v>
      </c>
      <c r="C566" t="str">
        <f>"54196"</f>
        <v>54196</v>
      </c>
      <c r="D566" t="s">
        <v>49</v>
      </c>
      <c r="E566" s="3">
        <v>50</v>
      </c>
      <c r="F566">
        <v>20160325</v>
      </c>
      <c r="G566" t="s">
        <v>50</v>
      </c>
      <c r="H566" t="s">
        <v>209</v>
      </c>
      <c r="I566">
        <v>0</v>
      </c>
      <c r="J566" t="s">
        <v>15</v>
      </c>
      <c r="K566" t="s">
        <v>52</v>
      </c>
      <c r="L566" t="s">
        <v>17</v>
      </c>
      <c r="M566" t="str">
        <f t="shared" si="34"/>
        <v>03</v>
      </c>
      <c r="N566" t="s">
        <v>12</v>
      </c>
    </row>
    <row r="567" spans="1:14" x14ac:dyDescent="0.25">
      <c r="A567">
        <v>20160325</v>
      </c>
      <c r="B567" t="str">
        <f>"021410"</f>
        <v>021410</v>
      </c>
      <c r="C567" t="str">
        <f>"72601"</f>
        <v>72601</v>
      </c>
      <c r="D567" t="s">
        <v>53</v>
      </c>
      <c r="E567" s="3">
        <v>307.18</v>
      </c>
      <c r="F567">
        <v>20160325</v>
      </c>
      <c r="G567" t="s">
        <v>54</v>
      </c>
      <c r="H567" t="s">
        <v>207</v>
      </c>
      <c r="I567">
        <v>0</v>
      </c>
      <c r="J567" t="s">
        <v>15</v>
      </c>
      <c r="K567" t="s">
        <v>55</v>
      </c>
      <c r="L567" t="s">
        <v>17</v>
      </c>
      <c r="M567" t="str">
        <f t="shared" si="34"/>
        <v>03</v>
      </c>
      <c r="N567" t="s">
        <v>12</v>
      </c>
    </row>
    <row r="568" spans="1:14" x14ac:dyDescent="0.25">
      <c r="A568">
        <v>20160325</v>
      </c>
      <c r="B568" t="str">
        <f>"021411"</f>
        <v>021411</v>
      </c>
      <c r="C568" t="str">
        <f>"75452"</f>
        <v>75452</v>
      </c>
      <c r="D568" t="s">
        <v>56</v>
      </c>
      <c r="E568" s="3">
        <v>350.84</v>
      </c>
      <c r="F568">
        <v>20160325</v>
      </c>
      <c r="G568" t="s">
        <v>57</v>
      </c>
      <c r="H568" t="s">
        <v>206</v>
      </c>
      <c r="I568">
        <v>0</v>
      </c>
      <c r="J568" t="s">
        <v>15</v>
      </c>
      <c r="K568" t="s">
        <v>58</v>
      </c>
      <c r="L568" t="s">
        <v>17</v>
      </c>
      <c r="M568" t="str">
        <f t="shared" si="34"/>
        <v>03</v>
      </c>
      <c r="N568" t="s">
        <v>12</v>
      </c>
    </row>
    <row r="569" spans="1:14" x14ac:dyDescent="0.25">
      <c r="A569">
        <v>20160325</v>
      </c>
      <c r="B569" t="str">
        <f>"021412"</f>
        <v>021412</v>
      </c>
      <c r="C569" t="str">
        <f>"81173"</f>
        <v>81173</v>
      </c>
      <c r="D569" t="s">
        <v>59</v>
      </c>
      <c r="E569" s="3">
        <v>25</v>
      </c>
      <c r="F569">
        <v>20160325</v>
      </c>
      <c r="G569" t="s">
        <v>60</v>
      </c>
      <c r="H569" t="s">
        <v>207</v>
      </c>
      <c r="I569">
        <v>0</v>
      </c>
      <c r="J569" t="s">
        <v>15</v>
      </c>
      <c r="K569" t="s">
        <v>61</v>
      </c>
      <c r="L569" t="s">
        <v>17</v>
      </c>
      <c r="M569" t="str">
        <f t="shared" si="34"/>
        <v>03</v>
      </c>
      <c r="N569" t="s">
        <v>12</v>
      </c>
    </row>
    <row r="570" spans="1:14" x14ac:dyDescent="0.25">
      <c r="A570">
        <v>20160325</v>
      </c>
      <c r="B570" t="str">
        <f>"021413"</f>
        <v>021413</v>
      </c>
      <c r="C570" t="str">
        <f>"81174"</f>
        <v>81174</v>
      </c>
      <c r="D570" t="s">
        <v>62</v>
      </c>
      <c r="E570" s="3">
        <v>60</v>
      </c>
      <c r="F570">
        <v>20160325</v>
      </c>
      <c r="G570" t="s">
        <v>63</v>
      </c>
      <c r="H570" t="s">
        <v>207</v>
      </c>
      <c r="I570">
        <v>0</v>
      </c>
      <c r="J570" t="s">
        <v>15</v>
      </c>
      <c r="K570" t="s">
        <v>64</v>
      </c>
      <c r="L570" t="s">
        <v>17</v>
      </c>
      <c r="M570" t="str">
        <f t="shared" si="34"/>
        <v>03</v>
      </c>
      <c r="N570" t="s">
        <v>12</v>
      </c>
    </row>
    <row r="571" spans="1:14" x14ac:dyDescent="0.25">
      <c r="A571">
        <v>20160325</v>
      </c>
      <c r="B571" t="str">
        <f>"021414"</f>
        <v>021414</v>
      </c>
      <c r="C571" t="str">
        <f>"81177"</f>
        <v>81177</v>
      </c>
      <c r="D571" t="s">
        <v>65</v>
      </c>
      <c r="E571" s="3">
        <v>33.46</v>
      </c>
      <c r="F571">
        <v>20160325</v>
      </c>
      <c r="G571" t="s">
        <v>66</v>
      </c>
      <c r="H571" t="s">
        <v>207</v>
      </c>
      <c r="I571">
        <v>0</v>
      </c>
      <c r="J571" t="s">
        <v>15</v>
      </c>
      <c r="K571" t="s">
        <v>67</v>
      </c>
      <c r="L571" t="s">
        <v>17</v>
      </c>
      <c r="M571" t="str">
        <f t="shared" si="34"/>
        <v>03</v>
      </c>
      <c r="N571" t="s">
        <v>12</v>
      </c>
    </row>
    <row r="572" spans="1:14" x14ac:dyDescent="0.25">
      <c r="A572">
        <v>20160325</v>
      </c>
      <c r="B572" t="str">
        <f>"021415"</f>
        <v>021415</v>
      </c>
      <c r="C572" t="str">
        <f>"81753"</f>
        <v>81753</v>
      </c>
      <c r="D572" t="s">
        <v>68</v>
      </c>
      <c r="E572" s="3">
        <v>33</v>
      </c>
      <c r="F572">
        <v>20160325</v>
      </c>
      <c r="G572" t="s">
        <v>69</v>
      </c>
      <c r="H572" t="s">
        <v>207</v>
      </c>
      <c r="I572">
        <v>0</v>
      </c>
      <c r="J572" t="s">
        <v>15</v>
      </c>
      <c r="K572" t="s">
        <v>68</v>
      </c>
      <c r="L572" t="s">
        <v>17</v>
      </c>
      <c r="M572" t="str">
        <f t="shared" si="34"/>
        <v>03</v>
      </c>
      <c r="N572" t="s">
        <v>12</v>
      </c>
    </row>
    <row r="573" spans="1:14" x14ac:dyDescent="0.25">
      <c r="A573">
        <v>20160325</v>
      </c>
      <c r="B573" t="str">
        <f>"021416"</f>
        <v>021416</v>
      </c>
      <c r="C573" t="str">
        <f>"42245"</f>
        <v>42245</v>
      </c>
      <c r="D573" t="s">
        <v>43</v>
      </c>
      <c r="E573" s="3">
        <v>260.56</v>
      </c>
      <c r="F573">
        <v>20160324</v>
      </c>
      <c r="G573" t="s">
        <v>44</v>
      </c>
      <c r="H573" t="s">
        <v>215</v>
      </c>
      <c r="I573">
        <v>0</v>
      </c>
      <c r="J573" t="s">
        <v>15</v>
      </c>
      <c r="K573" t="s">
        <v>45</v>
      </c>
      <c r="L573" t="s">
        <v>17</v>
      </c>
      <c r="M573" t="str">
        <f t="shared" si="34"/>
        <v>03</v>
      </c>
      <c r="N573" t="s">
        <v>12</v>
      </c>
    </row>
    <row r="574" spans="1:14" x14ac:dyDescent="0.25">
      <c r="A574">
        <v>20160408</v>
      </c>
      <c r="B574" t="str">
        <f>"021445"</f>
        <v>021445</v>
      </c>
      <c r="C574" t="str">
        <f>"04831"</f>
        <v>04831</v>
      </c>
      <c r="D574" t="s">
        <v>11</v>
      </c>
      <c r="E574" s="3">
        <v>56.1</v>
      </c>
      <c r="F574">
        <v>20160408</v>
      </c>
      <c r="G574" t="s">
        <v>13</v>
      </c>
      <c r="H574" t="s">
        <v>216</v>
      </c>
      <c r="I574">
        <v>0</v>
      </c>
      <c r="J574" t="s">
        <v>15</v>
      </c>
      <c r="K574" t="s">
        <v>16</v>
      </c>
      <c r="L574" t="s">
        <v>17</v>
      </c>
      <c r="M574" t="str">
        <f t="shared" ref="M574:M605" si="35">"04"</f>
        <v>04</v>
      </c>
      <c r="N574" t="s">
        <v>12</v>
      </c>
    </row>
    <row r="575" spans="1:14" x14ac:dyDescent="0.25">
      <c r="A575">
        <v>20160408</v>
      </c>
      <c r="B575" t="str">
        <f>"021446"</f>
        <v>021446</v>
      </c>
      <c r="C575" t="str">
        <f>"04905"</f>
        <v>04905</v>
      </c>
      <c r="D575" t="s">
        <v>18</v>
      </c>
      <c r="E575" s="3">
        <v>18.329999999999998</v>
      </c>
      <c r="F575">
        <v>20160408</v>
      </c>
      <c r="G575" t="s">
        <v>19</v>
      </c>
      <c r="H575" t="s">
        <v>217</v>
      </c>
      <c r="I575">
        <v>0</v>
      </c>
      <c r="J575" t="s">
        <v>15</v>
      </c>
      <c r="K575" t="s">
        <v>21</v>
      </c>
      <c r="L575" t="s">
        <v>17</v>
      </c>
      <c r="M575" t="str">
        <f t="shared" si="35"/>
        <v>04</v>
      </c>
      <c r="N575" t="s">
        <v>12</v>
      </c>
    </row>
    <row r="576" spans="1:14" x14ac:dyDescent="0.25">
      <c r="A576">
        <v>20160408</v>
      </c>
      <c r="B576" t="str">
        <f>"021447"</f>
        <v>021447</v>
      </c>
      <c r="C576" t="str">
        <f>"04987"</f>
        <v>04987</v>
      </c>
      <c r="D576" t="s">
        <v>144</v>
      </c>
      <c r="E576" s="3">
        <v>27.74</v>
      </c>
      <c r="F576">
        <v>20160408</v>
      </c>
      <c r="G576" t="s">
        <v>35</v>
      </c>
      <c r="H576" t="s">
        <v>216</v>
      </c>
      <c r="I576">
        <v>0</v>
      </c>
      <c r="J576" t="s">
        <v>15</v>
      </c>
      <c r="K576" t="s">
        <v>36</v>
      </c>
      <c r="L576" t="s">
        <v>17</v>
      </c>
      <c r="M576" t="str">
        <f t="shared" si="35"/>
        <v>04</v>
      </c>
      <c r="N576" t="s">
        <v>12</v>
      </c>
    </row>
    <row r="577" spans="1:14" x14ac:dyDescent="0.25">
      <c r="A577">
        <v>20160408</v>
      </c>
      <c r="B577" t="str">
        <f>"021448"</f>
        <v>021448</v>
      </c>
      <c r="C577" t="str">
        <f>"07880"</f>
        <v>07880</v>
      </c>
      <c r="D577" t="s">
        <v>25</v>
      </c>
      <c r="E577" s="3">
        <v>158.41999999999999</v>
      </c>
      <c r="F577">
        <v>20160408</v>
      </c>
      <c r="G577" t="s">
        <v>26</v>
      </c>
      <c r="H577" t="s">
        <v>217</v>
      </c>
      <c r="I577">
        <v>0</v>
      </c>
      <c r="J577" t="s">
        <v>15</v>
      </c>
      <c r="K577" t="s">
        <v>27</v>
      </c>
      <c r="L577" t="s">
        <v>17</v>
      </c>
      <c r="M577" t="str">
        <f t="shared" si="35"/>
        <v>04</v>
      </c>
      <c r="N577" t="s">
        <v>12</v>
      </c>
    </row>
    <row r="578" spans="1:14" x14ac:dyDescent="0.25">
      <c r="A578">
        <v>20160408</v>
      </c>
      <c r="B578" t="str">
        <f>"021449"</f>
        <v>021449</v>
      </c>
      <c r="C578" t="str">
        <f>"11211"</f>
        <v>11211</v>
      </c>
      <c r="D578" t="s">
        <v>28</v>
      </c>
      <c r="E578" s="3">
        <v>132.63</v>
      </c>
      <c r="F578">
        <v>20160408</v>
      </c>
      <c r="G578" t="s">
        <v>29</v>
      </c>
      <c r="H578" t="s">
        <v>216</v>
      </c>
      <c r="I578">
        <v>0</v>
      </c>
      <c r="J578" t="s">
        <v>15</v>
      </c>
      <c r="K578" t="s">
        <v>30</v>
      </c>
      <c r="L578" t="s">
        <v>17</v>
      </c>
      <c r="M578" t="str">
        <f t="shared" si="35"/>
        <v>04</v>
      </c>
      <c r="N578" t="s">
        <v>12</v>
      </c>
    </row>
    <row r="579" spans="1:14" x14ac:dyDescent="0.25">
      <c r="A579">
        <v>20160408</v>
      </c>
      <c r="B579" t="str">
        <f>"021450"</f>
        <v>021450</v>
      </c>
      <c r="C579" t="str">
        <f>"14177"</f>
        <v>14177</v>
      </c>
      <c r="D579" t="s">
        <v>31</v>
      </c>
      <c r="E579" s="3">
        <v>25</v>
      </c>
      <c r="F579">
        <v>20160408</v>
      </c>
      <c r="G579" t="s">
        <v>32</v>
      </c>
      <c r="H579" t="s">
        <v>217</v>
      </c>
      <c r="I579">
        <v>0</v>
      </c>
      <c r="J579" t="s">
        <v>15</v>
      </c>
      <c r="K579" t="s">
        <v>33</v>
      </c>
      <c r="L579" t="s">
        <v>17</v>
      </c>
      <c r="M579" t="str">
        <f t="shared" si="35"/>
        <v>04</v>
      </c>
      <c r="N579" t="s">
        <v>12</v>
      </c>
    </row>
    <row r="580" spans="1:14" x14ac:dyDescent="0.25">
      <c r="A580">
        <v>20160408</v>
      </c>
      <c r="B580" t="str">
        <f>"021451"</f>
        <v>021451</v>
      </c>
      <c r="C580" t="str">
        <f>"21826"</f>
        <v>21826</v>
      </c>
      <c r="D580" t="s">
        <v>82</v>
      </c>
      <c r="E580" s="3">
        <v>28.53</v>
      </c>
      <c r="F580">
        <v>20160408</v>
      </c>
      <c r="G580" t="s">
        <v>83</v>
      </c>
      <c r="H580" t="s">
        <v>217</v>
      </c>
      <c r="I580">
        <v>0</v>
      </c>
      <c r="J580" t="s">
        <v>15</v>
      </c>
      <c r="K580" t="s">
        <v>84</v>
      </c>
      <c r="L580" t="s">
        <v>17</v>
      </c>
      <c r="M580" t="str">
        <f t="shared" si="35"/>
        <v>04</v>
      </c>
      <c r="N580" t="s">
        <v>12</v>
      </c>
    </row>
    <row r="581" spans="1:14" x14ac:dyDescent="0.25">
      <c r="A581">
        <v>20160408</v>
      </c>
      <c r="B581" t="str">
        <f>"021452"</f>
        <v>021452</v>
      </c>
      <c r="C581" t="str">
        <f>"24960"</f>
        <v>24960</v>
      </c>
      <c r="D581" t="s">
        <v>39</v>
      </c>
      <c r="E581" s="3">
        <v>259.77999999999997</v>
      </c>
      <c r="F581">
        <v>20160408</v>
      </c>
      <c r="G581" t="s">
        <v>40</v>
      </c>
      <c r="H581" t="s">
        <v>218</v>
      </c>
      <c r="I581">
        <v>0</v>
      </c>
      <c r="J581" t="s">
        <v>15</v>
      </c>
      <c r="K581" t="s">
        <v>42</v>
      </c>
      <c r="L581" t="s">
        <v>17</v>
      </c>
      <c r="M581" t="str">
        <f t="shared" si="35"/>
        <v>04</v>
      </c>
      <c r="N581" t="s">
        <v>12</v>
      </c>
    </row>
    <row r="582" spans="1:14" x14ac:dyDescent="0.25">
      <c r="A582">
        <v>20160408</v>
      </c>
      <c r="B582" t="str">
        <f>"021453"</f>
        <v>021453</v>
      </c>
      <c r="C582" t="str">
        <f>"42245"</f>
        <v>42245</v>
      </c>
      <c r="D582" t="s">
        <v>43</v>
      </c>
      <c r="E582" s="3">
        <v>312.16000000000003</v>
      </c>
      <c r="F582">
        <v>20160408</v>
      </c>
      <c r="G582" t="s">
        <v>44</v>
      </c>
      <c r="H582" t="s">
        <v>216</v>
      </c>
      <c r="I582">
        <v>0</v>
      </c>
      <c r="J582" t="s">
        <v>15</v>
      </c>
      <c r="K582" t="s">
        <v>45</v>
      </c>
      <c r="L582" t="s">
        <v>17</v>
      </c>
      <c r="M582" t="str">
        <f t="shared" si="35"/>
        <v>04</v>
      </c>
      <c r="N582" t="s">
        <v>12</v>
      </c>
    </row>
    <row r="583" spans="1:14" x14ac:dyDescent="0.25">
      <c r="A583">
        <v>20160408</v>
      </c>
      <c r="B583" t="str">
        <f>"021454"</f>
        <v>021454</v>
      </c>
      <c r="C583" t="str">
        <f>"48947"</f>
        <v>48947</v>
      </c>
      <c r="D583" t="s">
        <v>46</v>
      </c>
      <c r="E583" s="3">
        <v>25.38</v>
      </c>
      <c r="F583">
        <v>20160408</v>
      </c>
      <c r="G583" t="s">
        <v>47</v>
      </c>
      <c r="H583" t="s">
        <v>218</v>
      </c>
      <c r="I583">
        <v>0</v>
      </c>
      <c r="J583" t="s">
        <v>15</v>
      </c>
      <c r="K583" t="s">
        <v>48</v>
      </c>
      <c r="L583" t="s">
        <v>17</v>
      </c>
      <c r="M583" t="str">
        <f t="shared" si="35"/>
        <v>04</v>
      </c>
      <c r="N583" t="s">
        <v>12</v>
      </c>
    </row>
    <row r="584" spans="1:14" x14ac:dyDescent="0.25">
      <c r="A584">
        <v>20160408</v>
      </c>
      <c r="B584" t="str">
        <f>"021455"</f>
        <v>021455</v>
      </c>
      <c r="C584" t="str">
        <f>"54196"</f>
        <v>54196</v>
      </c>
      <c r="D584" t="s">
        <v>49</v>
      </c>
      <c r="E584" s="3">
        <v>50</v>
      </c>
      <c r="F584">
        <v>20160408</v>
      </c>
      <c r="G584" t="s">
        <v>50</v>
      </c>
      <c r="H584" t="s">
        <v>219</v>
      </c>
      <c r="I584">
        <v>0</v>
      </c>
      <c r="J584" t="s">
        <v>15</v>
      </c>
      <c r="K584" t="s">
        <v>52</v>
      </c>
      <c r="L584" t="s">
        <v>17</v>
      </c>
      <c r="M584" t="str">
        <f t="shared" si="35"/>
        <v>04</v>
      </c>
      <c r="N584" t="s">
        <v>12</v>
      </c>
    </row>
    <row r="585" spans="1:14" x14ac:dyDescent="0.25">
      <c r="A585">
        <v>20160408</v>
      </c>
      <c r="B585" t="str">
        <f>"021456"</f>
        <v>021456</v>
      </c>
      <c r="C585" t="str">
        <f>"72601"</f>
        <v>72601</v>
      </c>
      <c r="D585" t="s">
        <v>53</v>
      </c>
      <c r="E585" s="3">
        <v>269.02</v>
      </c>
      <c r="F585">
        <v>20160408</v>
      </c>
      <c r="G585" t="s">
        <v>54</v>
      </c>
      <c r="H585" t="s">
        <v>217</v>
      </c>
      <c r="I585">
        <v>0</v>
      </c>
      <c r="J585" t="s">
        <v>15</v>
      </c>
      <c r="K585" t="s">
        <v>55</v>
      </c>
      <c r="L585" t="s">
        <v>17</v>
      </c>
      <c r="M585" t="str">
        <f t="shared" si="35"/>
        <v>04</v>
      </c>
      <c r="N585" t="s">
        <v>12</v>
      </c>
    </row>
    <row r="586" spans="1:14" x14ac:dyDescent="0.25">
      <c r="A586">
        <v>20160408</v>
      </c>
      <c r="B586" t="str">
        <f>"021457"</f>
        <v>021457</v>
      </c>
      <c r="C586" t="str">
        <f>"75452"</f>
        <v>75452</v>
      </c>
      <c r="D586" t="s">
        <v>56</v>
      </c>
      <c r="E586" s="3">
        <v>350.84</v>
      </c>
      <c r="F586">
        <v>20160408</v>
      </c>
      <c r="G586" t="s">
        <v>57</v>
      </c>
      <c r="H586" t="s">
        <v>216</v>
      </c>
      <c r="I586">
        <v>0</v>
      </c>
      <c r="J586" t="s">
        <v>15</v>
      </c>
      <c r="K586" t="s">
        <v>58</v>
      </c>
      <c r="L586" t="s">
        <v>17</v>
      </c>
      <c r="M586" t="str">
        <f t="shared" si="35"/>
        <v>04</v>
      </c>
      <c r="N586" t="s">
        <v>12</v>
      </c>
    </row>
    <row r="587" spans="1:14" x14ac:dyDescent="0.25">
      <c r="A587">
        <v>20160408</v>
      </c>
      <c r="B587" t="str">
        <f>"021458"</f>
        <v>021458</v>
      </c>
      <c r="C587" t="str">
        <f>"81173"</f>
        <v>81173</v>
      </c>
      <c r="D587" t="s">
        <v>59</v>
      </c>
      <c r="E587" s="3">
        <v>25</v>
      </c>
      <c r="F587">
        <v>20160408</v>
      </c>
      <c r="G587" t="s">
        <v>60</v>
      </c>
      <c r="H587" t="s">
        <v>217</v>
      </c>
      <c r="I587">
        <v>0</v>
      </c>
      <c r="J587" t="s">
        <v>15</v>
      </c>
      <c r="K587" t="s">
        <v>61</v>
      </c>
      <c r="L587" t="s">
        <v>17</v>
      </c>
      <c r="M587" t="str">
        <f t="shared" si="35"/>
        <v>04</v>
      </c>
      <c r="N587" t="s">
        <v>12</v>
      </c>
    </row>
    <row r="588" spans="1:14" x14ac:dyDescent="0.25">
      <c r="A588">
        <v>20160408</v>
      </c>
      <c r="B588" t="str">
        <f>"021459"</f>
        <v>021459</v>
      </c>
      <c r="C588" t="str">
        <f>"81174"</f>
        <v>81174</v>
      </c>
      <c r="D588" t="s">
        <v>62</v>
      </c>
      <c r="E588" s="3">
        <v>60</v>
      </c>
      <c r="F588">
        <v>20160408</v>
      </c>
      <c r="G588" t="s">
        <v>63</v>
      </c>
      <c r="H588" t="s">
        <v>217</v>
      </c>
      <c r="I588">
        <v>0</v>
      </c>
      <c r="J588" t="s">
        <v>15</v>
      </c>
      <c r="K588" t="s">
        <v>64</v>
      </c>
      <c r="L588" t="s">
        <v>17</v>
      </c>
      <c r="M588" t="str">
        <f t="shared" si="35"/>
        <v>04</v>
      </c>
      <c r="N588" t="s">
        <v>12</v>
      </c>
    </row>
    <row r="589" spans="1:14" x14ac:dyDescent="0.25">
      <c r="A589">
        <v>20160408</v>
      </c>
      <c r="B589" t="str">
        <f>"021460"</f>
        <v>021460</v>
      </c>
      <c r="C589" t="str">
        <f>"81177"</f>
        <v>81177</v>
      </c>
      <c r="D589" t="s">
        <v>65</v>
      </c>
      <c r="E589" s="3">
        <v>50.19</v>
      </c>
      <c r="F589">
        <v>20160408</v>
      </c>
      <c r="G589" t="s">
        <v>66</v>
      </c>
      <c r="H589" t="s">
        <v>217</v>
      </c>
      <c r="I589">
        <v>0</v>
      </c>
      <c r="J589" t="s">
        <v>15</v>
      </c>
      <c r="K589" t="s">
        <v>67</v>
      </c>
      <c r="L589" t="s">
        <v>17</v>
      </c>
      <c r="M589" t="str">
        <f t="shared" si="35"/>
        <v>04</v>
      </c>
      <c r="N589" t="s">
        <v>12</v>
      </c>
    </row>
    <row r="590" spans="1:14" x14ac:dyDescent="0.25">
      <c r="A590">
        <v>20160408</v>
      </c>
      <c r="B590" t="str">
        <f>"021461"</f>
        <v>021461</v>
      </c>
      <c r="C590" t="str">
        <f>"81753"</f>
        <v>81753</v>
      </c>
      <c r="D590" t="s">
        <v>68</v>
      </c>
      <c r="E590" s="3">
        <v>33</v>
      </c>
      <c r="F590">
        <v>20160408</v>
      </c>
      <c r="G590" t="s">
        <v>69</v>
      </c>
      <c r="H590" t="s">
        <v>217</v>
      </c>
      <c r="I590">
        <v>0</v>
      </c>
      <c r="J590" t="s">
        <v>15</v>
      </c>
      <c r="K590" t="s">
        <v>68</v>
      </c>
      <c r="L590" t="s">
        <v>17</v>
      </c>
      <c r="M590" t="str">
        <f t="shared" si="35"/>
        <v>04</v>
      </c>
      <c r="N590" t="s">
        <v>12</v>
      </c>
    </row>
    <row r="591" spans="1:14" x14ac:dyDescent="0.25">
      <c r="A591">
        <v>20160415</v>
      </c>
      <c r="B591" t="str">
        <f>"021466"</f>
        <v>021466</v>
      </c>
      <c r="C591" t="str">
        <f>"04831"</f>
        <v>04831</v>
      </c>
      <c r="D591" t="s">
        <v>11</v>
      </c>
      <c r="E591" s="3">
        <v>1203.9100000000001</v>
      </c>
      <c r="F591">
        <v>20160415</v>
      </c>
      <c r="G591" t="s">
        <v>13</v>
      </c>
      <c r="H591" t="s">
        <v>216</v>
      </c>
      <c r="I591">
        <v>0</v>
      </c>
      <c r="J591" t="s">
        <v>15</v>
      </c>
      <c r="K591" t="s">
        <v>16</v>
      </c>
      <c r="L591" t="s">
        <v>17</v>
      </c>
      <c r="M591" t="str">
        <f t="shared" si="35"/>
        <v>04</v>
      </c>
      <c r="N591" t="s">
        <v>12</v>
      </c>
    </row>
    <row r="592" spans="1:14" x14ac:dyDescent="0.25">
      <c r="A592">
        <v>20160415</v>
      </c>
      <c r="B592" t="str">
        <f>"021467"</f>
        <v>021467</v>
      </c>
      <c r="C592" t="str">
        <f>"04905"</f>
        <v>04905</v>
      </c>
      <c r="D592" t="s">
        <v>18</v>
      </c>
      <c r="E592" s="3">
        <v>2806.66</v>
      </c>
      <c r="F592">
        <v>20160415</v>
      </c>
      <c r="G592" t="s">
        <v>19</v>
      </c>
      <c r="H592" t="s">
        <v>217</v>
      </c>
      <c r="I592">
        <v>0</v>
      </c>
      <c r="J592" t="s">
        <v>15</v>
      </c>
      <c r="K592" t="s">
        <v>21</v>
      </c>
      <c r="L592" t="s">
        <v>17</v>
      </c>
      <c r="M592" t="str">
        <f t="shared" si="35"/>
        <v>04</v>
      </c>
      <c r="N592" t="s">
        <v>12</v>
      </c>
    </row>
    <row r="593" spans="1:14" x14ac:dyDescent="0.25">
      <c r="A593">
        <v>20160415</v>
      </c>
      <c r="B593" t="str">
        <f>"021468"</f>
        <v>021468</v>
      </c>
      <c r="C593" t="str">
        <f>"04987"</f>
        <v>04987</v>
      </c>
      <c r="D593" t="s">
        <v>144</v>
      </c>
      <c r="E593" s="3">
        <v>488.36</v>
      </c>
      <c r="F593">
        <v>20160415</v>
      </c>
      <c r="G593" t="s">
        <v>35</v>
      </c>
      <c r="H593" t="s">
        <v>216</v>
      </c>
      <c r="I593">
        <v>0</v>
      </c>
      <c r="J593" t="s">
        <v>15</v>
      </c>
      <c r="K593" t="s">
        <v>36</v>
      </c>
      <c r="L593" t="s">
        <v>17</v>
      </c>
      <c r="M593" t="str">
        <f t="shared" si="35"/>
        <v>04</v>
      </c>
      <c r="N593" t="s">
        <v>12</v>
      </c>
    </row>
    <row r="594" spans="1:14" x14ac:dyDescent="0.25">
      <c r="A594">
        <v>20160415</v>
      </c>
      <c r="B594" t="str">
        <f>"021469"</f>
        <v>021469</v>
      </c>
      <c r="C594" t="str">
        <f>"07710"</f>
        <v>07710</v>
      </c>
      <c r="D594" t="s">
        <v>22</v>
      </c>
      <c r="E594" s="3">
        <v>327.42</v>
      </c>
      <c r="F594">
        <v>20160415</v>
      </c>
      <c r="G594" t="s">
        <v>23</v>
      </c>
      <c r="H594" t="s">
        <v>217</v>
      </c>
      <c r="I594">
        <v>0</v>
      </c>
      <c r="J594" t="s">
        <v>15</v>
      </c>
      <c r="K594" t="s">
        <v>24</v>
      </c>
      <c r="L594" t="s">
        <v>17</v>
      </c>
      <c r="M594" t="str">
        <f t="shared" si="35"/>
        <v>04</v>
      </c>
      <c r="N594" t="s">
        <v>12</v>
      </c>
    </row>
    <row r="595" spans="1:14" x14ac:dyDescent="0.25">
      <c r="A595">
        <v>20160415</v>
      </c>
      <c r="B595" t="str">
        <f>"021470"</f>
        <v>021470</v>
      </c>
      <c r="C595" t="str">
        <f>"07880"</f>
        <v>07880</v>
      </c>
      <c r="D595" t="s">
        <v>25</v>
      </c>
      <c r="E595" s="3">
        <v>4181.3999999999996</v>
      </c>
      <c r="F595">
        <v>20160415</v>
      </c>
      <c r="G595" t="s">
        <v>26</v>
      </c>
      <c r="H595" t="s">
        <v>217</v>
      </c>
      <c r="I595">
        <v>0</v>
      </c>
      <c r="J595" t="s">
        <v>15</v>
      </c>
      <c r="K595" t="s">
        <v>27</v>
      </c>
      <c r="L595" t="s">
        <v>17</v>
      </c>
      <c r="M595" t="str">
        <f t="shared" si="35"/>
        <v>04</v>
      </c>
      <c r="N595" t="s">
        <v>12</v>
      </c>
    </row>
    <row r="596" spans="1:14" x14ac:dyDescent="0.25">
      <c r="A596">
        <v>20160415</v>
      </c>
      <c r="B596" t="str">
        <f>"021471"</f>
        <v>021471</v>
      </c>
      <c r="C596" t="str">
        <f>"10095"</f>
        <v>10095</v>
      </c>
      <c r="D596" t="s">
        <v>70</v>
      </c>
      <c r="E596" s="3">
        <v>488.15</v>
      </c>
      <c r="F596">
        <v>20160415</v>
      </c>
      <c r="G596" t="s">
        <v>71</v>
      </c>
      <c r="H596" t="s">
        <v>217</v>
      </c>
      <c r="I596">
        <v>0</v>
      </c>
      <c r="J596" t="s">
        <v>15</v>
      </c>
      <c r="K596" t="s">
        <v>72</v>
      </c>
      <c r="L596" t="s">
        <v>17</v>
      </c>
      <c r="M596" t="str">
        <f t="shared" si="35"/>
        <v>04</v>
      </c>
      <c r="N596" t="s">
        <v>12</v>
      </c>
    </row>
    <row r="597" spans="1:14" x14ac:dyDescent="0.25">
      <c r="A597">
        <v>20160415</v>
      </c>
      <c r="B597" t="str">
        <f>"021472"</f>
        <v>021472</v>
      </c>
      <c r="C597" t="str">
        <f>"11211"</f>
        <v>11211</v>
      </c>
      <c r="D597" t="s">
        <v>28</v>
      </c>
      <c r="E597" s="3">
        <v>2365.73</v>
      </c>
      <c r="F597">
        <v>20160415</v>
      </c>
      <c r="G597" t="s">
        <v>29</v>
      </c>
      <c r="H597" t="s">
        <v>216</v>
      </c>
      <c r="I597">
        <v>0</v>
      </c>
      <c r="J597" t="s">
        <v>15</v>
      </c>
      <c r="K597" t="s">
        <v>30</v>
      </c>
      <c r="L597" t="s">
        <v>17</v>
      </c>
      <c r="M597" t="str">
        <f t="shared" si="35"/>
        <v>04</v>
      </c>
      <c r="N597" t="s">
        <v>12</v>
      </c>
    </row>
    <row r="598" spans="1:14" x14ac:dyDescent="0.25">
      <c r="A598">
        <v>20160415</v>
      </c>
      <c r="B598" t="str">
        <f>"021473"</f>
        <v>021473</v>
      </c>
      <c r="C598" t="str">
        <f>"14177"</f>
        <v>14177</v>
      </c>
      <c r="D598" t="s">
        <v>31</v>
      </c>
      <c r="E598" s="3">
        <v>50</v>
      </c>
      <c r="F598">
        <v>20160415</v>
      </c>
      <c r="G598" t="s">
        <v>32</v>
      </c>
      <c r="H598" t="s">
        <v>217</v>
      </c>
      <c r="I598">
        <v>0</v>
      </c>
      <c r="J598" t="s">
        <v>15</v>
      </c>
      <c r="K598" t="s">
        <v>33</v>
      </c>
      <c r="L598" t="s">
        <v>17</v>
      </c>
      <c r="M598" t="str">
        <f t="shared" si="35"/>
        <v>04</v>
      </c>
      <c r="N598" t="s">
        <v>12</v>
      </c>
    </row>
    <row r="599" spans="1:14" x14ac:dyDescent="0.25">
      <c r="A599">
        <v>20160415</v>
      </c>
      <c r="B599" t="str">
        <f>"021474"</f>
        <v>021474</v>
      </c>
      <c r="C599" t="str">
        <f>"19103"</f>
        <v>19103</v>
      </c>
      <c r="D599" t="s">
        <v>73</v>
      </c>
      <c r="E599" s="3">
        <v>225</v>
      </c>
      <c r="F599">
        <v>20160415</v>
      </c>
      <c r="G599" t="s">
        <v>74</v>
      </c>
      <c r="H599" t="s">
        <v>217</v>
      </c>
      <c r="I599">
        <v>0</v>
      </c>
      <c r="J599" t="s">
        <v>15</v>
      </c>
      <c r="K599" t="s">
        <v>75</v>
      </c>
      <c r="L599" t="s">
        <v>17</v>
      </c>
      <c r="M599" t="str">
        <f t="shared" si="35"/>
        <v>04</v>
      </c>
      <c r="N599" t="s">
        <v>12</v>
      </c>
    </row>
    <row r="600" spans="1:14" x14ac:dyDescent="0.25">
      <c r="A600">
        <v>20160415</v>
      </c>
      <c r="B600" t="str">
        <f>"021475"</f>
        <v>021475</v>
      </c>
      <c r="C600" t="str">
        <f>"20682"</f>
        <v>20682</v>
      </c>
      <c r="D600" t="s">
        <v>76</v>
      </c>
      <c r="E600" s="3">
        <v>5350</v>
      </c>
      <c r="F600">
        <v>20160415</v>
      </c>
      <c r="G600" t="s">
        <v>77</v>
      </c>
      <c r="H600" t="s">
        <v>217</v>
      </c>
      <c r="I600">
        <v>0</v>
      </c>
      <c r="J600" t="s">
        <v>15</v>
      </c>
      <c r="K600" t="s">
        <v>78</v>
      </c>
      <c r="L600" t="s">
        <v>17</v>
      </c>
      <c r="M600" t="str">
        <f t="shared" si="35"/>
        <v>04</v>
      </c>
      <c r="N600" t="s">
        <v>12</v>
      </c>
    </row>
    <row r="601" spans="1:14" x14ac:dyDescent="0.25">
      <c r="A601">
        <v>20160415</v>
      </c>
      <c r="B601" t="str">
        <f>"021476"</f>
        <v>021476</v>
      </c>
      <c r="C601" t="str">
        <f>"21504"</f>
        <v>21504</v>
      </c>
      <c r="D601" t="s">
        <v>79</v>
      </c>
      <c r="E601" s="3">
        <v>36.6</v>
      </c>
      <c r="F601">
        <v>20160415</v>
      </c>
      <c r="G601" t="s">
        <v>80</v>
      </c>
      <c r="H601" t="s">
        <v>216</v>
      </c>
      <c r="I601">
        <v>0</v>
      </c>
      <c r="J601" t="s">
        <v>15</v>
      </c>
      <c r="K601" t="s">
        <v>81</v>
      </c>
      <c r="L601" t="s">
        <v>17</v>
      </c>
      <c r="M601" t="str">
        <f t="shared" si="35"/>
        <v>04</v>
      </c>
      <c r="N601" t="s">
        <v>12</v>
      </c>
    </row>
    <row r="602" spans="1:14" x14ac:dyDescent="0.25">
      <c r="A602">
        <v>20160415</v>
      </c>
      <c r="B602" t="str">
        <f>"021477"</f>
        <v>021477</v>
      </c>
      <c r="C602" t="str">
        <f>"21506"</f>
        <v>21506</v>
      </c>
      <c r="D602" t="s">
        <v>34</v>
      </c>
      <c r="E602" s="3">
        <v>332.75</v>
      </c>
      <c r="F602">
        <v>20160415</v>
      </c>
      <c r="G602" t="s">
        <v>37</v>
      </c>
      <c r="H602" t="s">
        <v>216</v>
      </c>
      <c r="I602">
        <v>0</v>
      </c>
      <c r="J602" t="s">
        <v>15</v>
      </c>
      <c r="K602" t="s">
        <v>38</v>
      </c>
      <c r="L602" t="s">
        <v>17</v>
      </c>
      <c r="M602" t="str">
        <f t="shared" si="35"/>
        <v>04</v>
      </c>
      <c r="N602" t="s">
        <v>12</v>
      </c>
    </row>
    <row r="603" spans="1:14" x14ac:dyDescent="0.25">
      <c r="A603">
        <v>20160415</v>
      </c>
      <c r="B603" t="str">
        <f>"021478"</f>
        <v>021478</v>
      </c>
      <c r="C603" t="str">
        <f>"21826"</f>
        <v>21826</v>
      </c>
      <c r="D603" t="s">
        <v>82</v>
      </c>
      <c r="E603" s="3">
        <v>519.59</v>
      </c>
      <c r="F603">
        <v>20160415</v>
      </c>
      <c r="G603" t="s">
        <v>83</v>
      </c>
      <c r="H603" t="s">
        <v>217</v>
      </c>
      <c r="I603">
        <v>0</v>
      </c>
      <c r="J603" t="s">
        <v>15</v>
      </c>
      <c r="K603" t="s">
        <v>84</v>
      </c>
      <c r="L603" t="s">
        <v>17</v>
      </c>
      <c r="M603" t="str">
        <f t="shared" si="35"/>
        <v>04</v>
      </c>
      <c r="N603" t="s">
        <v>12</v>
      </c>
    </row>
    <row r="604" spans="1:14" x14ac:dyDescent="0.25">
      <c r="A604">
        <v>20160415</v>
      </c>
      <c r="B604" t="str">
        <f>"021479"</f>
        <v>021479</v>
      </c>
      <c r="C604" t="str">
        <f>"24960"</f>
        <v>24960</v>
      </c>
      <c r="D604" t="s">
        <v>39</v>
      </c>
      <c r="E604" s="3">
        <v>4101.8900000000003</v>
      </c>
      <c r="F604">
        <v>20160415</v>
      </c>
      <c r="G604" t="s">
        <v>40</v>
      </c>
      <c r="H604" t="s">
        <v>218</v>
      </c>
      <c r="I604">
        <v>0</v>
      </c>
      <c r="J604" t="s">
        <v>15</v>
      </c>
      <c r="K604" t="s">
        <v>42</v>
      </c>
      <c r="L604" t="s">
        <v>17</v>
      </c>
      <c r="M604" t="str">
        <f t="shared" si="35"/>
        <v>04</v>
      </c>
      <c r="N604" t="s">
        <v>12</v>
      </c>
    </row>
    <row r="605" spans="1:14" x14ac:dyDescent="0.25">
      <c r="A605">
        <v>20160415</v>
      </c>
      <c r="B605" t="str">
        <f>"021480"</f>
        <v>021480</v>
      </c>
      <c r="C605" t="str">
        <f>"42245"</f>
        <v>42245</v>
      </c>
      <c r="D605" t="s">
        <v>43</v>
      </c>
      <c r="E605" s="3">
        <v>10078.82</v>
      </c>
      <c r="F605">
        <v>20160415</v>
      </c>
      <c r="G605" t="s">
        <v>44</v>
      </c>
      <c r="H605" t="s">
        <v>216</v>
      </c>
      <c r="I605">
        <v>0</v>
      </c>
      <c r="J605" t="s">
        <v>15</v>
      </c>
      <c r="K605" t="s">
        <v>45</v>
      </c>
      <c r="L605" t="s">
        <v>17</v>
      </c>
      <c r="M605" t="str">
        <f t="shared" si="35"/>
        <v>04</v>
      </c>
      <c r="N605" t="s">
        <v>12</v>
      </c>
    </row>
    <row r="606" spans="1:14" x14ac:dyDescent="0.25">
      <c r="A606">
        <v>20160415</v>
      </c>
      <c r="B606" t="str">
        <f>"021481"</f>
        <v>021481</v>
      </c>
      <c r="C606" t="str">
        <f>"43855"</f>
        <v>43855</v>
      </c>
      <c r="D606" t="s">
        <v>88</v>
      </c>
      <c r="E606" s="3">
        <v>250</v>
      </c>
      <c r="F606">
        <v>20160415</v>
      </c>
      <c r="G606" t="s">
        <v>89</v>
      </c>
      <c r="H606" t="s">
        <v>217</v>
      </c>
      <c r="I606">
        <v>0</v>
      </c>
      <c r="J606" t="s">
        <v>15</v>
      </c>
      <c r="K606" t="s">
        <v>88</v>
      </c>
      <c r="L606" t="s">
        <v>17</v>
      </c>
      <c r="M606" t="str">
        <f t="shared" ref="M606:M637" si="36">"04"</f>
        <v>04</v>
      </c>
      <c r="N606" t="s">
        <v>12</v>
      </c>
    </row>
    <row r="607" spans="1:14" x14ac:dyDescent="0.25">
      <c r="A607">
        <v>20160415</v>
      </c>
      <c r="B607" t="str">
        <f>"021482"</f>
        <v>021482</v>
      </c>
      <c r="C607" t="str">
        <f>"48947"</f>
        <v>48947</v>
      </c>
      <c r="D607" t="s">
        <v>46</v>
      </c>
      <c r="E607" s="3">
        <v>1518.89</v>
      </c>
      <c r="F607">
        <v>20160415</v>
      </c>
      <c r="G607" t="s">
        <v>47</v>
      </c>
      <c r="H607" t="s">
        <v>218</v>
      </c>
      <c r="I607">
        <v>0</v>
      </c>
      <c r="J607" t="s">
        <v>15</v>
      </c>
      <c r="K607" t="s">
        <v>48</v>
      </c>
      <c r="L607" t="s">
        <v>17</v>
      </c>
      <c r="M607" t="str">
        <f t="shared" si="36"/>
        <v>04</v>
      </c>
      <c r="N607" t="s">
        <v>12</v>
      </c>
    </row>
    <row r="608" spans="1:14" x14ac:dyDescent="0.25">
      <c r="A608">
        <v>20160415</v>
      </c>
      <c r="B608" t="str">
        <f t="shared" ref="B608:B624" si="37">"021483"</f>
        <v>021483</v>
      </c>
      <c r="C608" t="str">
        <f t="shared" ref="C608:C624" si="38">"54196"</f>
        <v>54196</v>
      </c>
      <c r="D608" t="s">
        <v>49</v>
      </c>
      <c r="E608" s="3">
        <v>50</v>
      </c>
      <c r="F608">
        <v>20160415</v>
      </c>
      <c r="G608" t="s">
        <v>90</v>
      </c>
      <c r="H608" t="s">
        <v>219</v>
      </c>
      <c r="I608">
        <v>0</v>
      </c>
      <c r="J608" t="s">
        <v>15</v>
      </c>
      <c r="K608" t="s">
        <v>91</v>
      </c>
      <c r="L608" t="s">
        <v>17</v>
      </c>
      <c r="M608" t="str">
        <f t="shared" si="36"/>
        <v>04</v>
      </c>
      <c r="N608" t="s">
        <v>12</v>
      </c>
    </row>
    <row r="609" spans="1:14" x14ac:dyDescent="0.25">
      <c r="A609">
        <v>20160415</v>
      </c>
      <c r="B609" t="str">
        <f t="shared" si="37"/>
        <v>021483</v>
      </c>
      <c r="C609" t="str">
        <f t="shared" si="38"/>
        <v>54196</v>
      </c>
      <c r="D609" t="s">
        <v>49</v>
      </c>
      <c r="E609" s="3">
        <v>283</v>
      </c>
      <c r="F609">
        <v>20160415</v>
      </c>
      <c r="G609" t="s">
        <v>92</v>
      </c>
      <c r="H609" t="s">
        <v>219</v>
      </c>
      <c r="I609">
        <v>0</v>
      </c>
      <c r="J609" t="s">
        <v>15</v>
      </c>
      <c r="K609" t="s">
        <v>93</v>
      </c>
      <c r="L609" t="s">
        <v>17</v>
      </c>
      <c r="M609" t="str">
        <f t="shared" si="36"/>
        <v>04</v>
      </c>
      <c r="N609" t="s">
        <v>12</v>
      </c>
    </row>
    <row r="610" spans="1:14" x14ac:dyDescent="0.25">
      <c r="A610">
        <v>20160415</v>
      </c>
      <c r="B610" t="str">
        <f t="shared" si="37"/>
        <v>021483</v>
      </c>
      <c r="C610" t="str">
        <f t="shared" si="38"/>
        <v>54196</v>
      </c>
      <c r="D610" t="s">
        <v>49</v>
      </c>
      <c r="E610" s="3">
        <v>1590</v>
      </c>
      <c r="F610">
        <v>20160415</v>
      </c>
      <c r="G610" t="s">
        <v>94</v>
      </c>
      <c r="H610" t="s">
        <v>219</v>
      </c>
      <c r="I610">
        <v>0</v>
      </c>
      <c r="J610" t="s">
        <v>15</v>
      </c>
      <c r="K610" t="s">
        <v>95</v>
      </c>
      <c r="L610" t="s">
        <v>17</v>
      </c>
      <c r="M610" t="str">
        <f t="shared" si="36"/>
        <v>04</v>
      </c>
      <c r="N610" t="s">
        <v>12</v>
      </c>
    </row>
    <row r="611" spans="1:14" x14ac:dyDescent="0.25">
      <c r="A611">
        <v>20160415</v>
      </c>
      <c r="B611" t="str">
        <f t="shared" si="37"/>
        <v>021483</v>
      </c>
      <c r="C611" t="str">
        <f t="shared" si="38"/>
        <v>54196</v>
      </c>
      <c r="D611" t="s">
        <v>49</v>
      </c>
      <c r="E611" s="3">
        <v>2175</v>
      </c>
      <c r="F611">
        <v>20160415</v>
      </c>
      <c r="G611" t="s">
        <v>96</v>
      </c>
      <c r="H611" t="s">
        <v>219</v>
      </c>
      <c r="I611">
        <v>0</v>
      </c>
      <c r="J611" t="s">
        <v>15</v>
      </c>
      <c r="K611" t="s">
        <v>97</v>
      </c>
      <c r="L611" t="s">
        <v>17</v>
      </c>
      <c r="M611" t="str">
        <f t="shared" si="36"/>
        <v>04</v>
      </c>
      <c r="N611" t="s">
        <v>12</v>
      </c>
    </row>
    <row r="612" spans="1:14" x14ac:dyDescent="0.25">
      <c r="A612">
        <v>20160415</v>
      </c>
      <c r="B612" t="str">
        <f t="shared" si="37"/>
        <v>021483</v>
      </c>
      <c r="C612" t="str">
        <f t="shared" si="38"/>
        <v>54196</v>
      </c>
      <c r="D612" t="s">
        <v>49</v>
      </c>
      <c r="E612" s="3">
        <v>50</v>
      </c>
      <c r="F612">
        <v>20160415</v>
      </c>
      <c r="G612" t="s">
        <v>98</v>
      </c>
      <c r="H612" t="s">
        <v>219</v>
      </c>
      <c r="I612">
        <v>0</v>
      </c>
      <c r="J612" t="s">
        <v>15</v>
      </c>
      <c r="K612" t="s">
        <v>99</v>
      </c>
      <c r="L612" t="s">
        <v>17</v>
      </c>
      <c r="M612" t="str">
        <f t="shared" si="36"/>
        <v>04</v>
      </c>
      <c r="N612" t="s">
        <v>12</v>
      </c>
    </row>
    <row r="613" spans="1:14" x14ac:dyDescent="0.25">
      <c r="A613">
        <v>20160415</v>
      </c>
      <c r="B613" t="str">
        <f t="shared" si="37"/>
        <v>021483</v>
      </c>
      <c r="C613" t="str">
        <f t="shared" si="38"/>
        <v>54196</v>
      </c>
      <c r="D613" t="s">
        <v>49</v>
      </c>
      <c r="E613" s="3">
        <v>1230</v>
      </c>
      <c r="F613">
        <v>20160415</v>
      </c>
      <c r="G613" t="s">
        <v>100</v>
      </c>
      <c r="H613" t="s">
        <v>219</v>
      </c>
      <c r="I613">
        <v>0</v>
      </c>
      <c r="J613" t="s">
        <v>15</v>
      </c>
      <c r="K613" t="s">
        <v>101</v>
      </c>
      <c r="L613" t="s">
        <v>17</v>
      </c>
      <c r="M613" t="str">
        <f t="shared" si="36"/>
        <v>04</v>
      </c>
      <c r="N613" t="s">
        <v>12</v>
      </c>
    </row>
    <row r="614" spans="1:14" x14ac:dyDescent="0.25">
      <c r="A614">
        <v>20160415</v>
      </c>
      <c r="B614" t="str">
        <f t="shared" si="37"/>
        <v>021483</v>
      </c>
      <c r="C614" t="str">
        <f t="shared" si="38"/>
        <v>54196</v>
      </c>
      <c r="D614" t="s">
        <v>49</v>
      </c>
      <c r="E614" s="3">
        <v>2117</v>
      </c>
      <c r="F614">
        <v>20160415</v>
      </c>
      <c r="G614" t="s">
        <v>102</v>
      </c>
      <c r="H614" t="s">
        <v>219</v>
      </c>
      <c r="I614">
        <v>0</v>
      </c>
      <c r="J614" t="s">
        <v>15</v>
      </c>
      <c r="K614" t="s">
        <v>103</v>
      </c>
      <c r="L614" t="s">
        <v>17</v>
      </c>
      <c r="M614" t="str">
        <f t="shared" si="36"/>
        <v>04</v>
      </c>
      <c r="N614" t="s">
        <v>12</v>
      </c>
    </row>
    <row r="615" spans="1:14" x14ac:dyDescent="0.25">
      <c r="A615">
        <v>20160415</v>
      </c>
      <c r="B615" t="str">
        <f t="shared" si="37"/>
        <v>021483</v>
      </c>
      <c r="C615" t="str">
        <f t="shared" si="38"/>
        <v>54196</v>
      </c>
      <c r="D615" t="s">
        <v>49</v>
      </c>
      <c r="E615" s="3">
        <v>972</v>
      </c>
      <c r="F615">
        <v>20160415</v>
      </c>
      <c r="G615" t="s">
        <v>104</v>
      </c>
      <c r="H615" t="s">
        <v>219</v>
      </c>
      <c r="I615">
        <v>0</v>
      </c>
      <c r="J615" t="s">
        <v>15</v>
      </c>
      <c r="K615" t="s">
        <v>105</v>
      </c>
      <c r="L615" t="s">
        <v>17</v>
      </c>
      <c r="M615" t="str">
        <f t="shared" si="36"/>
        <v>04</v>
      </c>
      <c r="N615" t="s">
        <v>12</v>
      </c>
    </row>
    <row r="616" spans="1:14" x14ac:dyDescent="0.25">
      <c r="A616">
        <v>20160415</v>
      </c>
      <c r="B616" t="str">
        <f t="shared" si="37"/>
        <v>021483</v>
      </c>
      <c r="C616" t="str">
        <f t="shared" si="38"/>
        <v>54196</v>
      </c>
      <c r="D616" t="s">
        <v>49</v>
      </c>
      <c r="E616" s="3">
        <v>300</v>
      </c>
      <c r="F616">
        <v>20160415</v>
      </c>
      <c r="G616" t="s">
        <v>108</v>
      </c>
      <c r="H616" t="s">
        <v>219</v>
      </c>
      <c r="I616">
        <v>0</v>
      </c>
      <c r="J616" t="s">
        <v>15</v>
      </c>
      <c r="K616" t="s">
        <v>109</v>
      </c>
      <c r="L616" t="s">
        <v>17</v>
      </c>
      <c r="M616" t="str">
        <f t="shared" si="36"/>
        <v>04</v>
      </c>
      <c r="N616" t="s">
        <v>12</v>
      </c>
    </row>
    <row r="617" spans="1:14" x14ac:dyDescent="0.25">
      <c r="A617">
        <v>20160415</v>
      </c>
      <c r="B617" t="str">
        <f t="shared" si="37"/>
        <v>021483</v>
      </c>
      <c r="C617" t="str">
        <f t="shared" si="38"/>
        <v>54196</v>
      </c>
      <c r="D617" t="s">
        <v>49</v>
      </c>
      <c r="E617" s="3">
        <v>450</v>
      </c>
      <c r="F617">
        <v>20160415</v>
      </c>
      <c r="G617" t="s">
        <v>110</v>
      </c>
      <c r="H617" t="s">
        <v>219</v>
      </c>
      <c r="I617">
        <v>0</v>
      </c>
      <c r="J617" t="s">
        <v>15</v>
      </c>
      <c r="K617" t="s">
        <v>111</v>
      </c>
      <c r="L617" t="s">
        <v>17</v>
      </c>
      <c r="M617" t="str">
        <f t="shared" si="36"/>
        <v>04</v>
      </c>
      <c r="N617" t="s">
        <v>12</v>
      </c>
    </row>
    <row r="618" spans="1:14" x14ac:dyDescent="0.25">
      <c r="A618">
        <v>20160415</v>
      </c>
      <c r="B618" t="str">
        <f t="shared" si="37"/>
        <v>021483</v>
      </c>
      <c r="C618" t="str">
        <f t="shared" si="38"/>
        <v>54196</v>
      </c>
      <c r="D618" t="s">
        <v>49</v>
      </c>
      <c r="E618" s="3">
        <v>750</v>
      </c>
      <c r="F618">
        <v>20160415</v>
      </c>
      <c r="G618" t="s">
        <v>112</v>
      </c>
      <c r="H618" t="s">
        <v>219</v>
      </c>
      <c r="I618">
        <v>0</v>
      </c>
      <c r="J618" t="s">
        <v>15</v>
      </c>
      <c r="K618" t="s">
        <v>113</v>
      </c>
      <c r="L618" t="s">
        <v>17</v>
      </c>
      <c r="M618" t="str">
        <f t="shared" si="36"/>
        <v>04</v>
      </c>
      <c r="N618" t="s">
        <v>12</v>
      </c>
    </row>
    <row r="619" spans="1:14" x14ac:dyDescent="0.25">
      <c r="A619">
        <v>20160415</v>
      </c>
      <c r="B619" t="str">
        <f t="shared" si="37"/>
        <v>021483</v>
      </c>
      <c r="C619" t="str">
        <f t="shared" si="38"/>
        <v>54196</v>
      </c>
      <c r="D619" t="s">
        <v>49</v>
      </c>
      <c r="E619" s="3">
        <v>100</v>
      </c>
      <c r="F619">
        <v>20160415</v>
      </c>
      <c r="G619" t="s">
        <v>149</v>
      </c>
      <c r="H619" t="s">
        <v>219</v>
      </c>
      <c r="I619">
        <v>0</v>
      </c>
      <c r="J619" t="s">
        <v>15</v>
      </c>
      <c r="K619" t="s">
        <v>150</v>
      </c>
      <c r="L619" t="s">
        <v>17</v>
      </c>
      <c r="M619" t="str">
        <f t="shared" si="36"/>
        <v>04</v>
      </c>
      <c r="N619" t="s">
        <v>12</v>
      </c>
    </row>
    <row r="620" spans="1:14" x14ac:dyDescent="0.25">
      <c r="A620">
        <v>20160415</v>
      </c>
      <c r="B620" t="str">
        <f t="shared" si="37"/>
        <v>021483</v>
      </c>
      <c r="C620" t="str">
        <f t="shared" si="38"/>
        <v>54196</v>
      </c>
      <c r="D620" t="s">
        <v>49</v>
      </c>
      <c r="E620" s="3">
        <v>200</v>
      </c>
      <c r="F620">
        <v>20160415</v>
      </c>
      <c r="G620" t="s">
        <v>114</v>
      </c>
      <c r="H620" t="s">
        <v>219</v>
      </c>
      <c r="I620">
        <v>0</v>
      </c>
      <c r="J620" t="s">
        <v>15</v>
      </c>
      <c r="K620" t="s">
        <v>115</v>
      </c>
      <c r="L620" t="s">
        <v>17</v>
      </c>
      <c r="M620" t="str">
        <f t="shared" si="36"/>
        <v>04</v>
      </c>
      <c r="N620" t="s">
        <v>12</v>
      </c>
    </row>
    <row r="621" spans="1:14" x14ac:dyDescent="0.25">
      <c r="A621">
        <v>20160415</v>
      </c>
      <c r="B621" t="str">
        <f t="shared" si="37"/>
        <v>021483</v>
      </c>
      <c r="C621" t="str">
        <f t="shared" si="38"/>
        <v>54196</v>
      </c>
      <c r="D621" t="s">
        <v>49</v>
      </c>
      <c r="E621" s="3">
        <v>8388</v>
      </c>
      <c r="F621">
        <v>20160415</v>
      </c>
      <c r="G621" t="s">
        <v>119</v>
      </c>
      <c r="H621" t="s">
        <v>220</v>
      </c>
      <c r="I621">
        <v>0</v>
      </c>
      <c r="J621" t="s">
        <v>15</v>
      </c>
      <c r="K621" t="s">
        <v>103</v>
      </c>
      <c r="L621" t="s">
        <v>17</v>
      </c>
      <c r="M621" t="str">
        <f t="shared" si="36"/>
        <v>04</v>
      </c>
      <c r="N621" t="s">
        <v>12</v>
      </c>
    </row>
    <row r="622" spans="1:14" x14ac:dyDescent="0.25">
      <c r="A622">
        <v>20160415</v>
      </c>
      <c r="B622" t="str">
        <f t="shared" si="37"/>
        <v>021483</v>
      </c>
      <c r="C622" t="str">
        <f t="shared" si="38"/>
        <v>54196</v>
      </c>
      <c r="D622" t="s">
        <v>49</v>
      </c>
      <c r="E622" s="3">
        <v>650</v>
      </c>
      <c r="F622">
        <v>20160415</v>
      </c>
      <c r="G622" t="s">
        <v>50</v>
      </c>
      <c r="H622" t="s">
        <v>219</v>
      </c>
      <c r="I622">
        <v>0</v>
      </c>
      <c r="J622" t="s">
        <v>15</v>
      </c>
      <c r="K622" t="s">
        <v>52</v>
      </c>
      <c r="L622" t="s">
        <v>17</v>
      </c>
      <c r="M622" t="str">
        <f t="shared" si="36"/>
        <v>04</v>
      </c>
      <c r="N622" t="s">
        <v>12</v>
      </c>
    </row>
    <row r="623" spans="1:14" x14ac:dyDescent="0.25">
      <c r="A623">
        <v>20160415</v>
      </c>
      <c r="B623" t="str">
        <f t="shared" si="37"/>
        <v>021483</v>
      </c>
      <c r="C623" t="str">
        <f t="shared" si="38"/>
        <v>54196</v>
      </c>
      <c r="D623" t="s">
        <v>49</v>
      </c>
      <c r="E623" s="3">
        <v>475</v>
      </c>
      <c r="F623">
        <v>20160415</v>
      </c>
      <c r="G623" t="s">
        <v>178</v>
      </c>
      <c r="H623" t="s">
        <v>221</v>
      </c>
      <c r="I623">
        <v>0</v>
      </c>
      <c r="J623" t="s">
        <v>15</v>
      </c>
      <c r="K623" t="s">
        <v>180</v>
      </c>
      <c r="L623" t="s">
        <v>17</v>
      </c>
      <c r="M623" t="str">
        <f t="shared" si="36"/>
        <v>04</v>
      </c>
      <c r="N623" t="s">
        <v>12</v>
      </c>
    </row>
    <row r="624" spans="1:14" x14ac:dyDescent="0.25">
      <c r="A624">
        <v>20160415</v>
      </c>
      <c r="B624" t="str">
        <f t="shared" si="37"/>
        <v>021483</v>
      </c>
      <c r="C624" t="str">
        <f t="shared" si="38"/>
        <v>54196</v>
      </c>
      <c r="D624" t="s">
        <v>49</v>
      </c>
      <c r="E624" s="3">
        <v>2400</v>
      </c>
      <c r="F624">
        <v>20160415</v>
      </c>
      <c r="G624" t="s">
        <v>181</v>
      </c>
      <c r="H624" t="s">
        <v>220</v>
      </c>
      <c r="I624">
        <v>0</v>
      </c>
      <c r="J624" t="s">
        <v>15</v>
      </c>
      <c r="K624" t="s">
        <v>182</v>
      </c>
      <c r="L624" t="s">
        <v>17</v>
      </c>
      <c r="M624" t="str">
        <f t="shared" si="36"/>
        <v>04</v>
      </c>
      <c r="N624" t="s">
        <v>12</v>
      </c>
    </row>
    <row r="625" spans="1:14" x14ac:dyDescent="0.25">
      <c r="A625">
        <v>20160415</v>
      </c>
      <c r="B625" t="str">
        <f>"021484"</f>
        <v>021484</v>
      </c>
      <c r="C625" t="str">
        <f>"72601"</f>
        <v>72601</v>
      </c>
      <c r="D625" t="s">
        <v>53</v>
      </c>
      <c r="E625" s="3">
        <v>9298.26</v>
      </c>
      <c r="F625">
        <v>20160415</v>
      </c>
      <c r="G625" t="s">
        <v>54</v>
      </c>
      <c r="H625" t="s">
        <v>217</v>
      </c>
      <c r="I625">
        <v>0</v>
      </c>
      <c r="J625" t="s">
        <v>15</v>
      </c>
      <c r="K625" t="s">
        <v>55</v>
      </c>
      <c r="L625" t="s">
        <v>17</v>
      </c>
      <c r="M625" t="str">
        <f t="shared" si="36"/>
        <v>04</v>
      </c>
      <c r="N625" t="s">
        <v>12</v>
      </c>
    </row>
    <row r="626" spans="1:14" x14ac:dyDescent="0.25">
      <c r="A626">
        <v>20160415</v>
      </c>
      <c r="B626" t="str">
        <f>"021485"</f>
        <v>021485</v>
      </c>
      <c r="C626" t="str">
        <f>"75452"</f>
        <v>75452</v>
      </c>
      <c r="D626" t="s">
        <v>56</v>
      </c>
      <c r="E626" s="3">
        <v>9750.01</v>
      </c>
      <c r="F626">
        <v>20160415</v>
      </c>
      <c r="G626" t="s">
        <v>57</v>
      </c>
      <c r="H626" t="s">
        <v>216</v>
      </c>
      <c r="I626">
        <v>0</v>
      </c>
      <c r="J626" t="s">
        <v>15</v>
      </c>
      <c r="K626" t="s">
        <v>58</v>
      </c>
      <c r="L626" t="s">
        <v>17</v>
      </c>
      <c r="M626" t="str">
        <f t="shared" si="36"/>
        <v>04</v>
      </c>
      <c r="N626" t="s">
        <v>12</v>
      </c>
    </row>
    <row r="627" spans="1:14" x14ac:dyDescent="0.25">
      <c r="A627">
        <v>20160415</v>
      </c>
      <c r="B627" t="str">
        <f>"021485"</f>
        <v>021485</v>
      </c>
      <c r="C627" t="str">
        <f>"75452"</f>
        <v>75452</v>
      </c>
      <c r="D627" t="s">
        <v>56</v>
      </c>
      <c r="E627" s="3">
        <v>25</v>
      </c>
      <c r="F627">
        <v>20160415</v>
      </c>
      <c r="G627" t="s">
        <v>153</v>
      </c>
      <c r="H627" t="s">
        <v>222</v>
      </c>
      <c r="I627">
        <v>0</v>
      </c>
      <c r="J627" t="s">
        <v>15</v>
      </c>
      <c r="K627" t="s">
        <v>155</v>
      </c>
      <c r="L627" t="s">
        <v>17</v>
      </c>
      <c r="M627" t="str">
        <f t="shared" si="36"/>
        <v>04</v>
      </c>
      <c r="N627" t="s">
        <v>12</v>
      </c>
    </row>
    <row r="628" spans="1:14" x14ac:dyDescent="0.25">
      <c r="A628">
        <v>20160415</v>
      </c>
      <c r="B628" t="str">
        <f>"021486"</f>
        <v>021486</v>
      </c>
      <c r="C628" t="str">
        <f>"77030"</f>
        <v>77030</v>
      </c>
      <c r="D628" t="s">
        <v>156</v>
      </c>
      <c r="E628" s="3">
        <v>139.33000000000001</v>
      </c>
      <c r="F628">
        <v>20160415</v>
      </c>
      <c r="G628" t="s">
        <v>157</v>
      </c>
      <c r="H628" t="s">
        <v>217</v>
      </c>
      <c r="I628">
        <v>0</v>
      </c>
      <c r="J628" t="s">
        <v>15</v>
      </c>
      <c r="K628" t="s">
        <v>158</v>
      </c>
      <c r="L628" t="s">
        <v>17</v>
      </c>
      <c r="M628" t="str">
        <f t="shared" si="36"/>
        <v>04</v>
      </c>
      <c r="N628" t="s">
        <v>12</v>
      </c>
    </row>
    <row r="629" spans="1:14" x14ac:dyDescent="0.25">
      <c r="A629">
        <v>20160415</v>
      </c>
      <c r="B629" t="str">
        <f>"021487"</f>
        <v>021487</v>
      </c>
      <c r="C629" t="str">
        <f>"78428"</f>
        <v>78428</v>
      </c>
      <c r="D629" t="s">
        <v>124</v>
      </c>
      <c r="E629" s="3">
        <v>851.87</v>
      </c>
      <c r="F629">
        <v>20160415</v>
      </c>
      <c r="G629" t="s">
        <v>125</v>
      </c>
      <c r="H629" t="s">
        <v>217</v>
      </c>
      <c r="I629">
        <v>0</v>
      </c>
      <c r="J629" t="s">
        <v>15</v>
      </c>
      <c r="K629" t="s">
        <v>126</v>
      </c>
      <c r="L629" t="s">
        <v>17</v>
      </c>
      <c r="M629" t="str">
        <f t="shared" si="36"/>
        <v>04</v>
      </c>
      <c r="N629" t="s">
        <v>12</v>
      </c>
    </row>
    <row r="630" spans="1:14" x14ac:dyDescent="0.25">
      <c r="A630">
        <v>20160415</v>
      </c>
      <c r="B630" t="str">
        <f>"021488"</f>
        <v>021488</v>
      </c>
      <c r="C630" t="str">
        <f>"79562"</f>
        <v>79562</v>
      </c>
      <c r="D630" t="s">
        <v>127</v>
      </c>
      <c r="E630" s="3">
        <v>341.95</v>
      </c>
      <c r="F630">
        <v>20160415</v>
      </c>
      <c r="G630" t="s">
        <v>128</v>
      </c>
      <c r="H630" t="s">
        <v>223</v>
      </c>
      <c r="I630">
        <v>0</v>
      </c>
      <c r="J630" t="s">
        <v>15</v>
      </c>
      <c r="K630" t="s">
        <v>130</v>
      </c>
      <c r="L630" t="s">
        <v>17</v>
      </c>
      <c r="M630" t="str">
        <f t="shared" si="36"/>
        <v>04</v>
      </c>
      <c r="N630" t="s">
        <v>12</v>
      </c>
    </row>
    <row r="631" spans="1:14" x14ac:dyDescent="0.25">
      <c r="A631">
        <v>20160415</v>
      </c>
      <c r="B631" t="str">
        <f>"021489"</f>
        <v>021489</v>
      </c>
      <c r="C631" t="str">
        <f>"79762"</f>
        <v>79762</v>
      </c>
      <c r="D631" t="s">
        <v>160</v>
      </c>
      <c r="E631" s="3">
        <v>390</v>
      </c>
      <c r="F631">
        <v>20160415</v>
      </c>
      <c r="G631" t="s">
        <v>161</v>
      </c>
      <c r="H631" t="s">
        <v>217</v>
      </c>
      <c r="I631">
        <v>0</v>
      </c>
      <c r="J631" t="s">
        <v>15</v>
      </c>
      <c r="K631" t="s">
        <v>162</v>
      </c>
      <c r="L631" t="s">
        <v>17</v>
      </c>
      <c r="M631" t="str">
        <f t="shared" si="36"/>
        <v>04</v>
      </c>
      <c r="N631" t="s">
        <v>12</v>
      </c>
    </row>
    <row r="632" spans="1:14" x14ac:dyDescent="0.25">
      <c r="A632">
        <v>20160415</v>
      </c>
      <c r="B632" t="str">
        <f>"021490"</f>
        <v>021490</v>
      </c>
      <c r="C632" t="str">
        <f>"81155"</f>
        <v>81155</v>
      </c>
      <c r="D632" t="s">
        <v>131</v>
      </c>
      <c r="E632" s="3">
        <v>280</v>
      </c>
      <c r="F632">
        <v>20160415</v>
      </c>
      <c r="G632" t="s">
        <v>132</v>
      </c>
      <c r="H632" t="s">
        <v>217</v>
      </c>
      <c r="I632">
        <v>0</v>
      </c>
      <c r="J632" t="s">
        <v>15</v>
      </c>
      <c r="K632" t="s">
        <v>133</v>
      </c>
      <c r="L632" t="s">
        <v>17</v>
      </c>
      <c r="M632" t="str">
        <f t="shared" si="36"/>
        <v>04</v>
      </c>
      <c r="N632" t="s">
        <v>12</v>
      </c>
    </row>
    <row r="633" spans="1:14" x14ac:dyDescent="0.25">
      <c r="A633">
        <v>20160415</v>
      </c>
      <c r="B633" t="str">
        <f>"021491"</f>
        <v>021491</v>
      </c>
      <c r="C633" t="str">
        <f>"81173"</f>
        <v>81173</v>
      </c>
      <c r="D633" t="s">
        <v>59</v>
      </c>
      <c r="E633" s="3">
        <v>400</v>
      </c>
      <c r="F633">
        <v>20160415</v>
      </c>
      <c r="G633" t="s">
        <v>60</v>
      </c>
      <c r="H633" t="s">
        <v>217</v>
      </c>
      <c r="I633">
        <v>0</v>
      </c>
      <c r="J633" t="s">
        <v>15</v>
      </c>
      <c r="K633" t="s">
        <v>61</v>
      </c>
      <c r="L633" t="s">
        <v>17</v>
      </c>
      <c r="M633" t="str">
        <f t="shared" si="36"/>
        <v>04</v>
      </c>
      <c r="N633" t="s">
        <v>12</v>
      </c>
    </row>
    <row r="634" spans="1:14" x14ac:dyDescent="0.25">
      <c r="A634">
        <v>20160415</v>
      </c>
      <c r="B634" t="str">
        <f>"021492"</f>
        <v>021492</v>
      </c>
      <c r="C634" t="str">
        <f>"81174"</f>
        <v>81174</v>
      </c>
      <c r="D634" t="s">
        <v>62</v>
      </c>
      <c r="E634" s="3">
        <v>1610</v>
      </c>
      <c r="F634">
        <v>20160415</v>
      </c>
      <c r="G634" t="s">
        <v>63</v>
      </c>
      <c r="H634" t="s">
        <v>217</v>
      </c>
      <c r="I634">
        <v>0</v>
      </c>
      <c r="J634" t="s">
        <v>15</v>
      </c>
      <c r="K634" t="s">
        <v>64</v>
      </c>
      <c r="L634" t="s">
        <v>17</v>
      </c>
      <c r="M634" t="str">
        <f t="shared" si="36"/>
        <v>04</v>
      </c>
      <c r="N634" t="s">
        <v>12</v>
      </c>
    </row>
    <row r="635" spans="1:14" x14ac:dyDescent="0.25">
      <c r="A635">
        <v>20160415</v>
      </c>
      <c r="B635" t="str">
        <f>"021493"</f>
        <v>021493</v>
      </c>
      <c r="C635" t="str">
        <f>"81177"</f>
        <v>81177</v>
      </c>
      <c r="D635" t="s">
        <v>65</v>
      </c>
      <c r="E635" s="3">
        <v>414.33</v>
      </c>
      <c r="F635">
        <v>20160415</v>
      </c>
      <c r="G635" t="s">
        <v>134</v>
      </c>
      <c r="H635" t="s">
        <v>217</v>
      </c>
      <c r="I635">
        <v>0</v>
      </c>
      <c r="J635" t="s">
        <v>15</v>
      </c>
      <c r="K635" t="s">
        <v>135</v>
      </c>
      <c r="L635" t="s">
        <v>17</v>
      </c>
      <c r="M635" t="str">
        <f t="shared" si="36"/>
        <v>04</v>
      </c>
      <c r="N635" t="s">
        <v>12</v>
      </c>
    </row>
    <row r="636" spans="1:14" x14ac:dyDescent="0.25">
      <c r="A636">
        <v>20160415</v>
      </c>
      <c r="B636" t="str">
        <f>"021494"</f>
        <v>021494</v>
      </c>
      <c r="C636" t="str">
        <f>"81753"</f>
        <v>81753</v>
      </c>
      <c r="D636" t="s">
        <v>68</v>
      </c>
      <c r="E636" s="3">
        <v>818.4</v>
      </c>
      <c r="F636">
        <v>20160415</v>
      </c>
      <c r="G636" t="s">
        <v>69</v>
      </c>
      <c r="H636" t="s">
        <v>217</v>
      </c>
      <c r="I636">
        <v>0</v>
      </c>
      <c r="J636" t="s">
        <v>15</v>
      </c>
      <c r="K636" t="s">
        <v>68</v>
      </c>
      <c r="L636" t="s">
        <v>17</v>
      </c>
      <c r="M636" t="str">
        <f t="shared" si="36"/>
        <v>04</v>
      </c>
      <c r="N636" t="s">
        <v>12</v>
      </c>
    </row>
    <row r="637" spans="1:14" x14ac:dyDescent="0.25">
      <c r="A637">
        <v>20160422</v>
      </c>
      <c r="B637" t="str">
        <f>"021522"</f>
        <v>021522</v>
      </c>
      <c r="C637" t="str">
        <f>"04831"</f>
        <v>04831</v>
      </c>
      <c r="D637" t="s">
        <v>11</v>
      </c>
      <c r="E637" s="3">
        <v>56.1</v>
      </c>
      <c r="F637">
        <v>20160422</v>
      </c>
      <c r="G637" t="s">
        <v>13</v>
      </c>
      <c r="H637" t="s">
        <v>216</v>
      </c>
      <c r="I637">
        <v>0</v>
      </c>
      <c r="J637" t="s">
        <v>15</v>
      </c>
      <c r="K637" t="s">
        <v>16</v>
      </c>
      <c r="L637" t="s">
        <v>17</v>
      </c>
      <c r="M637" t="str">
        <f t="shared" si="36"/>
        <v>04</v>
      </c>
      <c r="N637" t="s">
        <v>12</v>
      </c>
    </row>
    <row r="638" spans="1:14" x14ac:dyDescent="0.25">
      <c r="A638">
        <v>20160422</v>
      </c>
      <c r="B638" t="str">
        <f>"021523"</f>
        <v>021523</v>
      </c>
      <c r="C638" t="str">
        <f>"04905"</f>
        <v>04905</v>
      </c>
      <c r="D638" t="s">
        <v>18</v>
      </c>
      <c r="E638" s="3">
        <v>18.329999999999998</v>
      </c>
      <c r="F638">
        <v>20160422</v>
      </c>
      <c r="G638" t="s">
        <v>19</v>
      </c>
      <c r="H638" t="s">
        <v>217</v>
      </c>
      <c r="I638">
        <v>0</v>
      </c>
      <c r="J638" t="s">
        <v>15</v>
      </c>
      <c r="K638" t="s">
        <v>21</v>
      </c>
      <c r="L638" t="s">
        <v>17</v>
      </c>
      <c r="M638" t="str">
        <f t="shared" ref="M638:M652" si="39">"04"</f>
        <v>04</v>
      </c>
      <c r="N638" t="s">
        <v>12</v>
      </c>
    </row>
    <row r="639" spans="1:14" x14ac:dyDescent="0.25">
      <c r="A639">
        <v>20160422</v>
      </c>
      <c r="B639" t="str">
        <f>"021524"</f>
        <v>021524</v>
      </c>
      <c r="C639" t="str">
        <f>"04987"</f>
        <v>04987</v>
      </c>
      <c r="D639" t="s">
        <v>144</v>
      </c>
      <c r="E639" s="3">
        <v>27.74</v>
      </c>
      <c r="F639">
        <v>20160422</v>
      </c>
      <c r="G639" t="s">
        <v>35</v>
      </c>
      <c r="H639" t="s">
        <v>216</v>
      </c>
      <c r="I639">
        <v>0</v>
      </c>
      <c r="J639" t="s">
        <v>15</v>
      </c>
      <c r="K639" t="s">
        <v>36</v>
      </c>
      <c r="L639" t="s">
        <v>17</v>
      </c>
      <c r="M639" t="str">
        <f t="shared" si="39"/>
        <v>04</v>
      </c>
      <c r="N639" t="s">
        <v>12</v>
      </c>
    </row>
    <row r="640" spans="1:14" x14ac:dyDescent="0.25">
      <c r="A640">
        <v>20160422</v>
      </c>
      <c r="B640" t="str">
        <f>"021525"</f>
        <v>021525</v>
      </c>
      <c r="C640" t="str">
        <f>"07880"</f>
        <v>07880</v>
      </c>
      <c r="D640" t="s">
        <v>25</v>
      </c>
      <c r="E640" s="3">
        <v>158.41999999999999</v>
      </c>
      <c r="F640">
        <v>20160422</v>
      </c>
      <c r="G640" t="s">
        <v>26</v>
      </c>
      <c r="H640" t="s">
        <v>217</v>
      </c>
      <c r="I640">
        <v>0</v>
      </c>
      <c r="J640" t="s">
        <v>15</v>
      </c>
      <c r="K640" t="s">
        <v>27</v>
      </c>
      <c r="L640" t="s">
        <v>17</v>
      </c>
      <c r="M640" t="str">
        <f t="shared" si="39"/>
        <v>04</v>
      </c>
      <c r="N640" t="s">
        <v>12</v>
      </c>
    </row>
    <row r="641" spans="1:14" x14ac:dyDescent="0.25">
      <c r="A641">
        <v>20160422</v>
      </c>
      <c r="B641" t="str">
        <f>"021526"</f>
        <v>021526</v>
      </c>
      <c r="C641" t="str">
        <f>"11211"</f>
        <v>11211</v>
      </c>
      <c r="D641" t="s">
        <v>28</v>
      </c>
      <c r="E641" s="3">
        <v>147.22999999999999</v>
      </c>
      <c r="F641">
        <v>20160422</v>
      </c>
      <c r="G641" t="s">
        <v>29</v>
      </c>
      <c r="H641" t="s">
        <v>216</v>
      </c>
      <c r="I641">
        <v>0</v>
      </c>
      <c r="J641" t="s">
        <v>15</v>
      </c>
      <c r="K641" t="s">
        <v>30</v>
      </c>
      <c r="L641" t="s">
        <v>17</v>
      </c>
      <c r="M641" t="str">
        <f t="shared" si="39"/>
        <v>04</v>
      </c>
      <c r="N641" t="s">
        <v>12</v>
      </c>
    </row>
    <row r="642" spans="1:14" x14ac:dyDescent="0.25">
      <c r="A642">
        <v>20160422</v>
      </c>
      <c r="B642" t="str">
        <f>"021527"</f>
        <v>021527</v>
      </c>
      <c r="C642" t="str">
        <f>"14177"</f>
        <v>14177</v>
      </c>
      <c r="D642" t="s">
        <v>31</v>
      </c>
      <c r="E642" s="3">
        <v>25</v>
      </c>
      <c r="F642">
        <v>20160422</v>
      </c>
      <c r="G642" t="s">
        <v>32</v>
      </c>
      <c r="H642" t="s">
        <v>217</v>
      </c>
      <c r="I642">
        <v>0</v>
      </c>
      <c r="J642" t="s">
        <v>15</v>
      </c>
      <c r="K642" t="s">
        <v>33</v>
      </c>
      <c r="L642" t="s">
        <v>17</v>
      </c>
      <c r="M642" t="str">
        <f t="shared" si="39"/>
        <v>04</v>
      </c>
      <c r="N642" t="s">
        <v>12</v>
      </c>
    </row>
    <row r="643" spans="1:14" x14ac:dyDescent="0.25">
      <c r="A643">
        <v>20160422</v>
      </c>
      <c r="B643" t="str">
        <f>"021528"</f>
        <v>021528</v>
      </c>
      <c r="C643" t="str">
        <f>"21826"</f>
        <v>21826</v>
      </c>
      <c r="D643" t="s">
        <v>82</v>
      </c>
      <c r="E643" s="3">
        <v>28.53</v>
      </c>
      <c r="F643">
        <v>20160422</v>
      </c>
      <c r="G643" t="s">
        <v>83</v>
      </c>
      <c r="H643" t="s">
        <v>217</v>
      </c>
      <c r="I643">
        <v>0</v>
      </c>
      <c r="J643" t="s">
        <v>15</v>
      </c>
      <c r="K643" t="s">
        <v>84</v>
      </c>
      <c r="L643" t="s">
        <v>17</v>
      </c>
      <c r="M643" t="str">
        <f t="shared" si="39"/>
        <v>04</v>
      </c>
      <c r="N643" t="s">
        <v>12</v>
      </c>
    </row>
    <row r="644" spans="1:14" x14ac:dyDescent="0.25">
      <c r="A644">
        <v>20160422</v>
      </c>
      <c r="B644" t="str">
        <f>"021529"</f>
        <v>021529</v>
      </c>
      <c r="C644" t="str">
        <f>"24960"</f>
        <v>24960</v>
      </c>
      <c r="D644" t="s">
        <v>39</v>
      </c>
      <c r="E644" s="3">
        <v>259.77999999999997</v>
      </c>
      <c r="F644">
        <v>20160422</v>
      </c>
      <c r="G644" t="s">
        <v>40</v>
      </c>
      <c r="H644" t="s">
        <v>218</v>
      </c>
      <c r="I644">
        <v>0</v>
      </c>
      <c r="J644" t="s">
        <v>15</v>
      </c>
      <c r="K644" t="s">
        <v>42</v>
      </c>
      <c r="L644" t="s">
        <v>17</v>
      </c>
      <c r="M644" t="str">
        <f t="shared" si="39"/>
        <v>04</v>
      </c>
      <c r="N644" t="s">
        <v>12</v>
      </c>
    </row>
    <row r="645" spans="1:14" x14ac:dyDescent="0.25">
      <c r="A645">
        <v>20160422</v>
      </c>
      <c r="B645" t="str">
        <f>"021530"</f>
        <v>021530</v>
      </c>
      <c r="C645" t="str">
        <f>"42245"</f>
        <v>42245</v>
      </c>
      <c r="D645" t="s">
        <v>43</v>
      </c>
      <c r="E645" s="3">
        <v>312.16000000000003</v>
      </c>
      <c r="F645">
        <v>20160422</v>
      </c>
      <c r="G645" t="s">
        <v>44</v>
      </c>
      <c r="H645" t="s">
        <v>216</v>
      </c>
      <c r="I645">
        <v>0</v>
      </c>
      <c r="J645" t="s">
        <v>15</v>
      </c>
      <c r="K645" t="s">
        <v>45</v>
      </c>
      <c r="L645" t="s">
        <v>17</v>
      </c>
      <c r="M645" t="str">
        <f t="shared" si="39"/>
        <v>04</v>
      </c>
      <c r="N645" t="s">
        <v>12</v>
      </c>
    </row>
    <row r="646" spans="1:14" x14ac:dyDescent="0.25">
      <c r="A646">
        <v>20160422</v>
      </c>
      <c r="B646" t="str">
        <f>"021531"</f>
        <v>021531</v>
      </c>
      <c r="C646" t="str">
        <f>"48947"</f>
        <v>48947</v>
      </c>
      <c r="D646" t="s">
        <v>46</v>
      </c>
      <c r="E646" s="3">
        <v>25.38</v>
      </c>
      <c r="F646">
        <v>20160422</v>
      </c>
      <c r="G646" t="s">
        <v>47</v>
      </c>
      <c r="H646" t="s">
        <v>218</v>
      </c>
      <c r="I646">
        <v>0</v>
      </c>
      <c r="J646" t="s">
        <v>15</v>
      </c>
      <c r="K646" t="s">
        <v>48</v>
      </c>
      <c r="L646" t="s">
        <v>17</v>
      </c>
      <c r="M646" t="str">
        <f t="shared" si="39"/>
        <v>04</v>
      </c>
      <c r="N646" t="s">
        <v>12</v>
      </c>
    </row>
    <row r="647" spans="1:14" x14ac:dyDescent="0.25">
      <c r="A647">
        <v>20160422</v>
      </c>
      <c r="B647" t="str">
        <f>"021532"</f>
        <v>021532</v>
      </c>
      <c r="C647" t="str">
        <f>"54196"</f>
        <v>54196</v>
      </c>
      <c r="D647" t="s">
        <v>49</v>
      </c>
      <c r="E647" s="3">
        <v>50</v>
      </c>
      <c r="F647">
        <v>20160422</v>
      </c>
      <c r="G647" t="s">
        <v>50</v>
      </c>
      <c r="H647" t="s">
        <v>219</v>
      </c>
      <c r="I647">
        <v>0</v>
      </c>
      <c r="J647" t="s">
        <v>15</v>
      </c>
      <c r="K647" t="s">
        <v>52</v>
      </c>
      <c r="L647" t="s">
        <v>17</v>
      </c>
      <c r="M647" t="str">
        <f t="shared" si="39"/>
        <v>04</v>
      </c>
      <c r="N647" t="s">
        <v>12</v>
      </c>
    </row>
    <row r="648" spans="1:14" x14ac:dyDescent="0.25">
      <c r="A648">
        <v>20160422</v>
      </c>
      <c r="B648" t="str">
        <f>"021533"</f>
        <v>021533</v>
      </c>
      <c r="C648" t="str">
        <f>"72601"</f>
        <v>72601</v>
      </c>
      <c r="D648" t="s">
        <v>53</v>
      </c>
      <c r="E648" s="3">
        <v>269.02</v>
      </c>
      <c r="F648">
        <v>20160422</v>
      </c>
      <c r="G648" t="s">
        <v>54</v>
      </c>
      <c r="H648" t="s">
        <v>217</v>
      </c>
      <c r="I648">
        <v>0</v>
      </c>
      <c r="J648" t="s">
        <v>15</v>
      </c>
      <c r="K648" t="s">
        <v>55</v>
      </c>
      <c r="L648" t="s">
        <v>17</v>
      </c>
      <c r="M648" t="str">
        <f t="shared" si="39"/>
        <v>04</v>
      </c>
      <c r="N648" t="s">
        <v>12</v>
      </c>
    </row>
    <row r="649" spans="1:14" x14ac:dyDescent="0.25">
      <c r="A649">
        <v>20160422</v>
      </c>
      <c r="B649" t="str">
        <f>"021534"</f>
        <v>021534</v>
      </c>
      <c r="C649" t="str">
        <f>"75452"</f>
        <v>75452</v>
      </c>
      <c r="D649" t="s">
        <v>56</v>
      </c>
      <c r="E649" s="3">
        <v>350.84</v>
      </c>
      <c r="F649">
        <v>20160422</v>
      </c>
      <c r="G649" t="s">
        <v>57</v>
      </c>
      <c r="H649" t="s">
        <v>216</v>
      </c>
      <c r="I649">
        <v>0</v>
      </c>
      <c r="J649" t="s">
        <v>15</v>
      </c>
      <c r="K649" t="s">
        <v>58</v>
      </c>
      <c r="L649" t="s">
        <v>17</v>
      </c>
      <c r="M649" t="str">
        <f t="shared" si="39"/>
        <v>04</v>
      </c>
      <c r="N649" t="s">
        <v>12</v>
      </c>
    </row>
    <row r="650" spans="1:14" x14ac:dyDescent="0.25">
      <c r="A650">
        <v>20160422</v>
      </c>
      <c r="B650" t="str">
        <f>"021535"</f>
        <v>021535</v>
      </c>
      <c r="C650" t="str">
        <f>"81173"</f>
        <v>81173</v>
      </c>
      <c r="D650" t="s">
        <v>59</v>
      </c>
      <c r="E650" s="3">
        <v>25</v>
      </c>
      <c r="F650">
        <v>20160422</v>
      </c>
      <c r="G650" t="s">
        <v>60</v>
      </c>
      <c r="H650" t="s">
        <v>217</v>
      </c>
      <c r="I650">
        <v>0</v>
      </c>
      <c r="J650" t="s">
        <v>15</v>
      </c>
      <c r="K650" t="s">
        <v>61</v>
      </c>
      <c r="L650" t="s">
        <v>17</v>
      </c>
      <c r="M650" t="str">
        <f t="shared" si="39"/>
        <v>04</v>
      </c>
      <c r="N650" t="s">
        <v>12</v>
      </c>
    </row>
    <row r="651" spans="1:14" x14ac:dyDescent="0.25">
      <c r="A651">
        <v>20160422</v>
      </c>
      <c r="B651" t="str">
        <f>"021536"</f>
        <v>021536</v>
      </c>
      <c r="C651" t="str">
        <f>"81174"</f>
        <v>81174</v>
      </c>
      <c r="D651" t="s">
        <v>62</v>
      </c>
      <c r="E651" s="3">
        <v>60</v>
      </c>
      <c r="F651">
        <v>20160422</v>
      </c>
      <c r="G651" t="s">
        <v>63</v>
      </c>
      <c r="H651" t="s">
        <v>217</v>
      </c>
      <c r="I651">
        <v>0</v>
      </c>
      <c r="J651" t="s">
        <v>15</v>
      </c>
      <c r="K651" t="s">
        <v>64</v>
      </c>
      <c r="L651" t="s">
        <v>17</v>
      </c>
      <c r="M651" t="str">
        <f t="shared" si="39"/>
        <v>04</v>
      </c>
      <c r="N651" t="s">
        <v>12</v>
      </c>
    </row>
    <row r="652" spans="1:14" x14ac:dyDescent="0.25">
      <c r="A652">
        <v>20160422</v>
      </c>
      <c r="B652" t="str">
        <f>"021537"</f>
        <v>021537</v>
      </c>
      <c r="C652" t="str">
        <f>"81177"</f>
        <v>81177</v>
      </c>
      <c r="D652" t="s">
        <v>65</v>
      </c>
      <c r="E652" s="3">
        <v>50.19</v>
      </c>
      <c r="F652">
        <v>20160422</v>
      </c>
      <c r="G652" t="s">
        <v>66</v>
      </c>
      <c r="H652" t="s">
        <v>217</v>
      </c>
      <c r="I652">
        <v>0</v>
      </c>
      <c r="J652" t="s">
        <v>15</v>
      </c>
      <c r="K652" t="s">
        <v>67</v>
      </c>
      <c r="L652" t="s">
        <v>17</v>
      </c>
      <c r="M652" t="str">
        <f t="shared" si="39"/>
        <v>04</v>
      </c>
      <c r="N652" t="s">
        <v>12</v>
      </c>
    </row>
    <row r="653" spans="1:14" x14ac:dyDescent="0.25">
      <c r="A653">
        <v>20160506</v>
      </c>
      <c r="B653" t="str">
        <f>"021566"</f>
        <v>021566</v>
      </c>
      <c r="C653" t="str">
        <f>"04831"</f>
        <v>04831</v>
      </c>
      <c r="D653" t="s">
        <v>11</v>
      </c>
      <c r="E653" s="3">
        <v>56.1</v>
      </c>
      <c r="F653">
        <v>20160506</v>
      </c>
      <c r="G653" t="s">
        <v>13</v>
      </c>
      <c r="H653" t="s">
        <v>224</v>
      </c>
      <c r="I653">
        <v>0</v>
      </c>
      <c r="J653" t="s">
        <v>15</v>
      </c>
      <c r="K653" t="s">
        <v>16</v>
      </c>
      <c r="L653" t="s">
        <v>17</v>
      </c>
      <c r="M653" t="str">
        <f t="shared" ref="M653:M684" si="40">"05"</f>
        <v>05</v>
      </c>
      <c r="N653" t="s">
        <v>12</v>
      </c>
    </row>
    <row r="654" spans="1:14" x14ac:dyDescent="0.25">
      <c r="A654">
        <v>20160506</v>
      </c>
      <c r="B654" t="str">
        <f>"021567"</f>
        <v>021567</v>
      </c>
      <c r="C654" t="str">
        <f>"04905"</f>
        <v>04905</v>
      </c>
      <c r="D654" t="s">
        <v>18</v>
      </c>
      <c r="E654" s="3">
        <v>18.329999999999998</v>
      </c>
      <c r="F654">
        <v>20160506</v>
      </c>
      <c r="G654" t="s">
        <v>19</v>
      </c>
      <c r="H654" t="s">
        <v>225</v>
      </c>
      <c r="I654">
        <v>0</v>
      </c>
      <c r="J654" t="s">
        <v>15</v>
      </c>
      <c r="K654" t="s">
        <v>21</v>
      </c>
      <c r="L654" t="s">
        <v>17</v>
      </c>
      <c r="M654" t="str">
        <f t="shared" si="40"/>
        <v>05</v>
      </c>
      <c r="N654" t="s">
        <v>12</v>
      </c>
    </row>
    <row r="655" spans="1:14" x14ac:dyDescent="0.25">
      <c r="A655">
        <v>20160506</v>
      </c>
      <c r="B655" t="str">
        <f>"021568"</f>
        <v>021568</v>
      </c>
      <c r="C655" t="str">
        <f>"04987"</f>
        <v>04987</v>
      </c>
      <c r="D655" t="s">
        <v>144</v>
      </c>
      <c r="E655" s="3">
        <v>27.74</v>
      </c>
      <c r="F655">
        <v>20160506</v>
      </c>
      <c r="G655" t="s">
        <v>35</v>
      </c>
      <c r="H655" t="s">
        <v>224</v>
      </c>
      <c r="I655">
        <v>0</v>
      </c>
      <c r="J655" t="s">
        <v>15</v>
      </c>
      <c r="K655" t="s">
        <v>36</v>
      </c>
      <c r="L655" t="s">
        <v>17</v>
      </c>
      <c r="M655" t="str">
        <f t="shared" si="40"/>
        <v>05</v>
      </c>
      <c r="N655" t="s">
        <v>12</v>
      </c>
    </row>
    <row r="656" spans="1:14" x14ac:dyDescent="0.25">
      <c r="A656">
        <v>20160506</v>
      </c>
      <c r="B656" t="str">
        <f>"021569"</f>
        <v>021569</v>
      </c>
      <c r="C656" t="str">
        <f>"07880"</f>
        <v>07880</v>
      </c>
      <c r="D656" t="s">
        <v>25</v>
      </c>
      <c r="E656" s="3">
        <v>158.41999999999999</v>
      </c>
      <c r="F656">
        <v>20160506</v>
      </c>
      <c r="G656" t="s">
        <v>26</v>
      </c>
      <c r="H656" t="s">
        <v>225</v>
      </c>
      <c r="I656">
        <v>0</v>
      </c>
      <c r="J656" t="s">
        <v>15</v>
      </c>
      <c r="K656" t="s">
        <v>27</v>
      </c>
      <c r="L656" t="s">
        <v>17</v>
      </c>
      <c r="M656" t="str">
        <f t="shared" si="40"/>
        <v>05</v>
      </c>
      <c r="N656" t="s">
        <v>12</v>
      </c>
    </row>
    <row r="657" spans="1:14" x14ac:dyDescent="0.25">
      <c r="A657">
        <v>20160506</v>
      </c>
      <c r="B657" t="str">
        <f>"021570"</f>
        <v>021570</v>
      </c>
      <c r="C657" t="str">
        <f>"11211"</f>
        <v>11211</v>
      </c>
      <c r="D657" t="s">
        <v>28</v>
      </c>
      <c r="E657" s="3">
        <v>136.28</v>
      </c>
      <c r="F657">
        <v>20160506</v>
      </c>
      <c r="G657" t="s">
        <v>29</v>
      </c>
      <c r="H657" t="s">
        <v>224</v>
      </c>
      <c r="I657">
        <v>0</v>
      </c>
      <c r="J657" t="s">
        <v>15</v>
      </c>
      <c r="K657" t="s">
        <v>30</v>
      </c>
      <c r="L657" t="s">
        <v>17</v>
      </c>
      <c r="M657" t="str">
        <f t="shared" si="40"/>
        <v>05</v>
      </c>
      <c r="N657" t="s">
        <v>12</v>
      </c>
    </row>
    <row r="658" spans="1:14" x14ac:dyDescent="0.25">
      <c r="A658">
        <v>20160506</v>
      </c>
      <c r="B658" t="str">
        <f>"021571"</f>
        <v>021571</v>
      </c>
      <c r="C658" t="str">
        <f>"14177"</f>
        <v>14177</v>
      </c>
      <c r="D658" t="s">
        <v>31</v>
      </c>
      <c r="E658" s="3">
        <v>25</v>
      </c>
      <c r="F658">
        <v>20160506</v>
      </c>
      <c r="G658" t="s">
        <v>32</v>
      </c>
      <c r="H658" t="s">
        <v>225</v>
      </c>
      <c r="I658">
        <v>0</v>
      </c>
      <c r="J658" t="s">
        <v>15</v>
      </c>
      <c r="K658" t="s">
        <v>33</v>
      </c>
      <c r="L658" t="s">
        <v>17</v>
      </c>
      <c r="M658" t="str">
        <f t="shared" si="40"/>
        <v>05</v>
      </c>
      <c r="N658" t="s">
        <v>12</v>
      </c>
    </row>
    <row r="659" spans="1:14" x14ac:dyDescent="0.25">
      <c r="A659">
        <v>20160506</v>
      </c>
      <c r="B659" t="str">
        <f>"021572"</f>
        <v>021572</v>
      </c>
      <c r="C659" t="str">
        <f>"21826"</f>
        <v>21826</v>
      </c>
      <c r="D659" t="s">
        <v>82</v>
      </c>
      <c r="E659" s="3">
        <v>28.53</v>
      </c>
      <c r="F659">
        <v>20160506</v>
      </c>
      <c r="G659" t="s">
        <v>83</v>
      </c>
      <c r="H659" t="s">
        <v>225</v>
      </c>
      <c r="I659">
        <v>0</v>
      </c>
      <c r="J659" t="s">
        <v>15</v>
      </c>
      <c r="K659" t="s">
        <v>84</v>
      </c>
      <c r="L659" t="s">
        <v>17</v>
      </c>
      <c r="M659" t="str">
        <f t="shared" si="40"/>
        <v>05</v>
      </c>
      <c r="N659" t="s">
        <v>12</v>
      </c>
    </row>
    <row r="660" spans="1:14" x14ac:dyDescent="0.25">
      <c r="A660">
        <v>20160506</v>
      </c>
      <c r="B660" t="str">
        <f>"021573"</f>
        <v>021573</v>
      </c>
      <c r="C660" t="str">
        <f>"24960"</f>
        <v>24960</v>
      </c>
      <c r="D660" t="s">
        <v>39</v>
      </c>
      <c r="E660" s="3">
        <v>259.77999999999997</v>
      </c>
      <c r="F660">
        <v>20160506</v>
      </c>
      <c r="G660" t="s">
        <v>40</v>
      </c>
      <c r="H660" t="s">
        <v>226</v>
      </c>
      <c r="I660">
        <v>0</v>
      </c>
      <c r="J660" t="s">
        <v>15</v>
      </c>
      <c r="K660" t="s">
        <v>42</v>
      </c>
      <c r="L660" t="s">
        <v>17</v>
      </c>
      <c r="M660" t="str">
        <f t="shared" si="40"/>
        <v>05</v>
      </c>
      <c r="N660" t="s">
        <v>12</v>
      </c>
    </row>
    <row r="661" spans="1:14" x14ac:dyDescent="0.25">
      <c r="A661">
        <v>20160506</v>
      </c>
      <c r="B661" t="str">
        <f>"021574"</f>
        <v>021574</v>
      </c>
      <c r="C661" t="str">
        <f>"42245"</f>
        <v>42245</v>
      </c>
      <c r="D661" t="s">
        <v>43</v>
      </c>
      <c r="E661" s="3">
        <v>312.16000000000003</v>
      </c>
      <c r="F661">
        <v>20160506</v>
      </c>
      <c r="G661" t="s">
        <v>44</v>
      </c>
      <c r="H661" t="s">
        <v>224</v>
      </c>
      <c r="I661">
        <v>0</v>
      </c>
      <c r="J661" t="s">
        <v>15</v>
      </c>
      <c r="K661" t="s">
        <v>45</v>
      </c>
      <c r="L661" t="s">
        <v>17</v>
      </c>
      <c r="M661" t="str">
        <f t="shared" si="40"/>
        <v>05</v>
      </c>
      <c r="N661" t="s">
        <v>12</v>
      </c>
    </row>
    <row r="662" spans="1:14" x14ac:dyDescent="0.25">
      <c r="A662">
        <v>20160506</v>
      </c>
      <c r="B662" t="str">
        <f>"021575"</f>
        <v>021575</v>
      </c>
      <c r="C662" t="str">
        <f>"48947"</f>
        <v>48947</v>
      </c>
      <c r="D662" t="s">
        <v>46</v>
      </c>
      <c r="E662" s="3">
        <v>25.38</v>
      </c>
      <c r="F662">
        <v>20160506</v>
      </c>
      <c r="G662" t="s">
        <v>47</v>
      </c>
      <c r="H662" t="s">
        <v>226</v>
      </c>
      <c r="I662">
        <v>0</v>
      </c>
      <c r="J662" t="s">
        <v>15</v>
      </c>
      <c r="K662" t="s">
        <v>48</v>
      </c>
      <c r="L662" t="s">
        <v>17</v>
      </c>
      <c r="M662" t="str">
        <f t="shared" si="40"/>
        <v>05</v>
      </c>
      <c r="N662" t="s">
        <v>12</v>
      </c>
    </row>
    <row r="663" spans="1:14" x14ac:dyDescent="0.25">
      <c r="A663">
        <v>20160506</v>
      </c>
      <c r="B663" t="str">
        <f>"021576"</f>
        <v>021576</v>
      </c>
      <c r="C663" t="str">
        <f>"54196"</f>
        <v>54196</v>
      </c>
      <c r="D663" t="s">
        <v>49</v>
      </c>
      <c r="E663" s="3">
        <v>50</v>
      </c>
      <c r="F663">
        <v>20160506</v>
      </c>
      <c r="G663" t="s">
        <v>50</v>
      </c>
      <c r="H663" t="s">
        <v>227</v>
      </c>
      <c r="I663">
        <v>0</v>
      </c>
      <c r="J663" t="s">
        <v>15</v>
      </c>
      <c r="K663" t="s">
        <v>52</v>
      </c>
      <c r="L663" t="s">
        <v>17</v>
      </c>
      <c r="M663" t="str">
        <f t="shared" si="40"/>
        <v>05</v>
      </c>
      <c r="N663" t="s">
        <v>12</v>
      </c>
    </row>
    <row r="664" spans="1:14" x14ac:dyDescent="0.25">
      <c r="A664">
        <v>20160506</v>
      </c>
      <c r="B664" t="str">
        <f>"021577"</f>
        <v>021577</v>
      </c>
      <c r="C664" t="str">
        <f>"72601"</f>
        <v>72601</v>
      </c>
      <c r="D664" t="s">
        <v>53</v>
      </c>
      <c r="E664" s="3">
        <v>269.02</v>
      </c>
      <c r="F664">
        <v>20160506</v>
      </c>
      <c r="G664" t="s">
        <v>54</v>
      </c>
      <c r="H664" t="s">
        <v>225</v>
      </c>
      <c r="I664">
        <v>0</v>
      </c>
      <c r="J664" t="s">
        <v>15</v>
      </c>
      <c r="K664" t="s">
        <v>55</v>
      </c>
      <c r="L664" t="s">
        <v>17</v>
      </c>
      <c r="M664" t="str">
        <f t="shared" si="40"/>
        <v>05</v>
      </c>
      <c r="N664" t="s">
        <v>12</v>
      </c>
    </row>
    <row r="665" spans="1:14" x14ac:dyDescent="0.25">
      <c r="A665">
        <v>20160506</v>
      </c>
      <c r="B665" t="str">
        <f>"021578"</f>
        <v>021578</v>
      </c>
      <c r="C665" t="str">
        <f>"75452"</f>
        <v>75452</v>
      </c>
      <c r="D665" t="s">
        <v>56</v>
      </c>
      <c r="E665" s="3">
        <v>350.84</v>
      </c>
      <c r="F665">
        <v>20160506</v>
      </c>
      <c r="G665" t="s">
        <v>57</v>
      </c>
      <c r="H665" t="s">
        <v>224</v>
      </c>
      <c r="I665">
        <v>0</v>
      </c>
      <c r="J665" t="s">
        <v>15</v>
      </c>
      <c r="K665" t="s">
        <v>58</v>
      </c>
      <c r="L665" t="s">
        <v>17</v>
      </c>
      <c r="M665" t="str">
        <f t="shared" si="40"/>
        <v>05</v>
      </c>
      <c r="N665" t="s">
        <v>12</v>
      </c>
    </row>
    <row r="666" spans="1:14" x14ac:dyDescent="0.25">
      <c r="A666">
        <v>20160506</v>
      </c>
      <c r="B666" t="str">
        <f>"021579"</f>
        <v>021579</v>
      </c>
      <c r="C666" t="str">
        <f>"81173"</f>
        <v>81173</v>
      </c>
      <c r="D666" t="s">
        <v>59</v>
      </c>
      <c r="E666" s="3">
        <v>25</v>
      </c>
      <c r="F666">
        <v>20160506</v>
      </c>
      <c r="G666" t="s">
        <v>60</v>
      </c>
      <c r="H666" t="s">
        <v>225</v>
      </c>
      <c r="I666">
        <v>0</v>
      </c>
      <c r="J666" t="s">
        <v>15</v>
      </c>
      <c r="K666" t="s">
        <v>61</v>
      </c>
      <c r="L666" t="s">
        <v>17</v>
      </c>
      <c r="M666" t="str">
        <f t="shared" si="40"/>
        <v>05</v>
      </c>
      <c r="N666" t="s">
        <v>12</v>
      </c>
    </row>
    <row r="667" spans="1:14" x14ac:dyDescent="0.25">
      <c r="A667">
        <v>20160506</v>
      </c>
      <c r="B667" t="str">
        <f>"021580"</f>
        <v>021580</v>
      </c>
      <c r="C667" t="str">
        <f>"81174"</f>
        <v>81174</v>
      </c>
      <c r="D667" t="s">
        <v>62</v>
      </c>
      <c r="E667" s="3">
        <v>60</v>
      </c>
      <c r="F667">
        <v>20160506</v>
      </c>
      <c r="G667" t="s">
        <v>63</v>
      </c>
      <c r="H667" t="s">
        <v>225</v>
      </c>
      <c r="I667">
        <v>0</v>
      </c>
      <c r="J667" t="s">
        <v>15</v>
      </c>
      <c r="K667" t="s">
        <v>64</v>
      </c>
      <c r="L667" t="s">
        <v>17</v>
      </c>
      <c r="M667" t="str">
        <f t="shared" si="40"/>
        <v>05</v>
      </c>
      <c r="N667" t="s">
        <v>12</v>
      </c>
    </row>
    <row r="668" spans="1:14" x14ac:dyDescent="0.25">
      <c r="A668">
        <v>20160506</v>
      </c>
      <c r="B668" t="str">
        <f>"021581"</f>
        <v>021581</v>
      </c>
      <c r="C668" t="str">
        <f>"81177"</f>
        <v>81177</v>
      </c>
      <c r="D668" t="s">
        <v>65</v>
      </c>
      <c r="E668" s="3">
        <v>16.73</v>
      </c>
      <c r="F668">
        <v>20160506</v>
      </c>
      <c r="G668" t="s">
        <v>66</v>
      </c>
      <c r="H668" t="s">
        <v>225</v>
      </c>
      <c r="I668">
        <v>0</v>
      </c>
      <c r="J668" t="s">
        <v>15</v>
      </c>
      <c r="K668" t="s">
        <v>67</v>
      </c>
      <c r="L668" t="s">
        <v>17</v>
      </c>
      <c r="M668" t="str">
        <f t="shared" si="40"/>
        <v>05</v>
      </c>
      <c r="N668" t="s">
        <v>12</v>
      </c>
    </row>
    <row r="669" spans="1:14" x14ac:dyDescent="0.25">
      <c r="A669">
        <v>20160513</v>
      </c>
      <c r="B669" t="str">
        <f>"021585"</f>
        <v>021585</v>
      </c>
      <c r="C669" t="str">
        <f>"04831"</f>
        <v>04831</v>
      </c>
      <c r="D669" t="s">
        <v>11</v>
      </c>
      <c r="E669" s="3">
        <v>1203.9100000000001</v>
      </c>
      <c r="F669">
        <v>20160513</v>
      </c>
      <c r="G669" t="s">
        <v>13</v>
      </c>
      <c r="H669" t="s">
        <v>224</v>
      </c>
      <c r="I669">
        <v>0</v>
      </c>
      <c r="J669" t="s">
        <v>15</v>
      </c>
      <c r="K669" t="s">
        <v>16</v>
      </c>
      <c r="L669" t="s">
        <v>17</v>
      </c>
      <c r="M669" t="str">
        <f t="shared" si="40"/>
        <v>05</v>
      </c>
      <c r="N669" t="s">
        <v>12</v>
      </c>
    </row>
    <row r="670" spans="1:14" x14ac:dyDescent="0.25">
      <c r="A670">
        <v>20160513</v>
      </c>
      <c r="B670" t="str">
        <f>"021586"</f>
        <v>021586</v>
      </c>
      <c r="C670" t="str">
        <f>"04905"</f>
        <v>04905</v>
      </c>
      <c r="D670" t="s">
        <v>18</v>
      </c>
      <c r="E670" s="3">
        <v>2698.95</v>
      </c>
      <c r="F670">
        <v>20160513</v>
      </c>
      <c r="G670" t="s">
        <v>19</v>
      </c>
      <c r="H670" t="s">
        <v>225</v>
      </c>
      <c r="I670">
        <v>0</v>
      </c>
      <c r="J670" t="s">
        <v>15</v>
      </c>
      <c r="K670" t="s">
        <v>21</v>
      </c>
      <c r="L670" t="s">
        <v>17</v>
      </c>
      <c r="M670" t="str">
        <f t="shared" si="40"/>
        <v>05</v>
      </c>
      <c r="N670" t="s">
        <v>12</v>
      </c>
    </row>
    <row r="671" spans="1:14" x14ac:dyDescent="0.25">
      <c r="A671">
        <v>20160513</v>
      </c>
      <c r="B671" t="str">
        <f>"021587"</f>
        <v>021587</v>
      </c>
      <c r="C671" t="str">
        <f>"04987"</f>
        <v>04987</v>
      </c>
      <c r="D671" t="s">
        <v>144</v>
      </c>
      <c r="E671" s="3">
        <v>488.36</v>
      </c>
      <c r="F671">
        <v>20160513</v>
      </c>
      <c r="G671" t="s">
        <v>35</v>
      </c>
      <c r="H671" t="s">
        <v>224</v>
      </c>
      <c r="I671">
        <v>0</v>
      </c>
      <c r="J671" t="s">
        <v>15</v>
      </c>
      <c r="K671" t="s">
        <v>36</v>
      </c>
      <c r="L671" t="s">
        <v>17</v>
      </c>
      <c r="M671" t="str">
        <f t="shared" si="40"/>
        <v>05</v>
      </c>
      <c r="N671" t="s">
        <v>12</v>
      </c>
    </row>
    <row r="672" spans="1:14" x14ac:dyDescent="0.25">
      <c r="A672">
        <v>20160513</v>
      </c>
      <c r="B672" t="str">
        <f>"021588"</f>
        <v>021588</v>
      </c>
      <c r="C672" t="str">
        <f>"07710"</f>
        <v>07710</v>
      </c>
      <c r="D672" t="s">
        <v>22</v>
      </c>
      <c r="E672" s="3">
        <v>303.25</v>
      </c>
      <c r="F672">
        <v>20160513</v>
      </c>
      <c r="G672" t="s">
        <v>23</v>
      </c>
      <c r="H672" t="s">
        <v>225</v>
      </c>
      <c r="I672">
        <v>0</v>
      </c>
      <c r="J672" t="s">
        <v>15</v>
      </c>
      <c r="K672" t="s">
        <v>24</v>
      </c>
      <c r="L672" t="s">
        <v>17</v>
      </c>
      <c r="M672" t="str">
        <f t="shared" si="40"/>
        <v>05</v>
      </c>
      <c r="N672" t="s">
        <v>12</v>
      </c>
    </row>
    <row r="673" spans="1:14" x14ac:dyDescent="0.25">
      <c r="A673">
        <v>20160513</v>
      </c>
      <c r="B673" t="str">
        <f>"021589"</f>
        <v>021589</v>
      </c>
      <c r="C673" t="str">
        <f>"07880"</f>
        <v>07880</v>
      </c>
      <c r="D673" t="s">
        <v>25</v>
      </c>
      <c r="E673" s="3">
        <v>4181.3999999999996</v>
      </c>
      <c r="F673">
        <v>20160513</v>
      </c>
      <c r="G673" t="s">
        <v>26</v>
      </c>
      <c r="H673" t="s">
        <v>225</v>
      </c>
      <c r="I673">
        <v>0</v>
      </c>
      <c r="J673" t="s">
        <v>15</v>
      </c>
      <c r="K673" t="s">
        <v>27</v>
      </c>
      <c r="L673" t="s">
        <v>17</v>
      </c>
      <c r="M673" t="str">
        <f t="shared" si="40"/>
        <v>05</v>
      </c>
      <c r="N673" t="s">
        <v>12</v>
      </c>
    </row>
    <row r="674" spans="1:14" x14ac:dyDescent="0.25">
      <c r="A674">
        <v>20160513</v>
      </c>
      <c r="B674" t="str">
        <f>"021590"</f>
        <v>021590</v>
      </c>
      <c r="C674" t="str">
        <f>"10095"</f>
        <v>10095</v>
      </c>
      <c r="D674" t="s">
        <v>70</v>
      </c>
      <c r="E674" s="3">
        <v>418.87</v>
      </c>
      <c r="F674">
        <v>20160513</v>
      </c>
      <c r="G674" t="s">
        <v>71</v>
      </c>
      <c r="H674" t="s">
        <v>225</v>
      </c>
      <c r="I674">
        <v>0</v>
      </c>
      <c r="J674" t="s">
        <v>15</v>
      </c>
      <c r="K674" t="s">
        <v>72</v>
      </c>
      <c r="L674" t="s">
        <v>17</v>
      </c>
      <c r="M674" t="str">
        <f t="shared" si="40"/>
        <v>05</v>
      </c>
      <c r="N674" t="s">
        <v>12</v>
      </c>
    </row>
    <row r="675" spans="1:14" x14ac:dyDescent="0.25">
      <c r="A675">
        <v>20160513</v>
      </c>
      <c r="B675" t="str">
        <f>"021591"</f>
        <v>021591</v>
      </c>
      <c r="C675" t="str">
        <f>"11211"</f>
        <v>11211</v>
      </c>
      <c r="D675" t="s">
        <v>28</v>
      </c>
      <c r="E675" s="3">
        <v>2316.09</v>
      </c>
      <c r="F675">
        <v>20160513</v>
      </c>
      <c r="G675" t="s">
        <v>29</v>
      </c>
      <c r="H675" t="s">
        <v>224</v>
      </c>
      <c r="I675">
        <v>0</v>
      </c>
      <c r="J675" t="s">
        <v>15</v>
      </c>
      <c r="K675" t="s">
        <v>30</v>
      </c>
      <c r="L675" t="s">
        <v>17</v>
      </c>
      <c r="M675" t="str">
        <f t="shared" si="40"/>
        <v>05</v>
      </c>
      <c r="N675" t="s">
        <v>12</v>
      </c>
    </row>
    <row r="676" spans="1:14" x14ac:dyDescent="0.25">
      <c r="A676">
        <v>20160513</v>
      </c>
      <c r="B676" t="str">
        <f>"021592"</f>
        <v>021592</v>
      </c>
      <c r="C676" t="str">
        <f>"14177"</f>
        <v>14177</v>
      </c>
      <c r="D676" t="s">
        <v>31</v>
      </c>
      <c r="E676" s="3">
        <v>50</v>
      </c>
      <c r="F676">
        <v>20160513</v>
      </c>
      <c r="G676" t="s">
        <v>32</v>
      </c>
      <c r="H676" t="s">
        <v>225</v>
      </c>
      <c r="I676">
        <v>0</v>
      </c>
      <c r="J676" t="s">
        <v>15</v>
      </c>
      <c r="K676" t="s">
        <v>33</v>
      </c>
      <c r="L676" t="s">
        <v>17</v>
      </c>
      <c r="M676" t="str">
        <f t="shared" si="40"/>
        <v>05</v>
      </c>
      <c r="N676" t="s">
        <v>12</v>
      </c>
    </row>
    <row r="677" spans="1:14" x14ac:dyDescent="0.25">
      <c r="A677">
        <v>20160513</v>
      </c>
      <c r="B677" t="str">
        <f>"021593"</f>
        <v>021593</v>
      </c>
      <c r="C677" t="str">
        <f>"19103"</f>
        <v>19103</v>
      </c>
      <c r="D677" t="s">
        <v>73</v>
      </c>
      <c r="E677" s="3">
        <v>225</v>
      </c>
      <c r="F677">
        <v>20160513</v>
      </c>
      <c r="G677" t="s">
        <v>74</v>
      </c>
      <c r="H677" t="s">
        <v>225</v>
      </c>
      <c r="I677">
        <v>0</v>
      </c>
      <c r="J677" t="s">
        <v>15</v>
      </c>
      <c r="K677" t="s">
        <v>75</v>
      </c>
      <c r="L677" t="s">
        <v>17</v>
      </c>
      <c r="M677" t="str">
        <f t="shared" si="40"/>
        <v>05</v>
      </c>
      <c r="N677" t="s">
        <v>12</v>
      </c>
    </row>
    <row r="678" spans="1:14" x14ac:dyDescent="0.25">
      <c r="A678">
        <v>20160513</v>
      </c>
      <c r="B678" t="str">
        <f>"021593"</f>
        <v>021593</v>
      </c>
      <c r="C678" t="str">
        <f>"19103"</f>
        <v>19103</v>
      </c>
      <c r="D678" t="s">
        <v>73</v>
      </c>
      <c r="E678" s="3">
        <v>-225</v>
      </c>
      <c r="F678">
        <v>20160526</v>
      </c>
      <c r="G678" t="s">
        <v>74</v>
      </c>
      <c r="H678" t="s">
        <v>228</v>
      </c>
      <c r="I678">
        <v>0</v>
      </c>
      <c r="J678" t="s">
        <v>15</v>
      </c>
      <c r="K678" t="s">
        <v>75</v>
      </c>
      <c r="L678" t="s">
        <v>17</v>
      </c>
      <c r="M678" t="str">
        <f t="shared" si="40"/>
        <v>05</v>
      </c>
      <c r="N678" t="s">
        <v>12</v>
      </c>
    </row>
    <row r="679" spans="1:14" x14ac:dyDescent="0.25">
      <c r="A679">
        <v>20160513</v>
      </c>
      <c r="B679" t="str">
        <f>"021594"</f>
        <v>021594</v>
      </c>
      <c r="C679" t="str">
        <f>"20682"</f>
        <v>20682</v>
      </c>
      <c r="D679" t="s">
        <v>76</v>
      </c>
      <c r="E679" s="3">
        <v>4120</v>
      </c>
      <c r="F679">
        <v>20160513</v>
      </c>
      <c r="G679" t="s">
        <v>77</v>
      </c>
      <c r="H679" t="s">
        <v>225</v>
      </c>
      <c r="I679">
        <v>0</v>
      </c>
      <c r="J679" t="s">
        <v>15</v>
      </c>
      <c r="K679" t="s">
        <v>78</v>
      </c>
      <c r="L679" t="s">
        <v>17</v>
      </c>
      <c r="M679" t="str">
        <f t="shared" si="40"/>
        <v>05</v>
      </c>
      <c r="N679" t="s">
        <v>12</v>
      </c>
    </row>
    <row r="680" spans="1:14" x14ac:dyDescent="0.25">
      <c r="A680">
        <v>20160513</v>
      </c>
      <c r="B680" t="str">
        <f>"021595"</f>
        <v>021595</v>
      </c>
      <c r="C680" t="str">
        <f>"21504"</f>
        <v>21504</v>
      </c>
      <c r="D680" t="s">
        <v>79</v>
      </c>
      <c r="E680" s="3">
        <v>36.6</v>
      </c>
      <c r="F680">
        <v>20160513</v>
      </c>
      <c r="G680" t="s">
        <v>80</v>
      </c>
      <c r="H680" t="s">
        <v>224</v>
      </c>
      <c r="I680">
        <v>0</v>
      </c>
      <c r="J680" t="s">
        <v>15</v>
      </c>
      <c r="K680" t="s">
        <v>81</v>
      </c>
      <c r="L680" t="s">
        <v>17</v>
      </c>
      <c r="M680" t="str">
        <f t="shared" si="40"/>
        <v>05</v>
      </c>
      <c r="N680" t="s">
        <v>12</v>
      </c>
    </row>
    <row r="681" spans="1:14" x14ac:dyDescent="0.25">
      <c r="A681">
        <v>20160513</v>
      </c>
      <c r="B681" t="str">
        <f>"021596"</f>
        <v>021596</v>
      </c>
      <c r="C681" t="str">
        <f>"21506"</f>
        <v>21506</v>
      </c>
      <c r="D681" t="s">
        <v>34</v>
      </c>
      <c r="E681" s="3">
        <v>332.75</v>
      </c>
      <c r="F681">
        <v>20160513</v>
      </c>
      <c r="G681" t="s">
        <v>37</v>
      </c>
      <c r="H681" t="s">
        <v>224</v>
      </c>
      <c r="I681">
        <v>0</v>
      </c>
      <c r="J681" t="s">
        <v>15</v>
      </c>
      <c r="K681" t="s">
        <v>38</v>
      </c>
      <c r="L681" t="s">
        <v>17</v>
      </c>
      <c r="M681" t="str">
        <f t="shared" si="40"/>
        <v>05</v>
      </c>
      <c r="N681" t="s">
        <v>12</v>
      </c>
    </row>
    <row r="682" spans="1:14" x14ac:dyDescent="0.25">
      <c r="A682">
        <v>20160513</v>
      </c>
      <c r="B682" t="str">
        <f>"021597"</f>
        <v>021597</v>
      </c>
      <c r="C682" t="str">
        <f>"21826"</f>
        <v>21826</v>
      </c>
      <c r="D682" t="s">
        <v>82</v>
      </c>
      <c r="E682" s="3">
        <v>519.59</v>
      </c>
      <c r="F682">
        <v>20160513</v>
      </c>
      <c r="G682" t="s">
        <v>83</v>
      </c>
      <c r="H682" t="s">
        <v>225</v>
      </c>
      <c r="I682">
        <v>0</v>
      </c>
      <c r="J682" t="s">
        <v>15</v>
      </c>
      <c r="K682" t="s">
        <v>84</v>
      </c>
      <c r="L682" t="s">
        <v>17</v>
      </c>
      <c r="M682" t="str">
        <f t="shared" si="40"/>
        <v>05</v>
      </c>
      <c r="N682" t="s">
        <v>12</v>
      </c>
    </row>
    <row r="683" spans="1:14" x14ac:dyDescent="0.25">
      <c r="A683">
        <v>20160513</v>
      </c>
      <c r="B683" t="str">
        <f>"021598"</f>
        <v>021598</v>
      </c>
      <c r="C683" t="str">
        <f>"24960"</f>
        <v>24960</v>
      </c>
      <c r="D683" t="s">
        <v>39</v>
      </c>
      <c r="E683" s="3">
        <v>4019.28</v>
      </c>
      <c r="F683">
        <v>20160513</v>
      </c>
      <c r="G683" t="s">
        <v>40</v>
      </c>
      <c r="H683" t="s">
        <v>226</v>
      </c>
      <c r="I683">
        <v>0</v>
      </c>
      <c r="J683" t="s">
        <v>15</v>
      </c>
      <c r="K683" t="s">
        <v>42</v>
      </c>
      <c r="L683" t="s">
        <v>17</v>
      </c>
      <c r="M683" t="str">
        <f t="shared" si="40"/>
        <v>05</v>
      </c>
      <c r="N683" t="s">
        <v>12</v>
      </c>
    </row>
    <row r="684" spans="1:14" x14ac:dyDescent="0.25">
      <c r="A684">
        <v>20160513</v>
      </c>
      <c r="B684" t="str">
        <f>"021599"</f>
        <v>021599</v>
      </c>
      <c r="C684" t="str">
        <f>"42245"</f>
        <v>42245</v>
      </c>
      <c r="D684" t="s">
        <v>43</v>
      </c>
      <c r="E684" s="3">
        <v>9702.58</v>
      </c>
      <c r="F684">
        <v>20160513</v>
      </c>
      <c r="G684" t="s">
        <v>44</v>
      </c>
      <c r="H684" t="s">
        <v>224</v>
      </c>
      <c r="I684">
        <v>0</v>
      </c>
      <c r="J684" t="s">
        <v>15</v>
      </c>
      <c r="K684" t="s">
        <v>45</v>
      </c>
      <c r="L684" t="s">
        <v>17</v>
      </c>
      <c r="M684" t="str">
        <f t="shared" si="40"/>
        <v>05</v>
      </c>
      <c r="N684" t="s">
        <v>12</v>
      </c>
    </row>
    <row r="685" spans="1:14" x14ac:dyDescent="0.25">
      <c r="A685">
        <v>20160513</v>
      </c>
      <c r="B685" t="str">
        <f>"021600"</f>
        <v>021600</v>
      </c>
      <c r="C685" t="str">
        <f>"43855"</f>
        <v>43855</v>
      </c>
      <c r="D685" t="s">
        <v>88</v>
      </c>
      <c r="E685" s="3">
        <v>250</v>
      </c>
      <c r="F685">
        <v>20160513</v>
      </c>
      <c r="G685" t="s">
        <v>89</v>
      </c>
      <c r="H685" t="s">
        <v>225</v>
      </c>
      <c r="I685">
        <v>0</v>
      </c>
      <c r="J685" t="s">
        <v>15</v>
      </c>
      <c r="K685" t="s">
        <v>88</v>
      </c>
      <c r="L685" t="s">
        <v>17</v>
      </c>
      <c r="M685" t="str">
        <f t="shared" ref="M685:M716" si="41">"05"</f>
        <v>05</v>
      </c>
      <c r="N685" t="s">
        <v>12</v>
      </c>
    </row>
    <row r="686" spans="1:14" x14ac:dyDescent="0.25">
      <c r="A686">
        <v>20160513</v>
      </c>
      <c r="B686" t="str">
        <f>"021601"</f>
        <v>021601</v>
      </c>
      <c r="C686" t="str">
        <f>"48947"</f>
        <v>48947</v>
      </c>
      <c r="D686" t="s">
        <v>46</v>
      </c>
      <c r="E686" s="3">
        <v>1497.72</v>
      </c>
      <c r="F686">
        <v>20160513</v>
      </c>
      <c r="G686" t="s">
        <v>47</v>
      </c>
      <c r="H686" t="s">
        <v>226</v>
      </c>
      <c r="I686">
        <v>0</v>
      </c>
      <c r="J686" t="s">
        <v>15</v>
      </c>
      <c r="K686" t="s">
        <v>48</v>
      </c>
      <c r="L686" t="s">
        <v>17</v>
      </c>
      <c r="M686" t="str">
        <f t="shared" si="41"/>
        <v>05</v>
      </c>
      <c r="N686" t="s">
        <v>12</v>
      </c>
    </row>
    <row r="687" spans="1:14" x14ac:dyDescent="0.25">
      <c r="A687">
        <v>20160513</v>
      </c>
      <c r="B687" t="str">
        <f t="shared" ref="B687:B703" si="42">"021602"</f>
        <v>021602</v>
      </c>
      <c r="C687" t="str">
        <f t="shared" ref="C687:C703" si="43">"54196"</f>
        <v>54196</v>
      </c>
      <c r="D687" t="s">
        <v>49</v>
      </c>
      <c r="E687" s="3">
        <v>50</v>
      </c>
      <c r="F687">
        <v>20160513</v>
      </c>
      <c r="G687" t="s">
        <v>90</v>
      </c>
      <c r="H687" t="s">
        <v>227</v>
      </c>
      <c r="I687">
        <v>0</v>
      </c>
      <c r="J687" t="s">
        <v>15</v>
      </c>
      <c r="K687" t="s">
        <v>91</v>
      </c>
      <c r="L687" t="s">
        <v>17</v>
      </c>
      <c r="M687" t="str">
        <f t="shared" si="41"/>
        <v>05</v>
      </c>
      <c r="N687" t="s">
        <v>12</v>
      </c>
    </row>
    <row r="688" spans="1:14" x14ac:dyDescent="0.25">
      <c r="A688">
        <v>20160513</v>
      </c>
      <c r="B688" t="str">
        <f t="shared" si="42"/>
        <v>021602</v>
      </c>
      <c r="C688" t="str">
        <f t="shared" si="43"/>
        <v>54196</v>
      </c>
      <c r="D688" t="s">
        <v>49</v>
      </c>
      <c r="E688" s="3">
        <v>283</v>
      </c>
      <c r="F688">
        <v>20160513</v>
      </c>
      <c r="G688" t="s">
        <v>92</v>
      </c>
      <c r="H688" t="s">
        <v>227</v>
      </c>
      <c r="I688">
        <v>0</v>
      </c>
      <c r="J688" t="s">
        <v>15</v>
      </c>
      <c r="K688" t="s">
        <v>93</v>
      </c>
      <c r="L688" t="s">
        <v>17</v>
      </c>
      <c r="M688" t="str">
        <f t="shared" si="41"/>
        <v>05</v>
      </c>
      <c r="N688" t="s">
        <v>12</v>
      </c>
    </row>
    <row r="689" spans="1:14" x14ac:dyDescent="0.25">
      <c r="A689">
        <v>20160513</v>
      </c>
      <c r="B689" t="str">
        <f t="shared" si="42"/>
        <v>021602</v>
      </c>
      <c r="C689" t="str">
        <f t="shared" si="43"/>
        <v>54196</v>
      </c>
      <c r="D689" t="s">
        <v>49</v>
      </c>
      <c r="E689" s="3">
        <v>1590</v>
      </c>
      <c r="F689">
        <v>20160513</v>
      </c>
      <c r="G689" t="s">
        <v>94</v>
      </c>
      <c r="H689" t="s">
        <v>227</v>
      </c>
      <c r="I689">
        <v>0</v>
      </c>
      <c r="J689" t="s">
        <v>15</v>
      </c>
      <c r="K689" t="s">
        <v>95</v>
      </c>
      <c r="L689" t="s">
        <v>17</v>
      </c>
      <c r="M689" t="str">
        <f t="shared" si="41"/>
        <v>05</v>
      </c>
      <c r="N689" t="s">
        <v>12</v>
      </c>
    </row>
    <row r="690" spans="1:14" x14ac:dyDescent="0.25">
      <c r="A690">
        <v>20160513</v>
      </c>
      <c r="B690" t="str">
        <f t="shared" si="42"/>
        <v>021602</v>
      </c>
      <c r="C690" t="str">
        <f t="shared" si="43"/>
        <v>54196</v>
      </c>
      <c r="D690" t="s">
        <v>49</v>
      </c>
      <c r="E690" s="3">
        <v>2175</v>
      </c>
      <c r="F690">
        <v>20160513</v>
      </c>
      <c r="G690" t="s">
        <v>96</v>
      </c>
      <c r="H690" t="s">
        <v>227</v>
      </c>
      <c r="I690">
        <v>0</v>
      </c>
      <c r="J690" t="s">
        <v>15</v>
      </c>
      <c r="K690" t="s">
        <v>97</v>
      </c>
      <c r="L690" t="s">
        <v>17</v>
      </c>
      <c r="M690" t="str">
        <f t="shared" si="41"/>
        <v>05</v>
      </c>
      <c r="N690" t="s">
        <v>12</v>
      </c>
    </row>
    <row r="691" spans="1:14" x14ac:dyDescent="0.25">
      <c r="A691">
        <v>20160513</v>
      </c>
      <c r="B691" t="str">
        <f t="shared" si="42"/>
        <v>021602</v>
      </c>
      <c r="C691" t="str">
        <f t="shared" si="43"/>
        <v>54196</v>
      </c>
      <c r="D691" t="s">
        <v>49</v>
      </c>
      <c r="E691" s="3">
        <v>50</v>
      </c>
      <c r="F691">
        <v>20160513</v>
      </c>
      <c r="G691" t="s">
        <v>98</v>
      </c>
      <c r="H691" t="s">
        <v>227</v>
      </c>
      <c r="I691">
        <v>0</v>
      </c>
      <c r="J691" t="s">
        <v>15</v>
      </c>
      <c r="K691" t="s">
        <v>99</v>
      </c>
      <c r="L691" t="s">
        <v>17</v>
      </c>
      <c r="M691" t="str">
        <f t="shared" si="41"/>
        <v>05</v>
      </c>
      <c r="N691" t="s">
        <v>12</v>
      </c>
    </row>
    <row r="692" spans="1:14" x14ac:dyDescent="0.25">
      <c r="A692">
        <v>20160513</v>
      </c>
      <c r="B692" t="str">
        <f t="shared" si="42"/>
        <v>021602</v>
      </c>
      <c r="C692" t="str">
        <f t="shared" si="43"/>
        <v>54196</v>
      </c>
      <c r="D692" t="s">
        <v>49</v>
      </c>
      <c r="E692" s="3">
        <v>1230</v>
      </c>
      <c r="F692">
        <v>20160513</v>
      </c>
      <c r="G692" t="s">
        <v>100</v>
      </c>
      <c r="H692" t="s">
        <v>227</v>
      </c>
      <c r="I692">
        <v>0</v>
      </c>
      <c r="J692" t="s">
        <v>15</v>
      </c>
      <c r="K692" t="s">
        <v>101</v>
      </c>
      <c r="L692" t="s">
        <v>17</v>
      </c>
      <c r="M692" t="str">
        <f t="shared" si="41"/>
        <v>05</v>
      </c>
      <c r="N692" t="s">
        <v>12</v>
      </c>
    </row>
    <row r="693" spans="1:14" x14ac:dyDescent="0.25">
      <c r="A693">
        <v>20160513</v>
      </c>
      <c r="B693" t="str">
        <f t="shared" si="42"/>
        <v>021602</v>
      </c>
      <c r="C693" t="str">
        <f t="shared" si="43"/>
        <v>54196</v>
      </c>
      <c r="D693" t="s">
        <v>49</v>
      </c>
      <c r="E693" s="3">
        <v>2217</v>
      </c>
      <c r="F693">
        <v>20160513</v>
      </c>
      <c r="G693" t="s">
        <v>102</v>
      </c>
      <c r="H693" t="s">
        <v>227</v>
      </c>
      <c r="I693">
        <v>0</v>
      </c>
      <c r="J693" t="s">
        <v>15</v>
      </c>
      <c r="K693" t="s">
        <v>103</v>
      </c>
      <c r="L693" t="s">
        <v>17</v>
      </c>
      <c r="M693" t="str">
        <f t="shared" si="41"/>
        <v>05</v>
      </c>
      <c r="N693" t="s">
        <v>12</v>
      </c>
    </row>
    <row r="694" spans="1:14" x14ac:dyDescent="0.25">
      <c r="A694">
        <v>20160513</v>
      </c>
      <c r="B694" t="str">
        <f t="shared" si="42"/>
        <v>021602</v>
      </c>
      <c r="C694" t="str">
        <f t="shared" si="43"/>
        <v>54196</v>
      </c>
      <c r="D694" t="s">
        <v>49</v>
      </c>
      <c r="E694" s="3">
        <v>972</v>
      </c>
      <c r="F694">
        <v>20160513</v>
      </c>
      <c r="G694" t="s">
        <v>104</v>
      </c>
      <c r="H694" t="s">
        <v>227</v>
      </c>
      <c r="I694">
        <v>0</v>
      </c>
      <c r="J694" t="s">
        <v>15</v>
      </c>
      <c r="K694" t="s">
        <v>105</v>
      </c>
      <c r="L694" t="s">
        <v>17</v>
      </c>
      <c r="M694" t="str">
        <f t="shared" si="41"/>
        <v>05</v>
      </c>
      <c r="N694" t="s">
        <v>12</v>
      </c>
    </row>
    <row r="695" spans="1:14" x14ac:dyDescent="0.25">
      <c r="A695">
        <v>20160513</v>
      </c>
      <c r="B695" t="str">
        <f t="shared" si="42"/>
        <v>021602</v>
      </c>
      <c r="C695" t="str">
        <f t="shared" si="43"/>
        <v>54196</v>
      </c>
      <c r="D695" t="s">
        <v>49</v>
      </c>
      <c r="E695" s="3">
        <v>300</v>
      </c>
      <c r="F695">
        <v>20160513</v>
      </c>
      <c r="G695" t="s">
        <v>108</v>
      </c>
      <c r="H695" t="s">
        <v>227</v>
      </c>
      <c r="I695">
        <v>0</v>
      </c>
      <c r="J695" t="s">
        <v>15</v>
      </c>
      <c r="K695" t="s">
        <v>109</v>
      </c>
      <c r="L695" t="s">
        <v>17</v>
      </c>
      <c r="M695" t="str">
        <f t="shared" si="41"/>
        <v>05</v>
      </c>
      <c r="N695" t="s">
        <v>12</v>
      </c>
    </row>
    <row r="696" spans="1:14" x14ac:dyDescent="0.25">
      <c r="A696">
        <v>20160513</v>
      </c>
      <c r="B696" t="str">
        <f t="shared" si="42"/>
        <v>021602</v>
      </c>
      <c r="C696" t="str">
        <f t="shared" si="43"/>
        <v>54196</v>
      </c>
      <c r="D696" t="s">
        <v>49</v>
      </c>
      <c r="E696" s="3">
        <v>450</v>
      </c>
      <c r="F696">
        <v>20160513</v>
      </c>
      <c r="G696" t="s">
        <v>110</v>
      </c>
      <c r="H696" t="s">
        <v>227</v>
      </c>
      <c r="I696">
        <v>0</v>
      </c>
      <c r="J696" t="s">
        <v>15</v>
      </c>
      <c r="K696" t="s">
        <v>111</v>
      </c>
      <c r="L696" t="s">
        <v>17</v>
      </c>
      <c r="M696" t="str">
        <f t="shared" si="41"/>
        <v>05</v>
      </c>
      <c r="N696" t="s">
        <v>12</v>
      </c>
    </row>
    <row r="697" spans="1:14" x14ac:dyDescent="0.25">
      <c r="A697">
        <v>20160513</v>
      </c>
      <c r="B697" t="str">
        <f t="shared" si="42"/>
        <v>021602</v>
      </c>
      <c r="C697" t="str">
        <f t="shared" si="43"/>
        <v>54196</v>
      </c>
      <c r="D697" t="s">
        <v>49</v>
      </c>
      <c r="E697" s="3">
        <v>750</v>
      </c>
      <c r="F697">
        <v>20160513</v>
      </c>
      <c r="G697" t="s">
        <v>112</v>
      </c>
      <c r="H697" t="s">
        <v>227</v>
      </c>
      <c r="I697">
        <v>0</v>
      </c>
      <c r="J697" t="s">
        <v>15</v>
      </c>
      <c r="K697" t="s">
        <v>113</v>
      </c>
      <c r="L697" t="s">
        <v>17</v>
      </c>
      <c r="M697" t="str">
        <f t="shared" si="41"/>
        <v>05</v>
      </c>
      <c r="N697" t="s">
        <v>12</v>
      </c>
    </row>
    <row r="698" spans="1:14" x14ac:dyDescent="0.25">
      <c r="A698">
        <v>20160513</v>
      </c>
      <c r="B698" t="str">
        <f t="shared" si="42"/>
        <v>021602</v>
      </c>
      <c r="C698" t="str">
        <f t="shared" si="43"/>
        <v>54196</v>
      </c>
      <c r="D698" t="s">
        <v>49</v>
      </c>
      <c r="E698" s="3">
        <v>100</v>
      </c>
      <c r="F698">
        <v>20160513</v>
      </c>
      <c r="G698" t="s">
        <v>149</v>
      </c>
      <c r="H698" t="s">
        <v>227</v>
      </c>
      <c r="I698">
        <v>0</v>
      </c>
      <c r="J698" t="s">
        <v>15</v>
      </c>
      <c r="K698" t="s">
        <v>150</v>
      </c>
      <c r="L698" t="s">
        <v>17</v>
      </c>
      <c r="M698" t="str">
        <f t="shared" si="41"/>
        <v>05</v>
      </c>
      <c r="N698" t="s">
        <v>12</v>
      </c>
    </row>
    <row r="699" spans="1:14" x14ac:dyDescent="0.25">
      <c r="A699">
        <v>20160513</v>
      </c>
      <c r="B699" t="str">
        <f t="shared" si="42"/>
        <v>021602</v>
      </c>
      <c r="C699" t="str">
        <f t="shared" si="43"/>
        <v>54196</v>
      </c>
      <c r="D699" t="s">
        <v>49</v>
      </c>
      <c r="E699" s="3">
        <v>200</v>
      </c>
      <c r="F699">
        <v>20160513</v>
      </c>
      <c r="G699" t="s">
        <v>114</v>
      </c>
      <c r="H699" t="s">
        <v>227</v>
      </c>
      <c r="I699">
        <v>0</v>
      </c>
      <c r="J699" t="s">
        <v>15</v>
      </c>
      <c r="K699" t="s">
        <v>115</v>
      </c>
      <c r="L699" t="s">
        <v>17</v>
      </c>
      <c r="M699" t="str">
        <f t="shared" si="41"/>
        <v>05</v>
      </c>
      <c r="N699" t="s">
        <v>12</v>
      </c>
    </row>
    <row r="700" spans="1:14" x14ac:dyDescent="0.25">
      <c r="A700">
        <v>20160513</v>
      </c>
      <c r="B700" t="str">
        <f t="shared" si="42"/>
        <v>021602</v>
      </c>
      <c r="C700" t="str">
        <f t="shared" si="43"/>
        <v>54196</v>
      </c>
      <c r="D700" t="s">
        <v>49</v>
      </c>
      <c r="E700" s="3">
        <v>8388</v>
      </c>
      <c r="F700">
        <v>20160513</v>
      </c>
      <c r="G700" t="s">
        <v>119</v>
      </c>
      <c r="H700" t="s">
        <v>229</v>
      </c>
      <c r="I700">
        <v>0</v>
      </c>
      <c r="J700" t="s">
        <v>15</v>
      </c>
      <c r="K700" t="s">
        <v>103</v>
      </c>
      <c r="L700" t="s">
        <v>17</v>
      </c>
      <c r="M700" t="str">
        <f t="shared" si="41"/>
        <v>05</v>
      </c>
      <c r="N700" t="s">
        <v>12</v>
      </c>
    </row>
    <row r="701" spans="1:14" x14ac:dyDescent="0.25">
      <c r="A701">
        <v>20160513</v>
      </c>
      <c r="B701" t="str">
        <f t="shared" si="42"/>
        <v>021602</v>
      </c>
      <c r="C701" t="str">
        <f t="shared" si="43"/>
        <v>54196</v>
      </c>
      <c r="D701" t="s">
        <v>49</v>
      </c>
      <c r="E701" s="3">
        <v>650</v>
      </c>
      <c r="F701">
        <v>20160513</v>
      </c>
      <c r="G701" t="s">
        <v>50</v>
      </c>
      <c r="H701" t="s">
        <v>227</v>
      </c>
      <c r="I701">
        <v>0</v>
      </c>
      <c r="J701" t="s">
        <v>15</v>
      </c>
      <c r="K701" t="s">
        <v>52</v>
      </c>
      <c r="L701" t="s">
        <v>17</v>
      </c>
      <c r="M701" t="str">
        <f t="shared" si="41"/>
        <v>05</v>
      </c>
      <c r="N701" t="s">
        <v>12</v>
      </c>
    </row>
    <row r="702" spans="1:14" x14ac:dyDescent="0.25">
      <c r="A702">
        <v>20160513</v>
      </c>
      <c r="B702" t="str">
        <f t="shared" si="42"/>
        <v>021602</v>
      </c>
      <c r="C702" t="str">
        <f t="shared" si="43"/>
        <v>54196</v>
      </c>
      <c r="D702" t="s">
        <v>49</v>
      </c>
      <c r="E702" s="3">
        <v>475</v>
      </c>
      <c r="F702">
        <v>20160513</v>
      </c>
      <c r="G702" t="s">
        <v>178</v>
      </c>
      <c r="H702" t="s">
        <v>230</v>
      </c>
      <c r="I702">
        <v>0</v>
      </c>
      <c r="J702" t="s">
        <v>15</v>
      </c>
      <c r="K702" t="s">
        <v>180</v>
      </c>
      <c r="L702" t="s">
        <v>17</v>
      </c>
      <c r="M702" t="str">
        <f t="shared" si="41"/>
        <v>05</v>
      </c>
      <c r="N702" t="s">
        <v>12</v>
      </c>
    </row>
    <row r="703" spans="1:14" x14ac:dyDescent="0.25">
      <c r="A703">
        <v>20160513</v>
      </c>
      <c r="B703" t="str">
        <f t="shared" si="42"/>
        <v>021602</v>
      </c>
      <c r="C703" t="str">
        <f t="shared" si="43"/>
        <v>54196</v>
      </c>
      <c r="D703" t="s">
        <v>49</v>
      </c>
      <c r="E703" s="3">
        <v>2400</v>
      </c>
      <c r="F703">
        <v>20160513</v>
      </c>
      <c r="G703" t="s">
        <v>181</v>
      </c>
      <c r="H703" t="s">
        <v>229</v>
      </c>
      <c r="I703">
        <v>0</v>
      </c>
      <c r="J703" t="s">
        <v>15</v>
      </c>
      <c r="K703" t="s">
        <v>182</v>
      </c>
      <c r="L703" t="s">
        <v>17</v>
      </c>
      <c r="M703" t="str">
        <f t="shared" si="41"/>
        <v>05</v>
      </c>
      <c r="N703" t="s">
        <v>12</v>
      </c>
    </row>
    <row r="704" spans="1:14" x14ac:dyDescent="0.25">
      <c r="A704">
        <v>20160513</v>
      </c>
      <c r="B704" t="str">
        <f>"021603"</f>
        <v>021603</v>
      </c>
      <c r="C704" t="str">
        <f>"72601"</f>
        <v>72601</v>
      </c>
      <c r="D704" t="s">
        <v>53</v>
      </c>
      <c r="E704" s="3">
        <v>9089.65</v>
      </c>
      <c r="F704">
        <v>20160513</v>
      </c>
      <c r="G704" t="s">
        <v>54</v>
      </c>
      <c r="H704" t="s">
        <v>225</v>
      </c>
      <c r="I704">
        <v>0</v>
      </c>
      <c r="J704" t="s">
        <v>15</v>
      </c>
      <c r="K704" t="s">
        <v>55</v>
      </c>
      <c r="L704" t="s">
        <v>17</v>
      </c>
      <c r="M704" t="str">
        <f t="shared" si="41"/>
        <v>05</v>
      </c>
      <c r="N704" t="s">
        <v>12</v>
      </c>
    </row>
    <row r="705" spans="1:14" x14ac:dyDescent="0.25">
      <c r="A705">
        <v>20160513</v>
      </c>
      <c r="B705" t="str">
        <f>"021604"</f>
        <v>021604</v>
      </c>
      <c r="C705" t="str">
        <f>"75452"</f>
        <v>75452</v>
      </c>
      <c r="D705" t="s">
        <v>56</v>
      </c>
      <c r="E705" s="3">
        <v>10125.84</v>
      </c>
      <c r="F705">
        <v>20160513</v>
      </c>
      <c r="G705" t="s">
        <v>57</v>
      </c>
      <c r="H705" t="s">
        <v>224</v>
      </c>
      <c r="I705">
        <v>0</v>
      </c>
      <c r="J705" t="s">
        <v>15</v>
      </c>
      <c r="K705" t="s">
        <v>58</v>
      </c>
      <c r="L705" t="s">
        <v>17</v>
      </c>
      <c r="M705" t="str">
        <f t="shared" si="41"/>
        <v>05</v>
      </c>
      <c r="N705" t="s">
        <v>12</v>
      </c>
    </row>
    <row r="706" spans="1:14" x14ac:dyDescent="0.25">
      <c r="A706">
        <v>20160513</v>
      </c>
      <c r="B706" t="str">
        <f>"021604"</f>
        <v>021604</v>
      </c>
      <c r="C706" t="str">
        <f>"75452"</f>
        <v>75452</v>
      </c>
      <c r="D706" t="s">
        <v>56</v>
      </c>
      <c r="E706" s="3">
        <v>25</v>
      </c>
      <c r="F706">
        <v>20160513</v>
      </c>
      <c r="G706" t="s">
        <v>153</v>
      </c>
      <c r="H706" t="s">
        <v>231</v>
      </c>
      <c r="I706">
        <v>0</v>
      </c>
      <c r="J706" t="s">
        <v>15</v>
      </c>
      <c r="K706" t="s">
        <v>155</v>
      </c>
      <c r="L706" t="s">
        <v>17</v>
      </c>
      <c r="M706" t="str">
        <f t="shared" si="41"/>
        <v>05</v>
      </c>
      <c r="N706" t="s">
        <v>12</v>
      </c>
    </row>
    <row r="707" spans="1:14" x14ac:dyDescent="0.25">
      <c r="A707">
        <v>20160513</v>
      </c>
      <c r="B707" t="str">
        <f>"021605"</f>
        <v>021605</v>
      </c>
      <c r="C707" t="str">
        <f>"77030"</f>
        <v>77030</v>
      </c>
      <c r="D707" t="s">
        <v>156</v>
      </c>
      <c r="E707" s="3">
        <v>139.33000000000001</v>
      </c>
      <c r="F707">
        <v>20160513</v>
      </c>
      <c r="G707" t="s">
        <v>157</v>
      </c>
      <c r="H707" t="s">
        <v>225</v>
      </c>
      <c r="I707">
        <v>0</v>
      </c>
      <c r="J707" t="s">
        <v>15</v>
      </c>
      <c r="K707" t="s">
        <v>158</v>
      </c>
      <c r="L707" t="s">
        <v>17</v>
      </c>
      <c r="M707" t="str">
        <f t="shared" si="41"/>
        <v>05</v>
      </c>
      <c r="N707" t="s">
        <v>12</v>
      </c>
    </row>
    <row r="708" spans="1:14" x14ac:dyDescent="0.25">
      <c r="A708">
        <v>20160513</v>
      </c>
      <c r="B708" t="str">
        <f>"021606"</f>
        <v>021606</v>
      </c>
      <c r="C708" t="str">
        <f>"78428"</f>
        <v>78428</v>
      </c>
      <c r="D708" t="s">
        <v>124</v>
      </c>
      <c r="E708" s="3">
        <v>851.87</v>
      </c>
      <c r="F708">
        <v>20160513</v>
      </c>
      <c r="G708" t="s">
        <v>125</v>
      </c>
      <c r="H708" t="s">
        <v>225</v>
      </c>
      <c r="I708">
        <v>0</v>
      </c>
      <c r="J708" t="s">
        <v>15</v>
      </c>
      <c r="K708" t="s">
        <v>126</v>
      </c>
      <c r="L708" t="s">
        <v>17</v>
      </c>
      <c r="M708" t="str">
        <f t="shared" si="41"/>
        <v>05</v>
      </c>
      <c r="N708" t="s">
        <v>12</v>
      </c>
    </row>
    <row r="709" spans="1:14" x14ac:dyDescent="0.25">
      <c r="A709">
        <v>20160513</v>
      </c>
      <c r="B709" t="str">
        <f>"021607"</f>
        <v>021607</v>
      </c>
      <c r="C709" t="str">
        <f>"79562"</f>
        <v>79562</v>
      </c>
      <c r="D709" t="s">
        <v>127</v>
      </c>
      <c r="E709" s="3">
        <v>341.95</v>
      </c>
      <c r="F709">
        <v>20160513</v>
      </c>
      <c r="G709" t="s">
        <v>128</v>
      </c>
      <c r="H709" t="s">
        <v>232</v>
      </c>
      <c r="I709">
        <v>0</v>
      </c>
      <c r="J709" t="s">
        <v>15</v>
      </c>
      <c r="K709" t="s">
        <v>130</v>
      </c>
      <c r="L709" t="s">
        <v>17</v>
      </c>
      <c r="M709" t="str">
        <f t="shared" si="41"/>
        <v>05</v>
      </c>
      <c r="N709" t="s">
        <v>12</v>
      </c>
    </row>
    <row r="710" spans="1:14" x14ac:dyDescent="0.25">
      <c r="A710">
        <v>20160513</v>
      </c>
      <c r="B710" t="str">
        <f>"021608"</f>
        <v>021608</v>
      </c>
      <c r="C710" t="str">
        <f>"79762"</f>
        <v>79762</v>
      </c>
      <c r="D710" t="s">
        <v>160</v>
      </c>
      <c r="E710" s="3">
        <v>390</v>
      </c>
      <c r="F710">
        <v>20160513</v>
      </c>
      <c r="G710" t="s">
        <v>161</v>
      </c>
      <c r="H710" t="s">
        <v>225</v>
      </c>
      <c r="I710">
        <v>0</v>
      </c>
      <c r="J710" t="s">
        <v>15</v>
      </c>
      <c r="K710" t="s">
        <v>162</v>
      </c>
      <c r="L710" t="s">
        <v>17</v>
      </c>
      <c r="M710" t="str">
        <f t="shared" si="41"/>
        <v>05</v>
      </c>
      <c r="N710" t="s">
        <v>12</v>
      </c>
    </row>
    <row r="711" spans="1:14" x14ac:dyDescent="0.25">
      <c r="A711">
        <v>20160513</v>
      </c>
      <c r="B711" t="str">
        <f>"021609"</f>
        <v>021609</v>
      </c>
      <c r="C711" t="str">
        <f>"81155"</f>
        <v>81155</v>
      </c>
      <c r="D711" t="s">
        <v>131</v>
      </c>
      <c r="E711" s="3">
        <v>275</v>
      </c>
      <c r="F711">
        <v>20160513</v>
      </c>
      <c r="G711" t="s">
        <v>132</v>
      </c>
      <c r="H711" t="s">
        <v>225</v>
      </c>
      <c r="I711">
        <v>0</v>
      </c>
      <c r="J711" t="s">
        <v>15</v>
      </c>
      <c r="K711" t="s">
        <v>133</v>
      </c>
      <c r="L711" t="s">
        <v>17</v>
      </c>
      <c r="M711" t="str">
        <f t="shared" si="41"/>
        <v>05</v>
      </c>
      <c r="N711" t="s">
        <v>12</v>
      </c>
    </row>
    <row r="712" spans="1:14" x14ac:dyDescent="0.25">
      <c r="A712">
        <v>20160513</v>
      </c>
      <c r="B712" t="str">
        <f>"021610"</f>
        <v>021610</v>
      </c>
      <c r="C712" t="str">
        <f>"81173"</f>
        <v>81173</v>
      </c>
      <c r="D712" t="s">
        <v>59</v>
      </c>
      <c r="E712" s="3">
        <v>400</v>
      </c>
      <c r="F712">
        <v>20160513</v>
      </c>
      <c r="G712" t="s">
        <v>60</v>
      </c>
      <c r="H712" t="s">
        <v>225</v>
      </c>
      <c r="I712">
        <v>0</v>
      </c>
      <c r="J712" t="s">
        <v>15</v>
      </c>
      <c r="K712" t="s">
        <v>61</v>
      </c>
      <c r="L712" t="s">
        <v>17</v>
      </c>
      <c r="M712" t="str">
        <f t="shared" si="41"/>
        <v>05</v>
      </c>
      <c r="N712" t="s">
        <v>12</v>
      </c>
    </row>
    <row r="713" spans="1:14" x14ac:dyDescent="0.25">
      <c r="A713">
        <v>20160513</v>
      </c>
      <c r="B713" t="str">
        <f>"021611"</f>
        <v>021611</v>
      </c>
      <c r="C713" t="str">
        <f>"81174"</f>
        <v>81174</v>
      </c>
      <c r="D713" t="s">
        <v>62</v>
      </c>
      <c r="E713" s="3">
        <v>1610</v>
      </c>
      <c r="F713">
        <v>20160513</v>
      </c>
      <c r="G713" t="s">
        <v>63</v>
      </c>
      <c r="H713" t="s">
        <v>225</v>
      </c>
      <c r="I713">
        <v>0</v>
      </c>
      <c r="J713" t="s">
        <v>15</v>
      </c>
      <c r="K713" t="s">
        <v>64</v>
      </c>
      <c r="L713" t="s">
        <v>17</v>
      </c>
      <c r="M713" t="str">
        <f t="shared" si="41"/>
        <v>05</v>
      </c>
      <c r="N713" t="s">
        <v>12</v>
      </c>
    </row>
    <row r="714" spans="1:14" x14ac:dyDescent="0.25">
      <c r="A714">
        <v>20160513</v>
      </c>
      <c r="B714" t="str">
        <f>"021612"</f>
        <v>021612</v>
      </c>
      <c r="C714" t="str">
        <f>"81177"</f>
        <v>81177</v>
      </c>
      <c r="D714" t="s">
        <v>65</v>
      </c>
      <c r="E714" s="3">
        <v>458</v>
      </c>
      <c r="F714">
        <v>20160513</v>
      </c>
      <c r="G714" t="s">
        <v>134</v>
      </c>
      <c r="H714" t="s">
        <v>225</v>
      </c>
      <c r="I714">
        <v>0</v>
      </c>
      <c r="J714" t="s">
        <v>15</v>
      </c>
      <c r="K714" t="s">
        <v>135</v>
      </c>
      <c r="L714" t="s">
        <v>17</v>
      </c>
      <c r="M714" t="str">
        <f t="shared" si="41"/>
        <v>05</v>
      </c>
      <c r="N714" t="s">
        <v>12</v>
      </c>
    </row>
    <row r="715" spans="1:14" x14ac:dyDescent="0.25">
      <c r="A715">
        <v>20160513</v>
      </c>
      <c r="B715" t="str">
        <f>"021613"</f>
        <v>021613</v>
      </c>
      <c r="C715" t="str">
        <f>"81753"</f>
        <v>81753</v>
      </c>
      <c r="D715" t="s">
        <v>68</v>
      </c>
      <c r="E715" s="3">
        <v>276.43</v>
      </c>
      <c r="F715">
        <v>20160513</v>
      </c>
      <c r="G715" t="s">
        <v>69</v>
      </c>
      <c r="H715" t="s">
        <v>225</v>
      </c>
      <c r="I715">
        <v>0</v>
      </c>
      <c r="J715" t="s">
        <v>15</v>
      </c>
      <c r="K715" t="s">
        <v>68</v>
      </c>
      <c r="L715" t="s">
        <v>17</v>
      </c>
      <c r="M715" t="str">
        <f t="shared" si="41"/>
        <v>05</v>
      </c>
      <c r="N715" t="s">
        <v>12</v>
      </c>
    </row>
    <row r="716" spans="1:14" x14ac:dyDescent="0.25">
      <c r="A716">
        <v>20160513</v>
      </c>
      <c r="B716" t="str">
        <f>"021614"</f>
        <v>021614</v>
      </c>
      <c r="C716" t="str">
        <f>"45078"</f>
        <v>45078</v>
      </c>
      <c r="D716" t="s">
        <v>233</v>
      </c>
      <c r="E716" s="3">
        <v>800</v>
      </c>
      <c r="F716">
        <v>20160513</v>
      </c>
      <c r="G716" t="s">
        <v>234</v>
      </c>
      <c r="I716">
        <v>0</v>
      </c>
      <c r="J716" t="s">
        <v>15</v>
      </c>
      <c r="K716" t="s">
        <v>235</v>
      </c>
      <c r="L716" t="s">
        <v>17</v>
      </c>
      <c r="M716" t="str">
        <f t="shared" si="41"/>
        <v>05</v>
      </c>
      <c r="N716" t="s">
        <v>12</v>
      </c>
    </row>
    <row r="717" spans="1:14" x14ac:dyDescent="0.25">
      <c r="A717">
        <v>20160520</v>
      </c>
      <c r="B717" t="str">
        <f>"021641"</f>
        <v>021641</v>
      </c>
      <c r="C717" t="str">
        <f>"04831"</f>
        <v>04831</v>
      </c>
      <c r="D717" t="s">
        <v>11</v>
      </c>
      <c r="E717" s="3">
        <v>56.1</v>
      </c>
      <c r="F717">
        <v>20160520</v>
      </c>
      <c r="G717" t="s">
        <v>13</v>
      </c>
      <c r="H717" t="s">
        <v>224</v>
      </c>
      <c r="I717">
        <v>0</v>
      </c>
      <c r="J717" t="s">
        <v>15</v>
      </c>
      <c r="K717" t="s">
        <v>16</v>
      </c>
      <c r="L717" t="s">
        <v>17</v>
      </c>
      <c r="M717" t="str">
        <f t="shared" ref="M717:M733" si="44">"05"</f>
        <v>05</v>
      </c>
      <c r="N717" t="s">
        <v>12</v>
      </c>
    </row>
    <row r="718" spans="1:14" x14ac:dyDescent="0.25">
      <c r="A718">
        <v>20160520</v>
      </c>
      <c r="B718" t="str">
        <f>"021642"</f>
        <v>021642</v>
      </c>
      <c r="C718" t="str">
        <f>"04905"</f>
        <v>04905</v>
      </c>
      <c r="D718" t="s">
        <v>18</v>
      </c>
      <c r="E718" s="3">
        <v>18.329999999999998</v>
      </c>
      <c r="F718">
        <v>20160520</v>
      </c>
      <c r="G718" t="s">
        <v>19</v>
      </c>
      <c r="H718" t="s">
        <v>225</v>
      </c>
      <c r="I718">
        <v>0</v>
      </c>
      <c r="J718" t="s">
        <v>15</v>
      </c>
      <c r="K718" t="s">
        <v>21</v>
      </c>
      <c r="L718" t="s">
        <v>17</v>
      </c>
      <c r="M718" t="str">
        <f t="shared" si="44"/>
        <v>05</v>
      </c>
      <c r="N718" t="s">
        <v>12</v>
      </c>
    </row>
    <row r="719" spans="1:14" x14ac:dyDescent="0.25">
      <c r="A719">
        <v>20160520</v>
      </c>
      <c r="B719" t="str">
        <f>"021643"</f>
        <v>021643</v>
      </c>
      <c r="C719" t="str">
        <f>"04987"</f>
        <v>04987</v>
      </c>
      <c r="D719" t="s">
        <v>144</v>
      </c>
      <c r="E719" s="3">
        <v>27.74</v>
      </c>
      <c r="F719">
        <v>20160520</v>
      </c>
      <c r="G719" t="s">
        <v>35</v>
      </c>
      <c r="H719" t="s">
        <v>224</v>
      </c>
      <c r="I719">
        <v>0</v>
      </c>
      <c r="J719" t="s">
        <v>15</v>
      </c>
      <c r="K719" t="s">
        <v>36</v>
      </c>
      <c r="L719" t="s">
        <v>17</v>
      </c>
      <c r="M719" t="str">
        <f t="shared" si="44"/>
        <v>05</v>
      </c>
      <c r="N719" t="s">
        <v>12</v>
      </c>
    </row>
    <row r="720" spans="1:14" x14ac:dyDescent="0.25">
      <c r="A720">
        <v>20160520</v>
      </c>
      <c r="B720" t="str">
        <f>"021644"</f>
        <v>021644</v>
      </c>
      <c r="C720" t="str">
        <f>"07880"</f>
        <v>07880</v>
      </c>
      <c r="D720" t="s">
        <v>25</v>
      </c>
      <c r="E720" s="3">
        <v>158.41999999999999</v>
      </c>
      <c r="F720">
        <v>20160520</v>
      </c>
      <c r="G720" t="s">
        <v>26</v>
      </c>
      <c r="H720" t="s">
        <v>225</v>
      </c>
      <c r="I720">
        <v>0</v>
      </c>
      <c r="J720" t="s">
        <v>15</v>
      </c>
      <c r="K720" t="s">
        <v>27</v>
      </c>
      <c r="L720" t="s">
        <v>17</v>
      </c>
      <c r="M720" t="str">
        <f t="shared" si="44"/>
        <v>05</v>
      </c>
      <c r="N720" t="s">
        <v>12</v>
      </c>
    </row>
    <row r="721" spans="1:14" x14ac:dyDescent="0.25">
      <c r="A721">
        <v>20160520</v>
      </c>
      <c r="B721" t="str">
        <f>"021645"</f>
        <v>021645</v>
      </c>
      <c r="C721" t="str">
        <f>"11211"</f>
        <v>11211</v>
      </c>
      <c r="D721" t="s">
        <v>28</v>
      </c>
      <c r="E721" s="3">
        <v>142.12</v>
      </c>
      <c r="F721">
        <v>20160520</v>
      </c>
      <c r="G721" t="s">
        <v>29</v>
      </c>
      <c r="H721" t="s">
        <v>224</v>
      </c>
      <c r="I721">
        <v>0</v>
      </c>
      <c r="J721" t="s">
        <v>15</v>
      </c>
      <c r="K721" t="s">
        <v>30</v>
      </c>
      <c r="L721" t="s">
        <v>17</v>
      </c>
      <c r="M721" t="str">
        <f t="shared" si="44"/>
        <v>05</v>
      </c>
      <c r="N721" t="s">
        <v>12</v>
      </c>
    </row>
    <row r="722" spans="1:14" x14ac:dyDescent="0.25">
      <c r="A722">
        <v>20160520</v>
      </c>
      <c r="B722" t="str">
        <f>"021646"</f>
        <v>021646</v>
      </c>
      <c r="C722" t="str">
        <f>"14177"</f>
        <v>14177</v>
      </c>
      <c r="D722" t="s">
        <v>31</v>
      </c>
      <c r="E722" s="3">
        <v>25</v>
      </c>
      <c r="F722">
        <v>20160520</v>
      </c>
      <c r="G722" t="s">
        <v>32</v>
      </c>
      <c r="H722" t="s">
        <v>225</v>
      </c>
      <c r="I722">
        <v>0</v>
      </c>
      <c r="J722" t="s">
        <v>15</v>
      </c>
      <c r="K722" t="s">
        <v>33</v>
      </c>
      <c r="L722" t="s">
        <v>17</v>
      </c>
      <c r="M722" t="str">
        <f t="shared" si="44"/>
        <v>05</v>
      </c>
      <c r="N722" t="s">
        <v>12</v>
      </c>
    </row>
    <row r="723" spans="1:14" x14ac:dyDescent="0.25">
      <c r="A723">
        <v>20160520</v>
      </c>
      <c r="B723" t="str">
        <f>"021647"</f>
        <v>021647</v>
      </c>
      <c r="C723" t="str">
        <f>"21826"</f>
        <v>21826</v>
      </c>
      <c r="D723" t="s">
        <v>82</v>
      </c>
      <c r="E723" s="3">
        <v>28.53</v>
      </c>
      <c r="F723">
        <v>20160520</v>
      </c>
      <c r="G723" t="s">
        <v>83</v>
      </c>
      <c r="H723" t="s">
        <v>225</v>
      </c>
      <c r="I723">
        <v>0</v>
      </c>
      <c r="J723" t="s">
        <v>15</v>
      </c>
      <c r="K723" t="s">
        <v>84</v>
      </c>
      <c r="L723" t="s">
        <v>17</v>
      </c>
      <c r="M723" t="str">
        <f t="shared" si="44"/>
        <v>05</v>
      </c>
      <c r="N723" t="s">
        <v>12</v>
      </c>
    </row>
    <row r="724" spans="1:14" x14ac:dyDescent="0.25">
      <c r="A724">
        <v>20160520</v>
      </c>
      <c r="B724" t="str">
        <f>"021648"</f>
        <v>021648</v>
      </c>
      <c r="C724" t="str">
        <f>"24960"</f>
        <v>24960</v>
      </c>
      <c r="D724" t="s">
        <v>39</v>
      </c>
      <c r="E724" s="3">
        <v>259.77999999999997</v>
      </c>
      <c r="F724">
        <v>20160520</v>
      </c>
      <c r="G724" t="s">
        <v>40</v>
      </c>
      <c r="H724" t="s">
        <v>226</v>
      </c>
      <c r="I724">
        <v>0</v>
      </c>
      <c r="J724" t="s">
        <v>15</v>
      </c>
      <c r="K724" t="s">
        <v>42</v>
      </c>
      <c r="L724" t="s">
        <v>17</v>
      </c>
      <c r="M724" t="str">
        <f t="shared" si="44"/>
        <v>05</v>
      </c>
      <c r="N724" t="s">
        <v>12</v>
      </c>
    </row>
    <row r="725" spans="1:14" x14ac:dyDescent="0.25">
      <c r="A725">
        <v>20160520</v>
      </c>
      <c r="B725" t="str">
        <f>"021649"</f>
        <v>021649</v>
      </c>
      <c r="C725" t="str">
        <f>"42245"</f>
        <v>42245</v>
      </c>
      <c r="D725" t="s">
        <v>43</v>
      </c>
      <c r="E725" s="3">
        <v>286.36</v>
      </c>
      <c r="F725">
        <v>20160520</v>
      </c>
      <c r="G725" t="s">
        <v>44</v>
      </c>
      <c r="H725" t="s">
        <v>224</v>
      </c>
      <c r="I725">
        <v>0</v>
      </c>
      <c r="J725" t="s">
        <v>15</v>
      </c>
      <c r="K725" t="s">
        <v>45</v>
      </c>
      <c r="L725" t="s">
        <v>17</v>
      </c>
      <c r="M725" t="str">
        <f t="shared" si="44"/>
        <v>05</v>
      </c>
      <c r="N725" t="s">
        <v>12</v>
      </c>
    </row>
    <row r="726" spans="1:14" x14ac:dyDescent="0.25">
      <c r="A726">
        <v>20160520</v>
      </c>
      <c r="B726" t="str">
        <f>"021650"</f>
        <v>021650</v>
      </c>
      <c r="C726" t="str">
        <f>"48947"</f>
        <v>48947</v>
      </c>
      <c r="D726" t="s">
        <v>46</v>
      </c>
      <c r="E726" s="3">
        <v>25.38</v>
      </c>
      <c r="F726">
        <v>20160520</v>
      </c>
      <c r="G726" t="s">
        <v>47</v>
      </c>
      <c r="H726" t="s">
        <v>226</v>
      </c>
      <c r="I726">
        <v>0</v>
      </c>
      <c r="J726" t="s">
        <v>15</v>
      </c>
      <c r="K726" t="s">
        <v>48</v>
      </c>
      <c r="L726" t="s">
        <v>17</v>
      </c>
      <c r="M726" t="str">
        <f t="shared" si="44"/>
        <v>05</v>
      </c>
      <c r="N726" t="s">
        <v>12</v>
      </c>
    </row>
    <row r="727" spans="1:14" x14ac:dyDescent="0.25">
      <c r="A727">
        <v>20160520</v>
      </c>
      <c r="B727" t="str">
        <f>"021651"</f>
        <v>021651</v>
      </c>
      <c r="C727" t="str">
        <f>"54196"</f>
        <v>54196</v>
      </c>
      <c r="D727" t="s">
        <v>49</v>
      </c>
      <c r="E727" s="3">
        <v>50</v>
      </c>
      <c r="F727">
        <v>20160520</v>
      </c>
      <c r="G727" t="s">
        <v>50</v>
      </c>
      <c r="H727" t="s">
        <v>227</v>
      </c>
      <c r="I727">
        <v>0</v>
      </c>
      <c r="J727" t="s">
        <v>15</v>
      </c>
      <c r="K727" t="s">
        <v>52</v>
      </c>
      <c r="L727" t="s">
        <v>17</v>
      </c>
      <c r="M727" t="str">
        <f t="shared" si="44"/>
        <v>05</v>
      </c>
      <c r="N727" t="s">
        <v>12</v>
      </c>
    </row>
    <row r="728" spans="1:14" x14ac:dyDescent="0.25">
      <c r="A728">
        <v>20160520</v>
      </c>
      <c r="B728" t="str">
        <f>"021652"</f>
        <v>021652</v>
      </c>
      <c r="C728" t="str">
        <f>"72601"</f>
        <v>72601</v>
      </c>
      <c r="D728" t="s">
        <v>53</v>
      </c>
      <c r="E728" s="3">
        <v>238.02</v>
      </c>
      <c r="F728">
        <v>20160520</v>
      </c>
      <c r="G728" t="s">
        <v>54</v>
      </c>
      <c r="H728" t="s">
        <v>225</v>
      </c>
      <c r="I728">
        <v>0</v>
      </c>
      <c r="J728" t="s">
        <v>15</v>
      </c>
      <c r="K728" t="s">
        <v>55</v>
      </c>
      <c r="L728" t="s">
        <v>17</v>
      </c>
      <c r="M728" t="str">
        <f t="shared" si="44"/>
        <v>05</v>
      </c>
      <c r="N728" t="s">
        <v>12</v>
      </c>
    </row>
    <row r="729" spans="1:14" x14ac:dyDescent="0.25">
      <c r="A729">
        <v>20160520</v>
      </c>
      <c r="B729" t="str">
        <f>"021653"</f>
        <v>021653</v>
      </c>
      <c r="C729" t="str">
        <f>"75452"</f>
        <v>75452</v>
      </c>
      <c r="D729" t="s">
        <v>56</v>
      </c>
      <c r="E729" s="3">
        <v>550.84</v>
      </c>
      <c r="F729">
        <v>20160520</v>
      </c>
      <c r="G729" t="s">
        <v>57</v>
      </c>
      <c r="H729" t="s">
        <v>224</v>
      </c>
      <c r="I729">
        <v>0</v>
      </c>
      <c r="J729" t="s">
        <v>15</v>
      </c>
      <c r="K729" t="s">
        <v>58</v>
      </c>
      <c r="L729" t="s">
        <v>17</v>
      </c>
      <c r="M729" t="str">
        <f t="shared" si="44"/>
        <v>05</v>
      </c>
      <c r="N729" t="s">
        <v>12</v>
      </c>
    </row>
    <row r="730" spans="1:14" x14ac:dyDescent="0.25">
      <c r="A730">
        <v>20160520</v>
      </c>
      <c r="B730" t="str">
        <f>"021654"</f>
        <v>021654</v>
      </c>
      <c r="C730" t="str">
        <f>"81173"</f>
        <v>81173</v>
      </c>
      <c r="D730" t="s">
        <v>59</v>
      </c>
      <c r="E730" s="3">
        <v>25</v>
      </c>
      <c r="F730">
        <v>20160520</v>
      </c>
      <c r="G730" t="s">
        <v>60</v>
      </c>
      <c r="H730" t="s">
        <v>225</v>
      </c>
      <c r="I730">
        <v>0</v>
      </c>
      <c r="J730" t="s">
        <v>15</v>
      </c>
      <c r="K730" t="s">
        <v>61</v>
      </c>
      <c r="L730" t="s">
        <v>17</v>
      </c>
      <c r="M730" t="str">
        <f t="shared" si="44"/>
        <v>05</v>
      </c>
      <c r="N730" t="s">
        <v>12</v>
      </c>
    </row>
    <row r="731" spans="1:14" x14ac:dyDescent="0.25">
      <c r="A731">
        <v>20160520</v>
      </c>
      <c r="B731" t="str">
        <f>"021655"</f>
        <v>021655</v>
      </c>
      <c r="C731" t="str">
        <f>"81174"</f>
        <v>81174</v>
      </c>
      <c r="D731" t="s">
        <v>62</v>
      </c>
      <c r="E731" s="3">
        <v>60</v>
      </c>
      <c r="F731">
        <v>20160520</v>
      </c>
      <c r="G731" t="s">
        <v>63</v>
      </c>
      <c r="H731" t="s">
        <v>225</v>
      </c>
      <c r="I731">
        <v>0</v>
      </c>
      <c r="J731" t="s">
        <v>15</v>
      </c>
      <c r="K731" t="s">
        <v>64</v>
      </c>
      <c r="L731" t="s">
        <v>17</v>
      </c>
      <c r="M731" t="str">
        <f t="shared" si="44"/>
        <v>05</v>
      </c>
      <c r="N731" t="s">
        <v>12</v>
      </c>
    </row>
    <row r="732" spans="1:14" x14ac:dyDescent="0.25">
      <c r="A732">
        <v>20160520</v>
      </c>
      <c r="B732" t="str">
        <f>"021656"</f>
        <v>021656</v>
      </c>
      <c r="C732" t="str">
        <f>"81177"</f>
        <v>81177</v>
      </c>
      <c r="D732" t="s">
        <v>65</v>
      </c>
      <c r="E732" s="3">
        <v>66.67</v>
      </c>
      <c r="F732">
        <v>20160520</v>
      </c>
      <c r="G732" t="s">
        <v>134</v>
      </c>
      <c r="H732" t="s">
        <v>225</v>
      </c>
      <c r="I732">
        <v>0</v>
      </c>
      <c r="J732" t="s">
        <v>15</v>
      </c>
      <c r="K732" t="s">
        <v>135</v>
      </c>
      <c r="L732" t="s">
        <v>17</v>
      </c>
      <c r="M732" t="str">
        <f t="shared" si="44"/>
        <v>05</v>
      </c>
      <c r="N732" t="s">
        <v>12</v>
      </c>
    </row>
    <row r="733" spans="1:14" x14ac:dyDescent="0.25">
      <c r="A733">
        <v>20160513</v>
      </c>
      <c r="B733" t="str">
        <f>"021657"</f>
        <v>021657</v>
      </c>
      <c r="C733" t="str">
        <f>"82168"</f>
        <v>82168</v>
      </c>
      <c r="D733" t="s">
        <v>236</v>
      </c>
      <c r="E733" s="3">
        <v>225</v>
      </c>
      <c r="F733">
        <v>20160526</v>
      </c>
      <c r="G733" t="s">
        <v>74</v>
      </c>
      <c r="H733" t="s">
        <v>237</v>
      </c>
      <c r="I733">
        <v>0</v>
      </c>
      <c r="J733" t="s">
        <v>15</v>
      </c>
      <c r="K733" t="s">
        <v>75</v>
      </c>
      <c r="L733" t="s">
        <v>17</v>
      </c>
      <c r="M733" t="str">
        <f t="shared" si="44"/>
        <v>05</v>
      </c>
      <c r="N733" t="s">
        <v>12</v>
      </c>
    </row>
    <row r="734" spans="1:14" x14ac:dyDescent="0.25">
      <c r="A734">
        <v>20160603</v>
      </c>
      <c r="B734" t="str">
        <f>"021741"</f>
        <v>021741</v>
      </c>
      <c r="C734" t="str">
        <f>"04831"</f>
        <v>04831</v>
      </c>
      <c r="D734" t="s">
        <v>11</v>
      </c>
      <c r="E734" s="3">
        <v>16.77</v>
      </c>
      <c r="F734">
        <v>20160603</v>
      </c>
      <c r="G734" t="s">
        <v>13</v>
      </c>
      <c r="H734" t="s">
        <v>238</v>
      </c>
      <c r="I734">
        <v>0</v>
      </c>
      <c r="J734" t="s">
        <v>15</v>
      </c>
      <c r="K734" t="s">
        <v>16</v>
      </c>
      <c r="L734" t="s">
        <v>17</v>
      </c>
      <c r="M734" t="str">
        <f t="shared" ref="M734:M765" si="45">"06"</f>
        <v>06</v>
      </c>
      <c r="N734" t="s">
        <v>12</v>
      </c>
    </row>
    <row r="735" spans="1:14" x14ac:dyDescent="0.25">
      <c r="A735">
        <v>20160603</v>
      </c>
      <c r="B735" t="str">
        <f>"021741"</f>
        <v>021741</v>
      </c>
      <c r="C735" t="str">
        <f>"04831"</f>
        <v>04831</v>
      </c>
      <c r="D735" t="s">
        <v>11</v>
      </c>
      <c r="E735" s="3">
        <v>78.66</v>
      </c>
      <c r="F735">
        <v>20160603</v>
      </c>
      <c r="G735" t="s">
        <v>239</v>
      </c>
      <c r="H735" t="s">
        <v>238</v>
      </c>
      <c r="I735">
        <v>0</v>
      </c>
      <c r="J735" t="s">
        <v>15</v>
      </c>
      <c r="K735" t="s">
        <v>240</v>
      </c>
      <c r="L735" t="s">
        <v>17</v>
      </c>
      <c r="M735" t="str">
        <f t="shared" si="45"/>
        <v>06</v>
      </c>
      <c r="N735" t="s">
        <v>12</v>
      </c>
    </row>
    <row r="736" spans="1:14" x14ac:dyDescent="0.25">
      <c r="A736">
        <v>20160603</v>
      </c>
      <c r="B736" t="str">
        <f>"021742"</f>
        <v>021742</v>
      </c>
      <c r="C736" t="str">
        <f>"04905"</f>
        <v>04905</v>
      </c>
      <c r="D736" t="s">
        <v>18</v>
      </c>
      <c r="E736" s="3">
        <v>18.329999999999998</v>
      </c>
      <c r="F736">
        <v>20160603</v>
      </c>
      <c r="G736" t="s">
        <v>19</v>
      </c>
      <c r="H736" t="s">
        <v>241</v>
      </c>
      <c r="I736">
        <v>0</v>
      </c>
      <c r="J736" t="s">
        <v>15</v>
      </c>
      <c r="K736" t="s">
        <v>21</v>
      </c>
      <c r="L736" t="s">
        <v>17</v>
      </c>
      <c r="M736" t="str">
        <f t="shared" si="45"/>
        <v>06</v>
      </c>
      <c r="N736" t="s">
        <v>12</v>
      </c>
    </row>
    <row r="737" spans="1:14" x14ac:dyDescent="0.25">
      <c r="A737">
        <v>20160603</v>
      </c>
      <c r="B737" t="str">
        <f>"021743"</f>
        <v>021743</v>
      </c>
      <c r="C737" t="str">
        <f>"04987"</f>
        <v>04987</v>
      </c>
      <c r="D737" t="s">
        <v>144</v>
      </c>
      <c r="E737" s="3">
        <v>13.76</v>
      </c>
      <c r="F737">
        <v>20160603</v>
      </c>
      <c r="G737" t="s">
        <v>35</v>
      </c>
      <c r="H737" t="s">
        <v>238</v>
      </c>
      <c r="I737">
        <v>0</v>
      </c>
      <c r="J737" t="s">
        <v>15</v>
      </c>
      <c r="K737" t="s">
        <v>36</v>
      </c>
      <c r="L737" t="s">
        <v>17</v>
      </c>
      <c r="M737" t="str">
        <f t="shared" si="45"/>
        <v>06</v>
      </c>
      <c r="N737" t="s">
        <v>12</v>
      </c>
    </row>
    <row r="738" spans="1:14" x14ac:dyDescent="0.25">
      <c r="A738">
        <v>20160603</v>
      </c>
      <c r="B738" t="str">
        <f>"021743"</f>
        <v>021743</v>
      </c>
      <c r="C738" t="str">
        <f>"04987"</f>
        <v>04987</v>
      </c>
      <c r="D738" t="s">
        <v>144</v>
      </c>
      <c r="E738" s="3">
        <v>27.96</v>
      </c>
      <c r="F738">
        <v>20160603</v>
      </c>
      <c r="G738" t="s">
        <v>242</v>
      </c>
      <c r="H738" t="s">
        <v>238</v>
      </c>
      <c r="I738">
        <v>0</v>
      </c>
      <c r="J738" t="s">
        <v>15</v>
      </c>
      <c r="K738" t="s">
        <v>243</v>
      </c>
      <c r="L738" t="s">
        <v>17</v>
      </c>
      <c r="M738" t="str">
        <f t="shared" si="45"/>
        <v>06</v>
      </c>
      <c r="N738" t="s">
        <v>12</v>
      </c>
    </row>
    <row r="739" spans="1:14" x14ac:dyDescent="0.25">
      <c r="A739">
        <v>20160603</v>
      </c>
      <c r="B739" t="str">
        <f>"021744"</f>
        <v>021744</v>
      </c>
      <c r="C739" t="str">
        <f>"07880"</f>
        <v>07880</v>
      </c>
      <c r="D739" t="s">
        <v>25</v>
      </c>
      <c r="E739" s="3">
        <v>158.41999999999999</v>
      </c>
      <c r="F739">
        <v>20160603</v>
      </c>
      <c r="G739" t="s">
        <v>26</v>
      </c>
      <c r="H739" t="s">
        <v>241</v>
      </c>
      <c r="I739">
        <v>0</v>
      </c>
      <c r="J739" t="s">
        <v>15</v>
      </c>
      <c r="K739" t="s">
        <v>27</v>
      </c>
      <c r="L739" t="s">
        <v>17</v>
      </c>
      <c r="M739" t="str">
        <f t="shared" si="45"/>
        <v>06</v>
      </c>
      <c r="N739" t="s">
        <v>12</v>
      </c>
    </row>
    <row r="740" spans="1:14" x14ac:dyDescent="0.25">
      <c r="A740">
        <v>20160603</v>
      </c>
      <c r="B740" t="str">
        <f>"021745"</f>
        <v>021745</v>
      </c>
      <c r="C740" t="str">
        <f>"11211"</f>
        <v>11211</v>
      </c>
      <c r="D740" t="s">
        <v>28</v>
      </c>
      <c r="E740" s="3">
        <v>120.95</v>
      </c>
      <c r="F740">
        <v>20160603</v>
      </c>
      <c r="G740" t="s">
        <v>29</v>
      </c>
      <c r="H740" t="s">
        <v>238</v>
      </c>
      <c r="I740">
        <v>0</v>
      </c>
      <c r="J740" t="s">
        <v>15</v>
      </c>
      <c r="K740" t="s">
        <v>30</v>
      </c>
      <c r="L740" t="s">
        <v>17</v>
      </c>
      <c r="M740" t="str">
        <f t="shared" si="45"/>
        <v>06</v>
      </c>
      <c r="N740" t="s">
        <v>12</v>
      </c>
    </row>
    <row r="741" spans="1:14" x14ac:dyDescent="0.25">
      <c r="A741">
        <v>20160603</v>
      </c>
      <c r="B741" t="str">
        <f>"021745"</f>
        <v>021745</v>
      </c>
      <c r="C741" t="str">
        <f>"11211"</f>
        <v>11211</v>
      </c>
      <c r="D741" t="s">
        <v>28</v>
      </c>
      <c r="E741" s="3">
        <v>43.8</v>
      </c>
      <c r="F741">
        <v>20160603</v>
      </c>
      <c r="G741" t="s">
        <v>244</v>
      </c>
      <c r="H741" t="s">
        <v>238</v>
      </c>
      <c r="I741">
        <v>0</v>
      </c>
      <c r="J741" t="s">
        <v>15</v>
      </c>
      <c r="K741" t="s">
        <v>245</v>
      </c>
      <c r="L741" t="s">
        <v>17</v>
      </c>
      <c r="M741" t="str">
        <f t="shared" si="45"/>
        <v>06</v>
      </c>
      <c r="N741" t="s">
        <v>12</v>
      </c>
    </row>
    <row r="742" spans="1:14" x14ac:dyDescent="0.25">
      <c r="A742">
        <v>20160603</v>
      </c>
      <c r="B742" t="str">
        <f>"021746"</f>
        <v>021746</v>
      </c>
      <c r="C742" t="str">
        <f>"14177"</f>
        <v>14177</v>
      </c>
      <c r="D742" t="s">
        <v>31</v>
      </c>
      <c r="E742" s="3">
        <v>25</v>
      </c>
      <c r="F742">
        <v>20160603</v>
      </c>
      <c r="G742" t="s">
        <v>32</v>
      </c>
      <c r="H742" t="s">
        <v>241</v>
      </c>
      <c r="I742">
        <v>0</v>
      </c>
      <c r="J742" t="s">
        <v>15</v>
      </c>
      <c r="K742" t="s">
        <v>33</v>
      </c>
      <c r="L742" t="s">
        <v>17</v>
      </c>
      <c r="M742" t="str">
        <f t="shared" si="45"/>
        <v>06</v>
      </c>
      <c r="N742" t="s">
        <v>12</v>
      </c>
    </row>
    <row r="743" spans="1:14" x14ac:dyDescent="0.25">
      <c r="A743">
        <v>20160603</v>
      </c>
      <c r="B743" t="str">
        <f>"021747"</f>
        <v>021747</v>
      </c>
      <c r="C743" t="str">
        <f>"21826"</f>
        <v>21826</v>
      </c>
      <c r="D743" t="s">
        <v>82</v>
      </c>
      <c r="E743" s="3">
        <v>28.53</v>
      </c>
      <c r="F743">
        <v>20160603</v>
      </c>
      <c r="G743" t="s">
        <v>83</v>
      </c>
      <c r="H743" t="s">
        <v>241</v>
      </c>
      <c r="I743">
        <v>0</v>
      </c>
      <c r="J743" t="s">
        <v>15</v>
      </c>
      <c r="K743" t="s">
        <v>84</v>
      </c>
      <c r="L743" t="s">
        <v>17</v>
      </c>
      <c r="M743" t="str">
        <f t="shared" si="45"/>
        <v>06</v>
      </c>
      <c r="N743" t="s">
        <v>12</v>
      </c>
    </row>
    <row r="744" spans="1:14" x14ac:dyDescent="0.25">
      <c r="A744">
        <v>20160603</v>
      </c>
      <c r="B744" t="str">
        <f>"021748"</f>
        <v>021748</v>
      </c>
      <c r="C744" t="str">
        <f>"24960"</f>
        <v>24960</v>
      </c>
      <c r="D744" t="s">
        <v>39</v>
      </c>
      <c r="E744" s="3">
        <v>196.51</v>
      </c>
      <c r="F744">
        <v>20160603</v>
      </c>
      <c r="G744" t="s">
        <v>40</v>
      </c>
      <c r="H744" t="s">
        <v>246</v>
      </c>
      <c r="I744">
        <v>0</v>
      </c>
      <c r="J744" t="s">
        <v>15</v>
      </c>
      <c r="K744" t="s">
        <v>42</v>
      </c>
      <c r="L744" t="s">
        <v>17</v>
      </c>
      <c r="M744" t="str">
        <f t="shared" si="45"/>
        <v>06</v>
      </c>
      <c r="N744" t="s">
        <v>12</v>
      </c>
    </row>
    <row r="745" spans="1:14" x14ac:dyDescent="0.25">
      <c r="A745">
        <v>20160603</v>
      </c>
      <c r="B745" t="str">
        <f>"021748"</f>
        <v>021748</v>
      </c>
      <c r="C745" t="str">
        <f>"24960"</f>
        <v>24960</v>
      </c>
      <c r="D745" t="s">
        <v>39</v>
      </c>
      <c r="E745" s="3">
        <v>86.34</v>
      </c>
      <c r="F745">
        <v>20160603</v>
      </c>
      <c r="G745" t="s">
        <v>247</v>
      </c>
      <c r="H745" t="s">
        <v>246</v>
      </c>
      <c r="I745">
        <v>0</v>
      </c>
      <c r="J745" t="s">
        <v>15</v>
      </c>
      <c r="K745" t="s">
        <v>248</v>
      </c>
      <c r="L745" t="s">
        <v>17</v>
      </c>
      <c r="M745" t="str">
        <f t="shared" si="45"/>
        <v>06</v>
      </c>
      <c r="N745" t="s">
        <v>12</v>
      </c>
    </row>
    <row r="746" spans="1:14" x14ac:dyDescent="0.25">
      <c r="A746">
        <v>20160603</v>
      </c>
      <c r="B746" t="str">
        <f>"021749"</f>
        <v>021749</v>
      </c>
      <c r="C746" t="str">
        <f>"42245"</f>
        <v>42245</v>
      </c>
      <c r="D746" t="s">
        <v>43</v>
      </c>
      <c r="E746" s="3">
        <v>273.45999999999998</v>
      </c>
      <c r="F746">
        <v>20160603</v>
      </c>
      <c r="G746" t="s">
        <v>44</v>
      </c>
      <c r="H746" t="s">
        <v>238</v>
      </c>
      <c r="I746">
        <v>0</v>
      </c>
      <c r="J746" t="s">
        <v>15</v>
      </c>
      <c r="K746" t="s">
        <v>45</v>
      </c>
      <c r="L746" t="s">
        <v>17</v>
      </c>
      <c r="M746" t="str">
        <f t="shared" si="45"/>
        <v>06</v>
      </c>
      <c r="N746" t="s">
        <v>12</v>
      </c>
    </row>
    <row r="747" spans="1:14" x14ac:dyDescent="0.25">
      <c r="A747">
        <v>20160603</v>
      </c>
      <c r="B747" t="str">
        <f>"021749"</f>
        <v>021749</v>
      </c>
      <c r="C747" t="str">
        <f>"42245"</f>
        <v>42245</v>
      </c>
      <c r="D747" t="s">
        <v>43</v>
      </c>
      <c r="E747" s="3">
        <v>77.400000000000006</v>
      </c>
      <c r="F747">
        <v>20160603</v>
      </c>
      <c r="G747" t="s">
        <v>249</v>
      </c>
      <c r="H747" t="s">
        <v>238</v>
      </c>
      <c r="I747">
        <v>0</v>
      </c>
      <c r="J747" t="s">
        <v>15</v>
      </c>
      <c r="K747" t="s">
        <v>250</v>
      </c>
      <c r="L747" t="s">
        <v>17</v>
      </c>
      <c r="M747" t="str">
        <f t="shared" si="45"/>
        <v>06</v>
      </c>
      <c r="N747" t="s">
        <v>12</v>
      </c>
    </row>
    <row r="748" spans="1:14" x14ac:dyDescent="0.25">
      <c r="A748">
        <v>20160603</v>
      </c>
      <c r="B748" t="str">
        <f>"021750"</f>
        <v>021750</v>
      </c>
      <c r="C748" t="str">
        <f>"48947"</f>
        <v>48947</v>
      </c>
      <c r="D748" t="s">
        <v>46</v>
      </c>
      <c r="E748" s="3">
        <v>25.38</v>
      </c>
      <c r="F748">
        <v>20160603</v>
      </c>
      <c r="G748" t="s">
        <v>47</v>
      </c>
      <c r="H748" t="s">
        <v>246</v>
      </c>
      <c r="I748">
        <v>0</v>
      </c>
      <c r="J748" t="s">
        <v>15</v>
      </c>
      <c r="K748" t="s">
        <v>48</v>
      </c>
      <c r="L748" t="s">
        <v>17</v>
      </c>
      <c r="M748" t="str">
        <f t="shared" si="45"/>
        <v>06</v>
      </c>
      <c r="N748" t="s">
        <v>12</v>
      </c>
    </row>
    <row r="749" spans="1:14" x14ac:dyDescent="0.25">
      <c r="A749">
        <v>20160603</v>
      </c>
      <c r="B749" t="str">
        <f>"021751"</f>
        <v>021751</v>
      </c>
      <c r="C749" t="str">
        <f>"54196"</f>
        <v>54196</v>
      </c>
      <c r="D749" t="s">
        <v>49</v>
      </c>
      <c r="E749" s="3">
        <v>50</v>
      </c>
      <c r="F749">
        <v>20160603</v>
      </c>
      <c r="G749" t="s">
        <v>50</v>
      </c>
      <c r="H749" t="s">
        <v>251</v>
      </c>
      <c r="I749">
        <v>0</v>
      </c>
      <c r="J749" t="s">
        <v>15</v>
      </c>
      <c r="K749" t="s">
        <v>52</v>
      </c>
      <c r="L749" t="s">
        <v>17</v>
      </c>
      <c r="M749" t="str">
        <f t="shared" si="45"/>
        <v>06</v>
      </c>
      <c r="N749" t="s">
        <v>12</v>
      </c>
    </row>
    <row r="750" spans="1:14" x14ac:dyDescent="0.25">
      <c r="A750">
        <v>20160603</v>
      </c>
      <c r="B750" t="str">
        <f>"021752"</f>
        <v>021752</v>
      </c>
      <c r="C750" t="str">
        <f>"72601"</f>
        <v>72601</v>
      </c>
      <c r="D750" t="s">
        <v>53</v>
      </c>
      <c r="E750" s="3">
        <v>199.78</v>
      </c>
      <c r="F750">
        <v>20160603</v>
      </c>
      <c r="G750" t="s">
        <v>54</v>
      </c>
      <c r="H750" t="s">
        <v>241</v>
      </c>
      <c r="I750">
        <v>0</v>
      </c>
      <c r="J750" t="s">
        <v>15</v>
      </c>
      <c r="K750" t="s">
        <v>55</v>
      </c>
      <c r="L750" t="s">
        <v>17</v>
      </c>
      <c r="M750" t="str">
        <f t="shared" si="45"/>
        <v>06</v>
      </c>
      <c r="N750" t="s">
        <v>12</v>
      </c>
    </row>
    <row r="751" spans="1:14" x14ac:dyDescent="0.25">
      <c r="A751">
        <v>20160603</v>
      </c>
      <c r="B751" t="str">
        <f>"021752"</f>
        <v>021752</v>
      </c>
      <c r="C751" t="str">
        <f>"72601"</f>
        <v>72601</v>
      </c>
      <c r="D751" t="s">
        <v>53</v>
      </c>
      <c r="E751" s="3">
        <v>107.48</v>
      </c>
      <c r="F751">
        <v>20160603</v>
      </c>
      <c r="G751" t="s">
        <v>252</v>
      </c>
      <c r="H751" t="s">
        <v>241</v>
      </c>
      <c r="I751">
        <v>0</v>
      </c>
      <c r="J751" t="s">
        <v>15</v>
      </c>
      <c r="K751" t="s">
        <v>253</v>
      </c>
      <c r="L751" t="s">
        <v>17</v>
      </c>
      <c r="M751" t="str">
        <f t="shared" si="45"/>
        <v>06</v>
      </c>
      <c r="N751" t="s">
        <v>12</v>
      </c>
    </row>
    <row r="752" spans="1:14" x14ac:dyDescent="0.25">
      <c r="A752">
        <v>20160603</v>
      </c>
      <c r="B752" t="str">
        <f>"021753"</f>
        <v>021753</v>
      </c>
      <c r="C752" t="str">
        <f>"75452"</f>
        <v>75452</v>
      </c>
      <c r="D752" t="s">
        <v>56</v>
      </c>
      <c r="E752" s="3">
        <v>250.84</v>
      </c>
      <c r="F752">
        <v>20160603</v>
      </c>
      <c r="G752" t="s">
        <v>57</v>
      </c>
      <c r="H752" t="s">
        <v>238</v>
      </c>
      <c r="I752">
        <v>0</v>
      </c>
      <c r="J752" t="s">
        <v>15</v>
      </c>
      <c r="K752" t="s">
        <v>58</v>
      </c>
      <c r="L752" t="s">
        <v>17</v>
      </c>
      <c r="M752" t="str">
        <f t="shared" si="45"/>
        <v>06</v>
      </c>
      <c r="N752" t="s">
        <v>12</v>
      </c>
    </row>
    <row r="753" spans="1:14" x14ac:dyDescent="0.25">
      <c r="A753">
        <v>20160603</v>
      </c>
      <c r="B753" t="str">
        <f>"021753"</f>
        <v>021753</v>
      </c>
      <c r="C753" t="str">
        <f>"75452"</f>
        <v>75452</v>
      </c>
      <c r="D753" t="s">
        <v>56</v>
      </c>
      <c r="E753" s="3">
        <v>150</v>
      </c>
      <c r="F753">
        <v>20160603</v>
      </c>
      <c r="G753" t="s">
        <v>254</v>
      </c>
      <c r="H753" t="s">
        <v>238</v>
      </c>
      <c r="I753">
        <v>0</v>
      </c>
      <c r="J753" t="s">
        <v>15</v>
      </c>
      <c r="K753" t="s">
        <v>255</v>
      </c>
      <c r="L753" t="s">
        <v>17</v>
      </c>
      <c r="M753" t="str">
        <f t="shared" si="45"/>
        <v>06</v>
      </c>
      <c r="N753" t="s">
        <v>12</v>
      </c>
    </row>
    <row r="754" spans="1:14" x14ac:dyDescent="0.25">
      <c r="A754">
        <v>20160603</v>
      </c>
      <c r="B754" t="str">
        <f>"021754"</f>
        <v>021754</v>
      </c>
      <c r="C754" t="str">
        <f>"81173"</f>
        <v>81173</v>
      </c>
      <c r="D754" t="s">
        <v>59</v>
      </c>
      <c r="E754" s="3">
        <v>25</v>
      </c>
      <c r="F754">
        <v>20160603</v>
      </c>
      <c r="G754" t="s">
        <v>60</v>
      </c>
      <c r="H754" t="s">
        <v>241</v>
      </c>
      <c r="I754">
        <v>0</v>
      </c>
      <c r="J754" t="s">
        <v>15</v>
      </c>
      <c r="K754" t="s">
        <v>61</v>
      </c>
      <c r="L754" t="s">
        <v>17</v>
      </c>
      <c r="M754" t="str">
        <f t="shared" si="45"/>
        <v>06</v>
      </c>
      <c r="N754" t="s">
        <v>12</v>
      </c>
    </row>
    <row r="755" spans="1:14" x14ac:dyDescent="0.25">
      <c r="A755">
        <v>20160603</v>
      </c>
      <c r="B755" t="str">
        <f>"021755"</f>
        <v>021755</v>
      </c>
      <c r="C755" t="str">
        <f>"81174"</f>
        <v>81174</v>
      </c>
      <c r="D755" t="s">
        <v>62</v>
      </c>
      <c r="E755" s="3">
        <v>25</v>
      </c>
      <c r="F755">
        <v>20160603</v>
      </c>
      <c r="G755" t="s">
        <v>63</v>
      </c>
      <c r="H755" t="s">
        <v>241</v>
      </c>
      <c r="I755">
        <v>0</v>
      </c>
      <c r="J755" t="s">
        <v>15</v>
      </c>
      <c r="K755" t="s">
        <v>64</v>
      </c>
      <c r="L755" t="s">
        <v>17</v>
      </c>
      <c r="M755" t="str">
        <f t="shared" si="45"/>
        <v>06</v>
      </c>
      <c r="N755" t="s">
        <v>12</v>
      </c>
    </row>
    <row r="756" spans="1:14" x14ac:dyDescent="0.25">
      <c r="A756">
        <v>20160603</v>
      </c>
      <c r="B756" t="str">
        <f>"021756"</f>
        <v>021756</v>
      </c>
      <c r="C756" t="str">
        <f>"81177"</f>
        <v>81177</v>
      </c>
      <c r="D756" t="s">
        <v>65</v>
      </c>
      <c r="E756" s="3">
        <v>66.67</v>
      </c>
      <c r="F756">
        <v>20160603</v>
      </c>
      <c r="G756" t="s">
        <v>134</v>
      </c>
      <c r="H756" t="s">
        <v>241</v>
      </c>
      <c r="I756">
        <v>0</v>
      </c>
      <c r="J756" t="s">
        <v>15</v>
      </c>
      <c r="K756" t="s">
        <v>135</v>
      </c>
      <c r="L756" t="s">
        <v>17</v>
      </c>
      <c r="M756" t="str">
        <f t="shared" si="45"/>
        <v>06</v>
      </c>
      <c r="N756" t="s">
        <v>12</v>
      </c>
    </row>
    <row r="757" spans="1:14" x14ac:dyDescent="0.25">
      <c r="A757">
        <v>20160615</v>
      </c>
      <c r="B757" t="str">
        <f>"021791"</f>
        <v>021791</v>
      </c>
      <c r="C757" t="str">
        <f>"04831"</f>
        <v>04831</v>
      </c>
      <c r="D757" t="s">
        <v>11</v>
      </c>
      <c r="E757" s="3">
        <v>1203.9100000000001</v>
      </c>
      <c r="F757">
        <v>20160615</v>
      </c>
      <c r="G757" t="s">
        <v>13</v>
      </c>
      <c r="H757" t="s">
        <v>238</v>
      </c>
      <c r="I757">
        <v>0</v>
      </c>
      <c r="J757" t="s">
        <v>15</v>
      </c>
      <c r="K757" t="s">
        <v>16</v>
      </c>
      <c r="L757" t="s">
        <v>17</v>
      </c>
      <c r="M757" t="str">
        <f t="shared" si="45"/>
        <v>06</v>
      </c>
      <c r="N757" t="s">
        <v>12</v>
      </c>
    </row>
    <row r="758" spans="1:14" x14ac:dyDescent="0.25">
      <c r="A758">
        <v>20160615</v>
      </c>
      <c r="B758" t="str">
        <f>"021792"</f>
        <v>021792</v>
      </c>
      <c r="C758" t="str">
        <f>"04905"</f>
        <v>04905</v>
      </c>
      <c r="D758" t="s">
        <v>18</v>
      </c>
      <c r="E758" s="3">
        <v>2667.91</v>
      </c>
      <c r="F758">
        <v>20160615</v>
      </c>
      <c r="G758" t="s">
        <v>19</v>
      </c>
      <c r="H758" t="s">
        <v>241</v>
      </c>
      <c r="I758">
        <v>0</v>
      </c>
      <c r="J758" t="s">
        <v>15</v>
      </c>
      <c r="K758" t="s">
        <v>21</v>
      </c>
      <c r="L758" t="s">
        <v>17</v>
      </c>
      <c r="M758" t="str">
        <f t="shared" si="45"/>
        <v>06</v>
      </c>
      <c r="N758" t="s">
        <v>12</v>
      </c>
    </row>
    <row r="759" spans="1:14" x14ac:dyDescent="0.25">
      <c r="A759">
        <v>20160615</v>
      </c>
      <c r="B759" t="str">
        <f>"021793"</f>
        <v>021793</v>
      </c>
      <c r="C759" t="str">
        <f>"04987"</f>
        <v>04987</v>
      </c>
      <c r="D759" t="s">
        <v>144</v>
      </c>
      <c r="E759" s="3">
        <v>468.56</v>
      </c>
      <c r="F759">
        <v>20160615</v>
      </c>
      <c r="G759" t="s">
        <v>35</v>
      </c>
      <c r="H759" t="s">
        <v>238</v>
      </c>
      <c r="I759">
        <v>0</v>
      </c>
      <c r="J759" t="s">
        <v>15</v>
      </c>
      <c r="K759" t="s">
        <v>36</v>
      </c>
      <c r="L759" t="s">
        <v>17</v>
      </c>
      <c r="M759" t="str">
        <f t="shared" si="45"/>
        <v>06</v>
      </c>
      <c r="N759" t="s">
        <v>12</v>
      </c>
    </row>
    <row r="760" spans="1:14" x14ac:dyDescent="0.25">
      <c r="A760">
        <v>20160615</v>
      </c>
      <c r="B760" t="str">
        <f>"021794"</f>
        <v>021794</v>
      </c>
      <c r="C760" t="str">
        <f>"07710"</f>
        <v>07710</v>
      </c>
      <c r="D760" t="s">
        <v>22</v>
      </c>
      <c r="E760" s="3">
        <v>208.51</v>
      </c>
      <c r="F760">
        <v>20160615</v>
      </c>
      <c r="G760" t="s">
        <v>23</v>
      </c>
      <c r="H760" t="s">
        <v>241</v>
      </c>
      <c r="I760">
        <v>0</v>
      </c>
      <c r="J760" t="s">
        <v>15</v>
      </c>
      <c r="K760" t="s">
        <v>24</v>
      </c>
      <c r="L760" t="s">
        <v>17</v>
      </c>
      <c r="M760" t="str">
        <f t="shared" si="45"/>
        <v>06</v>
      </c>
      <c r="N760" t="s">
        <v>12</v>
      </c>
    </row>
    <row r="761" spans="1:14" x14ac:dyDescent="0.25">
      <c r="A761">
        <v>20160615</v>
      </c>
      <c r="B761" t="str">
        <f>"021795"</f>
        <v>021795</v>
      </c>
      <c r="C761" t="str">
        <f>"07880"</f>
        <v>07880</v>
      </c>
      <c r="D761" t="s">
        <v>25</v>
      </c>
      <c r="E761" s="3">
        <v>4181.3999999999996</v>
      </c>
      <c r="F761">
        <v>20160615</v>
      </c>
      <c r="G761" t="s">
        <v>26</v>
      </c>
      <c r="H761" t="s">
        <v>241</v>
      </c>
      <c r="I761">
        <v>0</v>
      </c>
      <c r="J761" t="s">
        <v>15</v>
      </c>
      <c r="K761" t="s">
        <v>27</v>
      </c>
      <c r="L761" t="s">
        <v>17</v>
      </c>
      <c r="M761" t="str">
        <f t="shared" si="45"/>
        <v>06</v>
      </c>
      <c r="N761" t="s">
        <v>12</v>
      </c>
    </row>
    <row r="762" spans="1:14" x14ac:dyDescent="0.25">
      <c r="A762">
        <v>20160615</v>
      </c>
      <c r="B762" t="str">
        <f>"021796"</f>
        <v>021796</v>
      </c>
      <c r="C762" t="str">
        <f>"10095"</f>
        <v>10095</v>
      </c>
      <c r="D762" t="s">
        <v>70</v>
      </c>
      <c r="E762" s="3">
        <v>699.95</v>
      </c>
      <c r="F762">
        <v>20160615</v>
      </c>
      <c r="G762" t="s">
        <v>71</v>
      </c>
      <c r="H762" t="s">
        <v>241</v>
      </c>
      <c r="I762">
        <v>0</v>
      </c>
      <c r="J762" t="s">
        <v>15</v>
      </c>
      <c r="K762" t="s">
        <v>72</v>
      </c>
      <c r="L762" t="s">
        <v>17</v>
      </c>
      <c r="M762" t="str">
        <f t="shared" si="45"/>
        <v>06</v>
      </c>
      <c r="N762" t="s">
        <v>12</v>
      </c>
    </row>
    <row r="763" spans="1:14" x14ac:dyDescent="0.25">
      <c r="A763">
        <v>20160615</v>
      </c>
      <c r="B763" t="str">
        <f>"021797"</f>
        <v>021797</v>
      </c>
      <c r="C763" t="str">
        <f>"11211"</f>
        <v>11211</v>
      </c>
      <c r="D763" t="s">
        <v>28</v>
      </c>
      <c r="E763" s="3">
        <v>2257.63</v>
      </c>
      <c r="F763">
        <v>20160615</v>
      </c>
      <c r="G763" t="s">
        <v>29</v>
      </c>
      <c r="H763" t="s">
        <v>238</v>
      </c>
      <c r="I763">
        <v>0</v>
      </c>
      <c r="J763" t="s">
        <v>15</v>
      </c>
      <c r="K763" t="s">
        <v>30</v>
      </c>
      <c r="L763" t="s">
        <v>17</v>
      </c>
      <c r="M763" t="str">
        <f t="shared" si="45"/>
        <v>06</v>
      </c>
      <c r="N763" t="s">
        <v>12</v>
      </c>
    </row>
    <row r="764" spans="1:14" x14ac:dyDescent="0.25">
      <c r="A764">
        <v>20160615</v>
      </c>
      <c r="B764" t="str">
        <f>"021798"</f>
        <v>021798</v>
      </c>
      <c r="C764" t="str">
        <f>"14177"</f>
        <v>14177</v>
      </c>
      <c r="D764" t="s">
        <v>31</v>
      </c>
      <c r="E764" s="3">
        <v>37.5</v>
      </c>
      <c r="F764">
        <v>20160615</v>
      </c>
      <c r="G764" t="s">
        <v>32</v>
      </c>
      <c r="H764" t="s">
        <v>241</v>
      </c>
      <c r="I764">
        <v>0</v>
      </c>
      <c r="J764" t="s">
        <v>15</v>
      </c>
      <c r="K764" t="s">
        <v>33</v>
      </c>
      <c r="L764" t="s">
        <v>17</v>
      </c>
      <c r="M764" t="str">
        <f t="shared" si="45"/>
        <v>06</v>
      </c>
      <c r="N764" t="s">
        <v>12</v>
      </c>
    </row>
    <row r="765" spans="1:14" x14ac:dyDescent="0.25">
      <c r="A765">
        <v>20160615</v>
      </c>
      <c r="B765" t="str">
        <f>"021799"</f>
        <v>021799</v>
      </c>
      <c r="C765" t="str">
        <f>"20682"</f>
        <v>20682</v>
      </c>
      <c r="D765" t="s">
        <v>76</v>
      </c>
      <c r="E765" s="3">
        <v>4144.49</v>
      </c>
      <c r="F765">
        <v>20160615</v>
      </c>
      <c r="G765" t="s">
        <v>77</v>
      </c>
      <c r="H765" t="s">
        <v>241</v>
      </c>
      <c r="I765">
        <v>0</v>
      </c>
      <c r="J765" t="s">
        <v>15</v>
      </c>
      <c r="K765" t="s">
        <v>78</v>
      </c>
      <c r="L765" t="s">
        <v>17</v>
      </c>
      <c r="M765" t="str">
        <f t="shared" si="45"/>
        <v>06</v>
      </c>
      <c r="N765" t="s">
        <v>12</v>
      </c>
    </row>
    <row r="766" spans="1:14" x14ac:dyDescent="0.25">
      <c r="A766">
        <v>20160615</v>
      </c>
      <c r="B766" t="str">
        <f>"021800"</f>
        <v>021800</v>
      </c>
      <c r="C766" t="str">
        <f>"21504"</f>
        <v>21504</v>
      </c>
      <c r="D766" t="s">
        <v>79</v>
      </c>
      <c r="E766" s="3">
        <v>36.6</v>
      </c>
      <c r="F766">
        <v>20160615</v>
      </c>
      <c r="G766" t="s">
        <v>80</v>
      </c>
      <c r="H766" t="s">
        <v>238</v>
      </c>
      <c r="I766">
        <v>0</v>
      </c>
      <c r="J766" t="s">
        <v>15</v>
      </c>
      <c r="K766" t="s">
        <v>81</v>
      </c>
      <c r="L766" t="s">
        <v>17</v>
      </c>
      <c r="M766" t="str">
        <f t="shared" ref="M766:M797" si="46">"06"</f>
        <v>06</v>
      </c>
      <c r="N766" t="s">
        <v>12</v>
      </c>
    </row>
    <row r="767" spans="1:14" x14ac:dyDescent="0.25">
      <c r="A767">
        <v>20160615</v>
      </c>
      <c r="B767" t="str">
        <f>"021801"</f>
        <v>021801</v>
      </c>
      <c r="C767" t="str">
        <f>"21506"</f>
        <v>21506</v>
      </c>
      <c r="D767" t="s">
        <v>34</v>
      </c>
      <c r="E767" s="3">
        <v>301.45</v>
      </c>
      <c r="F767">
        <v>20160615</v>
      </c>
      <c r="G767" t="s">
        <v>37</v>
      </c>
      <c r="H767" t="s">
        <v>238</v>
      </c>
      <c r="I767">
        <v>0</v>
      </c>
      <c r="J767" t="s">
        <v>15</v>
      </c>
      <c r="K767" t="s">
        <v>38</v>
      </c>
      <c r="L767" t="s">
        <v>17</v>
      </c>
      <c r="M767" t="str">
        <f t="shared" si="46"/>
        <v>06</v>
      </c>
      <c r="N767" t="s">
        <v>12</v>
      </c>
    </row>
    <row r="768" spans="1:14" x14ac:dyDescent="0.25">
      <c r="A768">
        <v>20160615</v>
      </c>
      <c r="B768" t="str">
        <f>"021802"</f>
        <v>021802</v>
      </c>
      <c r="C768" t="str">
        <f>"21826"</f>
        <v>21826</v>
      </c>
      <c r="D768" t="s">
        <v>82</v>
      </c>
      <c r="E768" s="3">
        <v>462.53</v>
      </c>
      <c r="F768">
        <v>20160615</v>
      </c>
      <c r="G768" t="s">
        <v>83</v>
      </c>
      <c r="H768" t="s">
        <v>241</v>
      </c>
      <c r="I768">
        <v>0</v>
      </c>
      <c r="J768" t="s">
        <v>15</v>
      </c>
      <c r="K768" t="s">
        <v>84</v>
      </c>
      <c r="L768" t="s">
        <v>17</v>
      </c>
      <c r="M768" t="str">
        <f t="shared" si="46"/>
        <v>06</v>
      </c>
      <c r="N768" t="s">
        <v>12</v>
      </c>
    </row>
    <row r="769" spans="1:14" x14ac:dyDescent="0.25">
      <c r="A769">
        <v>20160615</v>
      </c>
      <c r="B769" t="str">
        <f>"021803"</f>
        <v>021803</v>
      </c>
      <c r="C769" t="str">
        <f>"24960"</f>
        <v>24960</v>
      </c>
      <c r="D769" t="s">
        <v>39</v>
      </c>
      <c r="E769" s="3">
        <v>3974.46</v>
      </c>
      <c r="F769">
        <v>20160615</v>
      </c>
      <c r="G769" t="s">
        <v>40</v>
      </c>
      <c r="H769" t="s">
        <v>246</v>
      </c>
      <c r="I769">
        <v>0</v>
      </c>
      <c r="J769" t="s">
        <v>15</v>
      </c>
      <c r="K769" t="s">
        <v>42</v>
      </c>
      <c r="L769" t="s">
        <v>17</v>
      </c>
      <c r="M769" t="str">
        <f t="shared" si="46"/>
        <v>06</v>
      </c>
      <c r="N769" t="s">
        <v>12</v>
      </c>
    </row>
    <row r="770" spans="1:14" x14ac:dyDescent="0.25">
      <c r="A770">
        <v>20160615</v>
      </c>
      <c r="B770" t="str">
        <f>"021804"</f>
        <v>021804</v>
      </c>
      <c r="C770" t="str">
        <f>"42245"</f>
        <v>42245</v>
      </c>
      <c r="D770" t="s">
        <v>43</v>
      </c>
      <c r="E770" s="3">
        <v>9497.98</v>
      </c>
      <c r="F770">
        <v>20160615</v>
      </c>
      <c r="G770" t="s">
        <v>44</v>
      </c>
      <c r="H770" t="s">
        <v>238</v>
      </c>
      <c r="I770">
        <v>0</v>
      </c>
      <c r="J770" t="s">
        <v>15</v>
      </c>
      <c r="K770" t="s">
        <v>45</v>
      </c>
      <c r="L770" t="s">
        <v>17</v>
      </c>
      <c r="M770" t="str">
        <f t="shared" si="46"/>
        <v>06</v>
      </c>
      <c r="N770" t="s">
        <v>12</v>
      </c>
    </row>
    <row r="771" spans="1:14" x14ac:dyDescent="0.25">
      <c r="A771">
        <v>20160615</v>
      </c>
      <c r="B771" t="str">
        <f>"021805"</f>
        <v>021805</v>
      </c>
      <c r="C771" t="str">
        <f>"43855"</f>
        <v>43855</v>
      </c>
      <c r="D771" t="s">
        <v>88</v>
      </c>
      <c r="E771" s="3">
        <v>250</v>
      </c>
      <c r="F771">
        <v>20160615</v>
      </c>
      <c r="G771" t="s">
        <v>89</v>
      </c>
      <c r="H771" t="s">
        <v>241</v>
      </c>
      <c r="I771">
        <v>0</v>
      </c>
      <c r="J771" t="s">
        <v>15</v>
      </c>
      <c r="K771" t="s">
        <v>88</v>
      </c>
      <c r="L771" t="s">
        <v>17</v>
      </c>
      <c r="M771" t="str">
        <f t="shared" si="46"/>
        <v>06</v>
      </c>
      <c r="N771" t="s">
        <v>12</v>
      </c>
    </row>
    <row r="772" spans="1:14" x14ac:dyDescent="0.25">
      <c r="A772">
        <v>20160615</v>
      </c>
      <c r="B772" t="str">
        <f>"021806"</f>
        <v>021806</v>
      </c>
      <c r="C772" t="str">
        <f>"48947"</f>
        <v>48947</v>
      </c>
      <c r="D772" t="s">
        <v>46</v>
      </c>
      <c r="E772" s="3">
        <v>1419.97</v>
      </c>
      <c r="F772">
        <v>20160615</v>
      </c>
      <c r="G772" t="s">
        <v>47</v>
      </c>
      <c r="H772" t="s">
        <v>246</v>
      </c>
      <c r="I772">
        <v>0</v>
      </c>
      <c r="J772" t="s">
        <v>15</v>
      </c>
      <c r="K772" t="s">
        <v>48</v>
      </c>
      <c r="L772" t="s">
        <v>17</v>
      </c>
      <c r="M772" t="str">
        <f t="shared" si="46"/>
        <v>06</v>
      </c>
      <c r="N772" t="s">
        <v>12</v>
      </c>
    </row>
    <row r="773" spans="1:14" x14ac:dyDescent="0.25">
      <c r="A773">
        <v>20160615</v>
      </c>
      <c r="B773" t="str">
        <f t="shared" ref="B773:B789" si="47">"021807"</f>
        <v>021807</v>
      </c>
      <c r="C773" t="str">
        <f t="shared" ref="C773:C789" si="48">"54196"</f>
        <v>54196</v>
      </c>
      <c r="D773" t="s">
        <v>49</v>
      </c>
      <c r="E773" s="3">
        <v>50</v>
      </c>
      <c r="F773">
        <v>20160615</v>
      </c>
      <c r="G773" t="s">
        <v>90</v>
      </c>
      <c r="H773" t="s">
        <v>251</v>
      </c>
      <c r="I773">
        <v>0</v>
      </c>
      <c r="J773" t="s">
        <v>15</v>
      </c>
      <c r="K773" t="s">
        <v>91</v>
      </c>
      <c r="L773" t="s">
        <v>17</v>
      </c>
      <c r="M773" t="str">
        <f t="shared" si="46"/>
        <v>06</v>
      </c>
      <c r="N773" t="s">
        <v>12</v>
      </c>
    </row>
    <row r="774" spans="1:14" x14ac:dyDescent="0.25">
      <c r="A774">
        <v>20160615</v>
      </c>
      <c r="B774" t="str">
        <f t="shared" si="47"/>
        <v>021807</v>
      </c>
      <c r="C774" t="str">
        <f t="shared" si="48"/>
        <v>54196</v>
      </c>
      <c r="D774" t="s">
        <v>49</v>
      </c>
      <c r="E774" s="3">
        <v>283</v>
      </c>
      <c r="F774">
        <v>20160615</v>
      </c>
      <c r="G774" t="s">
        <v>92</v>
      </c>
      <c r="H774" t="s">
        <v>251</v>
      </c>
      <c r="I774">
        <v>0</v>
      </c>
      <c r="J774" t="s">
        <v>15</v>
      </c>
      <c r="K774" t="s">
        <v>93</v>
      </c>
      <c r="L774" t="s">
        <v>17</v>
      </c>
      <c r="M774" t="str">
        <f t="shared" si="46"/>
        <v>06</v>
      </c>
      <c r="N774" t="s">
        <v>12</v>
      </c>
    </row>
    <row r="775" spans="1:14" x14ac:dyDescent="0.25">
      <c r="A775">
        <v>20160615</v>
      </c>
      <c r="B775" t="str">
        <f t="shared" si="47"/>
        <v>021807</v>
      </c>
      <c r="C775" t="str">
        <f t="shared" si="48"/>
        <v>54196</v>
      </c>
      <c r="D775" t="s">
        <v>49</v>
      </c>
      <c r="E775" s="3">
        <v>1590</v>
      </c>
      <c r="F775">
        <v>20160615</v>
      </c>
      <c r="G775" t="s">
        <v>94</v>
      </c>
      <c r="H775" t="s">
        <v>251</v>
      </c>
      <c r="I775">
        <v>0</v>
      </c>
      <c r="J775" t="s">
        <v>15</v>
      </c>
      <c r="K775" t="s">
        <v>95</v>
      </c>
      <c r="L775" t="s">
        <v>17</v>
      </c>
      <c r="M775" t="str">
        <f t="shared" si="46"/>
        <v>06</v>
      </c>
      <c r="N775" t="s">
        <v>12</v>
      </c>
    </row>
    <row r="776" spans="1:14" x14ac:dyDescent="0.25">
      <c r="A776">
        <v>20160615</v>
      </c>
      <c r="B776" t="str">
        <f t="shared" si="47"/>
        <v>021807</v>
      </c>
      <c r="C776" t="str">
        <f t="shared" si="48"/>
        <v>54196</v>
      </c>
      <c r="D776" t="s">
        <v>49</v>
      </c>
      <c r="E776" s="3">
        <v>2175</v>
      </c>
      <c r="F776">
        <v>20160615</v>
      </c>
      <c r="G776" t="s">
        <v>96</v>
      </c>
      <c r="H776" t="s">
        <v>251</v>
      </c>
      <c r="I776">
        <v>0</v>
      </c>
      <c r="J776" t="s">
        <v>15</v>
      </c>
      <c r="K776" t="s">
        <v>97</v>
      </c>
      <c r="L776" t="s">
        <v>17</v>
      </c>
      <c r="M776" t="str">
        <f t="shared" si="46"/>
        <v>06</v>
      </c>
      <c r="N776" t="s">
        <v>12</v>
      </c>
    </row>
    <row r="777" spans="1:14" x14ac:dyDescent="0.25">
      <c r="A777">
        <v>20160615</v>
      </c>
      <c r="B777" t="str">
        <f t="shared" si="47"/>
        <v>021807</v>
      </c>
      <c r="C777" t="str">
        <f t="shared" si="48"/>
        <v>54196</v>
      </c>
      <c r="D777" t="s">
        <v>49</v>
      </c>
      <c r="E777" s="3">
        <v>50</v>
      </c>
      <c r="F777">
        <v>20160615</v>
      </c>
      <c r="G777" t="s">
        <v>98</v>
      </c>
      <c r="H777" t="s">
        <v>251</v>
      </c>
      <c r="I777">
        <v>0</v>
      </c>
      <c r="J777" t="s">
        <v>15</v>
      </c>
      <c r="K777" t="s">
        <v>99</v>
      </c>
      <c r="L777" t="s">
        <v>17</v>
      </c>
      <c r="M777" t="str">
        <f t="shared" si="46"/>
        <v>06</v>
      </c>
      <c r="N777" t="s">
        <v>12</v>
      </c>
    </row>
    <row r="778" spans="1:14" x14ac:dyDescent="0.25">
      <c r="A778">
        <v>20160615</v>
      </c>
      <c r="B778" t="str">
        <f t="shared" si="47"/>
        <v>021807</v>
      </c>
      <c r="C778" t="str">
        <f t="shared" si="48"/>
        <v>54196</v>
      </c>
      <c r="D778" t="s">
        <v>49</v>
      </c>
      <c r="E778" s="3">
        <v>1230</v>
      </c>
      <c r="F778">
        <v>20160615</v>
      </c>
      <c r="G778" t="s">
        <v>100</v>
      </c>
      <c r="H778" t="s">
        <v>251</v>
      </c>
      <c r="I778">
        <v>0</v>
      </c>
      <c r="J778" t="s">
        <v>15</v>
      </c>
      <c r="K778" t="s">
        <v>101</v>
      </c>
      <c r="L778" t="s">
        <v>17</v>
      </c>
      <c r="M778" t="str">
        <f t="shared" si="46"/>
        <v>06</v>
      </c>
      <c r="N778" t="s">
        <v>12</v>
      </c>
    </row>
    <row r="779" spans="1:14" x14ac:dyDescent="0.25">
      <c r="A779">
        <v>20160615</v>
      </c>
      <c r="B779" t="str">
        <f t="shared" si="47"/>
        <v>021807</v>
      </c>
      <c r="C779" t="str">
        <f t="shared" si="48"/>
        <v>54196</v>
      </c>
      <c r="D779" t="s">
        <v>49</v>
      </c>
      <c r="E779" s="3">
        <v>2217</v>
      </c>
      <c r="F779">
        <v>20160615</v>
      </c>
      <c r="G779" t="s">
        <v>102</v>
      </c>
      <c r="H779" t="s">
        <v>251</v>
      </c>
      <c r="I779">
        <v>0</v>
      </c>
      <c r="J779" t="s">
        <v>15</v>
      </c>
      <c r="K779" t="s">
        <v>103</v>
      </c>
      <c r="L779" t="s">
        <v>17</v>
      </c>
      <c r="M779" t="str">
        <f t="shared" si="46"/>
        <v>06</v>
      </c>
      <c r="N779" t="s">
        <v>12</v>
      </c>
    </row>
    <row r="780" spans="1:14" x14ac:dyDescent="0.25">
      <c r="A780">
        <v>20160615</v>
      </c>
      <c r="B780" t="str">
        <f t="shared" si="47"/>
        <v>021807</v>
      </c>
      <c r="C780" t="str">
        <f t="shared" si="48"/>
        <v>54196</v>
      </c>
      <c r="D780" t="s">
        <v>49</v>
      </c>
      <c r="E780" s="3">
        <v>672</v>
      </c>
      <c r="F780">
        <v>20160615</v>
      </c>
      <c r="G780" t="s">
        <v>104</v>
      </c>
      <c r="H780" t="s">
        <v>251</v>
      </c>
      <c r="I780">
        <v>0</v>
      </c>
      <c r="J780" t="s">
        <v>15</v>
      </c>
      <c r="K780" t="s">
        <v>105</v>
      </c>
      <c r="L780" t="s">
        <v>17</v>
      </c>
      <c r="M780" t="str">
        <f t="shared" si="46"/>
        <v>06</v>
      </c>
      <c r="N780" t="s">
        <v>12</v>
      </c>
    </row>
    <row r="781" spans="1:14" x14ac:dyDescent="0.25">
      <c r="A781">
        <v>20160615</v>
      </c>
      <c r="B781" t="str">
        <f t="shared" si="47"/>
        <v>021807</v>
      </c>
      <c r="C781" t="str">
        <f t="shared" si="48"/>
        <v>54196</v>
      </c>
      <c r="D781" t="s">
        <v>49</v>
      </c>
      <c r="E781" s="3">
        <v>300</v>
      </c>
      <c r="F781">
        <v>20160615</v>
      </c>
      <c r="G781" t="s">
        <v>108</v>
      </c>
      <c r="H781" t="s">
        <v>251</v>
      </c>
      <c r="I781">
        <v>0</v>
      </c>
      <c r="J781" t="s">
        <v>15</v>
      </c>
      <c r="K781" t="s">
        <v>109</v>
      </c>
      <c r="L781" t="s">
        <v>17</v>
      </c>
      <c r="M781" t="str">
        <f t="shared" si="46"/>
        <v>06</v>
      </c>
      <c r="N781" t="s">
        <v>12</v>
      </c>
    </row>
    <row r="782" spans="1:14" x14ac:dyDescent="0.25">
      <c r="A782">
        <v>20160615</v>
      </c>
      <c r="B782" t="str">
        <f t="shared" si="47"/>
        <v>021807</v>
      </c>
      <c r="C782" t="str">
        <f t="shared" si="48"/>
        <v>54196</v>
      </c>
      <c r="D782" t="s">
        <v>49</v>
      </c>
      <c r="E782" s="3">
        <v>450</v>
      </c>
      <c r="F782">
        <v>20160615</v>
      </c>
      <c r="G782" t="s">
        <v>110</v>
      </c>
      <c r="H782" t="s">
        <v>251</v>
      </c>
      <c r="I782">
        <v>0</v>
      </c>
      <c r="J782" t="s">
        <v>15</v>
      </c>
      <c r="K782" t="s">
        <v>111</v>
      </c>
      <c r="L782" t="s">
        <v>17</v>
      </c>
      <c r="M782" t="str">
        <f t="shared" si="46"/>
        <v>06</v>
      </c>
      <c r="N782" t="s">
        <v>12</v>
      </c>
    </row>
    <row r="783" spans="1:14" x14ac:dyDescent="0.25">
      <c r="A783">
        <v>20160615</v>
      </c>
      <c r="B783" t="str">
        <f t="shared" si="47"/>
        <v>021807</v>
      </c>
      <c r="C783" t="str">
        <f t="shared" si="48"/>
        <v>54196</v>
      </c>
      <c r="D783" t="s">
        <v>49</v>
      </c>
      <c r="E783" s="3">
        <v>750</v>
      </c>
      <c r="F783">
        <v>20160615</v>
      </c>
      <c r="G783" t="s">
        <v>112</v>
      </c>
      <c r="H783" t="s">
        <v>251</v>
      </c>
      <c r="I783">
        <v>0</v>
      </c>
      <c r="J783" t="s">
        <v>15</v>
      </c>
      <c r="K783" t="s">
        <v>113</v>
      </c>
      <c r="L783" t="s">
        <v>17</v>
      </c>
      <c r="M783" t="str">
        <f t="shared" si="46"/>
        <v>06</v>
      </c>
      <c r="N783" t="s">
        <v>12</v>
      </c>
    </row>
    <row r="784" spans="1:14" x14ac:dyDescent="0.25">
      <c r="A784">
        <v>20160615</v>
      </c>
      <c r="B784" t="str">
        <f t="shared" si="47"/>
        <v>021807</v>
      </c>
      <c r="C784" t="str">
        <f t="shared" si="48"/>
        <v>54196</v>
      </c>
      <c r="D784" t="s">
        <v>49</v>
      </c>
      <c r="E784" s="3">
        <v>100</v>
      </c>
      <c r="F784">
        <v>20160615</v>
      </c>
      <c r="G784" t="s">
        <v>149</v>
      </c>
      <c r="H784" t="s">
        <v>251</v>
      </c>
      <c r="I784">
        <v>0</v>
      </c>
      <c r="J784" t="s">
        <v>15</v>
      </c>
      <c r="K784" t="s">
        <v>150</v>
      </c>
      <c r="L784" t="s">
        <v>17</v>
      </c>
      <c r="M784" t="str">
        <f t="shared" si="46"/>
        <v>06</v>
      </c>
      <c r="N784" t="s">
        <v>12</v>
      </c>
    </row>
    <row r="785" spans="1:14" x14ac:dyDescent="0.25">
      <c r="A785">
        <v>20160615</v>
      </c>
      <c r="B785" t="str">
        <f t="shared" si="47"/>
        <v>021807</v>
      </c>
      <c r="C785" t="str">
        <f t="shared" si="48"/>
        <v>54196</v>
      </c>
      <c r="D785" t="s">
        <v>49</v>
      </c>
      <c r="E785" s="3">
        <v>200</v>
      </c>
      <c r="F785">
        <v>20160615</v>
      </c>
      <c r="G785" t="s">
        <v>114</v>
      </c>
      <c r="H785" t="s">
        <v>251</v>
      </c>
      <c r="I785">
        <v>0</v>
      </c>
      <c r="J785" t="s">
        <v>15</v>
      </c>
      <c r="K785" t="s">
        <v>115</v>
      </c>
      <c r="L785" t="s">
        <v>17</v>
      </c>
      <c r="M785" t="str">
        <f t="shared" si="46"/>
        <v>06</v>
      </c>
      <c r="N785" t="s">
        <v>12</v>
      </c>
    </row>
    <row r="786" spans="1:14" x14ac:dyDescent="0.25">
      <c r="A786">
        <v>20160615</v>
      </c>
      <c r="B786" t="str">
        <f t="shared" si="47"/>
        <v>021807</v>
      </c>
      <c r="C786" t="str">
        <f t="shared" si="48"/>
        <v>54196</v>
      </c>
      <c r="D786" t="s">
        <v>49</v>
      </c>
      <c r="E786" s="3">
        <v>8088</v>
      </c>
      <c r="F786">
        <v>20160615</v>
      </c>
      <c r="G786" t="s">
        <v>119</v>
      </c>
      <c r="H786" t="s">
        <v>256</v>
      </c>
      <c r="I786">
        <v>0</v>
      </c>
      <c r="J786" t="s">
        <v>15</v>
      </c>
      <c r="K786" t="s">
        <v>103</v>
      </c>
      <c r="L786" t="s">
        <v>17</v>
      </c>
      <c r="M786" t="str">
        <f t="shared" si="46"/>
        <v>06</v>
      </c>
      <c r="N786" t="s">
        <v>12</v>
      </c>
    </row>
    <row r="787" spans="1:14" x14ac:dyDescent="0.25">
      <c r="A787">
        <v>20160615</v>
      </c>
      <c r="B787" t="str">
        <f t="shared" si="47"/>
        <v>021807</v>
      </c>
      <c r="C787" t="str">
        <f t="shared" si="48"/>
        <v>54196</v>
      </c>
      <c r="D787" t="s">
        <v>49</v>
      </c>
      <c r="E787" s="3">
        <v>650</v>
      </c>
      <c r="F787">
        <v>20160615</v>
      </c>
      <c r="G787" t="s">
        <v>50</v>
      </c>
      <c r="H787" t="s">
        <v>251</v>
      </c>
      <c r="I787">
        <v>0</v>
      </c>
      <c r="J787" t="s">
        <v>15</v>
      </c>
      <c r="K787" t="s">
        <v>52</v>
      </c>
      <c r="L787" t="s">
        <v>17</v>
      </c>
      <c r="M787" t="str">
        <f t="shared" si="46"/>
        <v>06</v>
      </c>
      <c r="N787" t="s">
        <v>12</v>
      </c>
    </row>
    <row r="788" spans="1:14" x14ac:dyDescent="0.25">
      <c r="A788">
        <v>20160615</v>
      </c>
      <c r="B788" t="str">
        <f t="shared" si="47"/>
        <v>021807</v>
      </c>
      <c r="C788" t="str">
        <f t="shared" si="48"/>
        <v>54196</v>
      </c>
      <c r="D788" t="s">
        <v>49</v>
      </c>
      <c r="E788" s="3">
        <v>475</v>
      </c>
      <c r="F788">
        <v>20160615</v>
      </c>
      <c r="G788" t="s">
        <v>178</v>
      </c>
      <c r="H788" t="s">
        <v>257</v>
      </c>
      <c r="I788">
        <v>0</v>
      </c>
      <c r="J788" t="s">
        <v>15</v>
      </c>
      <c r="K788" t="s">
        <v>180</v>
      </c>
      <c r="L788" t="s">
        <v>17</v>
      </c>
      <c r="M788" t="str">
        <f t="shared" si="46"/>
        <v>06</v>
      </c>
      <c r="N788" t="s">
        <v>12</v>
      </c>
    </row>
    <row r="789" spans="1:14" x14ac:dyDescent="0.25">
      <c r="A789">
        <v>20160615</v>
      </c>
      <c r="B789" t="str">
        <f t="shared" si="47"/>
        <v>021807</v>
      </c>
      <c r="C789" t="str">
        <f t="shared" si="48"/>
        <v>54196</v>
      </c>
      <c r="D789" t="s">
        <v>49</v>
      </c>
      <c r="E789" s="3">
        <v>2400</v>
      </c>
      <c r="F789">
        <v>20160615</v>
      </c>
      <c r="G789" t="s">
        <v>181</v>
      </c>
      <c r="H789" t="s">
        <v>256</v>
      </c>
      <c r="I789">
        <v>0</v>
      </c>
      <c r="J789" t="s">
        <v>15</v>
      </c>
      <c r="K789" t="s">
        <v>182</v>
      </c>
      <c r="L789" t="s">
        <v>17</v>
      </c>
      <c r="M789" t="str">
        <f t="shared" si="46"/>
        <v>06</v>
      </c>
      <c r="N789" t="s">
        <v>12</v>
      </c>
    </row>
    <row r="790" spans="1:14" x14ac:dyDescent="0.25">
      <c r="A790">
        <v>20160615</v>
      </c>
      <c r="B790" t="str">
        <f>"021808"</f>
        <v>021808</v>
      </c>
      <c r="C790" t="str">
        <f>"72601"</f>
        <v>72601</v>
      </c>
      <c r="D790" t="s">
        <v>53</v>
      </c>
      <c r="E790" s="3">
        <v>8801.4500000000007</v>
      </c>
      <c r="F790">
        <v>20160615</v>
      </c>
      <c r="G790" t="s">
        <v>54</v>
      </c>
      <c r="H790" t="s">
        <v>241</v>
      </c>
      <c r="I790">
        <v>0</v>
      </c>
      <c r="J790" t="s">
        <v>15</v>
      </c>
      <c r="K790" t="s">
        <v>55</v>
      </c>
      <c r="L790" t="s">
        <v>17</v>
      </c>
      <c r="M790" t="str">
        <f t="shared" si="46"/>
        <v>06</v>
      </c>
      <c r="N790" t="s">
        <v>12</v>
      </c>
    </row>
    <row r="791" spans="1:14" x14ac:dyDescent="0.25">
      <c r="A791">
        <v>20160615</v>
      </c>
      <c r="B791" t="str">
        <f>"021809"</f>
        <v>021809</v>
      </c>
      <c r="C791" t="str">
        <f>"75452"</f>
        <v>75452</v>
      </c>
      <c r="D791" t="s">
        <v>56</v>
      </c>
      <c r="E791" s="3">
        <v>11665.82</v>
      </c>
      <c r="F791">
        <v>20160615</v>
      </c>
      <c r="G791" t="s">
        <v>57</v>
      </c>
      <c r="H791" t="s">
        <v>238</v>
      </c>
      <c r="I791">
        <v>0</v>
      </c>
      <c r="J791" t="s">
        <v>15</v>
      </c>
      <c r="K791" t="s">
        <v>58</v>
      </c>
      <c r="L791" t="s">
        <v>17</v>
      </c>
      <c r="M791" t="str">
        <f t="shared" si="46"/>
        <v>06</v>
      </c>
      <c r="N791" t="s">
        <v>12</v>
      </c>
    </row>
    <row r="792" spans="1:14" x14ac:dyDescent="0.25">
      <c r="A792">
        <v>20160615</v>
      </c>
      <c r="B792" t="str">
        <f>"021809"</f>
        <v>021809</v>
      </c>
      <c r="C792" t="str">
        <f>"75452"</f>
        <v>75452</v>
      </c>
      <c r="D792" t="s">
        <v>56</v>
      </c>
      <c r="E792" s="3">
        <v>25</v>
      </c>
      <c r="F792">
        <v>20160615</v>
      </c>
      <c r="G792" t="s">
        <v>153</v>
      </c>
      <c r="H792" t="s">
        <v>258</v>
      </c>
      <c r="I792">
        <v>0</v>
      </c>
      <c r="J792" t="s">
        <v>15</v>
      </c>
      <c r="K792" t="s">
        <v>155</v>
      </c>
      <c r="L792" t="s">
        <v>17</v>
      </c>
      <c r="M792" t="str">
        <f t="shared" si="46"/>
        <v>06</v>
      </c>
      <c r="N792" t="s">
        <v>12</v>
      </c>
    </row>
    <row r="793" spans="1:14" x14ac:dyDescent="0.25">
      <c r="A793">
        <v>20160615</v>
      </c>
      <c r="B793" t="str">
        <f>"021810"</f>
        <v>021810</v>
      </c>
      <c r="C793" t="str">
        <f>"77030"</f>
        <v>77030</v>
      </c>
      <c r="D793" t="s">
        <v>156</v>
      </c>
      <c r="E793" s="3">
        <v>116</v>
      </c>
      <c r="F793">
        <v>20160615</v>
      </c>
      <c r="G793" t="s">
        <v>157</v>
      </c>
      <c r="H793" t="s">
        <v>241</v>
      </c>
      <c r="I793">
        <v>0</v>
      </c>
      <c r="J793" t="s">
        <v>15</v>
      </c>
      <c r="K793" t="s">
        <v>158</v>
      </c>
      <c r="L793" t="s">
        <v>17</v>
      </c>
      <c r="M793" t="str">
        <f t="shared" si="46"/>
        <v>06</v>
      </c>
      <c r="N793" t="s">
        <v>12</v>
      </c>
    </row>
    <row r="794" spans="1:14" x14ac:dyDescent="0.25">
      <c r="A794">
        <v>20160615</v>
      </c>
      <c r="B794" t="str">
        <f>"021811"</f>
        <v>021811</v>
      </c>
      <c r="C794" t="str">
        <f>"78428"</f>
        <v>78428</v>
      </c>
      <c r="D794" t="s">
        <v>124</v>
      </c>
      <c r="E794" s="3">
        <v>851.87</v>
      </c>
      <c r="F794">
        <v>20160615</v>
      </c>
      <c r="G794" t="s">
        <v>125</v>
      </c>
      <c r="H794" t="s">
        <v>241</v>
      </c>
      <c r="I794">
        <v>0</v>
      </c>
      <c r="J794" t="s">
        <v>15</v>
      </c>
      <c r="K794" t="s">
        <v>126</v>
      </c>
      <c r="L794" t="s">
        <v>17</v>
      </c>
      <c r="M794" t="str">
        <f t="shared" si="46"/>
        <v>06</v>
      </c>
      <c r="N794" t="s">
        <v>12</v>
      </c>
    </row>
    <row r="795" spans="1:14" x14ac:dyDescent="0.25">
      <c r="A795">
        <v>20160615</v>
      </c>
      <c r="B795" t="str">
        <f>"021812"</f>
        <v>021812</v>
      </c>
      <c r="C795" t="str">
        <f>"79562"</f>
        <v>79562</v>
      </c>
      <c r="D795" t="s">
        <v>127</v>
      </c>
      <c r="E795" s="3">
        <v>341.95</v>
      </c>
      <c r="F795">
        <v>20160615</v>
      </c>
      <c r="G795" t="s">
        <v>128</v>
      </c>
      <c r="H795" t="s">
        <v>259</v>
      </c>
      <c r="I795">
        <v>0</v>
      </c>
      <c r="J795" t="s">
        <v>15</v>
      </c>
      <c r="K795" t="s">
        <v>130</v>
      </c>
      <c r="L795" t="s">
        <v>17</v>
      </c>
      <c r="M795" t="str">
        <f t="shared" si="46"/>
        <v>06</v>
      </c>
      <c r="N795" t="s">
        <v>12</v>
      </c>
    </row>
    <row r="796" spans="1:14" x14ac:dyDescent="0.25">
      <c r="A796">
        <v>20160615</v>
      </c>
      <c r="B796" t="str">
        <f>"021813"</f>
        <v>021813</v>
      </c>
      <c r="C796" t="str">
        <f>"79762"</f>
        <v>79762</v>
      </c>
      <c r="D796" t="s">
        <v>160</v>
      </c>
      <c r="E796" s="3">
        <v>390</v>
      </c>
      <c r="F796">
        <v>20160615</v>
      </c>
      <c r="G796" t="s">
        <v>161</v>
      </c>
      <c r="H796" t="s">
        <v>241</v>
      </c>
      <c r="I796">
        <v>0</v>
      </c>
      <c r="J796" t="s">
        <v>15</v>
      </c>
      <c r="K796" t="s">
        <v>162</v>
      </c>
      <c r="L796" t="s">
        <v>17</v>
      </c>
      <c r="M796" t="str">
        <f t="shared" si="46"/>
        <v>06</v>
      </c>
      <c r="N796" t="s">
        <v>12</v>
      </c>
    </row>
    <row r="797" spans="1:14" x14ac:dyDescent="0.25">
      <c r="A797">
        <v>20160615</v>
      </c>
      <c r="B797" t="str">
        <f>"021814"</f>
        <v>021814</v>
      </c>
      <c r="C797" t="str">
        <f>"81155"</f>
        <v>81155</v>
      </c>
      <c r="D797" t="s">
        <v>131</v>
      </c>
      <c r="E797" s="3">
        <v>275</v>
      </c>
      <c r="F797">
        <v>20160615</v>
      </c>
      <c r="G797" t="s">
        <v>132</v>
      </c>
      <c r="H797" t="s">
        <v>241</v>
      </c>
      <c r="I797">
        <v>0</v>
      </c>
      <c r="J797" t="s">
        <v>15</v>
      </c>
      <c r="K797" t="s">
        <v>133</v>
      </c>
      <c r="L797" t="s">
        <v>17</v>
      </c>
      <c r="M797" t="str">
        <f t="shared" si="46"/>
        <v>06</v>
      </c>
      <c r="N797" t="s">
        <v>12</v>
      </c>
    </row>
    <row r="798" spans="1:14" x14ac:dyDescent="0.25">
      <c r="A798">
        <v>20160615</v>
      </c>
      <c r="B798" t="str">
        <f>"021815"</f>
        <v>021815</v>
      </c>
      <c r="C798" t="str">
        <f>"81173"</f>
        <v>81173</v>
      </c>
      <c r="D798" t="s">
        <v>59</v>
      </c>
      <c r="E798" s="3">
        <v>70</v>
      </c>
      <c r="F798">
        <v>20160615</v>
      </c>
      <c r="G798" t="s">
        <v>60</v>
      </c>
      <c r="H798" t="s">
        <v>241</v>
      </c>
      <c r="I798">
        <v>0</v>
      </c>
      <c r="J798" t="s">
        <v>15</v>
      </c>
      <c r="K798" t="s">
        <v>61</v>
      </c>
      <c r="L798" t="s">
        <v>17</v>
      </c>
      <c r="M798" t="str">
        <f t="shared" ref="M798:M816" si="49">"06"</f>
        <v>06</v>
      </c>
      <c r="N798" t="s">
        <v>12</v>
      </c>
    </row>
    <row r="799" spans="1:14" x14ac:dyDescent="0.25">
      <c r="A799">
        <v>20160615</v>
      </c>
      <c r="B799" t="str">
        <f>"021816"</f>
        <v>021816</v>
      </c>
      <c r="C799" t="str">
        <f>"81177"</f>
        <v>81177</v>
      </c>
      <c r="D799" t="s">
        <v>65</v>
      </c>
      <c r="E799" s="3">
        <v>3080.76</v>
      </c>
      <c r="F799">
        <v>20160615</v>
      </c>
      <c r="G799" t="s">
        <v>134</v>
      </c>
      <c r="H799" t="s">
        <v>241</v>
      </c>
      <c r="I799">
        <v>0</v>
      </c>
      <c r="J799" t="s">
        <v>15</v>
      </c>
      <c r="K799" t="s">
        <v>135</v>
      </c>
      <c r="L799" t="s">
        <v>17</v>
      </c>
      <c r="M799" t="str">
        <f t="shared" si="49"/>
        <v>06</v>
      </c>
      <c r="N799" t="s">
        <v>12</v>
      </c>
    </row>
    <row r="800" spans="1:14" x14ac:dyDescent="0.25">
      <c r="A800">
        <v>20160615</v>
      </c>
      <c r="B800" t="str">
        <f>"021817"</f>
        <v>021817</v>
      </c>
      <c r="C800" t="str">
        <f>"81753"</f>
        <v>81753</v>
      </c>
      <c r="D800" t="s">
        <v>68</v>
      </c>
      <c r="E800" s="3">
        <v>276.43</v>
      </c>
      <c r="F800">
        <v>20160615</v>
      </c>
      <c r="G800" t="s">
        <v>69</v>
      </c>
      <c r="H800" t="s">
        <v>241</v>
      </c>
      <c r="I800">
        <v>0</v>
      </c>
      <c r="J800" t="s">
        <v>15</v>
      </c>
      <c r="K800" t="s">
        <v>68</v>
      </c>
      <c r="L800" t="s">
        <v>17</v>
      </c>
      <c r="M800" t="str">
        <f t="shared" si="49"/>
        <v>06</v>
      </c>
      <c r="N800" t="s">
        <v>12</v>
      </c>
    </row>
    <row r="801" spans="1:14" x14ac:dyDescent="0.25">
      <c r="A801">
        <v>20160615</v>
      </c>
      <c r="B801" t="str">
        <f>"021818"</f>
        <v>021818</v>
      </c>
      <c r="C801" t="str">
        <f>"82168"</f>
        <v>82168</v>
      </c>
      <c r="D801" t="s">
        <v>236</v>
      </c>
      <c r="E801" s="3">
        <v>210</v>
      </c>
      <c r="F801">
        <v>20160615</v>
      </c>
      <c r="G801" t="s">
        <v>74</v>
      </c>
      <c r="H801" t="s">
        <v>241</v>
      </c>
      <c r="I801">
        <v>0</v>
      </c>
      <c r="J801" t="s">
        <v>15</v>
      </c>
      <c r="K801" t="s">
        <v>75</v>
      </c>
      <c r="L801" t="s">
        <v>17</v>
      </c>
      <c r="M801" t="str">
        <f t="shared" si="49"/>
        <v>06</v>
      </c>
      <c r="N801" t="s">
        <v>12</v>
      </c>
    </row>
    <row r="802" spans="1:14" x14ac:dyDescent="0.25">
      <c r="A802">
        <v>20160617</v>
      </c>
      <c r="B802" t="str">
        <f>"021819"</f>
        <v>021819</v>
      </c>
      <c r="C802" t="str">
        <f>"04831"</f>
        <v>04831</v>
      </c>
      <c r="D802" t="s">
        <v>11</v>
      </c>
      <c r="E802" s="3">
        <v>16.77</v>
      </c>
      <c r="F802">
        <v>20160617</v>
      </c>
      <c r="G802" t="s">
        <v>13</v>
      </c>
      <c r="H802" t="s">
        <v>238</v>
      </c>
      <c r="I802">
        <v>0</v>
      </c>
      <c r="J802" t="s">
        <v>15</v>
      </c>
      <c r="K802" t="s">
        <v>16</v>
      </c>
      <c r="L802" t="s">
        <v>17</v>
      </c>
      <c r="M802" t="str">
        <f t="shared" si="49"/>
        <v>06</v>
      </c>
      <c r="N802" t="s">
        <v>12</v>
      </c>
    </row>
    <row r="803" spans="1:14" x14ac:dyDescent="0.25">
      <c r="A803">
        <v>20160617</v>
      </c>
      <c r="B803" t="str">
        <f>"021820"</f>
        <v>021820</v>
      </c>
      <c r="C803" t="str">
        <f>"04905"</f>
        <v>04905</v>
      </c>
      <c r="D803" t="s">
        <v>18</v>
      </c>
      <c r="E803" s="3">
        <v>18.329999999999998</v>
      </c>
      <c r="F803">
        <v>20160617</v>
      </c>
      <c r="G803" t="s">
        <v>19</v>
      </c>
      <c r="H803" t="s">
        <v>241</v>
      </c>
      <c r="I803">
        <v>0</v>
      </c>
      <c r="J803" t="s">
        <v>15</v>
      </c>
      <c r="K803" t="s">
        <v>21</v>
      </c>
      <c r="L803" t="s">
        <v>17</v>
      </c>
      <c r="M803" t="str">
        <f t="shared" si="49"/>
        <v>06</v>
      </c>
      <c r="N803" t="s">
        <v>12</v>
      </c>
    </row>
    <row r="804" spans="1:14" x14ac:dyDescent="0.25">
      <c r="A804">
        <v>20160617</v>
      </c>
      <c r="B804" t="str">
        <f>"021821"</f>
        <v>021821</v>
      </c>
      <c r="C804" t="str">
        <f>"04987"</f>
        <v>04987</v>
      </c>
      <c r="D804" t="s">
        <v>144</v>
      </c>
      <c r="E804" s="3">
        <v>13.76</v>
      </c>
      <c r="F804">
        <v>20160617</v>
      </c>
      <c r="G804" t="s">
        <v>35</v>
      </c>
      <c r="H804" t="s">
        <v>238</v>
      </c>
      <c r="I804">
        <v>0</v>
      </c>
      <c r="J804" t="s">
        <v>15</v>
      </c>
      <c r="K804" t="s">
        <v>36</v>
      </c>
      <c r="L804" t="s">
        <v>17</v>
      </c>
      <c r="M804" t="str">
        <f t="shared" si="49"/>
        <v>06</v>
      </c>
      <c r="N804" t="s">
        <v>12</v>
      </c>
    </row>
    <row r="805" spans="1:14" x14ac:dyDescent="0.25">
      <c r="A805">
        <v>20160617</v>
      </c>
      <c r="B805" t="str">
        <f>"021822"</f>
        <v>021822</v>
      </c>
      <c r="C805" t="str">
        <f>"07880"</f>
        <v>07880</v>
      </c>
      <c r="D805" t="s">
        <v>25</v>
      </c>
      <c r="E805" s="3">
        <v>158.41999999999999</v>
      </c>
      <c r="F805">
        <v>20160617</v>
      </c>
      <c r="G805" t="s">
        <v>26</v>
      </c>
      <c r="H805" t="s">
        <v>241</v>
      </c>
      <c r="I805">
        <v>0</v>
      </c>
      <c r="J805" t="s">
        <v>15</v>
      </c>
      <c r="K805" t="s">
        <v>27</v>
      </c>
      <c r="L805" t="s">
        <v>17</v>
      </c>
      <c r="M805" t="str">
        <f t="shared" si="49"/>
        <v>06</v>
      </c>
      <c r="N805" t="s">
        <v>12</v>
      </c>
    </row>
    <row r="806" spans="1:14" x14ac:dyDescent="0.25">
      <c r="A806">
        <v>20160617</v>
      </c>
      <c r="B806" t="str">
        <f>"021823"</f>
        <v>021823</v>
      </c>
      <c r="C806" t="str">
        <f>"11211"</f>
        <v>11211</v>
      </c>
      <c r="D806" t="s">
        <v>28</v>
      </c>
      <c r="E806" s="3">
        <v>113.65</v>
      </c>
      <c r="F806">
        <v>20160617</v>
      </c>
      <c r="G806" t="s">
        <v>29</v>
      </c>
      <c r="H806" t="s">
        <v>238</v>
      </c>
      <c r="I806">
        <v>0</v>
      </c>
      <c r="J806" t="s">
        <v>15</v>
      </c>
      <c r="K806" t="s">
        <v>30</v>
      </c>
      <c r="L806" t="s">
        <v>17</v>
      </c>
      <c r="M806" t="str">
        <f t="shared" si="49"/>
        <v>06</v>
      </c>
      <c r="N806" t="s">
        <v>12</v>
      </c>
    </row>
    <row r="807" spans="1:14" x14ac:dyDescent="0.25">
      <c r="A807">
        <v>20160617</v>
      </c>
      <c r="B807" t="str">
        <f>"021824"</f>
        <v>021824</v>
      </c>
      <c r="C807" t="str">
        <f>"14177"</f>
        <v>14177</v>
      </c>
      <c r="D807" t="s">
        <v>31</v>
      </c>
      <c r="E807" s="3">
        <v>25</v>
      </c>
      <c r="F807">
        <v>20160617</v>
      </c>
      <c r="G807" t="s">
        <v>32</v>
      </c>
      <c r="H807" t="s">
        <v>241</v>
      </c>
      <c r="I807">
        <v>0</v>
      </c>
      <c r="J807" t="s">
        <v>15</v>
      </c>
      <c r="K807" t="s">
        <v>33</v>
      </c>
      <c r="L807" t="s">
        <v>17</v>
      </c>
      <c r="M807" t="str">
        <f t="shared" si="49"/>
        <v>06</v>
      </c>
      <c r="N807" t="s">
        <v>12</v>
      </c>
    </row>
    <row r="808" spans="1:14" x14ac:dyDescent="0.25">
      <c r="A808">
        <v>20160617</v>
      </c>
      <c r="B808" t="str">
        <f>"021825"</f>
        <v>021825</v>
      </c>
      <c r="C808" t="str">
        <f>"24960"</f>
        <v>24960</v>
      </c>
      <c r="D808" t="s">
        <v>39</v>
      </c>
      <c r="E808" s="3">
        <v>196.51</v>
      </c>
      <c r="F808">
        <v>20160617</v>
      </c>
      <c r="G808" t="s">
        <v>40</v>
      </c>
      <c r="H808" t="s">
        <v>246</v>
      </c>
      <c r="I808">
        <v>0</v>
      </c>
      <c r="J808" t="s">
        <v>15</v>
      </c>
      <c r="K808" t="s">
        <v>42</v>
      </c>
      <c r="L808" t="s">
        <v>17</v>
      </c>
      <c r="M808" t="str">
        <f t="shared" si="49"/>
        <v>06</v>
      </c>
      <c r="N808" t="s">
        <v>12</v>
      </c>
    </row>
    <row r="809" spans="1:14" x14ac:dyDescent="0.25">
      <c r="A809">
        <v>20160617</v>
      </c>
      <c r="B809" t="str">
        <f>"021825"</f>
        <v>021825</v>
      </c>
      <c r="C809" t="str">
        <f>"24960"</f>
        <v>24960</v>
      </c>
      <c r="D809" t="s">
        <v>39</v>
      </c>
      <c r="E809" s="3">
        <v>40.200000000000003</v>
      </c>
      <c r="F809">
        <v>20160617</v>
      </c>
      <c r="G809" t="s">
        <v>247</v>
      </c>
      <c r="H809" t="s">
        <v>246</v>
      </c>
      <c r="I809">
        <v>0</v>
      </c>
      <c r="J809" t="s">
        <v>15</v>
      </c>
      <c r="K809" t="s">
        <v>248</v>
      </c>
      <c r="L809" t="s">
        <v>17</v>
      </c>
      <c r="M809" t="str">
        <f t="shared" si="49"/>
        <v>06</v>
      </c>
      <c r="N809" t="s">
        <v>12</v>
      </c>
    </row>
    <row r="810" spans="1:14" x14ac:dyDescent="0.25">
      <c r="A810">
        <v>20160617</v>
      </c>
      <c r="B810" t="str">
        <f>"021826"</f>
        <v>021826</v>
      </c>
      <c r="C810" t="str">
        <f>"42245"</f>
        <v>42245</v>
      </c>
      <c r="D810" t="s">
        <v>43</v>
      </c>
      <c r="E810" s="3">
        <v>247.66</v>
      </c>
      <c r="F810">
        <v>20160617</v>
      </c>
      <c r="G810" t="s">
        <v>44</v>
      </c>
      <c r="H810" t="s">
        <v>238</v>
      </c>
      <c r="I810">
        <v>0</v>
      </c>
      <c r="J810" t="s">
        <v>15</v>
      </c>
      <c r="K810" t="s">
        <v>45</v>
      </c>
      <c r="L810" t="s">
        <v>17</v>
      </c>
      <c r="M810" t="str">
        <f t="shared" si="49"/>
        <v>06</v>
      </c>
      <c r="N810" t="s">
        <v>12</v>
      </c>
    </row>
    <row r="811" spans="1:14" x14ac:dyDescent="0.25">
      <c r="A811">
        <v>20160617</v>
      </c>
      <c r="B811" t="str">
        <f>"021827"</f>
        <v>021827</v>
      </c>
      <c r="C811" t="str">
        <f>"48947"</f>
        <v>48947</v>
      </c>
      <c r="D811" t="s">
        <v>46</v>
      </c>
      <c r="E811" s="3">
        <v>25.38</v>
      </c>
      <c r="F811">
        <v>20160617</v>
      </c>
      <c r="G811" t="s">
        <v>47</v>
      </c>
      <c r="H811" t="s">
        <v>246</v>
      </c>
      <c r="I811">
        <v>0</v>
      </c>
      <c r="J811" t="s">
        <v>15</v>
      </c>
      <c r="K811" t="s">
        <v>48</v>
      </c>
      <c r="L811" t="s">
        <v>17</v>
      </c>
      <c r="M811" t="str">
        <f t="shared" si="49"/>
        <v>06</v>
      </c>
      <c r="N811" t="s">
        <v>12</v>
      </c>
    </row>
    <row r="812" spans="1:14" x14ac:dyDescent="0.25">
      <c r="A812">
        <v>20160617</v>
      </c>
      <c r="B812" t="str">
        <f>"021828"</f>
        <v>021828</v>
      </c>
      <c r="C812" t="str">
        <f>"54196"</f>
        <v>54196</v>
      </c>
      <c r="D812" t="s">
        <v>49</v>
      </c>
      <c r="E812" s="3">
        <v>50</v>
      </c>
      <c r="F812">
        <v>20160617</v>
      </c>
      <c r="G812" t="s">
        <v>50</v>
      </c>
      <c r="H812" t="s">
        <v>251</v>
      </c>
      <c r="I812">
        <v>0</v>
      </c>
      <c r="J812" t="s">
        <v>15</v>
      </c>
      <c r="K812" t="s">
        <v>52</v>
      </c>
      <c r="L812" t="s">
        <v>17</v>
      </c>
      <c r="M812" t="str">
        <f t="shared" si="49"/>
        <v>06</v>
      </c>
      <c r="N812" t="s">
        <v>12</v>
      </c>
    </row>
    <row r="813" spans="1:14" x14ac:dyDescent="0.25">
      <c r="A813">
        <v>20160617</v>
      </c>
      <c r="B813" t="str">
        <f>"021829"</f>
        <v>021829</v>
      </c>
      <c r="C813" t="str">
        <f>"72601"</f>
        <v>72601</v>
      </c>
      <c r="D813" t="s">
        <v>53</v>
      </c>
      <c r="E813" s="3">
        <v>199.78</v>
      </c>
      <c r="F813">
        <v>20160617</v>
      </c>
      <c r="G813" t="s">
        <v>54</v>
      </c>
      <c r="H813" t="s">
        <v>241</v>
      </c>
      <c r="I813">
        <v>0</v>
      </c>
      <c r="J813" t="s">
        <v>15</v>
      </c>
      <c r="K813" t="s">
        <v>55</v>
      </c>
      <c r="L813" t="s">
        <v>17</v>
      </c>
      <c r="M813" t="str">
        <f t="shared" si="49"/>
        <v>06</v>
      </c>
      <c r="N813" t="s">
        <v>12</v>
      </c>
    </row>
    <row r="814" spans="1:14" x14ac:dyDescent="0.25">
      <c r="A814">
        <v>20160617</v>
      </c>
      <c r="B814" t="str">
        <f>"021830"</f>
        <v>021830</v>
      </c>
      <c r="C814" t="str">
        <f>"75452"</f>
        <v>75452</v>
      </c>
      <c r="D814" t="s">
        <v>56</v>
      </c>
      <c r="E814" s="3">
        <v>250.84</v>
      </c>
      <c r="F814">
        <v>20160617</v>
      </c>
      <c r="G814" t="s">
        <v>57</v>
      </c>
      <c r="H814" t="s">
        <v>238</v>
      </c>
      <c r="I814">
        <v>0</v>
      </c>
      <c r="J814" t="s">
        <v>15</v>
      </c>
      <c r="K814" t="s">
        <v>58</v>
      </c>
      <c r="L814" t="s">
        <v>17</v>
      </c>
      <c r="M814" t="str">
        <f t="shared" si="49"/>
        <v>06</v>
      </c>
      <c r="N814" t="s">
        <v>12</v>
      </c>
    </row>
    <row r="815" spans="1:14" x14ac:dyDescent="0.25">
      <c r="A815">
        <v>20160617</v>
      </c>
      <c r="B815" t="str">
        <f>"021831"</f>
        <v>021831</v>
      </c>
      <c r="C815" t="str">
        <f>"81177"</f>
        <v>81177</v>
      </c>
      <c r="D815" t="s">
        <v>65</v>
      </c>
      <c r="E815" s="3">
        <v>80.67</v>
      </c>
      <c r="F815">
        <v>20160617</v>
      </c>
      <c r="G815" t="s">
        <v>134</v>
      </c>
      <c r="H815" t="s">
        <v>241</v>
      </c>
      <c r="I815">
        <v>0</v>
      </c>
      <c r="J815" t="s">
        <v>15</v>
      </c>
      <c r="K815" t="s">
        <v>135</v>
      </c>
      <c r="L815" t="s">
        <v>17</v>
      </c>
      <c r="M815" t="str">
        <f t="shared" si="49"/>
        <v>06</v>
      </c>
      <c r="N815" t="s">
        <v>12</v>
      </c>
    </row>
    <row r="816" spans="1:14" x14ac:dyDescent="0.25">
      <c r="A816">
        <v>20160616</v>
      </c>
      <c r="B816" t="str">
        <f>"021832"</f>
        <v>021832</v>
      </c>
      <c r="C816" t="str">
        <f>"30172"</f>
        <v>30172</v>
      </c>
      <c r="D816" t="s">
        <v>260</v>
      </c>
      <c r="E816" s="3">
        <v>174</v>
      </c>
      <c r="F816">
        <v>20160616</v>
      </c>
      <c r="G816" t="s">
        <v>186</v>
      </c>
      <c r="H816" t="s">
        <v>261</v>
      </c>
      <c r="I816">
        <v>0</v>
      </c>
      <c r="J816" t="s">
        <v>15</v>
      </c>
      <c r="K816" t="s">
        <v>188</v>
      </c>
      <c r="L816" t="s">
        <v>17</v>
      </c>
      <c r="M816" t="str">
        <f t="shared" si="49"/>
        <v>06</v>
      </c>
      <c r="N816" t="s">
        <v>12</v>
      </c>
    </row>
    <row r="817" spans="1:14" x14ac:dyDescent="0.25">
      <c r="A817">
        <v>20160701</v>
      </c>
      <c r="B817" t="str">
        <f>"021834"</f>
        <v>021834</v>
      </c>
      <c r="C817" t="str">
        <f>"45179"</f>
        <v>45179</v>
      </c>
      <c r="D817" t="s">
        <v>262</v>
      </c>
      <c r="E817" s="3">
        <v>351.36</v>
      </c>
      <c r="F817">
        <v>20160701</v>
      </c>
      <c r="G817" t="s">
        <v>134</v>
      </c>
      <c r="H817" t="s">
        <v>263</v>
      </c>
      <c r="I817">
        <v>0</v>
      </c>
      <c r="J817" t="s">
        <v>15</v>
      </c>
      <c r="K817" t="s">
        <v>135</v>
      </c>
      <c r="L817" t="s">
        <v>17</v>
      </c>
      <c r="M817" t="str">
        <f t="shared" ref="M817:M848" si="50">"07"</f>
        <v>07</v>
      </c>
      <c r="N817" t="s">
        <v>12</v>
      </c>
    </row>
    <row r="818" spans="1:14" x14ac:dyDescent="0.25">
      <c r="A818">
        <v>20160701</v>
      </c>
      <c r="B818" t="str">
        <f>"021844"</f>
        <v>021844</v>
      </c>
      <c r="C818" t="str">
        <f>"04831"</f>
        <v>04831</v>
      </c>
      <c r="D818" t="s">
        <v>11</v>
      </c>
      <c r="E818" s="3">
        <v>16.77</v>
      </c>
      <c r="F818">
        <v>20160701</v>
      </c>
      <c r="G818" t="s">
        <v>13</v>
      </c>
      <c r="H818" t="s">
        <v>264</v>
      </c>
      <c r="I818">
        <v>0</v>
      </c>
      <c r="J818" t="s">
        <v>15</v>
      </c>
      <c r="K818" t="s">
        <v>16</v>
      </c>
      <c r="L818" t="s">
        <v>17</v>
      </c>
      <c r="M818" t="str">
        <f t="shared" si="50"/>
        <v>07</v>
      </c>
      <c r="N818" t="s">
        <v>12</v>
      </c>
    </row>
    <row r="819" spans="1:14" x14ac:dyDescent="0.25">
      <c r="A819">
        <v>20160701</v>
      </c>
      <c r="B819" t="str">
        <f>"021845"</f>
        <v>021845</v>
      </c>
      <c r="C819" t="str">
        <f>"04905"</f>
        <v>04905</v>
      </c>
      <c r="D819" t="s">
        <v>18</v>
      </c>
      <c r="E819" s="3">
        <v>8.24</v>
      </c>
      <c r="F819">
        <v>20160701</v>
      </c>
      <c r="G819" t="s">
        <v>19</v>
      </c>
      <c r="H819" t="s">
        <v>265</v>
      </c>
      <c r="I819">
        <v>0</v>
      </c>
      <c r="J819" t="s">
        <v>15</v>
      </c>
      <c r="K819" t="s">
        <v>21</v>
      </c>
      <c r="L819" t="s">
        <v>17</v>
      </c>
      <c r="M819" t="str">
        <f t="shared" si="50"/>
        <v>07</v>
      </c>
      <c r="N819" t="s">
        <v>12</v>
      </c>
    </row>
    <row r="820" spans="1:14" x14ac:dyDescent="0.25">
      <c r="A820">
        <v>20160701</v>
      </c>
      <c r="B820" t="str">
        <f>"021846"</f>
        <v>021846</v>
      </c>
      <c r="C820" t="str">
        <f>"04987"</f>
        <v>04987</v>
      </c>
      <c r="D820" t="s">
        <v>144</v>
      </c>
      <c r="E820" s="3">
        <v>6.88</v>
      </c>
      <c r="F820">
        <v>20160701</v>
      </c>
      <c r="G820" t="s">
        <v>35</v>
      </c>
      <c r="H820" t="s">
        <v>264</v>
      </c>
      <c r="I820">
        <v>0</v>
      </c>
      <c r="J820" t="s">
        <v>15</v>
      </c>
      <c r="K820" t="s">
        <v>36</v>
      </c>
      <c r="L820" t="s">
        <v>17</v>
      </c>
      <c r="M820" t="str">
        <f t="shared" si="50"/>
        <v>07</v>
      </c>
      <c r="N820" t="s">
        <v>12</v>
      </c>
    </row>
    <row r="821" spans="1:14" x14ac:dyDescent="0.25">
      <c r="A821">
        <v>20160701</v>
      </c>
      <c r="B821" t="str">
        <f>"021846"</f>
        <v>021846</v>
      </c>
      <c r="C821" t="str">
        <f>"04987"</f>
        <v>04987</v>
      </c>
      <c r="D821" t="s">
        <v>144</v>
      </c>
      <c r="E821" s="3">
        <v>27.96</v>
      </c>
      <c r="F821">
        <v>20160701</v>
      </c>
      <c r="G821" t="s">
        <v>242</v>
      </c>
      <c r="H821" t="s">
        <v>264</v>
      </c>
      <c r="I821">
        <v>0</v>
      </c>
      <c r="J821" t="s">
        <v>15</v>
      </c>
      <c r="K821" t="s">
        <v>243</v>
      </c>
      <c r="L821" t="s">
        <v>17</v>
      </c>
      <c r="M821" t="str">
        <f t="shared" si="50"/>
        <v>07</v>
      </c>
      <c r="N821" t="s">
        <v>12</v>
      </c>
    </row>
    <row r="822" spans="1:14" x14ac:dyDescent="0.25">
      <c r="A822">
        <v>20160701</v>
      </c>
      <c r="B822" t="str">
        <f>"021847"</f>
        <v>021847</v>
      </c>
      <c r="C822" t="str">
        <f>"07880"</f>
        <v>07880</v>
      </c>
      <c r="D822" t="s">
        <v>25</v>
      </c>
      <c r="E822" s="3">
        <v>158.41999999999999</v>
      </c>
      <c r="F822">
        <v>20160701</v>
      </c>
      <c r="G822" t="s">
        <v>26</v>
      </c>
      <c r="H822" t="s">
        <v>265</v>
      </c>
      <c r="I822">
        <v>0</v>
      </c>
      <c r="J822" t="s">
        <v>15</v>
      </c>
      <c r="K822" t="s">
        <v>27</v>
      </c>
      <c r="L822" t="s">
        <v>17</v>
      </c>
      <c r="M822" t="str">
        <f t="shared" si="50"/>
        <v>07</v>
      </c>
      <c r="N822" t="s">
        <v>12</v>
      </c>
    </row>
    <row r="823" spans="1:14" x14ac:dyDescent="0.25">
      <c r="A823">
        <v>20160701</v>
      </c>
      <c r="B823" t="str">
        <f>"021848"</f>
        <v>021848</v>
      </c>
      <c r="C823" t="str">
        <f>"11211"</f>
        <v>11211</v>
      </c>
      <c r="D823" t="s">
        <v>28</v>
      </c>
      <c r="E823" s="3">
        <v>111.08</v>
      </c>
      <c r="F823">
        <v>20160701</v>
      </c>
      <c r="G823" t="s">
        <v>29</v>
      </c>
      <c r="H823" t="s">
        <v>264</v>
      </c>
      <c r="I823">
        <v>0</v>
      </c>
      <c r="J823" t="s">
        <v>15</v>
      </c>
      <c r="K823" t="s">
        <v>30</v>
      </c>
      <c r="L823" t="s">
        <v>17</v>
      </c>
      <c r="M823" t="str">
        <f t="shared" si="50"/>
        <v>07</v>
      </c>
      <c r="N823" t="s">
        <v>12</v>
      </c>
    </row>
    <row r="824" spans="1:14" x14ac:dyDescent="0.25">
      <c r="A824">
        <v>20160701</v>
      </c>
      <c r="B824" t="str">
        <f>"021848"</f>
        <v>021848</v>
      </c>
      <c r="C824" t="str">
        <f>"11211"</f>
        <v>11211</v>
      </c>
      <c r="D824" t="s">
        <v>28</v>
      </c>
      <c r="E824" s="3">
        <v>43.8</v>
      </c>
      <c r="F824">
        <v>20160701</v>
      </c>
      <c r="G824" t="s">
        <v>244</v>
      </c>
      <c r="H824" t="s">
        <v>264</v>
      </c>
      <c r="I824">
        <v>0</v>
      </c>
      <c r="J824" t="s">
        <v>15</v>
      </c>
      <c r="K824" t="s">
        <v>245</v>
      </c>
      <c r="L824" t="s">
        <v>17</v>
      </c>
      <c r="M824" t="str">
        <f t="shared" si="50"/>
        <v>07</v>
      </c>
      <c r="N824" t="s">
        <v>12</v>
      </c>
    </row>
    <row r="825" spans="1:14" x14ac:dyDescent="0.25">
      <c r="A825">
        <v>20160701</v>
      </c>
      <c r="B825" t="str">
        <f>"021849"</f>
        <v>021849</v>
      </c>
      <c r="C825" t="str">
        <f>"14177"</f>
        <v>14177</v>
      </c>
      <c r="D825" t="s">
        <v>31</v>
      </c>
      <c r="E825" s="3">
        <v>25</v>
      </c>
      <c r="F825">
        <v>20160701</v>
      </c>
      <c r="G825" t="s">
        <v>32</v>
      </c>
      <c r="H825" t="s">
        <v>265</v>
      </c>
      <c r="I825">
        <v>0</v>
      </c>
      <c r="J825" t="s">
        <v>15</v>
      </c>
      <c r="K825" t="s">
        <v>33</v>
      </c>
      <c r="L825" t="s">
        <v>17</v>
      </c>
      <c r="M825" t="str">
        <f t="shared" si="50"/>
        <v>07</v>
      </c>
      <c r="N825" t="s">
        <v>12</v>
      </c>
    </row>
    <row r="826" spans="1:14" x14ac:dyDescent="0.25">
      <c r="A826">
        <v>20160701</v>
      </c>
      <c r="B826" t="str">
        <f>"021850"</f>
        <v>021850</v>
      </c>
      <c r="C826" t="str">
        <f>"24960"</f>
        <v>24960</v>
      </c>
      <c r="D826" t="s">
        <v>39</v>
      </c>
      <c r="E826" s="3">
        <v>196.51</v>
      </c>
      <c r="F826">
        <v>20160701</v>
      </c>
      <c r="G826" t="s">
        <v>40</v>
      </c>
      <c r="H826" t="s">
        <v>266</v>
      </c>
      <c r="I826">
        <v>0</v>
      </c>
      <c r="J826" t="s">
        <v>15</v>
      </c>
      <c r="K826" t="s">
        <v>42</v>
      </c>
      <c r="L826" t="s">
        <v>17</v>
      </c>
      <c r="M826" t="str">
        <f t="shared" si="50"/>
        <v>07</v>
      </c>
      <c r="N826" t="s">
        <v>12</v>
      </c>
    </row>
    <row r="827" spans="1:14" x14ac:dyDescent="0.25">
      <c r="A827">
        <v>20160701</v>
      </c>
      <c r="B827" t="str">
        <f>"021850"</f>
        <v>021850</v>
      </c>
      <c r="C827" t="str">
        <f>"24960"</f>
        <v>24960</v>
      </c>
      <c r="D827" t="s">
        <v>39</v>
      </c>
      <c r="E827" s="3">
        <v>126.54</v>
      </c>
      <c r="F827">
        <v>20160701</v>
      </c>
      <c r="G827" t="s">
        <v>247</v>
      </c>
      <c r="H827" t="s">
        <v>266</v>
      </c>
      <c r="I827">
        <v>0</v>
      </c>
      <c r="J827" t="s">
        <v>15</v>
      </c>
      <c r="K827" t="s">
        <v>248</v>
      </c>
      <c r="L827" t="s">
        <v>17</v>
      </c>
      <c r="M827" t="str">
        <f t="shared" si="50"/>
        <v>07</v>
      </c>
      <c r="N827" t="s">
        <v>12</v>
      </c>
    </row>
    <row r="828" spans="1:14" x14ac:dyDescent="0.25">
      <c r="A828">
        <v>20160701</v>
      </c>
      <c r="B828" t="str">
        <f>"021851"</f>
        <v>021851</v>
      </c>
      <c r="C828" t="str">
        <f>"42245"</f>
        <v>42245</v>
      </c>
      <c r="D828" t="s">
        <v>43</v>
      </c>
      <c r="E828" s="3">
        <v>273.45999999999998</v>
      </c>
      <c r="F828">
        <v>20160701</v>
      </c>
      <c r="G828" t="s">
        <v>44</v>
      </c>
      <c r="H828" t="s">
        <v>264</v>
      </c>
      <c r="I828">
        <v>0</v>
      </c>
      <c r="J828" t="s">
        <v>15</v>
      </c>
      <c r="K828" t="s">
        <v>45</v>
      </c>
      <c r="L828" t="s">
        <v>17</v>
      </c>
      <c r="M828" t="str">
        <f t="shared" si="50"/>
        <v>07</v>
      </c>
      <c r="N828" t="s">
        <v>12</v>
      </c>
    </row>
    <row r="829" spans="1:14" x14ac:dyDescent="0.25">
      <c r="A829">
        <v>20160701</v>
      </c>
      <c r="B829" t="str">
        <f>"021851"</f>
        <v>021851</v>
      </c>
      <c r="C829" t="str">
        <f>"42245"</f>
        <v>42245</v>
      </c>
      <c r="D829" t="s">
        <v>43</v>
      </c>
      <c r="E829" s="3">
        <v>77.400000000000006</v>
      </c>
      <c r="F829">
        <v>20160701</v>
      </c>
      <c r="G829" t="s">
        <v>249</v>
      </c>
      <c r="H829" t="s">
        <v>264</v>
      </c>
      <c r="I829">
        <v>0</v>
      </c>
      <c r="J829" t="s">
        <v>15</v>
      </c>
      <c r="K829" t="s">
        <v>250</v>
      </c>
      <c r="L829" t="s">
        <v>17</v>
      </c>
      <c r="M829" t="str">
        <f t="shared" si="50"/>
        <v>07</v>
      </c>
      <c r="N829" t="s">
        <v>12</v>
      </c>
    </row>
    <row r="830" spans="1:14" x14ac:dyDescent="0.25">
      <c r="A830">
        <v>20160701</v>
      </c>
      <c r="B830" t="str">
        <f>"021852"</f>
        <v>021852</v>
      </c>
      <c r="C830" t="str">
        <f>"48947"</f>
        <v>48947</v>
      </c>
      <c r="D830" t="s">
        <v>46</v>
      </c>
      <c r="E830" s="3">
        <v>25.38</v>
      </c>
      <c r="F830">
        <v>20160701</v>
      </c>
      <c r="G830" t="s">
        <v>47</v>
      </c>
      <c r="H830" t="s">
        <v>266</v>
      </c>
      <c r="I830">
        <v>0</v>
      </c>
      <c r="J830" t="s">
        <v>15</v>
      </c>
      <c r="K830" t="s">
        <v>48</v>
      </c>
      <c r="L830" t="s">
        <v>17</v>
      </c>
      <c r="M830" t="str">
        <f t="shared" si="50"/>
        <v>07</v>
      </c>
      <c r="N830" t="s">
        <v>12</v>
      </c>
    </row>
    <row r="831" spans="1:14" x14ac:dyDescent="0.25">
      <c r="A831">
        <v>20160701</v>
      </c>
      <c r="B831" t="str">
        <f>"021853"</f>
        <v>021853</v>
      </c>
      <c r="C831" t="str">
        <f>"54196"</f>
        <v>54196</v>
      </c>
      <c r="D831" t="s">
        <v>49</v>
      </c>
      <c r="E831" s="3">
        <v>50</v>
      </c>
      <c r="F831">
        <v>20160701</v>
      </c>
      <c r="G831" t="s">
        <v>50</v>
      </c>
      <c r="H831" t="s">
        <v>267</v>
      </c>
      <c r="I831">
        <v>0</v>
      </c>
      <c r="J831" t="s">
        <v>15</v>
      </c>
      <c r="K831" t="s">
        <v>52</v>
      </c>
      <c r="L831" t="s">
        <v>17</v>
      </c>
      <c r="M831" t="str">
        <f t="shared" si="50"/>
        <v>07</v>
      </c>
      <c r="N831" t="s">
        <v>12</v>
      </c>
    </row>
    <row r="832" spans="1:14" x14ac:dyDescent="0.25">
      <c r="A832">
        <v>20160701</v>
      </c>
      <c r="B832" t="str">
        <f>"021854"</f>
        <v>021854</v>
      </c>
      <c r="C832" t="str">
        <f>"72601"</f>
        <v>72601</v>
      </c>
      <c r="D832" t="s">
        <v>53</v>
      </c>
      <c r="E832" s="3">
        <v>199.78</v>
      </c>
      <c r="F832">
        <v>20160701</v>
      </c>
      <c r="G832" t="s">
        <v>54</v>
      </c>
      <c r="H832" t="s">
        <v>265</v>
      </c>
      <c r="I832">
        <v>0</v>
      </c>
      <c r="J832" t="s">
        <v>15</v>
      </c>
      <c r="K832" t="s">
        <v>55</v>
      </c>
      <c r="L832" t="s">
        <v>17</v>
      </c>
      <c r="M832" t="str">
        <f t="shared" si="50"/>
        <v>07</v>
      </c>
      <c r="N832" t="s">
        <v>12</v>
      </c>
    </row>
    <row r="833" spans="1:14" x14ac:dyDescent="0.25">
      <c r="A833">
        <v>20160701</v>
      </c>
      <c r="B833" t="str">
        <f>"021854"</f>
        <v>021854</v>
      </c>
      <c r="C833" t="str">
        <f>"72601"</f>
        <v>72601</v>
      </c>
      <c r="D833" t="s">
        <v>53</v>
      </c>
      <c r="E833" s="3">
        <v>102.25</v>
      </c>
      <c r="F833">
        <v>20160701</v>
      </c>
      <c r="G833" t="s">
        <v>252</v>
      </c>
      <c r="H833" t="s">
        <v>265</v>
      </c>
      <c r="I833">
        <v>0</v>
      </c>
      <c r="J833" t="s">
        <v>15</v>
      </c>
      <c r="K833" t="s">
        <v>253</v>
      </c>
      <c r="L833" t="s">
        <v>17</v>
      </c>
      <c r="M833" t="str">
        <f t="shared" si="50"/>
        <v>07</v>
      </c>
      <c r="N833" t="s">
        <v>12</v>
      </c>
    </row>
    <row r="834" spans="1:14" x14ac:dyDescent="0.25">
      <c r="A834">
        <v>20160701</v>
      </c>
      <c r="B834" t="str">
        <f>"021855"</f>
        <v>021855</v>
      </c>
      <c r="C834" t="str">
        <f>"75452"</f>
        <v>75452</v>
      </c>
      <c r="D834" t="s">
        <v>56</v>
      </c>
      <c r="E834" s="3">
        <v>250.84</v>
      </c>
      <c r="F834">
        <v>20160701</v>
      </c>
      <c r="G834" t="s">
        <v>57</v>
      </c>
      <c r="H834" t="s">
        <v>264</v>
      </c>
      <c r="I834">
        <v>0</v>
      </c>
      <c r="J834" t="s">
        <v>15</v>
      </c>
      <c r="K834" t="s">
        <v>58</v>
      </c>
      <c r="L834" t="s">
        <v>17</v>
      </c>
      <c r="M834" t="str">
        <f t="shared" si="50"/>
        <v>07</v>
      </c>
      <c r="N834" t="s">
        <v>12</v>
      </c>
    </row>
    <row r="835" spans="1:14" x14ac:dyDescent="0.25">
      <c r="A835">
        <v>20160701</v>
      </c>
      <c r="B835" t="str">
        <f>"021855"</f>
        <v>021855</v>
      </c>
      <c r="C835" t="str">
        <f>"75452"</f>
        <v>75452</v>
      </c>
      <c r="D835" t="s">
        <v>56</v>
      </c>
      <c r="E835" s="3">
        <v>150</v>
      </c>
      <c r="F835">
        <v>20160701</v>
      </c>
      <c r="G835" t="s">
        <v>254</v>
      </c>
      <c r="H835" t="s">
        <v>264</v>
      </c>
      <c r="I835">
        <v>0</v>
      </c>
      <c r="J835" t="s">
        <v>15</v>
      </c>
      <c r="K835" t="s">
        <v>255</v>
      </c>
      <c r="L835" t="s">
        <v>17</v>
      </c>
      <c r="M835" t="str">
        <f t="shared" si="50"/>
        <v>07</v>
      </c>
      <c r="N835" t="s">
        <v>12</v>
      </c>
    </row>
    <row r="836" spans="1:14" x14ac:dyDescent="0.25">
      <c r="A836">
        <v>20160701</v>
      </c>
      <c r="B836" t="str">
        <f>"021856"</f>
        <v>021856</v>
      </c>
      <c r="C836" t="str">
        <f>"81177"</f>
        <v>81177</v>
      </c>
      <c r="D836" t="s">
        <v>65</v>
      </c>
      <c r="E836" s="3">
        <v>16.73</v>
      </c>
      <c r="F836">
        <v>20160701</v>
      </c>
      <c r="G836" t="s">
        <v>66</v>
      </c>
      <c r="H836" t="s">
        <v>265</v>
      </c>
      <c r="I836">
        <v>0</v>
      </c>
      <c r="J836" t="s">
        <v>15</v>
      </c>
      <c r="K836" t="s">
        <v>67</v>
      </c>
      <c r="L836" t="s">
        <v>17</v>
      </c>
      <c r="M836" t="str">
        <f t="shared" si="50"/>
        <v>07</v>
      </c>
      <c r="N836" t="s">
        <v>12</v>
      </c>
    </row>
    <row r="837" spans="1:14" x14ac:dyDescent="0.25">
      <c r="A837">
        <v>20160701</v>
      </c>
      <c r="B837" t="str">
        <f>"021856"</f>
        <v>021856</v>
      </c>
      <c r="C837" t="str">
        <f>"81177"</f>
        <v>81177</v>
      </c>
      <c r="D837" t="s">
        <v>65</v>
      </c>
      <c r="E837" s="3">
        <v>66.67</v>
      </c>
      <c r="F837">
        <v>20160701</v>
      </c>
      <c r="G837" t="s">
        <v>134</v>
      </c>
      <c r="H837" t="s">
        <v>265</v>
      </c>
      <c r="I837">
        <v>0</v>
      </c>
      <c r="J837" t="s">
        <v>15</v>
      </c>
      <c r="K837" t="s">
        <v>135</v>
      </c>
      <c r="L837" t="s">
        <v>17</v>
      </c>
      <c r="M837" t="str">
        <f t="shared" si="50"/>
        <v>07</v>
      </c>
      <c r="N837" t="s">
        <v>12</v>
      </c>
    </row>
    <row r="838" spans="1:14" x14ac:dyDescent="0.25">
      <c r="A838">
        <v>20160715</v>
      </c>
      <c r="B838" t="str">
        <f>"021870"</f>
        <v>021870</v>
      </c>
      <c r="C838" t="str">
        <f>"04831"</f>
        <v>04831</v>
      </c>
      <c r="D838" t="s">
        <v>11</v>
      </c>
      <c r="E838" s="3">
        <v>16.77</v>
      </c>
      <c r="F838">
        <v>20160715</v>
      </c>
      <c r="G838" t="s">
        <v>13</v>
      </c>
      <c r="H838" t="s">
        <v>264</v>
      </c>
      <c r="I838">
        <v>0</v>
      </c>
      <c r="J838" t="s">
        <v>15</v>
      </c>
      <c r="K838" t="s">
        <v>16</v>
      </c>
      <c r="L838" t="s">
        <v>17</v>
      </c>
      <c r="M838" t="str">
        <f t="shared" si="50"/>
        <v>07</v>
      </c>
      <c r="N838" t="s">
        <v>12</v>
      </c>
    </row>
    <row r="839" spans="1:14" x14ac:dyDescent="0.25">
      <c r="A839">
        <v>20160715</v>
      </c>
      <c r="B839" t="str">
        <f>"021871"</f>
        <v>021871</v>
      </c>
      <c r="C839" t="str">
        <f>"04905"</f>
        <v>04905</v>
      </c>
      <c r="D839" t="s">
        <v>18</v>
      </c>
      <c r="E839" s="3">
        <v>8.24</v>
      </c>
      <c r="F839">
        <v>20160715</v>
      </c>
      <c r="G839" t="s">
        <v>19</v>
      </c>
      <c r="H839" t="s">
        <v>265</v>
      </c>
      <c r="I839">
        <v>0</v>
      </c>
      <c r="J839" t="s">
        <v>15</v>
      </c>
      <c r="K839" t="s">
        <v>21</v>
      </c>
      <c r="L839" t="s">
        <v>17</v>
      </c>
      <c r="M839" t="str">
        <f t="shared" si="50"/>
        <v>07</v>
      </c>
      <c r="N839" t="s">
        <v>12</v>
      </c>
    </row>
    <row r="840" spans="1:14" x14ac:dyDescent="0.25">
      <c r="A840">
        <v>20160715</v>
      </c>
      <c r="B840" t="str">
        <f>"021872"</f>
        <v>021872</v>
      </c>
      <c r="C840" t="str">
        <f>"04987"</f>
        <v>04987</v>
      </c>
      <c r="D840" t="s">
        <v>144</v>
      </c>
      <c r="E840" s="3">
        <v>6.88</v>
      </c>
      <c r="F840">
        <v>20160715</v>
      </c>
      <c r="G840" t="s">
        <v>35</v>
      </c>
      <c r="H840" t="s">
        <v>264</v>
      </c>
      <c r="I840">
        <v>0</v>
      </c>
      <c r="J840" t="s">
        <v>15</v>
      </c>
      <c r="K840" t="s">
        <v>36</v>
      </c>
      <c r="L840" t="s">
        <v>17</v>
      </c>
      <c r="M840" t="str">
        <f t="shared" si="50"/>
        <v>07</v>
      </c>
      <c r="N840" t="s">
        <v>12</v>
      </c>
    </row>
    <row r="841" spans="1:14" x14ac:dyDescent="0.25">
      <c r="A841">
        <v>20160715</v>
      </c>
      <c r="B841" t="str">
        <f>"021873"</f>
        <v>021873</v>
      </c>
      <c r="C841" t="str">
        <f>"07880"</f>
        <v>07880</v>
      </c>
      <c r="D841" t="s">
        <v>25</v>
      </c>
      <c r="E841" s="3">
        <v>158.41999999999999</v>
      </c>
      <c r="F841">
        <v>20160715</v>
      </c>
      <c r="G841" t="s">
        <v>26</v>
      </c>
      <c r="H841" t="s">
        <v>265</v>
      </c>
      <c r="I841">
        <v>0</v>
      </c>
      <c r="J841" t="s">
        <v>15</v>
      </c>
      <c r="K841" t="s">
        <v>27</v>
      </c>
      <c r="L841" t="s">
        <v>17</v>
      </c>
      <c r="M841" t="str">
        <f t="shared" si="50"/>
        <v>07</v>
      </c>
      <c r="N841" t="s">
        <v>12</v>
      </c>
    </row>
    <row r="842" spans="1:14" x14ac:dyDescent="0.25">
      <c r="A842">
        <v>20160715</v>
      </c>
      <c r="B842" t="str">
        <f>"021874"</f>
        <v>021874</v>
      </c>
      <c r="C842" t="str">
        <f>"11211"</f>
        <v>11211</v>
      </c>
      <c r="D842" t="s">
        <v>28</v>
      </c>
      <c r="E842" s="3">
        <v>103.78</v>
      </c>
      <c r="F842">
        <v>20160715</v>
      </c>
      <c r="G842" t="s">
        <v>29</v>
      </c>
      <c r="H842" t="s">
        <v>264</v>
      </c>
      <c r="I842">
        <v>0</v>
      </c>
      <c r="J842" t="s">
        <v>15</v>
      </c>
      <c r="K842" t="s">
        <v>30</v>
      </c>
      <c r="L842" t="s">
        <v>17</v>
      </c>
      <c r="M842" t="str">
        <f t="shared" si="50"/>
        <v>07</v>
      </c>
      <c r="N842" t="s">
        <v>12</v>
      </c>
    </row>
    <row r="843" spans="1:14" x14ac:dyDescent="0.25">
      <c r="A843">
        <v>20160715</v>
      </c>
      <c r="B843" t="str">
        <f>"021875"</f>
        <v>021875</v>
      </c>
      <c r="C843" t="str">
        <f>"14177"</f>
        <v>14177</v>
      </c>
      <c r="D843" t="s">
        <v>31</v>
      </c>
      <c r="E843" s="3">
        <v>25</v>
      </c>
      <c r="F843">
        <v>20160715</v>
      </c>
      <c r="G843" t="s">
        <v>32</v>
      </c>
      <c r="H843" t="s">
        <v>265</v>
      </c>
      <c r="I843">
        <v>0</v>
      </c>
      <c r="J843" t="s">
        <v>15</v>
      </c>
      <c r="K843" t="s">
        <v>33</v>
      </c>
      <c r="L843" t="s">
        <v>17</v>
      </c>
      <c r="M843" t="str">
        <f t="shared" si="50"/>
        <v>07</v>
      </c>
      <c r="N843" t="s">
        <v>12</v>
      </c>
    </row>
    <row r="844" spans="1:14" x14ac:dyDescent="0.25">
      <c r="A844">
        <v>20160715</v>
      </c>
      <c r="B844" t="str">
        <f>"021876"</f>
        <v>021876</v>
      </c>
      <c r="C844" t="str">
        <f>"24960"</f>
        <v>24960</v>
      </c>
      <c r="D844" t="s">
        <v>39</v>
      </c>
      <c r="E844" s="3">
        <v>196.51</v>
      </c>
      <c r="F844">
        <v>20160715</v>
      </c>
      <c r="G844" t="s">
        <v>40</v>
      </c>
      <c r="H844" t="s">
        <v>266</v>
      </c>
      <c r="I844">
        <v>0</v>
      </c>
      <c r="J844" t="s">
        <v>15</v>
      </c>
      <c r="K844" t="s">
        <v>42</v>
      </c>
      <c r="L844" t="s">
        <v>17</v>
      </c>
      <c r="M844" t="str">
        <f t="shared" si="50"/>
        <v>07</v>
      </c>
      <c r="N844" t="s">
        <v>12</v>
      </c>
    </row>
    <row r="845" spans="1:14" x14ac:dyDescent="0.25">
      <c r="A845">
        <v>20160715</v>
      </c>
      <c r="B845" t="str">
        <f>"021877"</f>
        <v>021877</v>
      </c>
      <c r="C845" t="str">
        <f>"42245"</f>
        <v>42245</v>
      </c>
      <c r="D845" t="s">
        <v>43</v>
      </c>
      <c r="E845" s="3">
        <v>247.66</v>
      </c>
      <c r="F845">
        <v>20160715</v>
      </c>
      <c r="G845" t="s">
        <v>44</v>
      </c>
      <c r="H845" t="s">
        <v>264</v>
      </c>
      <c r="I845">
        <v>0</v>
      </c>
      <c r="J845" t="s">
        <v>15</v>
      </c>
      <c r="K845" t="s">
        <v>45</v>
      </c>
      <c r="L845" t="s">
        <v>17</v>
      </c>
      <c r="M845" t="str">
        <f t="shared" si="50"/>
        <v>07</v>
      </c>
      <c r="N845" t="s">
        <v>12</v>
      </c>
    </row>
    <row r="846" spans="1:14" x14ac:dyDescent="0.25">
      <c r="A846">
        <v>20160715</v>
      </c>
      <c r="B846" t="str">
        <f>"021878"</f>
        <v>021878</v>
      </c>
      <c r="C846" t="str">
        <f>"48947"</f>
        <v>48947</v>
      </c>
      <c r="D846" t="s">
        <v>46</v>
      </c>
      <c r="E846" s="3">
        <v>25.38</v>
      </c>
      <c r="F846">
        <v>20160715</v>
      </c>
      <c r="G846" t="s">
        <v>47</v>
      </c>
      <c r="H846" t="s">
        <v>266</v>
      </c>
      <c r="I846">
        <v>0</v>
      </c>
      <c r="J846" t="s">
        <v>15</v>
      </c>
      <c r="K846" t="s">
        <v>48</v>
      </c>
      <c r="L846" t="s">
        <v>17</v>
      </c>
      <c r="M846" t="str">
        <f t="shared" si="50"/>
        <v>07</v>
      </c>
      <c r="N846" t="s">
        <v>12</v>
      </c>
    </row>
    <row r="847" spans="1:14" x14ac:dyDescent="0.25">
      <c r="A847">
        <v>20160715</v>
      </c>
      <c r="B847" t="str">
        <f>"021879"</f>
        <v>021879</v>
      </c>
      <c r="C847" t="str">
        <f>"54196"</f>
        <v>54196</v>
      </c>
      <c r="D847" t="s">
        <v>49</v>
      </c>
      <c r="E847" s="3">
        <v>50</v>
      </c>
      <c r="F847">
        <v>20160715</v>
      </c>
      <c r="G847" t="s">
        <v>50</v>
      </c>
      <c r="H847" t="s">
        <v>267</v>
      </c>
      <c r="I847">
        <v>0</v>
      </c>
      <c r="J847" t="s">
        <v>15</v>
      </c>
      <c r="K847" t="s">
        <v>52</v>
      </c>
      <c r="L847" t="s">
        <v>17</v>
      </c>
      <c r="M847" t="str">
        <f t="shared" si="50"/>
        <v>07</v>
      </c>
      <c r="N847" t="s">
        <v>12</v>
      </c>
    </row>
    <row r="848" spans="1:14" x14ac:dyDescent="0.25">
      <c r="A848">
        <v>20160715</v>
      </c>
      <c r="B848" t="str">
        <f>"021880"</f>
        <v>021880</v>
      </c>
      <c r="C848" t="str">
        <f>"72601"</f>
        <v>72601</v>
      </c>
      <c r="D848" t="s">
        <v>53</v>
      </c>
      <c r="E848" s="3">
        <v>194.55</v>
      </c>
      <c r="F848">
        <v>20160715</v>
      </c>
      <c r="G848" t="s">
        <v>54</v>
      </c>
      <c r="H848" t="s">
        <v>265</v>
      </c>
      <c r="I848">
        <v>0</v>
      </c>
      <c r="J848" t="s">
        <v>15</v>
      </c>
      <c r="K848" t="s">
        <v>55</v>
      </c>
      <c r="L848" t="s">
        <v>17</v>
      </c>
      <c r="M848" t="str">
        <f t="shared" si="50"/>
        <v>07</v>
      </c>
      <c r="N848" t="s">
        <v>12</v>
      </c>
    </row>
    <row r="849" spans="1:14" x14ac:dyDescent="0.25">
      <c r="A849">
        <v>20160715</v>
      </c>
      <c r="B849" t="str">
        <f>"021881"</f>
        <v>021881</v>
      </c>
      <c r="C849" t="str">
        <f>"75452"</f>
        <v>75452</v>
      </c>
      <c r="D849" t="s">
        <v>56</v>
      </c>
      <c r="E849" s="3">
        <v>250.84</v>
      </c>
      <c r="F849">
        <v>20160715</v>
      </c>
      <c r="G849" t="s">
        <v>57</v>
      </c>
      <c r="H849" t="s">
        <v>264</v>
      </c>
      <c r="I849">
        <v>0</v>
      </c>
      <c r="J849" t="s">
        <v>15</v>
      </c>
      <c r="K849" t="s">
        <v>58</v>
      </c>
      <c r="L849" t="s">
        <v>17</v>
      </c>
      <c r="M849" t="str">
        <f t="shared" ref="M849:M880" si="51">"07"</f>
        <v>07</v>
      </c>
      <c r="N849" t="s">
        <v>12</v>
      </c>
    </row>
    <row r="850" spans="1:14" x14ac:dyDescent="0.25">
      <c r="A850">
        <v>20160715</v>
      </c>
      <c r="B850" t="str">
        <f>"021882"</f>
        <v>021882</v>
      </c>
      <c r="C850" t="str">
        <f>"81177"</f>
        <v>81177</v>
      </c>
      <c r="D850" t="s">
        <v>65</v>
      </c>
      <c r="E850" s="3">
        <v>16.73</v>
      </c>
      <c r="F850">
        <v>20160715</v>
      </c>
      <c r="G850" t="s">
        <v>66</v>
      </c>
      <c r="H850" t="s">
        <v>265</v>
      </c>
      <c r="I850">
        <v>0</v>
      </c>
      <c r="J850" t="s">
        <v>15</v>
      </c>
      <c r="K850" t="s">
        <v>67</v>
      </c>
      <c r="L850" t="s">
        <v>17</v>
      </c>
      <c r="M850" t="str">
        <f t="shared" si="51"/>
        <v>07</v>
      </c>
      <c r="N850" t="s">
        <v>12</v>
      </c>
    </row>
    <row r="851" spans="1:14" x14ac:dyDescent="0.25">
      <c r="A851">
        <v>20160715</v>
      </c>
      <c r="B851" t="str">
        <f>"021882"</f>
        <v>021882</v>
      </c>
      <c r="C851" t="str">
        <f>"81177"</f>
        <v>81177</v>
      </c>
      <c r="D851" t="s">
        <v>65</v>
      </c>
      <c r="E851" s="3">
        <v>66.67</v>
      </c>
      <c r="F851">
        <v>20160715</v>
      </c>
      <c r="G851" t="s">
        <v>134</v>
      </c>
      <c r="H851" t="s">
        <v>265</v>
      </c>
      <c r="I851">
        <v>0</v>
      </c>
      <c r="J851" t="s">
        <v>15</v>
      </c>
      <c r="K851" t="s">
        <v>135</v>
      </c>
      <c r="L851" t="s">
        <v>17</v>
      </c>
      <c r="M851" t="str">
        <f t="shared" si="51"/>
        <v>07</v>
      </c>
      <c r="N851" t="s">
        <v>12</v>
      </c>
    </row>
    <row r="852" spans="1:14" x14ac:dyDescent="0.25">
      <c r="A852">
        <v>20160715</v>
      </c>
      <c r="B852" t="str">
        <f>"021883"</f>
        <v>021883</v>
      </c>
      <c r="C852" t="str">
        <f>"04831"</f>
        <v>04831</v>
      </c>
      <c r="D852" t="s">
        <v>11</v>
      </c>
      <c r="E852" s="3">
        <v>1203.9100000000001</v>
      </c>
      <c r="F852">
        <v>20160715</v>
      </c>
      <c r="G852" t="s">
        <v>13</v>
      </c>
      <c r="H852" t="s">
        <v>264</v>
      </c>
      <c r="I852">
        <v>0</v>
      </c>
      <c r="J852" t="s">
        <v>15</v>
      </c>
      <c r="K852" t="s">
        <v>16</v>
      </c>
      <c r="L852" t="s">
        <v>17</v>
      </c>
      <c r="M852" t="str">
        <f t="shared" si="51"/>
        <v>07</v>
      </c>
      <c r="N852" t="s">
        <v>12</v>
      </c>
    </row>
    <row r="853" spans="1:14" x14ac:dyDescent="0.25">
      <c r="A853">
        <v>20160715</v>
      </c>
      <c r="B853" t="str">
        <f>"021884"</f>
        <v>021884</v>
      </c>
      <c r="C853" t="str">
        <f>"04905"</f>
        <v>04905</v>
      </c>
      <c r="D853" t="s">
        <v>18</v>
      </c>
      <c r="E853" s="3">
        <v>2667.91</v>
      </c>
      <c r="F853">
        <v>20160715</v>
      </c>
      <c r="G853" t="s">
        <v>19</v>
      </c>
      <c r="H853" t="s">
        <v>265</v>
      </c>
      <c r="I853">
        <v>0</v>
      </c>
      <c r="J853" t="s">
        <v>15</v>
      </c>
      <c r="K853" t="s">
        <v>21</v>
      </c>
      <c r="L853" t="s">
        <v>17</v>
      </c>
      <c r="M853" t="str">
        <f t="shared" si="51"/>
        <v>07</v>
      </c>
      <c r="N853" t="s">
        <v>12</v>
      </c>
    </row>
    <row r="854" spans="1:14" x14ac:dyDescent="0.25">
      <c r="A854">
        <v>20160715</v>
      </c>
      <c r="B854" t="str">
        <f>"021885"</f>
        <v>021885</v>
      </c>
      <c r="C854" t="str">
        <f>"04987"</f>
        <v>04987</v>
      </c>
      <c r="D854" t="s">
        <v>144</v>
      </c>
      <c r="E854" s="3">
        <v>468.56</v>
      </c>
      <c r="F854">
        <v>20160715</v>
      </c>
      <c r="G854" t="s">
        <v>35</v>
      </c>
      <c r="H854" t="s">
        <v>264</v>
      </c>
      <c r="I854">
        <v>0</v>
      </c>
      <c r="J854" t="s">
        <v>15</v>
      </c>
      <c r="K854" t="s">
        <v>36</v>
      </c>
      <c r="L854" t="s">
        <v>17</v>
      </c>
      <c r="M854" t="str">
        <f t="shared" si="51"/>
        <v>07</v>
      </c>
      <c r="N854" t="s">
        <v>12</v>
      </c>
    </row>
    <row r="855" spans="1:14" x14ac:dyDescent="0.25">
      <c r="A855">
        <v>20160715</v>
      </c>
      <c r="B855" t="str">
        <f>"021886"</f>
        <v>021886</v>
      </c>
      <c r="C855" t="str">
        <f>"07710"</f>
        <v>07710</v>
      </c>
      <c r="D855" t="s">
        <v>22</v>
      </c>
      <c r="E855" s="3">
        <v>197.76</v>
      </c>
      <c r="F855">
        <v>20160715</v>
      </c>
      <c r="G855" t="s">
        <v>23</v>
      </c>
      <c r="H855" t="s">
        <v>265</v>
      </c>
      <c r="I855">
        <v>0</v>
      </c>
      <c r="J855" t="s">
        <v>15</v>
      </c>
      <c r="K855" t="s">
        <v>24</v>
      </c>
      <c r="L855" t="s">
        <v>17</v>
      </c>
      <c r="M855" t="str">
        <f t="shared" si="51"/>
        <v>07</v>
      </c>
      <c r="N855" t="s">
        <v>12</v>
      </c>
    </row>
    <row r="856" spans="1:14" x14ac:dyDescent="0.25">
      <c r="A856">
        <v>20160715</v>
      </c>
      <c r="B856" t="str">
        <f>"021887"</f>
        <v>021887</v>
      </c>
      <c r="C856" t="str">
        <f>"07880"</f>
        <v>07880</v>
      </c>
      <c r="D856" t="s">
        <v>25</v>
      </c>
      <c r="E856" s="3">
        <v>4181.3999999999996</v>
      </c>
      <c r="F856">
        <v>20160715</v>
      </c>
      <c r="G856" t="s">
        <v>26</v>
      </c>
      <c r="H856" t="s">
        <v>265</v>
      </c>
      <c r="I856">
        <v>0</v>
      </c>
      <c r="J856" t="s">
        <v>15</v>
      </c>
      <c r="K856" t="s">
        <v>27</v>
      </c>
      <c r="L856" t="s">
        <v>17</v>
      </c>
      <c r="M856" t="str">
        <f t="shared" si="51"/>
        <v>07</v>
      </c>
      <c r="N856" t="s">
        <v>12</v>
      </c>
    </row>
    <row r="857" spans="1:14" x14ac:dyDescent="0.25">
      <c r="A857">
        <v>20160715</v>
      </c>
      <c r="B857" t="str">
        <f>"021888"</f>
        <v>021888</v>
      </c>
      <c r="C857" t="str">
        <f>"10095"</f>
        <v>10095</v>
      </c>
      <c r="D857" t="s">
        <v>70</v>
      </c>
      <c r="E857" s="3">
        <v>995.97</v>
      </c>
      <c r="F857">
        <v>20160715</v>
      </c>
      <c r="G857" t="s">
        <v>71</v>
      </c>
      <c r="H857" t="s">
        <v>265</v>
      </c>
      <c r="I857">
        <v>0</v>
      </c>
      <c r="J857" t="s">
        <v>15</v>
      </c>
      <c r="K857" t="s">
        <v>72</v>
      </c>
      <c r="L857" t="s">
        <v>17</v>
      </c>
      <c r="M857" t="str">
        <f t="shared" si="51"/>
        <v>07</v>
      </c>
      <c r="N857" t="s">
        <v>12</v>
      </c>
    </row>
    <row r="858" spans="1:14" x14ac:dyDescent="0.25">
      <c r="A858">
        <v>20160715</v>
      </c>
      <c r="B858" t="str">
        <f>"021889"</f>
        <v>021889</v>
      </c>
      <c r="C858" t="str">
        <f>"11211"</f>
        <v>11211</v>
      </c>
      <c r="D858" t="s">
        <v>28</v>
      </c>
      <c r="E858" s="3">
        <v>2257.63</v>
      </c>
      <c r="F858">
        <v>20160715</v>
      </c>
      <c r="G858" t="s">
        <v>29</v>
      </c>
      <c r="H858" t="s">
        <v>264</v>
      </c>
      <c r="I858">
        <v>0</v>
      </c>
      <c r="J858" t="s">
        <v>15</v>
      </c>
      <c r="K858" t="s">
        <v>30</v>
      </c>
      <c r="L858" t="s">
        <v>17</v>
      </c>
      <c r="M858" t="str">
        <f t="shared" si="51"/>
        <v>07</v>
      </c>
      <c r="N858" t="s">
        <v>12</v>
      </c>
    </row>
    <row r="859" spans="1:14" x14ac:dyDescent="0.25">
      <c r="A859">
        <v>20160715</v>
      </c>
      <c r="B859" t="str">
        <f>"021890"</f>
        <v>021890</v>
      </c>
      <c r="C859" t="str">
        <f>"14177"</f>
        <v>14177</v>
      </c>
      <c r="D859" t="s">
        <v>31</v>
      </c>
      <c r="E859" s="3">
        <v>12.5</v>
      </c>
      <c r="F859">
        <v>20160715</v>
      </c>
      <c r="G859" t="s">
        <v>32</v>
      </c>
      <c r="H859" t="s">
        <v>265</v>
      </c>
      <c r="I859">
        <v>0</v>
      </c>
      <c r="J859" t="s">
        <v>15</v>
      </c>
      <c r="K859" t="s">
        <v>33</v>
      </c>
      <c r="L859" t="s">
        <v>17</v>
      </c>
      <c r="M859" t="str">
        <f t="shared" si="51"/>
        <v>07</v>
      </c>
      <c r="N859" t="s">
        <v>12</v>
      </c>
    </row>
    <row r="860" spans="1:14" x14ac:dyDescent="0.25">
      <c r="A860">
        <v>20160715</v>
      </c>
      <c r="B860" t="str">
        <f>"021891"</f>
        <v>021891</v>
      </c>
      <c r="C860" t="str">
        <f>"20682"</f>
        <v>20682</v>
      </c>
      <c r="D860" t="s">
        <v>76</v>
      </c>
      <c r="E860" s="3">
        <v>4251.92</v>
      </c>
      <c r="F860">
        <v>20160715</v>
      </c>
      <c r="G860" t="s">
        <v>77</v>
      </c>
      <c r="H860" t="s">
        <v>265</v>
      </c>
      <c r="I860">
        <v>0</v>
      </c>
      <c r="J860" t="s">
        <v>15</v>
      </c>
      <c r="K860" t="s">
        <v>78</v>
      </c>
      <c r="L860" t="s">
        <v>17</v>
      </c>
      <c r="M860" t="str">
        <f t="shared" si="51"/>
        <v>07</v>
      </c>
      <c r="N860" t="s">
        <v>12</v>
      </c>
    </row>
    <row r="861" spans="1:14" x14ac:dyDescent="0.25">
      <c r="A861">
        <v>20160715</v>
      </c>
      <c r="B861" t="str">
        <f>"021892"</f>
        <v>021892</v>
      </c>
      <c r="C861" t="str">
        <f>"21504"</f>
        <v>21504</v>
      </c>
      <c r="D861" t="s">
        <v>79</v>
      </c>
      <c r="E861" s="3">
        <v>36.6</v>
      </c>
      <c r="F861">
        <v>20160715</v>
      </c>
      <c r="G861" t="s">
        <v>80</v>
      </c>
      <c r="H861" t="s">
        <v>264</v>
      </c>
      <c r="I861">
        <v>0</v>
      </c>
      <c r="J861" t="s">
        <v>15</v>
      </c>
      <c r="K861" t="s">
        <v>81</v>
      </c>
      <c r="L861" t="s">
        <v>17</v>
      </c>
      <c r="M861" t="str">
        <f t="shared" si="51"/>
        <v>07</v>
      </c>
      <c r="N861" t="s">
        <v>12</v>
      </c>
    </row>
    <row r="862" spans="1:14" x14ac:dyDescent="0.25">
      <c r="A862">
        <v>20160715</v>
      </c>
      <c r="B862" t="str">
        <f>"021893"</f>
        <v>021893</v>
      </c>
      <c r="C862" t="str">
        <f>"21506"</f>
        <v>21506</v>
      </c>
      <c r="D862" t="s">
        <v>34</v>
      </c>
      <c r="E862" s="3">
        <v>301.45</v>
      </c>
      <c r="F862">
        <v>20160715</v>
      </c>
      <c r="G862" t="s">
        <v>37</v>
      </c>
      <c r="H862" t="s">
        <v>264</v>
      </c>
      <c r="I862">
        <v>0</v>
      </c>
      <c r="J862" t="s">
        <v>15</v>
      </c>
      <c r="K862" t="s">
        <v>38</v>
      </c>
      <c r="L862" t="s">
        <v>17</v>
      </c>
      <c r="M862" t="str">
        <f t="shared" si="51"/>
        <v>07</v>
      </c>
      <c r="N862" t="s">
        <v>12</v>
      </c>
    </row>
    <row r="863" spans="1:14" x14ac:dyDescent="0.25">
      <c r="A863">
        <v>20160715</v>
      </c>
      <c r="B863" t="str">
        <f>"021894"</f>
        <v>021894</v>
      </c>
      <c r="C863" t="str">
        <f>"21826"</f>
        <v>21826</v>
      </c>
      <c r="D863" t="s">
        <v>82</v>
      </c>
      <c r="E863" s="3">
        <v>539.08000000000004</v>
      </c>
      <c r="F863">
        <v>20160715</v>
      </c>
      <c r="G863" t="s">
        <v>83</v>
      </c>
      <c r="H863" t="s">
        <v>265</v>
      </c>
      <c r="I863">
        <v>0</v>
      </c>
      <c r="J863" t="s">
        <v>15</v>
      </c>
      <c r="K863" t="s">
        <v>84</v>
      </c>
      <c r="L863" t="s">
        <v>17</v>
      </c>
      <c r="M863" t="str">
        <f t="shared" si="51"/>
        <v>07</v>
      </c>
      <c r="N863" t="s">
        <v>12</v>
      </c>
    </row>
    <row r="864" spans="1:14" x14ac:dyDescent="0.25">
      <c r="A864">
        <v>20160715</v>
      </c>
      <c r="B864" t="str">
        <f>"021895"</f>
        <v>021895</v>
      </c>
      <c r="C864" t="str">
        <f>"24960"</f>
        <v>24960</v>
      </c>
      <c r="D864" t="s">
        <v>39</v>
      </c>
      <c r="E864" s="3">
        <v>3974.46</v>
      </c>
      <c r="F864">
        <v>20160715</v>
      </c>
      <c r="G864" t="s">
        <v>40</v>
      </c>
      <c r="H864" t="s">
        <v>266</v>
      </c>
      <c r="I864">
        <v>0</v>
      </c>
      <c r="J864" t="s">
        <v>15</v>
      </c>
      <c r="K864" t="s">
        <v>42</v>
      </c>
      <c r="L864" t="s">
        <v>17</v>
      </c>
      <c r="M864" t="str">
        <f t="shared" si="51"/>
        <v>07</v>
      </c>
      <c r="N864" t="s">
        <v>12</v>
      </c>
    </row>
    <row r="865" spans="1:14" x14ac:dyDescent="0.25">
      <c r="A865">
        <v>20160715</v>
      </c>
      <c r="B865" t="str">
        <f>"021896"</f>
        <v>021896</v>
      </c>
      <c r="C865" t="str">
        <f>"42245"</f>
        <v>42245</v>
      </c>
      <c r="D865" t="s">
        <v>43</v>
      </c>
      <c r="E865" s="3">
        <v>9472.18</v>
      </c>
      <c r="F865">
        <v>20160715</v>
      </c>
      <c r="G865" t="s">
        <v>44</v>
      </c>
      <c r="H865" t="s">
        <v>264</v>
      </c>
      <c r="I865">
        <v>0</v>
      </c>
      <c r="J865" t="s">
        <v>15</v>
      </c>
      <c r="K865" t="s">
        <v>45</v>
      </c>
      <c r="L865" t="s">
        <v>17</v>
      </c>
      <c r="M865" t="str">
        <f t="shared" si="51"/>
        <v>07</v>
      </c>
      <c r="N865" t="s">
        <v>12</v>
      </c>
    </row>
    <row r="866" spans="1:14" x14ac:dyDescent="0.25">
      <c r="A866">
        <v>20160715</v>
      </c>
      <c r="B866" t="str">
        <f>"021897"</f>
        <v>021897</v>
      </c>
      <c r="C866" t="str">
        <f>"43855"</f>
        <v>43855</v>
      </c>
      <c r="D866" t="s">
        <v>88</v>
      </c>
      <c r="E866" s="3">
        <v>250</v>
      </c>
      <c r="F866">
        <v>20160715</v>
      </c>
      <c r="G866" t="s">
        <v>89</v>
      </c>
      <c r="H866" t="s">
        <v>265</v>
      </c>
      <c r="I866">
        <v>0</v>
      </c>
      <c r="J866" t="s">
        <v>15</v>
      </c>
      <c r="K866" t="s">
        <v>88</v>
      </c>
      <c r="L866" t="s">
        <v>17</v>
      </c>
      <c r="M866" t="str">
        <f t="shared" si="51"/>
        <v>07</v>
      </c>
      <c r="N866" t="s">
        <v>12</v>
      </c>
    </row>
    <row r="867" spans="1:14" x14ac:dyDescent="0.25">
      <c r="A867">
        <v>20160715</v>
      </c>
      <c r="B867" t="str">
        <f>"021898"</f>
        <v>021898</v>
      </c>
      <c r="C867" t="str">
        <f>"48947"</f>
        <v>48947</v>
      </c>
      <c r="D867" t="s">
        <v>46</v>
      </c>
      <c r="E867" s="3">
        <v>1419.97</v>
      </c>
      <c r="F867">
        <v>20160715</v>
      </c>
      <c r="G867" t="s">
        <v>47</v>
      </c>
      <c r="H867" t="s">
        <v>266</v>
      </c>
      <c r="I867">
        <v>0</v>
      </c>
      <c r="J867" t="s">
        <v>15</v>
      </c>
      <c r="K867" t="s">
        <v>48</v>
      </c>
      <c r="L867" t="s">
        <v>17</v>
      </c>
      <c r="M867" t="str">
        <f t="shared" si="51"/>
        <v>07</v>
      </c>
      <c r="N867" t="s">
        <v>12</v>
      </c>
    </row>
    <row r="868" spans="1:14" x14ac:dyDescent="0.25">
      <c r="A868">
        <v>20160715</v>
      </c>
      <c r="B868" t="str">
        <f t="shared" ref="B868:B884" si="52">"021899"</f>
        <v>021899</v>
      </c>
      <c r="C868" t="str">
        <f t="shared" ref="C868:C884" si="53">"54196"</f>
        <v>54196</v>
      </c>
      <c r="D868" t="s">
        <v>49</v>
      </c>
      <c r="E868" s="3">
        <v>50</v>
      </c>
      <c r="F868">
        <v>20160715</v>
      </c>
      <c r="G868" t="s">
        <v>90</v>
      </c>
      <c r="H868" t="s">
        <v>267</v>
      </c>
      <c r="I868">
        <v>0</v>
      </c>
      <c r="J868" t="s">
        <v>15</v>
      </c>
      <c r="K868" t="s">
        <v>91</v>
      </c>
      <c r="L868" t="s">
        <v>17</v>
      </c>
      <c r="M868" t="str">
        <f t="shared" si="51"/>
        <v>07</v>
      </c>
      <c r="N868" t="s">
        <v>12</v>
      </c>
    </row>
    <row r="869" spans="1:14" x14ac:dyDescent="0.25">
      <c r="A869">
        <v>20160715</v>
      </c>
      <c r="B869" t="str">
        <f t="shared" si="52"/>
        <v>021899</v>
      </c>
      <c r="C869" t="str">
        <f t="shared" si="53"/>
        <v>54196</v>
      </c>
      <c r="D869" t="s">
        <v>49</v>
      </c>
      <c r="E869" s="3">
        <v>283</v>
      </c>
      <c r="F869">
        <v>20160715</v>
      </c>
      <c r="G869" t="s">
        <v>92</v>
      </c>
      <c r="H869" t="s">
        <v>267</v>
      </c>
      <c r="I869">
        <v>0</v>
      </c>
      <c r="J869" t="s">
        <v>15</v>
      </c>
      <c r="K869" t="s">
        <v>93</v>
      </c>
      <c r="L869" t="s">
        <v>17</v>
      </c>
      <c r="M869" t="str">
        <f t="shared" si="51"/>
        <v>07</v>
      </c>
      <c r="N869" t="s">
        <v>12</v>
      </c>
    </row>
    <row r="870" spans="1:14" x14ac:dyDescent="0.25">
      <c r="A870">
        <v>20160715</v>
      </c>
      <c r="B870" t="str">
        <f t="shared" si="52"/>
        <v>021899</v>
      </c>
      <c r="C870" t="str">
        <f t="shared" si="53"/>
        <v>54196</v>
      </c>
      <c r="D870" t="s">
        <v>49</v>
      </c>
      <c r="E870" s="3">
        <v>250</v>
      </c>
      <c r="F870">
        <v>20160715</v>
      </c>
      <c r="G870" t="s">
        <v>94</v>
      </c>
      <c r="H870" t="s">
        <v>267</v>
      </c>
      <c r="I870">
        <v>0</v>
      </c>
      <c r="J870" t="s">
        <v>15</v>
      </c>
      <c r="K870" t="s">
        <v>95</v>
      </c>
      <c r="L870" t="s">
        <v>17</v>
      </c>
      <c r="M870" t="str">
        <f t="shared" si="51"/>
        <v>07</v>
      </c>
      <c r="N870" t="s">
        <v>12</v>
      </c>
    </row>
    <row r="871" spans="1:14" x14ac:dyDescent="0.25">
      <c r="A871">
        <v>20160715</v>
      </c>
      <c r="B871" t="str">
        <f t="shared" si="52"/>
        <v>021899</v>
      </c>
      <c r="C871" t="str">
        <f t="shared" si="53"/>
        <v>54196</v>
      </c>
      <c r="D871" t="s">
        <v>49</v>
      </c>
      <c r="E871" s="3">
        <v>2175</v>
      </c>
      <c r="F871">
        <v>20160715</v>
      </c>
      <c r="G871" t="s">
        <v>96</v>
      </c>
      <c r="H871" t="s">
        <v>267</v>
      </c>
      <c r="I871">
        <v>0</v>
      </c>
      <c r="J871" t="s">
        <v>15</v>
      </c>
      <c r="K871" t="s">
        <v>97</v>
      </c>
      <c r="L871" t="s">
        <v>17</v>
      </c>
      <c r="M871" t="str">
        <f t="shared" si="51"/>
        <v>07</v>
      </c>
      <c r="N871" t="s">
        <v>12</v>
      </c>
    </row>
    <row r="872" spans="1:14" x14ac:dyDescent="0.25">
      <c r="A872">
        <v>20160715</v>
      </c>
      <c r="B872" t="str">
        <f t="shared" si="52"/>
        <v>021899</v>
      </c>
      <c r="C872" t="str">
        <f t="shared" si="53"/>
        <v>54196</v>
      </c>
      <c r="D872" t="s">
        <v>49</v>
      </c>
      <c r="E872" s="3">
        <v>50</v>
      </c>
      <c r="F872">
        <v>20160715</v>
      </c>
      <c r="G872" t="s">
        <v>98</v>
      </c>
      <c r="H872" t="s">
        <v>267</v>
      </c>
      <c r="I872">
        <v>0</v>
      </c>
      <c r="J872" t="s">
        <v>15</v>
      </c>
      <c r="K872" t="s">
        <v>99</v>
      </c>
      <c r="L872" t="s">
        <v>17</v>
      </c>
      <c r="M872" t="str">
        <f t="shared" si="51"/>
        <v>07</v>
      </c>
      <c r="N872" t="s">
        <v>12</v>
      </c>
    </row>
    <row r="873" spans="1:14" x14ac:dyDescent="0.25">
      <c r="A873">
        <v>20160715</v>
      </c>
      <c r="B873" t="str">
        <f t="shared" si="52"/>
        <v>021899</v>
      </c>
      <c r="C873" t="str">
        <f t="shared" si="53"/>
        <v>54196</v>
      </c>
      <c r="D873" t="s">
        <v>49</v>
      </c>
      <c r="E873" s="3">
        <v>150</v>
      </c>
      <c r="F873">
        <v>20160715</v>
      </c>
      <c r="G873" t="s">
        <v>100</v>
      </c>
      <c r="H873" t="s">
        <v>267</v>
      </c>
      <c r="I873">
        <v>0</v>
      </c>
      <c r="J873" t="s">
        <v>15</v>
      </c>
      <c r="K873" t="s">
        <v>101</v>
      </c>
      <c r="L873" t="s">
        <v>17</v>
      </c>
      <c r="M873" t="str">
        <f t="shared" si="51"/>
        <v>07</v>
      </c>
      <c r="N873" t="s">
        <v>12</v>
      </c>
    </row>
    <row r="874" spans="1:14" x14ac:dyDescent="0.25">
      <c r="A874">
        <v>20160715</v>
      </c>
      <c r="B874" t="str">
        <f t="shared" si="52"/>
        <v>021899</v>
      </c>
      <c r="C874" t="str">
        <f t="shared" si="53"/>
        <v>54196</v>
      </c>
      <c r="D874" t="s">
        <v>49</v>
      </c>
      <c r="E874" s="3">
        <v>2217</v>
      </c>
      <c r="F874">
        <v>20160715</v>
      </c>
      <c r="G874" t="s">
        <v>102</v>
      </c>
      <c r="H874" t="s">
        <v>267</v>
      </c>
      <c r="I874">
        <v>0</v>
      </c>
      <c r="J874" t="s">
        <v>15</v>
      </c>
      <c r="K874" t="s">
        <v>103</v>
      </c>
      <c r="L874" t="s">
        <v>17</v>
      </c>
      <c r="M874" t="str">
        <f t="shared" si="51"/>
        <v>07</v>
      </c>
      <c r="N874" t="s">
        <v>12</v>
      </c>
    </row>
    <row r="875" spans="1:14" x14ac:dyDescent="0.25">
      <c r="A875">
        <v>20160715</v>
      </c>
      <c r="B875" t="str">
        <f t="shared" si="52"/>
        <v>021899</v>
      </c>
      <c r="C875" t="str">
        <f t="shared" si="53"/>
        <v>54196</v>
      </c>
      <c r="D875" t="s">
        <v>49</v>
      </c>
      <c r="E875" s="3">
        <v>672</v>
      </c>
      <c r="F875">
        <v>20160715</v>
      </c>
      <c r="G875" t="s">
        <v>104</v>
      </c>
      <c r="H875" t="s">
        <v>267</v>
      </c>
      <c r="I875">
        <v>0</v>
      </c>
      <c r="J875" t="s">
        <v>15</v>
      </c>
      <c r="K875" t="s">
        <v>105</v>
      </c>
      <c r="L875" t="s">
        <v>17</v>
      </c>
      <c r="M875" t="str">
        <f t="shared" si="51"/>
        <v>07</v>
      </c>
      <c r="N875" t="s">
        <v>12</v>
      </c>
    </row>
    <row r="876" spans="1:14" x14ac:dyDescent="0.25">
      <c r="A876">
        <v>20160715</v>
      </c>
      <c r="B876" t="str">
        <f t="shared" si="52"/>
        <v>021899</v>
      </c>
      <c r="C876" t="str">
        <f t="shared" si="53"/>
        <v>54196</v>
      </c>
      <c r="D876" t="s">
        <v>49</v>
      </c>
      <c r="E876" s="3">
        <v>300</v>
      </c>
      <c r="F876">
        <v>20160715</v>
      </c>
      <c r="G876" t="s">
        <v>108</v>
      </c>
      <c r="H876" t="s">
        <v>267</v>
      </c>
      <c r="I876">
        <v>0</v>
      </c>
      <c r="J876" t="s">
        <v>15</v>
      </c>
      <c r="K876" t="s">
        <v>109</v>
      </c>
      <c r="L876" t="s">
        <v>17</v>
      </c>
      <c r="M876" t="str">
        <f t="shared" si="51"/>
        <v>07</v>
      </c>
      <c r="N876" t="s">
        <v>12</v>
      </c>
    </row>
    <row r="877" spans="1:14" x14ac:dyDescent="0.25">
      <c r="A877">
        <v>20160715</v>
      </c>
      <c r="B877" t="str">
        <f t="shared" si="52"/>
        <v>021899</v>
      </c>
      <c r="C877" t="str">
        <f t="shared" si="53"/>
        <v>54196</v>
      </c>
      <c r="D877" t="s">
        <v>49</v>
      </c>
      <c r="E877" s="3">
        <v>450</v>
      </c>
      <c r="F877">
        <v>20160715</v>
      </c>
      <c r="G877" t="s">
        <v>110</v>
      </c>
      <c r="H877" t="s">
        <v>267</v>
      </c>
      <c r="I877">
        <v>0</v>
      </c>
      <c r="J877" t="s">
        <v>15</v>
      </c>
      <c r="K877" t="s">
        <v>111</v>
      </c>
      <c r="L877" t="s">
        <v>17</v>
      </c>
      <c r="M877" t="str">
        <f t="shared" si="51"/>
        <v>07</v>
      </c>
      <c r="N877" t="s">
        <v>12</v>
      </c>
    </row>
    <row r="878" spans="1:14" x14ac:dyDescent="0.25">
      <c r="A878">
        <v>20160715</v>
      </c>
      <c r="B878" t="str">
        <f t="shared" si="52"/>
        <v>021899</v>
      </c>
      <c r="C878" t="str">
        <f t="shared" si="53"/>
        <v>54196</v>
      </c>
      <c r="D878" t="s">
        <v>49</v>
      </c>
      <c r="E878" s="3">
        <v>750</v>
      </c>
      <c r="F878">
        <v>20160715</v>
      </c>
      <c r="G878" t="s">
        <v>112</v>
      </c>
      <c r="H878" t="s">
        <v>267</v>
      </c>
      <c r="I878">
        <v>0</v>
      </c>
      <c r="J878" t="s">
        <v>15</v>
      </c>
      <c r="K878" t="s">
        <v>113</v>
      </c>
      <c r="L878" t="s">
        <v>17</v>
      </c>
      <c r="M878" t="str">
        <f t="shared" si="51"/>
        <v>07</v>
      </c>
      <c r="N878" t="s">
        <v>12</v>
      </c>
    </row>
    <row r="879" spans="1:14" x14ac:dyDescent="0.25">
      <c r="A879">
        <v>20160715</v>
      </c>
      <c r="B879" t="str">
        <f t="shared" si="52"/>
        <v>021899</v>
      </c>
      <c r="C879" t="str">
        <f t="shared" si="53"/>
        <v>54196</v>
      </c>
      <c r="D879" t="s">
        <v>49</v>
      </c>
      <c r="E879" s="3">
        <v>100</v>
      </c>
      <c r="F879">
        <v>20160715</v>
      </c>
      <c r="G879" t="s">
        <v>149</v>
      </c>
      <c r="H879" t="s">
        <v>267</v>
      </c>
      <c r="I879">
        <v>0</v>
      </c>
      <c r="J879" t="s">
        <v>15</v>
      </c>
      <c r="K879" t="s">
        <v>150</v>
      </c>
      <c r="L879" t="s">
        <v>17</v>
      </c>
      <c r="M879" t="str">
        <f t="shared" si="51"/>
        <v>07</v>
      </c>
      <c r="N879" t="s">
        <v>12</v>
      </c>
    </row>
    <row r="880" spans="1:14" x14ac:dyDescent="0.25">
      <c r="A880">
        <v>20160715</v>
      </c>
      <c r="B880" t="str">
        <f t="shared" si="52"/>
        <v>021899</v>
      </c>
      <c r="C880" t="str">
        <f t="shared" si="53"/>
        <v>54196</v>
      </c>
      <c r="D880" t="s">
        <v>49</v>
      </c>
      <c r="E880" s="3">
        <v>200</v>
      </c>
      <c r="F880">
        <v>20160715</v>
      </c>
      <c r="G880" t="s">
        <v>114</v>
      </c>
      <c r="H880" t="s">
        <v>267</v>
      </c>
      <c r="I880">
        <v>0</v>
      </c>
      <c r="J880" t="s">
        <v>15</v>
      </c>
      <c r="K880" t="s">
        <v>115</v>
      </c>
      <c r="L880" t="s">
        <v>17</v>
      </c>
      <c r="M880" t="str">
        <f t="shared" si="51"/>
        <v>07</v>
      </c>
      <c r="N880" t="s">
        <v>12</v>
      </c>
    </row>
    <row r="881" spans="1:14" x14ac:dyDescent="0.25">
      <c r="A881">
        <v>20160715</v>
      </c>
      <c r="B881" t="str">
        <f t="shared" si="52"/>
        <v>021899</v>
      </c>
      <c r="C881" t="str">
        <f t="shared" si="53"/>
        <v>54196</v>
      </c>
      <c r="D881" t="s">
        <v>49</v>
      </c>
      <c r="E881" s="3">
        <v>8088</v>
      </c>
      <c r="F881">
        <v>20160715</v>
      </c>
      <c r="G881" t="s">
        <v>119</v>
      </c>
      <c r="H881" t="s">
        <v>268</v>
      </c>
      <c r="I881">
        <v>0</v>
      </c>
      <c r="J881" t="s">
        <v>15</v>
      </c>
      <c r="K881" t="s">
        <v>103</v>
      </c>
      <c r="L881" t="s">
        <v>17</v>
      </c>
      <c r="M881" t="str">
        <f t="shared" ref="M881:M897" si="54">"07"</f>
        <v>07</v>
      </c>
      <c r="N881" t="s">
        <v>12</v>
      </c>
    </row>
    <row r="882" spans="1:14" x14ac:dyDescent="0.25">
      <c r="A882">
        <v>20160715</v>
      </c>
      <c r="B882" t="str">
        <f t="shared" si="52"/>
        <v>021899</v>
      </c>
      <c r="C882" t="str">
        <f t="shared" si="53"/>
        <v>54196</v>
      </c>
      <c r="D882" t="s">
        <v>49</v>
      </c>
      <c r="E882" s="3">
        <v>650</v>
      </c>
      <c r="F882">
        <v>20160715</v>
      </c>
      <c r="G882" t="s">
        <v>50</v>
      </c>
      <c r="H882" t="s">
        <v>267</v>
      </c>
      <c r="I882">
        <v>0</v>
      </c>
      <c r="J882" t="s">
        <v>15</v>
      </c>
      <c r="K882" t="s">
        <v>52</v>
      </c>
      <c r="L882" t="s">
        <v>17</v>
      </c>
      <c r="M882" t="str">
        <f t="shared" si="54"/>
        <v>07</v>
      </c>
      <c r="N882" t="s">
        <v>12</v>
      </c>
    </row>
    <row r="883" spans="1:14" x14ac:dyDescent="0.25">
      <c r="A883">
        <v>20160715</v>
      </c>
      <c r="B883" t="str">
        <f t="shared" si="52"/>
        <v>021899</v>
      </c>
      <c r="C883" t="str">
        <f t="shared" si="53"/>
        <v>54196</v>
      </c>
      <c r="D883" t="s">
        <v>49</v>
      </c>
      <c r="E883" s="3">
        <v>475</v>
      </c>
      <c r="F883">
        <v>20160715</v>
      </c>
      <c r="G883" t="s">
        <v>178</v>
      </c>
      <c r="H883" t="s">
        <v>269</v>
      </c>
      <c r="I883">
        <v>0</v>
      </c>
      <c r="J883" t="s">
        <v>15</v>
      </c>
      <c r="K883" t="s">
        <v>180</v>
      </c>
      <c r="L883" t="s">
        <v>17</v>
      </c>
      <c r="M883" t="str">
        <f t="shared" si="54"/>
        <v>07</v>
      </c>
      <c r="N883" t="s">
        <v>12</v>
      </c>
    </row>
    <row r="884" spans="1:14" x14ac:dyDescent="0.25">
      <c r="A884">
        <v>20160715</v>
      </c>
      <c r="B884" t="str">
        <f t="shared" si="52"/>
        <v>021899</v>
      </c>
      <c r="C884" t="str">
        <f t="shared" si="53"/>
        <v>54196</v>
      </c>
      <c r="D884" t="s">
        <v>49</v>
      </c>
      <c r="E884" s="3">
        <v>2400</v>
      </c>
      <c r="F884">
        <v>20160715</v>
      </c>
      <c r="G884" t="s">
        <v>181</v>
      </c>
      <c r="H884" t="s">
        <v>268</v>
      </c>
      <c r="I884">
        <v>0</v>
      </c>
      <c r="J884" t="s">
        <v>15</v>
      </c>
      <c r="K884" t="s">
        <v>182</v>
      </c>
      <c r="L884" t="s">
        <v>17</v>
      </c>
      <c r="M884" t="str">
        <f t="shared" si="54"/>
        <v>07</v>
      </c>
      <c r="N884" t="s">
        <v>12</v>
      </c>
    </row>
    <row r="885" spans="1:14" x14ac:dyDescent="0.25">
      <c r="A885">
        <v>20160715</v>
      </c>
      <c r="B885" t="str">
        <f>"021900"</f>
        <v>021900</v>
      </c>
      <c r="C885" t="str">
        <f>"72601"</f>
        <v>72601</v>
      </c>
      <c r="D885" t="s">
        <v>53</v>
      </c>
      <c r="E885" s="3">
        <v>8801.4500000000007</v>
      </c>
      <c r="F885">
        <v>20160715</v>
      </c>
      <c r="G885" t="s">
        <v>54</v>
      </c>
      <c r="H885" t="s">
        <v>265</v>
      </c>
      <c r="I885">
        <v>0</v>
      </c>
      <c r="J885" t="s">
        <v>15</v>
      </c>
      <c r="K885" t="s">
        <v>55</v>
      </c>
      <c r="L885" t="s">
        <v>17</v>
      </c>
      <c r="M885" t="str">
        <f t="shared" si="54"/>
        <v>07</v>
      </c>
      <c r="N885" t="s">
        <v>12</v>
      </c>
    </row>
    <row r="886" spans="1:14" x14ac:dyDescent="0.25">
      <c r="A886">
        <v>20160715</v>
      </c>
      <c r="B886" t="str">
        <f>"021901"</f>
        <v>021901</v>
      </c>
      <c r="C886" t="str">
        <f>"75452"</f>
        <v>75452</v>
      </c>
      <c r="D886" t="s">
        <v>56</v>
      </c>
      <c r="E886" s="3">
        <v>9478.36</v>
      </c>
      <c r="F886">
        <v>20160715</v>
      </c>
      <c r="G886" t="s">
        <v>57</v>
      </c>
      <c r="H886" t="s">
        <v>264</v>
      </c>
      <c r="I886">
        <v>0</v>
      </c>
      <c r="J886" t="s">
        <v>15</v>
      </c>
      <c r="K886" t="s">
        <v>58</v>
      </c>
      <c r="L886" t="s">
        <v>17</v>
      </c>
      <c r="M886" t="str">
        <f t="shared" si="54"/>
        <v>07</v>
      </c>
      <c r="N886" t="s">
        <v>12</v>
      </c>
    </row>
    <row r="887" spans="1:14" x14ac:dyDescent="0.25">
      <c r="A887">
        <v>20160715</v>
      </c>
      <c r="B887" t="str">
        <f>"021901"</f>
        <v>021901</v>
      </c>
      <c r="C887" t="str">
        <f>"75452"</f>
        <v>75452</v>
      </c>
      <c r="D887" t="s">
        <v>56</v>
      </c>
      <c r="E887" s="3">
        <v>25</v>
      </c>
      <c r="F887">
        <v>20160715</v>
      </c>
      <c r="G887" t="s">
        <v>153</v>
      </c>
      <c r="H887" t="s">
        <v>270</v>
      </c>
      <c r="I887">
        <v>0</v>
      </c>
      <c r="J887" t="s">
        <v>15</v>
      </c>
      <c r="K887" t="s">
        <v>155</v>
      </c>
      <c r="L887" t="s">
        <v>17</v>
      </c>
      <c r="M887" t="str">
        <f t="shared" si="54"/>
        <v>07</v>
      </c>
      <c r="N887" t="s">
        <v>12</v>
      </c>
    </row>
    <row r="888" spans="1:14" x14ac:dyDescent="0.25">
      <c r="A888">
        <v>20160715</v>
      </c>
      <c r="B888" t="str">
        <f>"021902"</f>
        <v>021902</v>
      </c>
      <c r="C888" t="str">
        <f>"77030"</f>
        <v>77030</v>
      </c>
      <c r="D888" t="s">
        <v>156</v>
      </c>
      <c r="E888" s="3">
        <v>256.02</v>
      </c>
      <c r="F888">
        <v>20160715</v>
      </c>
      <c r="G888" t="s">
        <v>157</v>
      </c>
      <c r="H888" t="s">
        <v>265</v>
      </c>
      <c r="I888">
        <v>0</v>
      </c>
      <c r="J888" t="s">
        <v>15</v>
      </c>
      <c r="K888" t="s">
        <v>158</v>
      </c>
      <c r="L888" t="s">
        <v>17</v>
      </c>
      <c r="M888" t="str">
        <f t="shared" si="54"/>
        <v>07</v>
      </c>
      <c r="N888" t="s">
        <v>12</v>
      </c>
    </row>
    <row r="889" spans="1:14" x14ac:dyDescent="0.25">
      <c r="A889">
        <v>20160715</v>
      </c>
      <c r="B889" t="str">
        <f>"021903"</f>
        <v>021903</v>
      </c>
      <c r="C889" t="str">
        <f>"78428"</f>
        <v>78428</v>
      </c>
      <c r="D889" t="s">
        <v>124</v>
      </c>
      <c r="E889" s="3">
        <v>851.87</v>
      </c>
      <c r="F889">
        <v>20160715</v>
      </c>
      <c r="G889" t="s">
        <v>125</v>
      </c>
      <c r="H889" t="s">
        <v>265</v>
      </c>
      <c r="I889">
        <v>0</v>
      </c>
      <c r="J889" t="s">
        <v>15</v>
      </c>
      <c r="K889" t="s">
        <v>126</v>
      </c>
      <c r="L889" t="s">
        <v>17</v>
      </c>
      <c r="M889" t="str">
        <f t="shared" si="54"/>
        <v>07</v>
      </c>
      <c r="N889" t="s">
        <v>12</v>
      </c>
    </row>
    <row r="890" spans="1:14" x14ac:dyDescent="0.25">
      <c r="A890">
        <v>20160715</v>
      </c>
      <c r="B890" t="str">
        <f>"021904"</f>
        <v>021904</v>
      </c>
      <c r="C890" t="str">
        <f>"79562"</f>
        <v>79562</v>
      </c>
      <c r="D890" t="s">
        <v>127</v>
      </c>
      <c r="E890" s="3">
        <v>341.95</v>
      </c>
      <c r="F890">
        <v>20160715</v>
      </c>
      <c r="G890" t="s">
        <v>128</v>
      </c>
      <c r="H890" t="s">
        <v>271</v>
      </c>
      <c r="I890">
        <v>0</v>
      </c>
      <c r="J890" t="s">
        <v>15</v>
      </c>
      <c r="K890" t="s">
        <v>130</v>
      </c>
      <c r="L890" t="s">
        <v>17</v>
      </c>
      <c r="M890" t="str">
        <f t="shared" si="54"/>
        <v>07</v>
      </c>
      <c r="N890" t="s">
        <v>12</v>
      </c>
    </row>
    <row r="891" spans="1:14" x14ac:dyDescent="0.25">
      <c r="A891">
        <v>20160715</v>
      </c>
      <c r="B891" t="str">
        <f>"021905"</f>
        <v>021905</v>
      </c>
      <c r="C891" t="str">
        <f>"79762"</f>
        <v>79762</v>
      </c>
      <c r="D891" t="s">
        <v>160</v>
      </c>
      <c r="E891" s="3">
        <v>390</v>
      </c>
      <c r="F891">
        <v>20160715</v>
      </c>
      <c r="G891" t="s">
        <v>161</v>
      </c>
      <c r="H891" t="s">
        <v>265</v>
      </c>
      <c r="I891">
        <v>0</v>
      </c>
      <c r="J891" t="s">
        <v>15</v>
      </c>
      <c r="K891" t="s">
        <v>162</v>
      </c>
      <c r="L891" t="s">
        <v>17</v>
      </c>
      <c r="M891" t="str">
        <f t="shared" si="54"/>
        <v>07</v>
      </c>
      <c r="N891" t="s">
        <v>12</v>
      </c>
    </row>
    <row r="892" spans="1:14" x14ac:dyDescent="0.25">
      <c r="A892">
        <v>20160715</v>
      </c>
      <c r="B892" t="str">
        <f>"021906"</f>
        <v>021906</v>
      </c>
      <c r="C892" t="str">
        <f>"81155"</f>
        <v>81155</v>
      </c>
      <c r="D892" t="s">
        <v>131</v>
      </c>
      <c r="E892" s="3">
        <v>250</v>
      </c>
      <c r="F892">
        <v>20160715</v>
      </c>
      <c r="G892" t="s">
        <v>132</v>
      </c>
      <c r="H892" t="s">
        <v>265</v>
      </c>
      <c r="I892">
        <v>0</v>
      </c>
      <c r="J892" t="s">
        <v>15</v>
      </c>
      <c r="K892" t="s">
        <v>133</v>
      </c>
      <c r="L892" t="s">
        <v>17</v>
      </c>
      <c r="M892" t="str">
        <f t="shared" si="54"/>
        <v>07</v>
      </c>
      <c r="N892" t="s">
        <v>12</v>
      </c>
    </row>
    <row r="893" spans="1:14" x14ac:dyDescent="0.25">
      <c r="A893">
        <v>20160715</v>
      </c>
      <c r="B893" t="str">
        <f>"021907"</f>
        <v>021907</v>
      </c>
      <c r="C893" t="str">
        <f>"81177"</f>
        <v>81177</v>
      </c>
      <c r="D893" t="s">
        <v>65</v>
      </c>
      <c r="E893" s="3">
        <v>673</v>
      </c>
      <c r="F893">
        <v>20160715</v>
      </c>
      <c r="G893" t="s">
        <v>134</v>
      </c>
      <c r="H893" t="s">
        <v>265</v>
      </c>
      <c r="I893">
        <v>0</v>
      </c>
      <c r="J893" t="s">
        <v>15</v>
      </c>
      <c r="K893" t="s">
        <v>135</v>
      </c>
      <c r="L893" t="s">
        <v>17</v>
      </c>
      <c r="M893" t="str">
        <f t="shared" si="54"/>
        <v>07</v>
      </c>
      <c r="N893" t="s">
        <v>12</v>
      </c>
    </row>
    <row r="894" spans="1:14" x14ac:dyDescent="0.25">
      <c r="A894">
        <v>20160715</v>
      </c>
      <c r="B894" t="str">
        <f>"021908"</f>
        <v>021908</v>
      </c>
      <c r="C894" t="str">
        <f>"81753"</f>
        <v>81753</v>
      </c>
      <c r="D894" t="s">
        <v>68</v>
      </c>
      <c r="E894" s="3">
        <v>276.43</v>
      </c>
      <c r="F894">
        <v>20160715</v>
      </c>
      <c r="G894" t="s">
        <v>69</v>
      </c>
      <c r="H894" t="s">
        <v>265</v>
      </c>
      <c r="I894">
        <v>0</v>
      </c>
      <c r="J894" t="s">
        <v>15</v>
      </c>
      <c r="K894" t="s">
        <v>68</v>
      </c>
      <c r="L894" t="s">
        <v>17</v>
      </c>
      <c r="M894" t="str">
        <f t="shared" si="54"/>
        <v>07</v>
      </c>
      <c r="N894" t="s">
        <v>12</v>
      </c>
    </row>
    <row r="895" spans="1:14" x14ac:dyDescent="0.25">
      <c r="A895">
        <v>20160715</v>
      </c>
      <c r="B895" t="str">
        <f>"021909"</f>
        <v>021909</v>
      </c>
      <c r="C895" t="str">
        <f>"82168"</f>
        <v>82168</v>
      </c>
      <c r="D895" t="s">
        <v>236</v>
      </c>
      <c r="E895" s="3">
        <v>210</v>
      </c>
      <c r="F895">
        <v>20160715</v>
      </c>
      <c r="G895" t="s">
        <v>74</v>
      </c>
      <c r="H895" t="s">
        <v>265</v>
      </c>
      <c r="I895">
        <v>0</v>
      </c>
      <c r="J895" t="s">
        <v>15</v>
      </c>
      <c r="K895" t="s">
        <v>75</v>
      </c>
      <c r="L895" t="s">
        <v>17</v>
      </c>
      <c r="M895" t="str">
        <f t="shared" si="54"/>
        <v>07</v>
      </c>
      <c r="N895" t="s">
        <v>12</v>
      </c>
    </row>
    <row r="896" spans="1:14" x14ac:dyDescent="0.25">
      <c r="A896">
        <v>20160715</v>
      </c>
      <c r="B896" t="str">
        <f>"021910"</f>
        <v>021910</v>
      </c>
      <c r="C896" t="str">
        <f>"04831"</f>
        <v>04831</v>
      </c>
      <c r="D896" t="s">
        <v>11</v>
      </c>
      <c r="E896" s="3">
        <v>78.66</v>
      </c>
      <c r="F896">
        <v>20160719</v>
      </c>
      <c r="G896" t="s">
        <v>239</v>
      </c>
      <c r="H896" t="s">
        <v>272</v>
      </c>
      <c r="I896">
        <v>0</v>
      </c>
      <c r="J896" t="s">
        <v>15</v>
      </c>
      <c r="K896" t="s">
        <v>240</v>
      </c>
      <c r="L896" t="s">
        <v>17</v>
      </c>
      <c r="M896" t="str">
        <f t="shared" si="54"/>
        <v>07</v>
      </c>
      <c r="N896" t="s">
        <v>12</v>
      </c>
    </row>
    <row r="897" spans="1:14" x14ac:dyDescent="0.25">
      <c r="A897">
        <v>20160729</v>
      </c>
      <c r="B897" t="str">
        <f>"021922"</f>
        <v>021922</v>
      </c>
      <c r="C897" t="str">
        <f>"07880"</f>
        <v>07880</v>
      </c>
      <c r="D897" t="s">
        <v>25</v>
      </c>
      <c r="E897" s="3">
        <v>158.41999999999999</v>
      </c>
      <c r="F897">
        <v>20160729</v>
      </c>
      <c r="G897" t="s">
        <v>26</v>
      </c>
      <c r="H897" t="s">
        <v>265</v>
      </c>
      <c r="I897">
        <v>0</v>
      </c>
      <c r="J897" t="s">
        <v>15</v>
      </c>
      <c r="K897" t="s">
        <v>27</v>
      </c>
      <c r="L897" t="s">
        <v>17</v>
      </c>
      <c r="M897" t="str">
        <f t="shared" si="54"/>
        <v>07</v>
      </c>
      <c r="N897" t="s">
        <v>12</v>
      </c>
    </row>
    <row r="898" spans="1:14" x14ac:dyDescent="0.25">
      <c r="A898">
        <v>20160812</v>
      </c>
      <c r="B898" t="str">
        <f>"022015"</f>
        <v>022015</v>
      </c>
      <c r="C898" t="str">
        <f>"04831"</f>
        <v>04831</v>
      </c>
      <c r="D898" t="s">
        <v>11</v>
      </c>
      <c r="E898" s="3">
        <v>16.77</v>
      </c>
      <c r="F898">
        <v>20160812</v>
      </c>
      <c r="G898" t="s">
        <v>13</v>
      </c>
      <c r="H898" t="s">
        <v>273</v>
      </c>
      <c r="I898">
        <v>0</v>
      </c>
      <c r="J898" t="s">
        <v>15</v>
      </c>
      <c r="K898" t="s">
        <v>16</v>
      </c>
      <c r="L898" t="s">
        <v>17</v>
      </c>
      <c r="M898" t="str">
        <f t="shared" ref="M898:M929" si="55">"08"</f>
        <v>08</v>
      </c>
      <c r="N898" t="s">
        <v>12</v>
      </c>
    </row>
    <row r="899" spans="1:14" x14ac:dyDescent="0.25">
      <c r="A899">
        <v>20160812</v>
      </c>
      <c r="B899" t="str">
        <f>"022016"</f>
        <v>022016</v>
      </c>
      <c r="C899" t="str">
        <f>"04905"</f>
        <v>04905</v>
      </c>
      <c r="D899" t="s">
        <v>18</v>
      </c>
      <c r="E899" s="3">
        <v>18.329999999999998</v>
      </c>
      <c r="F899">
        <v>20160812</v>
      </c>
      <c r="G899" t="s">
        <v>19</v>
      </c>
      <c r="H899" t="s">
        <v>274</v>
      </c>
      <c r="I899">
        <v>0</v>
      </c>
      <c r="J899" t="s">
        <v>15</v>
      </c>
      <c r="K899" t="s">
        <v>21</v>
      </c>
      <c r="L899" t="s">
        <v>17</v>
      </c>
      <c r="M899" t="str">
        <f t="shared" si="55"/>
        <v>08</v>
      </c>
      <c r="N899" t="s">
        <v>12</v>
      </c>
    </row>
    <row r="900" spans="1:14" x14ac:dyDescent="0.25">
      <c r="A900">
        <v>20160812</v>
      </c>
      <c r="B900" t="str">
        <f>"022017"</f>
        <v>022017</v>
      </c>
      <c r="C900" t="str">
        <f>"04987"</f>
        <v>04987</v>
      </c>
      <c r="D900" t="s">
        <v>144</v>
      </c>
      <c r="E900" s="3">
        <v>34.840000000000003</v>
      </c>
      <c r="F900">
        <v>20160812</v>
      </c>
      <c r="G900" t="s">
        <v>35</v>
      </c>
      <c r="H900" t="s">
        <v>273</v>
      </c>
      <c r="I900">
        <v>0</v>
      </c>
      <c r="J900" t="s">
        <v>15</v>
      </c>
      <c r="K900" t="s">
        <v>36</v>
      </c>
      <c r="L900" t="s">
        <v>17</v>
      </c>
      <c r="M900" t="str">
        <f t="shared" si="55"/>
        <v>08</v>
      </c>
      <c r="N900" t="s">
        <v>12</v>
      </c>
    </row>
    <row r="901" spans="1:14" x14ac:dyDescent="0.25">
      <c r="A901">
        <v>20160812</v>
      </c>
      <c r="B901" t="str">
        <f>"022018"</f>
        <v>022018</v>
      </c>
      <c r="C901" t="str">
        <f>"07880"</f>
        <v>07880</v>
      </c>
      <c r="D901" t="s">
        <v>25</v>
      </c>
      <c r="E901" s="3">
        <v>158.41999999999999</v>
      </c>
      <c r="F901">
        <v>20160812</v>
      </c>
      <c r="G901" t="s">
        <v>26</v>
      </c>
      <c r="H901" t="s">
        <v>274</v>
      </c>
      <c r="I901">
        <v>0</v>
      </c>
      <c r="J901" t="s">
        <v>15</v>
      </c>
      <c r="K901" t="s">
        <v>27</v>
      </c>
      <c r="L901" t="s">
        <v>17</v>
      </c>
      <c r="M901" t="str">
        <f t="shared" si="55"/>
        <v>08</v>
      </c>
      <c r="N901" t="s">
        <v>12</v>
      </c>
    </row>
    <row r="902" spans="1:14" x14ac:dyDescent="0.25">
      <c r="A902">
        <v>20160812</v>
      </c>
      <c r="B902" t="str">
        <f>"022019"</f>
        <v>022019</v>
      </c>
      <c r="C902" t="str">
        <f>"11211"</f>
        <v>11211</v>
      </c>
      <c r="D902" t="s">
        <v>28</v>
      </c>
      <c r="E902" s="3">
        <v>67.33</v>
      </c>
      <c r="F902">
        <v>20160812</v>
      </c>
      <c r="G902" t="s">
        <v>29</v>
      </c>
      <c r="H902" t="s">
        <v>273</v>
      </c>
      <c r="I902">
        <v>0</v>
      </c>
      <c r="J902" t="s">
        <v>15</v>
      </c>
      <c r="K902" t="s">
        <v>30</v>
      </c>
      <c r="L902" t="s">
        <v>17</v>
      </c>
      <c r="M902" t="str">
        <f t="shared" si="55"/>
        <v>08</v>
      </c>
      <c r="N902" t="s">
        <v>12</v>
      </c>
    </row>
    <row r="903" spans="1:14" x14ac:dyDescent="0.25">
      <c r="A903">
        <v>20160812</v>
      </c>
      <c r="B903" t="str">
        <f>"022019"</f>
        <v>022019</v>
      </c>
      <c r="C903" t="str">
        <f>"11211"</f>
        <v>11211</v>
      </c>
      <c r="D903" t="s">
        <v>28</v>
      </c>
      <c r="E903" s="3">
        <v>43.8</v>
      </c>
      <c r="F903">
        <v>20160812</v>
      </c>
      <c r="G903" t="s">
        <v>244</v>
      </c>
      <c r="H903" t="s">
        <v>273</v>
      </c>
      <c r="I903">
        <v>0</v>
      </c>
      <c r="J903" t="s">
        <v>15</v>
      </c>
      <c r="K903" t="s">
        <v>245</v>
      </c>
      <c r="L903" t="s">
        <v>17</v>
      </c>
      <c r="M903" t="str">
        <f t="shared" si="55"/>
        <v>08</v>
      </c>
      <c r="N903" t="s">
        <v>12</v>
      </c>
    </row>
    <row r="904" spans="1:14" x14ac:dyDescent="0.25">
      <c r="A904">
        <v>20160812</v>
      </c>
      <c r="B904" t="str">
        <f>"022020"</f>
        <v>022020</v>
      </c>
      <c r="C904" t="str">
        <f>"14177"</f>
        <v>14177</v>
      </c>
      <c r="D904" t="s">
        <v>31</v>
      </c>
      <c r="E904" s="3">
        <v>18.75</v>
      </c>
      <c r="F904">
        <v>20160812</v>
      </c>
      <c r="G904" t="s">
        <v>32</v>
      </c>
      <c r="H904" t="s">
        <v>274</v>
      </c>
      <c r="I904">
        <v>0</v>
      </c>
      <c r="J904" t="s">
        <v>15</v>
      </c>
      <c r="K904" t="s">
        <v>33</v>
      </c>
      <c r="L904" t="s">
        <v>17</v>
      </c>
      <c r="M904" t="str">
        <f t="shared" si="55"/>
        <v>08</v>
      </c>
      <c r="N904" t="s">
        <v>12</v>
      </c>
    </row>
    <row r="905" spans="1:14" x14ac:dyDescent="0.25">
      <c r="A905">
        <v>20160812</v>
      </c>
      <c r="B905" t="str">
        <f>"022021"</f>
        <v>022021</v>
      </c>
      <c r="C905" t="str">
        <f>"24960"</f>
        <v>24960</v>
      </c>
      <c r="D905" t="s">
        <v>39</v>
      </c>
      <c r="E905" s="3">
        <v>196.51</v>
      </c>
      <c r="F905">
        <v>20160812</v>
      </c>
      <c r="G905" t="s">
        <v>40</v>
      </c>
      <c r="H905" t="s">
        <v>275</v>
      </c>
      <c r="I905">
        <v>0</v>
      </c>
      <c r="J905" t="s">
        <v>15</v>
      </c>
      <c r="K905" t="s">
        <v>42</v>
      </c>
      <c r="L905" t="s">
        <v>17</v>
      </c>
      <c r="M905" t="str">
        <f t="shared" si="55"/>
        <v>08</v>
      </c>
      <c r="N905" t="s">
        <v>12</v>
      </c>
    </row>
    <row r="906" spans="1:14" x14ac:dyDescent="0.25">
      <c r="A906">
        <v>20160812</v>
      </c>
      <c r="B906" t="str">
        <f>"022021"</f>
        <v>022021</v>
      </c>
      <c r="C906" t="str">
        <f>"24960"</f>
        <v>24960</v>
      </c>
      <c r="D906" t="s">
        <v>39</v>
      </c>
      <c r="E906" s="3">
        <v>126.54</v>
      </c>
      <c r="F906">
        <v>20160812</v>
      </c>
      <c r="G906" t="s">
        <v>247</v>
      </c>
      <c r="H906" t="s">
        <v>275</v>
      </c>
      <c r="I906">
        <v>0</v>
      </c>
      <c r="J906" t="s">
        <v>15</v>
      </c>
      <c r="K906" t="s">
        <v>248</v>
      </c>
      <c r="L906" t="s">
        <v>17</v>
      </c>
      <c r="M906" t="str">
        <f t="shared" si="55"/>
        <v>08</v>
      </c>
      <c r="N906" t="s">
        <v>12</v>
      </c>
    </row>
    <row r="907" spans="1:14" x14ac:dyDescent="0.25">
      <c r="A907">
        <v>20160812</v>
      </c>
      <c r="B907" t="str">
        <f>"022022"</f>
        <v>022022</v>
      </c>
      <c r="C907" t="str">
        <f>"42245"</f>
        <v>42245</v>
      </c>
      <c r="D907" t="s">
        <v>43</v>
      </c>
      <c r="E907" s="3">
        <v>337.96</v>
      </c>
      <c r="F907">
        <v>20160812</v>
      </c>
      <c r="G907" t="s">
        <v>44</v>
      </c>
      <c r="H907" t="s">
        <v>273</v>
      </c>
      <c r="I907">
        <v>0</v>
      </c>
      <c r="J907" t="s">
        <v>15</v>
      </c>
      <c r="K907" t="s">
        <v>45</v>
      </c>
      <c r="L907" t="s">
        <v>17</v>
      </c>
      <c r="M907" t="str">
        <f t="shared" si="55"/>
        <v>08</v>
      </c>
      <c r="N907" t="s">
        <v>12</v>
      </c>
    </row>
    <row r="908" spans="1:14" x14ac:dyDescent="0.25">
      <c r="A908">
        <v>20160812</v>
      </c>
      <c r="B908" t="str">
        <f>"022023"</f>
        <v>022023</v>
      </c>
      <c r="C908" t="str">
        <f>"48947"</f>
        <v>48947</v>
      </c>
      <c r="D908" t="s">
        <v>46</v>
      </c>
      <c r="E908" s="3">
        <v>25.38</v>
      </c>
      <c r="F908">
        <v>20160812</v>
      </c>
      <c r="G908" t="s">
        <v>47</v>
      </c>
      <c r="H908" t="s">
        <v>275</v>
      </c>
      <c r="I908">
        <v>0</v>
      </c>
      <c r="J908" t="s">
        <v>15</v>
      </c>
      <c r="K908" t="s">
        <v>48</v>
      </c>
      <c r="L908" t="s">
        <v>17</v>
      </c>
      <c r="M908" t="str">
        <f t="shared" si="55"/>
        <v>08</v>
      </c>
      <c r="N908" t="s">
        <v>12</v>
      </c>
    </row>
    <row r="909" spans="1:14" x14ac:dyDescent="0.25">
      <c r="A909">
        <v>20160812</v>
      </c>
      <c r="B909" t="str">
        <f>"022024"</f>
        <v>022024</v>
      </c>
      <c r="C909" t="str">
        <f>"54196"</f>
        <v>54196</v>
      </c>
      <c r="D909" t="s">
        <v>49</v>
      </c>
      <c r="E909" s="3">
        <v>50</v>
      </c>
      <c r="F909">
        <v>20160812</v>
      </c>
      <c r="G909" t="s">
        <v>50</v>
      </c>
      <c r="H909" t="s">
        <v>276</v>
      </c>
      <c r="I909">
        <v>0</v>
      </c>
      <c r="J909" t="s">
        <v>15</v>
      </c>
      <c r="K909" t="s">
        <v>52</v>
      </c>
      <c r="L909" t="s">
        <v>17</v>
      </c>
      <c r="M909" t="str">
        <f t="shared" si="55"/>
        <v>08</v>
      </c>
      <c r="N909" t="s">
        <v>12</v>
      </c>
    </row>
    <row r="910" spans="1:14" x14ac:dyDescent="0.25">
      <c r="A910">
        <v>20160812</v>
      </c>
      <c r="B910" t="str">
        <f>"022025"</f>
        <v>022025</v>
      </c>
      <c r="C910" t="str">
        <f>"72601"</f>
        <v>72601</v>
      </c>
      <c r="D910" t="s">
        <v>53</v>
      </c>
      <c r="E910" s="3">
        <v>194.55</v>
      </c>
      <c r="F910">
        <v>20160812</v>
      </c>
      <c r="G910" t="s">
        <v>54</v>
      </c>
      <c r="H910" t="s">
        <v>274</v>
      </c>
      <c r="I910">
        <v>0</v>
      </c>
      <c r="J910" t="s">
        <v>15</v>
      </c>
      <c r="K910" t="s">
        <v>55</v>
      </c>
      <c r="L910" t="s">
        <v>17</v>
      </c>
      <c r="M910" t="str">
        <f t="shared" si="55"/>
        <v>08</v>
      </c>
      <c r="N910" t="s">
        <v>12</v>
      </c>
    </row>
    <row r="911" spans="1:14" x14ac:dyDescent="0.25">
      <c r="A911">
        <v>20160812</v>
      </c>
      <c r="B911" t="str">
        <f>"022025"</f>
        <v>022025</v>
      </c>
      <c r="C911" t="str">
        <f>"72601"</f>
        <v>72601</v>
      </c>
      <c r="D911" t="s">
        <v>53</v>
      </c>
      <c r="E911" s="3">
        <v>107.48</v>
      </c>
      <c r="F911">
        <v>20160812</v>
      </c>
      <c r="G911" t="s">
        <v>252</v>
      </c>
      <c r="H911" t="s">
        <v>274</v>
      </c>
      <c r="I911">
        <v>0</v>
      </c>
      <c r="J911" t="s">
        <v>15</v>
      </c>
      <c r="K911" t="s">
        <v>253</v>
      </c>
      <c r="L911" t="s">
        <v>17</v>
      </c>
      <c r="M911" t="str">
        <f t="shared" si="55"/>
        <v>08</v>
      </c>
      <c r="N911" t="s">
        <v>12</v>
      </c>
    </row>
    <row r="912" spans="1:14" x14ac:dyDescent="0.25">
      <c r="A912">
        <v>20160812</v>
      </c>
      <c r="B912" t="str">
        <f>"022026"</f>
        <v>022026</v>
      </c>
      <c r="C912" t="str">
        <f>"75452"</f>
        <v>75452</v>
      </c>
      <c r="D912" t="s">
        <v>56</v>
      </c>
      <c r="E912" s="3">
        <v>450.84</v>
      </c>
      <c r="F912">
        <v>20160812</v>
      </c>
      <c r="G912" t="s">
        <v>57</v>
      </c>
      <c r="H912" t="s">
        <v>273</v>
      </c>
      <c r="I912">
        <v>0</v>
      </c>
      <c r="J912" t="s">
        <v>15</v>
      </c>
      <c r="K912" t="s">
        <v>58</v>
      </c>
      <c r="L912" t="s">
        <v>17</v>
      </c>
      <c r="M912" t="str">
        <f t="shared" si="55"/>
        <v>08</v>
      </c>
      <c r="N912" t="s">
        <v>12</v>
      </c>
    </row>
    <row r="913" spans="1:14" x14ac:dyDescent="0.25">
      <c r="A913">
        <v>20160812</v>
      </c>
      <c r="B913" t="str">
        <f>"022027"</f>
        <v>022027</v>
      </c>
      <c r="C913" t="str">
        <f>"81177"</f>
        <v>81177</v>
      </c>
      <c r="D913" t="s">
        <v>65</v>
      </c>
      <c r="E913" s="3">
        <v>47.23</v>
      </c>
      <c r="F913">
        <v>20160812</v>
      </c>
      <c r="G913" t="s">
        <v>66</v>
      </c>
      <c r="H913" t="s">
        <v>274</v>
      </c>
      <c r="I913">
        <v>0</v>
      </c>
      <c r="J913" t="s">
        <v>15</v>
      </c>
      <c r="K913" t="s">
        <v>67</v>
      </c>
      <c r="L913" t="s">
        <v>17</v>
      </c>
      <c r="M913" t="str">
        <f t="shared" si="55"/>
        <v>08</v>
      </c>
      <c r="N913" t="s">
        <v>12</v>
      </c>
    </row>
    <row r="914" spans="1:14" x14ac:dyDescent="0.25">
      <c r="A914">
        <v>20160812</v>
      </c>
      <c r="B914" t="str">
        <f>"022027"</f>
        <v>022027</v>
      </c>
      <c r="C914" t="str">
        <f>"81177"</f>
        <v>81177</v>
      </c>
      <c r="D914" t="s">
        <v>65</v>
      </c>
      <c r="E914" s="3">
        <v>46.67</v>
      </c>
      <c r="F914">
        <v>20160812</v>
      </c>
      <c r="G914" t="s">
        <v>134</v>
      </c>
      <c r="H914" t="s">
        <v>274</v>
      </c>
      <c r="I914">
        <v>0</v>
      </c>
      <c r="J914" t="s">
        <v>15</v>
      </c>
      <c r="K914" t="s">
        <v>135</v>
      </c>
      <c r="L914" t="s">
        <v>17</v>
      </c>
      <c r="M914" t="str">
        <f t="shared" si="55"/>
        <v>08</v>
      </c>
      <c r="N914" t="s">
        <v>12</v>
      </c>
    </row>
    <row r="915" spans="1:14" x14ac:dyDescent="0.25">
      <c r="A915">
        <v>20160815</v>
      </c>
      <c r="B915" t="str">
        <f>"022028"</f>
        <v>022028</v>
      </c>
      <c r="C915" t="str">
        <f>"04831"</f>
        <v>04831</v>
      </c>
      <c r="D915" t="s">
        <v>11</v>
      </c>
      <c r="E915" s="3">
        <v>1200.74</v>
      </c>
      <c r="F915">
        <v>20160815</v>
      </c>
      <c r="G915" t="s">
        <v>13</v>
      </c>
      <c r="H915" t="s">
        <v>273</v>
      </c>
      <c r="I915">
        <v>0</v>
      </c>
      <c r="J915" t="s">
        <v>15</v>
      </c>
      <c r="K915" t="s">
        <v>16</v>
      </c>
      <c r="L915" t="s">
        <v>17</v>
      </c>
      <c r="M915" t="str">
        <f t="shared" si="55"/>
        <v>08</v>
      </c>
      <c r="N915" t="s">
        <v>12</v>
      </c>
    </row>
    <row r="916" spans="1:14" x14ac:dyDescent="0.25">
      <c r="A916">
        <v>20160815</v>
      </c>
      <c r="B916" t="str">
        <f>"022029"</f>
        <v>022029</v>
      </c>
      <c r="C916" t="str">
        <f>"04905"</f>
        <v>04905</v>
      </c>
      <c r="D916" t="s">
        <v>18</v>
      </c>
      <c r="E916" s="3">
        <v>2266.87</v>
      </c>
      <c r="F916">
        <v>20160815</v>
      </c>
      <c r="G916" t="s">
        <v>19</v>
      </c>
      <c r="H916" t="s">
        <v>274</v>
      </c>
      <c r="I916">
        <v>0</v>
      </c>
      <c r="J916" t="s">
        <v>15</v>
      </c>
      <c r="K916" t="s">
        <v>21</v>
      </c>
      <c r="L916" t="s">
        <v>17</v>
      </c>
      <c r="M916" t="str">
        <f t="shared" si="55"/>
        <v>08</v>
      </c>
      <c r="N916" t="s">
        <v>12</v>
      </c>
    </row>
    <row r="917" spans="1:14" x14ac:dyDescent="0.25">
      <c r="A917">
        <v>20160815</v>
      </c>
      <c r="B917" t="str">
        <f>"022030"</f>
        <v>022030</v>
      </c>
      <c r="C917" t="str">
        <f>"04987"</f>
        <v>04987</v>
      </c>
      <c r="D917" t="s">
        <v>144</v>
      </c>
      <c r="E917" s="3">
        <v>468.56</v>
      </c>
      <c r="F917">
        <v>20160815</v>
      </c>
      <c r="G917" t="s">
        <v>35</v>
      </c>
      <c r="H917" t="s">
        <v>273</v>
      </c>
      <c r="I917">
        <v>0</v>
      </c>
      <c r="J917" t="s">
        <v>15</v>
      </c>
      <c r="K917" t="s">
        <v>36</v>
      </c>
      <c r="L917" t="s">
        <v>17</v>
      </c>
      <c r="M917" t="str">
        <f t="shared" si="55"/>
        <v>08</v>
      </c>
      <c r="N917" t="s">
        <v>12</v>
      </c>
    </row>
    <row r="918" spans="1:14" x14ac:dyDescent="0.25">
      <c r="A918">
        <v>20160815</v>
      </c>
      <c r="B918" t="str">
        <f>"022031"</f>
        <v>022031</v>
      </c>
      <c r="C918" t="str">
        <f>"07710"</f>
        <v>07710</v>
      </c>
      <c r="D918" t="s">
        <v>22</v>
      </c>
      <c r="E918" s="3">
        <v>208.76</v>
      </c>
      <c r="F918">
        <v>20160815</v>
      </c>
      <c r="G918" t="s">
        <v>23</v>
      </c>
      <c r="H918" t="s">
        <v>274</v>
      </c>
      <c r="I918">
        <v>0</v>
      </c>
      <c r="J918" t="s">
        <v>15</v>
      </c>
      <c r="K918" t="s">
        <v>24</v>
      </c>
      <c r="L918" t="s">
        <v>17</v>
      </c>
      <c r="M918" t="str">
        <f t="shared" si="55"/>
        <v>08</v>
      </c>
      <c r="N918" t="s">
        <v>12</v>
      </c>
    </row>
    <row r="919" spans="1:14" x14ac:dyDescent="0.25">
      <c r="A919">
        <v>20160815</v>
      </c>
      <c r="B919" t="str">
        <f>"022032"</f>
        <v>022032</v>
      </c>
      <c r="C919" t="str">
        <f>"07880"</f>
        <v>07880</v>
      </c>
      <c r="D919" t="s">
        <v>25</v>
      </c>
      <c r="E919" s="3">
        <v>4181.3999999999996</v>
      </c>
      <c r="F919">
        <v>20160815</v>
      </c>
      <c r="G919" t="s">
        <v>26</v>
      </c>
      <c r="H919" t="s">
        <v>274</v>
      </c>
      <c r="I919">
        <v>0</v>
      </c>
      <c r="J919" t="s">
        <v>15</v>
      </c>
      <c r="K919" t="s">
        <v>27</v>
      </c>
      <c r="L919" t="s">
        <v>17</v>
      </c>
      <c r="M919" t="str">
        <f t="shared" si="55"/>
        <v>08</v>
      </c>
      <c r="N919" t="s">
        <v>12</v>
      </c>
    </row>
    <row r="920" spans="1:14" x14ac:dyDescent="0.25">
      <c r="A920">
        <v>20160815</v>
      </c>
      <c r="B920" t="str">
        <f>"022033"</f>
        <v>022033</v>
      </c>
      <c r="C920" t="str">
        <f>"10095"</f>
        <v>10095</v>
      </c>
      <c r="D920" t="s">
        <v>70</v>
      </c>
      <c r="E920" s="3">
        <v>926.69</v>
      </c>
      <c r="F920">
        <v>20160815</v>
      </c>
      <c r="G920" t="s">
        <v>71</v>
      </c>
      <c r="H920" t="s">
        <v>274</v>
      </c>
      <c r="I920">
        <v>0</v>
      </c>
      <c r="J920" t="s">
        <v>15</v>
      </c>
      <c r="K920" t="s">
        <v>72</v>
      </c>
      <c r="L920" t="s">
        <v>17</v>
      </c>
      <c r="M920" t="str">
        <f t="shared" si="55"/>
        <v>08</v>
      </c>
      <c r="N920" t="s">
        <v>12</v>
      </c>
    </row>
    <row r="921" spans="1:14" x14ac:dyDescent="0.25">
      <c r="A921">
        <v>20160815</v>
      </c>
      <c r="B921" t="str">
        <f>"022034"</f>
        <v>022034</v>
      </c>
      <c r="C921" t="str">
        <f>"11211"</f>
        <v>11211</v>
      </c>
      <c r="D921" t="s">
        <v>28</v>
      </c>
      <c r="E921" s="3">
        <v>2389.09</v>
      </c>
      <c r="F921">
        <v>20160815</v>
      </c>
      <c r="G921" t="s">
        <v>29</v>
      </c>
      <c r="H921" t="s">
        <v>273</v>
      </c>
      <c r="I921">
        <v>0</v>
      </c>
      <c r="J921" t="s">
        <v>15</v>
      </c>
      <c r="K921" t="s">
        <v>30</v>
      </c>
      <c r="L921" t="s">
        <v>17</v>
      </c>
      <c r="M921" t="str">
        <f t="shared" si="55"/>
        <v>08</v>
      </c>
      <c r="N921" t="s">
        <v>12</v>
      </c>
    </row>
    <row r="922" spans="1:14" x14ac:dyDescent="0.25">
      <c r="A922">
        <v>20160815</v>
      </c>
      <c r="B922" t="str">
        <f>"022035"</f>
        <v>022035</v>
      </c>
      <c r="C922" t="str">
        <f>"14177"</f>
        <v>14177</v>
      </c>
      <c r="D922" t="s">
        <v>31</v>
      </c>
      <c r="E922" s="3">
        <v>12.5</v>
      </c>
      <c r="F922">
        <v>20160815</v>
      </c>
      <c r="G922" t="s">
        <v>32</v>
      </c>
      <c r="H922" t="s">
        <v>274</v>
      </c>
      <c r="I922">
        <v>0</v>
      </c>
      <c r="J922" t="s">
        <v>15</v>
      </c>
      <c r="K922" t="s">
        <v>33</v>
      </c>
      <c r="L922" t="s">
        <v>17</v>
      </c>
      <c r="M922" t="str">
        <f t="shared" si="55"/>
        <v>08</v>
      </c>
      <c r="N922" t="s">
        <v>12</v>
      </c>
    </row>
    <row r="923" spans="1:14" x14ac:dyDescent="0.25">
      <c r="A923">
        <v>20160815</v>
      </c>
      <c r="B923" t="str">
        <f>"022036"</f>
        <v>022036</v>
      </c>
      <c r="C923" t="str">
        <f>"20682"</f>
        <v>20682</v>
      </c>
      <c r="D923" t="s">
        <v>76</v>
      </c>
      <c r="E923" s="3">
        <v>4283.33</v>
      </c>
      <c r="F923">
        <v>20160815</v>
      </c>
      <c r="G923" t="s">
        <v>77</v>
      </c>
      <c r="H923" t="s">
        <v>274</v>
      </c>
      <c r="I923">
        <v>0</v>
      </c>
      <c r="J923" t="s">
        <v>15</v>
      </c>
      <c r="K923" t="s">
        <v>78</v>
      </c>
      <c r="L923" t="s">
        <v>17</v>
      </c>
      <c r="M923" t="str">
        <f t="shared" si="55"/>
        <v>08</v>
      </c>
      <c r="N923" t="s">
        <v>12</v>
      </c>
    </row>
    <row r="924" spans="1:14" x14ac:dyDescent="0.25">
      <c r="A924">
        <v>20160815</v>
      </c>
      <c r="B924" t="str">
        <f>"022037"</f>
        <v>022037</v>
      </c>
      <c r="C924" t="str">
        <f>"21504"</f>
        <v>21504</v>
      </c>
      <c r="D924" t="s">
        <v>79</v>
      </c>
      <c r="E924" s="3">
        <v>36.6</v>
      </c>
      <c r="F924">
        <v>20160815</v>
      </c>
      <c r="G924" t="s">
        <v>80</v>
      </c>
      <c r="H924" t="s">
        <v>273</v>
      </c>
      <c r="I924">
        <v>0</v>
      </c>
      <c r="J924" t="s">
        <v>15</v>
      </c>
      <c r="K924" t="s">
        <v>81</v>
      </c>
      <c r="L924" t="s">
        <v>17</v>
      </c>
      <c r="M924" t="str">
        <f t="shared" si="55"/>
        <v>08</v>
      </c>
      <c r="N924" t="s">
        <v>12</v>
      </c>
    </row>
    <row r="925" spans="1:14" x14ac:dyDescent="0.25">
      <c r="A925">
        <v>20160815</v>
      </c>
      <c r="B925" t="str">
        <f>"022038"</f>
        <v>022038</v>
      </c>
      <c r="C925" t="str">
        <f>"21506"</f>
        <v>21506</v>
      </c>
      <c r="D925" t="s">
        <v>34</v>
      </c>
      <c r="E925" s="3">
        <v>301.45</v>
      </c>
      <c r="F925">
        <v>20160815</v>
      </c>
      <c r="G925" t="s">
        <v>37</v>
      </c>
      <c r="H925" t="s">
        <v>273</v>
      </c>
      <c r="I925">
        <v>0</v>
      </c>
      <c r="J925" t="s">
        <v>15</v>
      </c>
      <c r="K925" t="s">
        <v>38</v>
      </c>
      <c r="L925" t="s">
        <v>17</v>
      </c>
      <c r="M925" t="str">
        <f t="shared" si="55"/>
        <v>08</v>
      </c>
      <c r="N925" t="s">
        <v>12</v>
      </c>
    </row>
    <row r="926" spans="1:14" x14ac:dyDescent="0.25">
      <c r="A926">
        <v>20160815</v>
      </c>
      <c r="B926" t="str">
        <f>"022039"</f>
        <v>022039</v>
      </c>
      <c r="C926" t="str">
        <f>"21826"</f>
        <v>21826</v>
      </c>
      <c r="D926" t="s">
        <v>82</v>
      </c>
      <c r="E926" s="3">
        <v>615.63</v>
      </c>
      <c r="F926">
        <v>20160815</v>
      </c>
      <c r="G926" t="s">
        <v>83</v>
      </c>
      <c r="H926" t="s">
        <v>274</v>
      </c>
      <c r="I926">
        <v>0</v>
      </c>
      <c r="J926" t="s">
        <v>15</v>
      </c>
      <c r="K926" t="s">
        <v>84</v>
      </c>
      <c r="L926" t="s">
        <v>17</v>
      </c>
      <c r="M926" t="str">
        <f t="shared" si="55"/>
        <v>08</v>
      </c>
      <c r="N926" t="s">
        <v>12</v>
      </c>
    </row>
    <row r="927" spans="1:14" x14ac:dyDescent="0.25">
      <c r="A927">
        <v>20160815</v>
      </c>
      <c r="B927" t="str">
        <f>"022040"</f>
        <v>022040</v>
      </c>
      <c r="C927" t="str">
        <f>"24960"</f>
        <v>24960</v>
      </c>
      <c r="D927" t="s">
        <v>39</v>
      </c>
      <c r="E927" s="3">
        <v>4223.03</v>
      </c>
      <c r="F927">
        <v>20160815</v>
      </c>
      <c r="G927" t="s">
        <v>40</v>
      </c>
      <c r="H927" t="s">
        <v>275</v>
      </c>
      <c r="I927">
        <v>0</v>
      </c>
      <c r="J927" t="s">
        <v>15</v>
      </c>
      <c r="K927" t="s">
        <v>42</v>
      </c>
      <c r="L927" t="s">
        <v>17</v>
      </c>
      <c r="M927" t="str">
        <f t="shared" si="55"/>
        <v>08</v>
      </c>
      <c r="N927" t="s">
        <v>12</v>
      </c>
    </row>
    <row r="928" spans="1:14" x14ac:dyDescent="0.25">
      <c r="A928">
        <v>20160815</v>
      </c>
      <c r="B928" t="str">
        <f>"022041"</f>
        <v>022041</v>
      </c>
      <c r="C928" t="str">
        <f>"42245"</f>
        <v>42245</v>
      </c>
      <c r="D928" t="s">
        <v>43</v>
      </c>
      <c r="E928" s="3">
        <v>9764.94</v>
      </c>
      <c r="F928">
        <v>20160815</v>
      </c>
      <c r="G928" t="s">
        <v>44</v>
      </c>
      <c r="H928" t="s">
        <v>273</v>
      </c>
      <c r="I928">
        <v>0</v>
      </c>
      <c r="J928" t="s">
        <v>15</v>
      </c>
      <c r="K928" t="s">
        <v>45</v>
      </c>
      <c r="L928" t="s">
        <v>17</v>
      </c>
      <c r="M928" t="str">
        <f t="shared" si="55"/>
        <v>08</v>
      </c>
      <c r="N928" t="s">
        <v>12</v>
      </c>
    </row>
    <row r="929" spans="1:14" x14ac:dyDescent="0.25">
      <c r="A929">
        <v>20160815</v>
      </c>
      <c r="B929" t="str">
        <f>"022042"</f>
        <v>022042</v>
      </c>
      <c r="C929" t="str">
        <f>"43855"</f>
        <v>43855</v>
      </c>
      <c r="D929" t="s">
        <v>88</v>
      </c>
      <c r="E929" s="3">
        <v>250</v>
      </c>
      <c r="F929">
        <v>20160815</v>
      </c>
      <c r="G929" t="s">
        <v>89</v>
      </c>
      <c r="H929" t="s">
        <v>274</v>
      </c>
      <c r="I929">
        <v>0</v>
      </c>
      <c r="J929" t="s">
        <v>15</v>
      </c>
      <c r="K929" t="s">
        <v>88</v>
      </c>
      <c r="L929" t="s">
        <v>17</v>
      </c>
      <c r="M929" t="str">
        <f t="shared" si="55"/>
        <v>08</v>
      </c>
      <c r="N929" t="s">
        <v>12</v>
      </c>
    </row>
    <row r="930" spans="1:14" x14ac:dyDescent="0.25">
      <c r="A930">
        <v>20160815</v>
      </c>
      <c r="B930" t="str">
        <f>"022043"</f>
        <v>022043</v>
      </c>
      <c r="C930" t="str">
        <f>"48947"</f>
        <v>48947</v>
      </c>
      <c r="D930" t="s">
        <v>46</v>
      </c>
      <c r="E930" s="3">
        <v>1547.45</v>
      </c>
      <c r="F930">
        <v>20160815</v>
      </c>
      <c r="G930" t="s">
        <v>47</v>
      </c>
      <c r="H930" t="s">
        <v>275</v>
      </c>
      <c r="I930">
        <v>0</v>
      </c>
      <c r="J930" t="s">
        <v>15</v>
      </c>
      <c r="K930" t="s">
        <v>48</v>
      </c>
      <c r="L930" t="s">
        <v>17</v>
      </c>
      <c r="M930" t="str">
        <f t="shared" ref="M930:M961" si="56">"08"</f>
        <v>08</v>
      </c>
      <c r="N930" t="s">
        <v>12</v>
      </c>
    </row>
    <row r="931" spans="1:14" x14ac:dyDescent="0.25">
      <c r="A931">
        <v>20160815</v>
      </c>
      <c r="B931" t="str">
        <f t="shared" ref="B931:B948" si="57">"022044"</f>
        <v>022044</v>
      </c>
      <c r="C931" t="str">
        <f t="shared" ref="C931:C948" si="58">"54196"</f>
        <v>54196</v>
      </c>
      <c r="D931" t="s">
        <v>49</v>
      </c>
      <c r="E931" s="3">
        <v>50</v>
      </c>
      <c r="F931">
        <v>20160815</v>
      </c>
      <c r="G931" t="s">
        <v>90</v>
      </c>
      <c r="H931" t="s">
        <v>276</v>
      </c>
      <c r="I931">
        <v>0</v>
      </c>
      <c r="J931" t="s">
        <v>15</v>
      </c>
      <c r="K931" t="s">
        <v>91</v>
      </c>
      <c r="L931" t="s">
        <v>17</v>
      </c>
      <c r="M931" t="str">
        <f t="shared" si="56"/>
        <v>08</v>
      </c>
      <c r="N931" t="s">
        <v>12</v>
      </c>
    </row>
    <row r="932" spans="1:14" x14ac:dyDescent="0.25">
      <c r="A932">
        <v>20160815</v>
      </c>
      <c r="B932" t="str">
        <f t="shared" si="57"/>
        <v>022044</v>
      </c>
      <c r="C932" t="str">
        <f t="shared" si="58"/>
        <v>54196</v>
      </c>
      <c r="D932" t="s">
        <v>49</v>
      </c>
      <c r="E932" s="3">
        <v>283</v>
      </c>
      <c r="F932">
        <v>20160815</v>
      </c>
      <c r="G932" t="s">
        <v>92</v>
      </c>
      <c r="H932" t="s">
        <v>276</v>
      </c>
      <c r="I932">
        <v>0</v>
      </c>
      <c r="J932" t="s">
        <v>15</v>
      </c>
      <c r="K932" t="s">
        <v>93</v>
      </c>
      <c r="L932" t="s">
        <v>17</v>
      </c>
      <c r="M932" t="str">
        <f t="shared" si="56"/>
        <v>08</v>
      </c>
      <c r="N932" t="s">
        <v>12</v>
      </c>
    </row>
    <row r="933" spans="1:14" x14ac:dyDescent="0.25">
      <c r="A933">
        <v>20160815</v>
      </c>
      <c r="B933" t="str">
        <f t="shared" si="57"/>
        <v>022044</v>
      </c>
      <c r="C933" t="str">
        <f t="shared" si="58"/>
        <v>54196</v>
      </c>
      <c r="D933" t="s">
        <v>49</v>
      </c>
      <c r="E933" s="3">
        <v>1590</v>
      </c>
      <c r="F933">
        <v>20160815</v>
      </c>
      <c r="G933" t="s">
        <v>94</v>
      </c>
      <c r="H933" t="s">
        <v>276</v>
      </c>
      <c r="I933">
        <v>0</v>
      </c>
      <c r="J933" t="s">
        <v>15</v>
      </c>
      <c r="K933" t="s">
        <v>95</v>
      </c>
      <c r="L933" t="s">
        <v>17</v>
      </c>
      <c r="M933" t="str">
        <f t="shared" si="56"/>
        <v>08</v>
      </c>
      <c r="N933" t="s">
        <v>12</v>
      </c>
    </row>
    <row r="934" spans="1:14" x14ac:dyDescent="0.25">
      <c r="A934">
        <v>20160815</v>
      </c>
      <c r="B934" t="str">
        <f t="shared" si="57"/>
        <v>022044</v>
      </c>
      <c r="C934" t="str">
        <f t="shared" si="58"/>
        <v>54196</v>
      </c>
      <c r="D934" t="s">
        <v>49</v>
      </c>
      <c r="E934" s="3">
        <v>2175</v>
      </c>
      <c r="F934">
        <v>20160815</v>
      </c>
      <c r="G934" t="s">
        <v>96</v>
      </c>
      <c r="H934" t="s">
        <v>276</v>
      </c>
      <c r="I934">
        <v>0</v>
      </c>
      <c r="J934" t="s">
        <v>15</v>
      </c>
      <c r="K934" t="s">
        <v>97</v>
      </c>
      <c r="L934" t="s">
        <v>17</v>
      </c>
      <c r="M934" t="str">
        <f t="shared" si="56"/>
        <v>08</v>
      </c>
      <c r="N934" t="s">
        <v>12</v>
      </c>
    </row>
    <row r="935" spans="1:14" x14ac:dyDescent="0.25">
      <c r="A935">
        <v>20160815</v>
      </c>
      <c r="B935" t="str">
        <f t="shared" si="57"/>
        <v>022044</v>
      </c>
      <c r="C935" t="str">
        <f t="shared" si="58"/>
        <v>54196</v>
      </c>
      <c r="D935" t="s">
        <v>49</v>
      </c>
      <c r="E935" s="3">
        <v>50</v>
      </c>
      <c r="F935">
        <v>20160815</v>
      </c>
      <c r="G935" t="s">
        <v>98</v>
      </c>
      <c r="H935" t="s">
        <v>276</v>
      </c>
      <c r="I935">
        <v>0</v>
      </c>
      <c r="J935" t="s">
        <v>15</v>
      </c>
      <c r="K935" t="s">
        <v>99</v>
      </c>
      <c r="L935" t="s">
        <v>17</v>
      </c>
      <c r="M935" t="str">
        <f t="shared" si="56"/>
        <v>08</v>
      </c>
      <c r="N935" t="s">
        <v>12</v>
      </c>
    </row>
    <row r="936" spans="1:14" x14ac:dyDescent="0.25">
      <c r="A936">
        <v>20160815</v>
      </c>
      <c r="B936" t="str">
        <f t="shared" si="57"/>
        <v>022044</v>
      </c>
      <c r="C936" t="str">
        <f t="shared" si="58"/>
        <v>54196</v>
      </c>
      <c r="D936" t="s">
        <v>49</v>
      </c>
      <c r="E936" s="3">
        <v>150</v>
      </c>
      <c r="F936">
        <v>20160815</v>
      </c>
      <c r="G936" t="s">
        <v>100</v>
      </c>
      <c r="H936" t="s">
        <v>276</v>
      </c>
      <c r="I936">
        <v>0</v>
      </c>
      <c r="J936" t="s">
        <v>15</v>
      </c>
      <c r="K936" t="s">
        <v>101</v>
      </c>
      <c r="L936" t="s">
        <v>17</v>
      </c>
      <c r="M936" t="str">
        <f t="shared" si="56"/>
        <v>08</v>
      </c>
      <c r="N936" t="s">
        <v>12</v>
      </c>
    </row>
    <row r="937" spans="1:14" x14ac:dyDescent="0.25">
      <c r="A937">
        <v>20160815</v>
      </c>
      <c r="B937" t="str">
        <f t="shared" si="57"/>
        <v>022044</v>
      </c>
      <c r="C937" t="str">
        <f t="shared" si="58"/>
        <v>54196</v>
      </c>
      <c r="D937" t="s">
        <v>49</v>
      </c>
      <c r="E937" s="3">
        <v>2117</v>
      </c>
      <c r="F937">
        <v>20160815</v>
      </c>
      <c r="G937" t="s">
        <v>102</v>
      </c>
      <c r="H937" t="s">
        <v>276</v>
      </c>
      <c r="I937">
        <v>0</v>
      </c>
      <c r="J937" t="s">
        <v>15</v>
      </c>
      <c r="K937" t="s">
        <v>103</v>
      </c>
      <c r="L937" t="s">
        <v>17</v>
      </c>
      <c r="M937" t="str">
        <f t="shared" si="56"/>
        <v>08</v>
      </c>
      <c r="N937" t="s">
        <v>12</v>
      </c>
    </row>
    <row r="938" spans="1:14" x14ac:dyDescent="0.25">
      <c r="A938">
        <v>20160815</v>
      </c>
      <c r="B938" t="str">
        <f t="shared" si="57"/>
        <v>022044</v>
      </c>
      <c r="C938" t="str">
        <f t="shared" si="58"/>
        <v>54196</v>
      </c>
      <c r="D938" t="s">
        <v>49</v>
      </c>
      <c r="E938" s="3">
        <v>672</v>
      </c>
      <c r="F938">
        <v>20160815</v>
      </c>
      <c r="G938" t="s">
        <v>104</v>
      </c>
      <c r="H938" t="s">
        <v>276</v>
      </c>
      <c r="I938">
        <v>0</v>
      </c>
      <c r="J938" t="s">
        <v>15</v>
      </c>
      <c r="K938" t="s">
        <v>105</v>
      </c>
      <c r="L938" t="s">
        <v>17</v>
      </c>
      <c r="M938" t="str">
        <f t="shared" si="56"/>
        <v>08</v>
      </c>
      <c r="N938" t="s">
        <v>12</v>
      </c>
    </row>
    <row r="939" spans="1:14" x14ac:dyDescent="0.25">
      <c r="A939">
        <v>20160815</v>
      </c>
      <c r="B939" t="str">
        <f t="shared" si="57"/>
        <v>022044</v>
      </c>
      <c r="C939" t="str">
        <f t="shared" si="58"/>
        <v>54196</v>
      </c>
      <c r="D939" t="s">
        <v>49</v>
      </c>
      <c r="E939" s="3">
        <v>300</v>
      </c>
      <c r="F939">
        <v>20160815</v>
      </c>
      <c r="G939" t="s">
        <v>108</v>
      </c>
      <c r="H939" t="s">
        <v>276</v>
      </c>
      <c r="I939">
        <v>0</v>
      </c>
      <c r="J939" t="s">
        <v>15</v>
      </c>
      <c r="K939" t="s">
        <v>109</v>
      </c>
      <c r="L939" t="s">
        <v>17</v>
      </c>
      <c r="M939" t="str">
        <f t="shared" si="56"/>
        <v>08</v>
      </c>
      <c r="N939" t="s">
        <v>12</v>
      </c>
    </row>
    <row r="940" spans="1:14" x14ac:dyDescent="0.25">
      <c r="A940">
        <v>20160815</v>
      </c>
      <c r="B940" t="str">
        <f t="shared" si="57"/>
        <v>022044</v>
      </c>
      <c r="C940" t="str">
        <f t="shared" si="58"/>
        <v>54196</v>
      </c>
      <c r="D940" t="s">
        <v>49</v>
      </c>
      <c r="E940" s="3">
        <v>450</v>
      </c>
      <c r="F940">
        <v>20160815</v>
      </c>
      <c r="G940" t="s">
        <v>110</v>
      </c>
      <c r="H940" t="s">
        <v>276</v>
      </c>
      <c r="I940">
        <v>0</v>
      </c>
      <c r="J940" t="s">
        <v>15</v>
      </c>
      <c r="K940" t="s">
        <v>111</v>
      </c>
      <c r="L940" t="s">
        <v>17</v>
      </c>
      <c r="M940" t="str">
        <f t="shared" si="56"/>
        <v>08</v>
      </c>
      <c r="N940" t="s">
        <v>12</v>
      </c>
    </row>
    <row r="941" spans="1:14" x14ac:dyDescent="0.25">
      <c r="A941">
        <v>20160815</v>
      </c>
      <c r="B941" t="str">
        <f t="shared" si="57"/>
        <v>022044</v>
      </c>
      <c r="C941" t="str">
        <f t="shared" si="58"/>
        <v>54196</v>
      </c>
      <c r="D941" t="s">
        <v>49</v>
      </c>
      <c r="E941" s="3">
        <v>750</v>
      </c>
      <c r="F941">
        <v>20160815</v>
      </c>
      <c r="G941" t="s">
        <v>112</v>
      </c>
      <c r="H941" t="s">
        <v>276</v>
      </c>
      <c r="I941">
        <v>0</v>
      </c>
      <c r="J941" t="s">
        <v>15</v>
      </c>
      <c r="K941" t="s">
        <v>113</v>
      </c>
      <c r="L941" t="s">
        <v>17</v>
      </c>
      <c r="M941" t="str">
        <f t="shared" si="56"/>
        <v>08</v>
      </c>
      <c r="N941" t="s">
        <v>12</v>
      </c>
    </row>
    <row r="942" spans="1:14" x14ac:dyDescent="0.25">
      <c r="A942">
        <v>20160815</v>
      </c>
      <c r="B942" t="str">
        <f t="shared" si="57"/>
        <v>022044</v>
      </c>
      <c r="C942" t="str">
        <f t="shared" si="58"/>
        <v>54196</v>
      </c>
      <c r="D942" t="s">
        <v>49</v>
      </c>
      <c r="E942" s="3">
        <v>300</v>
      </c>
      <c r="F942">
        <v>20160815</v>
      </c>
      <c r="G942" t="s">
        <v>277</v>
      </c>
      <c r="H942" t="s">
        <v>276</v>
      </c>
      <c r="I942">
        <v>0</v>
      </c>
      <c r="J942" t="s">
        <v>15</v>
      </c>
      <c r="K942" t="s">
        <v>278</v>
      </c>
      <c r="L942" t="s">
        <v>17</v>
      </c>
      <c r="M942" t="str">
        <f t="shared" si="56"/>
        <v>08</v>
      </c>
      <c r="N942" t="s">
        <v>12</v>
      </c>
    </row>
    <row r="943" spans="1:14" x14ac:dyDescent="0.25">
      <c r="A943">
        <v>20160815</v>
      </c>
      <c r="B943" t="str">
        <f t="shared" si="57"/>
        <v>022044</v>
      </c>
      <c r="C943" t="str">
        <f t="shared" si="58"/>
        <v>54196</v>
      </c>
      <c r="D943" t="s">
        <v>49</v>
      </c>
      <c r="E943" s="3">
        <v>100</v>
      </c>
      <c r="F943">
        <v>20160815</v>
      </c>
      <c r="G943" t="s">
        <v>149</v>
      </c>
      <c r="H943" t="s">
        <v>276</v>
      </c>
      <c r="I943">
        <v>0</v>
      </c>
      <c r="J943" t="s">
        <v>15</v>
      </c>
      <c r="K943" t="s">
        <v>150</v>
      </c>
      <c r="L943" t="s">
        <v>17</v>
      </c>
      <c r="M943" t="str">
        <f t="shared" si="56"/>
        <v>08</v>
      </c>
      <c r="N943" t="s">
        <v>12</v>
      </c>
    </row>
    <row r="944" spans="1:14" x14ac:dyDescent="0.25">
      <c r="A944">
        <v>20160815</v>
      </c>
      <c r="B944" t="str">
        <f t="shared" si="57"/>
        <v>022044</v>
      </c>
      <c r="C944" t="str">
        <f t="shared" si="58"/>
        <v>54196</v>
      </c>
      <c r="D944" t="s">
        <v>49</v>
      </c>
      <c r="E944" s="3">
        <v>200</v>
      </c>
      <c r="F944">
        <v>20160815</v>
      </c>
      <c r="G944" t="s">
        <v>114</v>
      </c>
      <c r="H944" t="s">
        <v>276</v>
      </c>
      <c r="I944">
        <v>0</v>
      </c>
      <c r="J944" t="s">
        <v>15</v>
      </c>
      <c r="K944" t="s">
        <v>115</v>
      </c>
      <c r="L944" t="s">
        <v>17</v>
      </c>
      <c r="M944" t="str">
        <f t="shared" si="56"/>
        <v>08</v>
      </c>
      <c r="N944" t="s">
        <v>12</v>
      </c>
    </row>
    <row r="945" spans="1:14" x14ac:dyDescent="0.25">
      <c r="A945">
        <v>20160815</v>
      </c>
      <c r="B945" t="str">
        <f t="shared" si="57"/>
        <v>022044</v>
      </c>
      <c r="C945" t="str">
        <f t="shared" si="58"/>
        <v>54196</v>
      </c>
      <c r="D945" t="s">
        <v>49</v>
      </c>
      <c r="E945" s="3">
        <v>10546</v>
      </c>
      <c r="F945">
        <v>20160815</v>
      </c>
      <c r="G945" t="s">
        <v>119</v>
      </c>
      <c r="H945" t="s">
        <v>279</v>
      </c>
      <c r="I945">
        <v>0</v>
      </c>
      <c r="J945" t="s">
        <v>15</v>
      </c>
      <c r="K945" t="s">
        <v>103</v>
      </c>
      <c r="L945" t="s">
        <v>17</v>
      </c>
      <c r="M945" t="str">
        <f t="shared" si="56"/>
        <v>08</v>
      </c>
      <c r="N945" t="s">
        <v>12</v>
      </c>
    </row>
    <row r="946" spans="1:14" x14ac:dyDescent="0.25">
      <c r="A946">
        <v>20160815</v>
      </c>
      <c r="B946" t="str">
        <f t="shared" si="57"/>
        <v>022044</v>
      </c>
      <c r="C946" t="str">
        <f t="shared" si="58"/>
        <v>54196</v>
      </c>
      <c r="D946" t="s">
        <v>49</v>
      </c>
      <c r="E946" s="3">
        <v>2950</v>
      </c>
      <c r="F946">
        <v>20160815</v>
      </c>
      <c r="G946" t="s">
        <v>50</v>
      </c>
      <c r="H946" t="s">
        <v>276</v>
      </c>
      <c r="I946">
        <v>0</v>
      </c>
      <c r="J946" t="s">
        <v>15</v>
      </c>
      <c r="K946" t="s">
        <v>52</v>
      </c>
      <c r="L946" t="s">
        <v>17</v>
      </c>
      <c r="M946" t="str">
        <f t="shared" si="56"/>
        <v>08</v>
      </c>
      <c r="N946" t="s">
        <v>12</v>
      </c>
    </row>
    <row r="947" spans="1:14" x14ac:dyDescent="0.25">
      <c r="A947">
        <v>20160815</v>
      </c>
      <c r="B947" t="str">
        <f t="shared" si="57"/>
        <v>022044</v>
      </c>
      <c r="C947" t="str">
        <f t="shared" si="58"/>
        <v>54196</v>
      </c>
      <c r="D947" t="s">
        <v>49</v>
      </c>
      <c r="E947" s="3">
        <v>475</v>
      </c>
      <c r="F947">
        <v>20160815</v>
      </c>
      <c r="G947" t="s">
        <v>178</v>
      </c>
      <c r="H947" t="s">
        <v>280</v>
      </c>
      <c r="I947">
        <v>0</v>
      </c>
      <c r="J947" t="s">
        <v>15</v>
      </c>
      <c r="K947" t="s">
        <v>180</v>
      </c>
      <c r="L947" t="s">
        <v>17</v>
      </c>
      <c r="M947" t="str">
        <f t="shared" si="56"/>
        <v>08</v>
      </c>
      <c r="N947" t="s">
        <v>12</v>
      </c>
    </row>
    <row r="948" spans="1:14" x14ac:dyDescent="0.25">
      <c r="A948">
        <v>20160815</v>
      </c>
      <c r="B948" t="str">
        <f t="shared" si="57"/>
        <v>022044</v>
      </c>
      <c r="C948" t="str">
        <f t="shared" si="58"/>
        <v>54196</v>
      </c>
      <c r="D948" t="s">
        <v>49</v>
      </c>
      <c r="E948" s="3">
        <v>2400</v>
      </c>
      <c r="F948">
        <v>20160815</v>
      </c>
      <c r="G948" t="s">
        <v>181</v>
      </c>
      <c r="H948" t="s">
        <v>279</v>
      </c>
      <c r="I948">
        <v>0</v>
      </c>
      <c r="J948" t="s">
        <v>15</v>
      </c>
      <c r="K948" t="s">
        <v>182</v>
      </c>
      <c r="L948" t="s">
        <v>17</v>
      </c>
      <c r="M948" t="str">
        <f t="shared" si="56"/>
        <v>08</v>
      </c>
      <c r="N948" t="s">
        <v>12</v>
      </c>
    </row>
    <row r="949" spans="1:14" x14ac:dyDescent="0.25">
      <c r="A949">
        <v>20160815</v>
      </c>
      <c r="B949" t="str">
        <f>"022045"</f>
        <v>022045</v>
      </c>
      <c r="C949" t="str">
        <f>"72601"</f>
        <v>72601</v>
      </c>
      <c r="D949" t="s">
        <v>53</v>
      </c>
      <c r="E949" s="3">
        <v>9321.7900000000009</v>
      </c>
      <c r="F949">
        <v>20160815</v>
      </c>
      <c r="G949" t="s">
        <v>54</v>
      </c>
      <c r="H949" t="s">
        <v>274</v>
      </c>
      <c r="I949">
        <v>0</v>
      </c>
      <c r="J949" t="s">
        <v>15</v>
      </c>
      <c r="K949" t="s">
        <v>55</v>
      </c>
      <c r="L949" t="s">
        <v>17</v>
      </c>
      <c r="M949" t="str">
        <f t="shared" si="56"/>
        <v>08</v>
      </c>
      <c r="N949" t="s">
        <v>12</v>
      </c>
    </row>
    <row r="950" spans="1:14" x14ac:dyDescent="0.25">
      <c r="A950">
        <v>20160815</v>
      </c>
      <c r="B950" t="str">
        <f>"022046"</f>
        <v>022046</v>
      </c>
      <c r="C950" t="str">
        <f>"75452"</f>
        <v>75452</v>
      </c>
      <c r="D950" t="s">
        <v>56</v>
      </c>
      <c r="E950" s="3">
        <v>8732.9500000000007</v>
      </c>
      <c r="F950">
        <v>20160815</v>
      </c>
      <c r="G950" t="s">
        <v>57</v>
      </c>
      <c r="H950" t="s">
        <v>273</v>
      </c>
      <c r="I950">
        <v>0</v>
      </c>
      <c r="J950" t="s">
        <v>15</v>
      </c>
      <c r="K950" t="s">
        <v>58</v>
      </c>
      <c r="L950" t="s">
        <v>17</v>
      </c>
      <c r="M950" t="str">
        <f t="shared" si="56"/>
        <v>08</v>
      </c>
      <c r="N950" t="s">
        <v>12</v>
      </c>
    </row>
    <row r="951" spans="1:14" x14ac:dyDescent="0.25">
      <c r="A951">
        <v>20160815</v>
      </c>
      <c r="B951" t="str">
        <f>"022046"</f>
        <v>022046</v>
      </c>
      <c r="C951" t="str">
        <f>"75452"</f>
        <v>75452</v>
      </c>
      <c r="D951" t="s">
        <v>56</v>
      </c>
      <c r="E951" s="3">
        <v>25</v>
      </c>
      <c r="F951">
        <v>20160815</v>
      </c>
      <c r="G951" t="s">
        <v>153</v>
      </c>
      <c r="H951" t="s">
        <v>281</v>
      </c>
      <c r="I951">
        <v>0</v>
      </c>
      <c r="J951" t="s">
        <v>15</v>
      </c>
      <c r="K951" t="s">
        <v>155</v>
      </c>
      <c r="L951" t="s">
        <v>17</v>
      </c>
      <c r="M951" t="str">
        <f t="shared" si="56"/>
        <v>08</v>
      </c>
      <c r="N951" t="s">
        <v>12</v>
      </c>
    </row>
    <row r="952" spans="1:14" x14ac:dyDescent="0.25">
      <c r="A952">
        <v>20160815</v>
      </c>
      <c r="B952" t="str">
        <f>"022047"</f>
        <v>022047</v>
      </c>
      <c r="C952" t="str">
        <f>"77030"</f>
        <v>77030</v>
      </c>
      <c r="D952" t="s">
        <v>156</v>
      </c>
      <c r="E952" s="3">
        <v>116</v>
      </c>
      <c r="F952">
        <v>20160815</v>
      </c>
      <c r="G952" t="s">
        <v>157</v>
      </c>
      <c r="H952" t="s">
        <v>274</v>
      </c>
      <c r="I952">
        <v>0</v>
      </c>
      <c r="J952" t="s">
        <v>15</v>
      </c>
      <c r="K952" t="s">
        <v>158</v>
      </c>
      <c r="L952" t="s">
        <v>17</v>
      </c>
      <c r="M952" t="str">
        <f t="shared" si="56"/>
        <v>08</v>
      </c>
      <c r="N952" t="s">
        <v>12</v>
      </c>
    </row>
    <row r="953" spans="1:14" x14ac:dyDescent="0.25">
      <c r="A953">
        <v>20160815</v>
      </c>
      <c r="B953" t="str">
        <f>"022048"</f>
        <v>022048</v>
      </c>
      <c r="C953" t="str">
        <f>"78428"</f>
        <v>78428</v>
      </c>
      <c r="D953" t="s">
        <v>124</v>
      </c>
      <c r="E953" s="3">
        <v>851.87</v>
      </c>
      <c r="F953">
        <v>20160815</v>
      </c>
      <c r="G953" t="s">
        <v>125</v>
      </c>
      <c r="H953" t="s">
        <v>274</v>
      </c>
      <c r="I953">
        <v>0</v>
      </c>
      <c r="J953" t="s">
        <v>15</v>
      </c>
      <c r="K953" t="s">
        <v>126</v>
      </c>
      <c r="L953" t="s">
        <v>17</v>
      </c>
      <c r="M953" t="str">
        <f t="shared" si="56"/>
        <v>08</v>
      </c>
      <c r="N953" t="s">
        <v>12</v>
      </c>
    </row>
    <row r="954" spans="1:14" x14ac:dyDescent="0.25">
      <c r="A954">
        <v>20160815</v>
      </c>
      <c r="B954" t="str">
        <f>"022049"</f>
        <v>022049</v>
      </c>
      <c r="C954" t="str">
        <f>"79762"</f>
        <v>79762</v>
      </c>
      <c r="D954" t="s">
        <v>160</v>
      </c>
      <c r="E954" s="3">
        <v>780</v>
      </c>
      <c r="F954">
        <v>20160815</v>
      </c>
      <c r="G954" t="s">
        <v>161</v>
      </c>
      <c r="H954" t="s">
        <v>274</v>
      </c>
      <c r="I954">
        <v>0</v>
      </c>
      <c r="J954" t="s">
        <v>15</v>
      </c>
      <c r="K954" t="s">
        <v>162</v>
      </c>
      <c r="L954" t="s">
        <v>17</v>
      </c>
      <c r="M954" t="str">
        <f t="shared" si="56"/>
        <v>08</v>
      </c>
      <c r="N954" t="s">
        <v>12</v>
      </c>
    </row>
    <row r="955" spans="1:14" x14ac:dyDescent="0.25">
      <c r="A955">
        <v>20160815</v>
      </c>
      <c r="B955" t="str">
        <f>"022050"</f>
        <v>022050</v>
      </c>
      <c r="C955" t="str">
        <f>"81155"</f>
        <v>81155</v>
      </c>
      <c r="D955" t="s">
        <v>131</v>
      </c>
      <c r="E955" s="3">
        <v>270</v>
      </c>
      <c r="F955">
        <v>20160815</v>
      </c>
      <c r="G955" t="s">
        <v>132</v>
      </c>
      <c r="H955" t="s">
        <v>274</v>
      </c>
      <c r="I955">
        <v>0</v>
      </c>
      <c r="J955" t="s">
        <v>15</v>
      </c>
      <c r="K955" t="s">
        <v>133</v>
      </c>
      <c r="L955" t="s">
        <v>17</v>
      </c>
      <c r="M955" t="str">
        <f t="shared" si="56"/>
        <v>08</v>
      </c>
      <c r="N955" t="s">
        <v>12</v>
      </c>
    </row>
    <row r="956" spans="1:14" x14ac:dyDescent="0.25">
      <c r="A956">
        <v>20160815</v>
      </c>
      <c r="B956" t="str">
        <f>"022051"</f>
        <v>022051</v>
      </c>
      <c r="C956" t="str">
        <f>"81173"</f>
        <v>81173</v>
      </c>
      <c r="D956" t="s">
        <v>59</v>
      </c>
      <c r="E956" s="3">
        <v>1040</v>
      </c>
      <c r="F956">
        <v>20160815</v>
      </c>
      <c r="G956" t="s">
        <v>60</v>
      </c>
      <c r="H956" t="s">
        <v>274</v>
      </c>
      <c r="I956">
        <v>0</v>
      </c>
      <c r="J956" t="s">
        <v>15</v>
      </c>
      <c r="K956" t="s">
        <v>61</v>
      </c>
      <c r="L956" t="s">
        <v>17</v>
      </c>
      <c r="M956" t="str">
        <f t="shared" si="56"/>
        <v>08</v>
      </c>
      <c r="N956" t="s">
        <v>12</v>
      </c>
    </row>
    <row r="957" spans="1:14" x14ac:dyDescent="0.25">
      <c r="A957">
        <v>20160815</v>
      </c>
      <c r="B957" t="str">
        <f>"022052"</f>
        <v>022052</v>
      </c>
      <c r="C957" t="str">
        <f>"81174"</f>
        <v>81174</v>
      </c>
      <c r="D957" t="s">
        <v>62</v>
      </c>
      <c r="E957" s="3">
        <v>1245</v>
      </c>
      <c r="F957">
        <v>20160815</v>
      </c>
      <c r="G957" t="s">
        <v>63</v>
      </c>
      <c r="H957" t="s">
        <v>274</v>
      </c>
      <c r="I957">
        <v>0</v>
      </c>
      <c r="J957" t="s">
        <v>15</v>
      </c>
      <c r="K957" t="s">
        <v>64</v>
      </c>
      <c r="L957" t="s">
        <v>17</v>
      </c>
      <c r="M957" t="str">
        <f t="shared" si="56"/>
        <v>08</v>
      </c>
      <c r="N957" t="s">
        <v>12</v>
      </c>
    </row>
    <row r="958" spans="1:14" x14ac:dyDescent="0.25">
      <c r="A958">
        <v>20160815</v>
      </c>
      <c r="B958" t="str">
        <f>"022053"</f>
        <v>022053</v>
      </c>
      <c r="C958" t="str">
        <f>"81177"</f>
        <v>81177</v>
      </c>
      <c r="D958" t="s">
        <v>65</v>
      </c>
      <c r="E958" s="3">
        <v>152.5</v>
      </c>
      <c r="F958">
        <v>20160815</v>
      </c>
      <c r="G958" t="s">
        <v>66</v>
      </c>
      <c r="H958" t="s">
        <v>274</v>
      </c>
      <c r="I958">
        <v>0</v>
      </c>
      <c r="J958" t="s">
        <v>15</v>
      </c>
      <c r="K958" t="s">
        <v>67</v>
      </c>
      <c r="L958" t="s">
        <v>17</v>
      </c>
      <c r="M958" t="str">
        <f t="shared" si="56"/>
        <v>08</v>
      </c>
      <c r="N958" t="s">
        <v>12</v>
      </c>
    </row>
    <row r="959" spans="1:14" x14ac:dyDescent="0.25">
      <c r="A959">
        <v>20160815</v>
      </c>
      <c r="B959" t="str">
        <f>"022053"</f>
        <v>022053</v>
      </c>
      <c r="C959" t="str">
        <f>"81177"</f>
        <v>81177</v>
      </c>
      <c r="D959" t="s">
        <v>65</v>
      </c>
      <c r="E959" s="3">
        <v>246.82</v>
      </c>
      <c r="F959">
        <v>20160815</v>
      </c>
      <c r="G959" t="s">
        <v>134</v>
      </c>
      <c r="H959" t="s">
        <v>274</v>
      </c>
      <c r="I959">
        <v>0</v>
      </c>
      <c r="J959" t="s">
        <v>15</v>
      </c>
      <c r="K959" t="s">
        <v>135</v>
      </c>
      <c r="L959" t="s">
        <v>17</v>
      </c>
      <c r="M959" t="str">
        <f t="shared" si="56"/>
        <v>08</v>
      </c>
      <c r="N959" t="s">
        <v>12</v>
      </c>
    </row>
    <row r="960" spans="1:14" x14ac:dyDescent="0.25">
      <c r="A960">
        <v>20160815</v>
      </c>
      <c r="B960" t="str">
        <f>"022054"</f>
        <v>022054</v>
      </c>
      <c r="C960" t="str">
        <f>"82168"</f>
        <v>82168</v>
      </c>
      <c r="D960" t="s">
        <v>236</v>
      </c>
      <c r="E960" s="3">
        <v>202.5</v>
      </c>
      <c r="F960">
        <v>20160815</v>
      </c>
      <c r="G960" t="s">
        <v>74</v>
      </c>
      <c r="H960" t="s">
        <v>274</v>
      </c>
      <c r="I960">
        <v>0</v>
      </c>
      <c r="J960" t="s">
        <v>15</v>
      </c>
      <c r="K960" t="s">
        <v>75</v>
      </c>
      <c r="L960" t="s">
        <v>17</v>
      </c>
      <c r="M960" t="str">
        <f t="shared" si="56"/>
        <v>08</v>
      </c>
      <c r="N960" t="s">
        <v>12</v>
      </c>
    </row>
    <row r="961" spans="1:14" x14ac:dyDescent="0.25">
      <c r="A961">
        <v>20160826</v>
      </c>
      <c r="B961" t="str">
        <f>"022069"</f>
        <v>022069</v>
      </c>
      <c r="C961" t="str">
        <f>"04831"</f>
        <v>04831</v>
      </c>
      <c r="D961" t="s">
        <v>11</v>
      </c>
      <c r="E961" s="3">
        <v>16.77</v>
      </c>
      <c r="F961">
        <v>20160826</v>
      </c>
      <c r="G961" t="s">
        <v>13</v>
      </c>
      <c r="H961" t="s">
        <v>273</v>
      </c>
      <c r="I961">
        <v>0</v>
      </c>
      <c r="J961" t="s">
        <v>15</v>
      </c>
      <c r="K961" t="s">
        <v>16</v>
      </c>
      <c r="L961" t="s">
        <v>17</v>
      </c>
      <c r="M961" t="str">
        <f t="shared" si="56"/>
        <v>08</v>
      </c>
      <c r="N961" t="s">
        <v>12</v>
      </c>
    </row>
    <row r="962" spans="1:14" x14ac:dyDescent="0.25">
      <c r="A962">
        <v>20160826</v>
      </c>
      <c r="B962" t="str">
        <f>"022070"</f>
        <v>022070</v>
      </c>
      <c r="C962" t="str">
        <f>"04905"</f>
        <v>04905</v>
      </c>
      <c r="D962" t="s">
        <v>18</v>
      </c>
      <c r="E962" s="3">
        <v>18.329999999999998</v>
      </c>
      <c r="F962">
        <v>20160826</v>
      </c>
      <c r="G962" t="s">
        <v>19</v>
      </c>
      <c r="H962" t="s">
        <v>274</v>
      </c>
      <c r="I962">
        <v>0</v>
      </c>
      <c r="J962" t="s">
        <v>15</v>
      </c>
      <c r="K962" t="s">
        <v>21</v>
      </c>
      <c r="L962" t="s">
        <v>17</v>
      </c>
      <c r="M962" t="str">
        <f t="shared" ref="M962:M976" si="59">"08"</f>
        <v>08</v>
      </c>
      <c r="N962" t="s">
        <v>12</v>
      </c>
    </row>
    <row r="963" spans="1:14" x14ac:dyDescent="0.25">
      <c r="A963">
        <v>20160826</v>
      </c>
      <c r="B963" t="str">
        <f>"022071"</f>
        <v>022071</v>
      </c>
      <c r="C963" t="str">
        <f>"04987"</f>
        <v>04987</v>
      </c>
      <c r="D963" t="s">
        <v>144</v>
      </c>
      <c r="E963" s="3">
        <v>6.88</v>
      </c>
      <c r="F963">
        <v>20160826</v>
      </c>
      <c r="G963" t="s">
        <v>35</v>
      </c>
      <c r="H963" t="s">
        <v>273</v>
      </c>
      <c r="I963">
        <v>0</v>
      </c>
      <c r="J963" t="s">
        <v>15</v>
      </c>
      <c r="K963" t="s">
        <v>36</v>
      </c>
      <c r="L963" t="s">
        <v>17</v>
      </c>
      <c r="M963" t="str">
        <f t="shared" si="59"/>
        <v>08</v>
      </c>
      <c r="N963" t="s">
        <v>12</v>
      </c>
    </row>
    <row r="964" spans="1:14" x14ac:dyDescent="0.25">
      <c r="A964">
        <v>20160826</v>
      </c>
      <c r="B964" t="str">
        <f>"022072"</f>
        <v>022072</v>
      </c>
      <c r="C964" t="str">
        <f>"07880"</f>
        <v>07880</v>
      </c>
      <c r="D964" t="s">
        <v>25</v>
      </c>
      <c r="E964" s="3">
        <v>158.41999999999999</v>
      </c>
      <c r="F964">
        <v>20160826</v>
      </c>
      <c r="G964" t="s">
        <v>26</v>
      </c>
      <c r="H964" t="s">
        <v>274</v>
      </c>
      <c r="I964">
        <v>0</v>
      </c>
      <c r="J964" t="s">
        <v>15</v>
      </c>
      <c r="K964" t="s">
        <v>27</v>
      </c>
      <c r="L964" t="s">
        <v>17</v>
      </c>
      <c r="M964" t="str">
        <f t="shared" si="59"/>
        <v>08</v>
      </c>
      <c r="N964" t="s">
        <v>12</v>
      </c>
    </row>
    <row r="965" spans="1:14" x14ac:dyDescent="0.25">
      <c r="A965">
        <v>20160826</v>
      </c>
      <c r="B965" t="str">
        <f>"022073"</f>
        <v>022073</v>
      </c>
      <c r="C965" t="str">
        <f>"11211"</f>
        <v>11211</v>
      </c>
      <c r="D965" t="s">
        <v>28</v>
      </c>
      <c r="E965" s="3">
        <v>103.78</v>
      </c>
      <c r="F965">
        <v>20160826</v>
      </c>
      <c r="G965" t="s">
        <v>29</v>
      </c>
      <c r="H965" t="s">
        <v>273</v>
      </c>
      <c r="I965">
        <v>0</v>
      </c>
      <c r="J965" t="s">
        <v>15</v>
      </c>
      <c r="K965" t="s">
        <v>30</v>
      </c>
      <c r="L965" t="s">
        <v>17</v>
      </c>
      <c r="M965" t="str">
        <f t="shared" si="59"/>
        <v>08</v>
      </c>
      <c r="N965" t="s">
        <v>12</v>
      </c>
    </row>
    <row r="966" spans="1:14" x14ac:dyDescent="0.25">
      <c r="A966">
        <v>20160826</v>
      </c>
      <c r="B966" t="str">
        <f>"022074"</f>
        <v>022074</v>
      </c>
      <c r="C966" t="str">
        <f>"14177"</f>
        <v>14177</v>
      </c>
      <c r="D966" t="s">
        <v>31</v>
      </c>
      <c r="E966" s="3">
        <v>18.75</v>
      </c>
      <c r="F966">
        <v>20160826</v>
      </c>
      <c r="G966" t="s">
        <v>32</v>
      </c>
      <c r="H966" t="s">
        <v>274</v>
      </c>
      <c r="I966">
        <v>0</v>
      </c>
      <c r="J966" t="s">
        <v>15</v>
      </c>
      <c r="K966" t="s">
        <v>33</v>
      </c>
      <c r="L966" t="s">
        <v>17</v>
      </c>
      <c r="M966" t="str">
        <f t="shared" si="59"/>
        <v>08</v>
      </c>
      <c r="N966" t="s">
        <v>12</v>
      </c>
    </row>
    <row r="967" spans="1:14" x14ac:dyDescent="0.25">
      <c r="A967">
        <v>20160826</v>
      </c>
      <c r="B967" t="str">
        <f>"022075"</f>
        <v>022075</v>
      </c>
      <c r="C967" t="str">
        <f>"24960"</f>
        <v>24960</v>
      </c>
      <c r="D967" t="s">
        <v>39</v>
      </c>
      <c r="E967" s="3">
        <v>196.51</v>
      </c>
      <c r="F967">
        <v>20160826</v>
      </c>
      <c r="G967" t="s">
        <v>40</v>
      </c>
      <c r="H967" t="s">
        <v>275</v>
      </c>
      <c r="I967">
        <v>0</v>
      </c>
      <c r="J967" t="s">
        <v>15</v>
      </c>
      <c r="K967" t="s">
        <v>42</v>
      </c>
      <c r="L967" t="s">
        <v>17</v>
      </c>
      <c r="M967" t="str">
        <f t="shared" si="59"/>
        <v>08</v>
      </c>
      <c r="N967" t="s">
        <v>12</v>
      </c>
    </row>
    <row r="968" spans="1:14" x14ac:dyDescent="0.25">
      <c r="A968">
        <v>20160826</v>
      </c>
      <c r="B968" t="str">
        <f>"022076"</f>
        <v>022076</v>
      </c>
      <c r="C968" t="str">
        <f>"42245"</f>
        <v>42245</v>
      </c>
      <c r="D968" t="s">
        <v>43</v>
      </c>
      <c r="E968" s="3">
        <v>260.56</v>
      </c>
      <c r="F968">
        <v>20160826</v>
      </c>
      <c r="G968" t="s">
        <v>44</v>
      </c>
      <c r="H968" t="s">
        <v>273</v>
      </c>
      <c r="I968">
        <v>0</v>
      </c>
      <c r="J968" t="s">
        <v>15</v>
      </c>
      <c r="K968" t="s">
        <v>45</v>
      </c>
      <c r="L968" t="s">
        <v>17</v>
      </c>
      <c r="M968" t="str">
        <f t="shared" si="59"/>
        <v>08</v>
      </c>
      <c r="N968" t="s">
        <v>12</v>
      </c>
    </row>
    <row r="969" spans="1:14" x14ac:dyDescent="0.25">
      <c r="A969">
        <v>20160826</v>
      </c>
      <c r="B969" t="str">
        <f>"022077"</f>
        <v>022077</v>
      </c>
      <c r="C969" t="str">
        <f>"48947"</f>
        <v>48947</v>
      </c>
      <c r="D969" t="s">
        <v>46</v>
      </c>
      <c r="E969" s="3">
        <v>25.38</v>
      </c>
      <c r="F969">
        <v>20160826</v>
      </c>
      <c r="G969" t="s">
        <v>47</v>
      </c>
      <c r="H969" t="s">
        <v>275</v>
      </c>
      <c r="I969">
        <v>0</v>
      </c>
      <c r="J969" t="s">
        <v>15</v>
      </c>
      <c r="K969" t="s">
        <v>48</v>
      </c>
      <c r="L969" t="s">
        <v>17</v>
      </c>
      <c r="M969" t="str">
        <f t="shared" si="59"/>
        <v>08</v>
      </c>
      <c r="N969" t="s">
        <v>12</v>
      </c>
    </row>
    <row r="970" spans="1:14" x14ac:dyDescent="0.25">
      <c r="A970">
        <v>20160826</v>
      </c>
      <c r="B970" t="str">
        <f>"022078"</f>
        <v>022078</v>
      </c>
      <c r="C970" t="str">
        <f>"54196"</f>
        <v>54196</v>
      </c>
      <c r="D970" t="s">
        <v>49</v>
      </c>
      <c r="E970" s="3">
        <v>50</v>
      </c>
      <c r="F970">
        <v>20160826</v>
      </c>
      <c r="G970" t="s">
        <v>50</v>
      </c>
      <c r="H970" t="s">
        <v>276</v>
      </c>
      <c r="I970">
        <v>0</v>
      </c>
      <c r="J970" t="s">
        <v>15</v>
      </c>
      <c r="K970" t="s">
        <v>52</v>
      </c>
      <c r="L970" t="s">
        <v>17</v>
      </c>
      <c r="M970" t="str">
        <f t="shared" si="59"/>
        <v>08</v>
      </c>
      <c r="N970" t="s">
        <v>12</v>
      </c>
    </row>
    <row r="971" spans="1:14" x14ac:dyDescent="0.25">
      <c r="A971">
        <v>20160826</v>
      </c>
      <c r="B971" t="str">
        <f>"022079"</f>
        <v>022079</v>
      </c>
      <c r="C971" t="str">
        <f>"72601"</f>
        <v>72601</v>
      </c>
      <c r="D971" t="s">
        <v>53</v>
      </c>
      <c r="E971" s="3">
        <v>194.55</v>
      </c>
      <c r="F971">
        <v>20160826</v>
      </c>
      <c r="G971" t="s">
        <v>54</v>
      </c>
      <c r="H971" t="s">
        <v>274</v>
      </c>
      <c r="I971">
        <v>0</v>
      </c>
      <c r="J971" t="s">
        <v>15</v>
      </c>
      <c r="K971" t="s">
        <v>55</v>
      </c>
      <c r="L971" t="s">
        <v>17</v>
      </c>
      <c r="M971" t="str">
        <f t="shared" si="59"/>
        <v>08</v>
      </c>
      <c r="N971" t="s">
        <v>12</v>
      </c>
    </row>
    <row r="972" spans="1:14" x14ac:dyDescent="0.25">
      <c r="A972">
        <v>20160826</v>
      </c>
      <c r="B972" t="str">
        <f>"022080"</f>
        <v>022080</v>
      </c>
      <c r="C972" t="str">
        <f>"75452"</f>
        <v>75452</v>
      </c>
      <c r="D972" t="s">
        <v>56</v>
      </c>
      <c r="E972" s="3">
        <v>200.84</v>
      </c>
      <c r="F972">
        <v>20160826</v>
      </c>
      <c r="G972" t="s">
        <v>57</v>
      </c>
      <c r="H972" t="s">
        <v>273</v>
      </c>
      <c r="I972">
        <v>0</v>
      </c>
      <c r="J972" t="s">
        <v>15</v>
      </c>
      <c r="K972" t="s">
        <v>58</v>
      </c>
      <c r="L972" t="s">
        <v>17</v>
      </c>
      <c r="M972" t="str">
        <f t="shared" si="59"/>
        <v>08</v>
      </c>
      <c r="N972" t="s">
        <v>12</v>
      </c>
    </row>
    <row r="973" spans="1:14" x14ac:dyDescent="0.25">
      <c r="A973">
        <v>20160826</v>
      </c>
      <c r="B973" t="str">
        <f>"022081"</f>
        <v>022081</v>
      </c>
      <c r="C973" t="str">
        <f>"81174"</f>
        <v>81174</v>
      </c>
      <c r="D973" t="s">
        <v>62</v>
      </c>
      <c r="E973" s="3">
        <v>70</v>
      </c>
      <c r="F973">
        <v>20160826</v>
      </c>
      <c r="G973" t="s">
        <v>63</v>
      </c>
      <c r="H973" t="s">
        <v>274</v>
      </c>
      <c r="I973">
        <v>0</v>
      </c>
      <c r="J973" t="s">
        <v>15</v>
      </c>
      <c r="K973" t="s">
        <v>64</v>
      </c>
      <c r="L973" t="s">
        <v>17</v>
      </c>
      <c r="M973" t="str">
        <f t="shared" si="59"/>
        <v>08</v>
      </c>
      <c r="N973" t="s">
        <v>12</v>
      </c>
    </row>
    <row r="974" spans="1:14" x14ac:dyDescent="0.25">
      <c r="A974">
        <v>20160826</v>
      </c>
      <c r="B974" t="str">
        <f>"022082"</f>
        <v>022082</v>
      </c>
      <c r="C974" t="str">
        <f>"81177"</f>
        <v>81177</v>
      </c>
      <c r="D974" t="s">
        <v>65</v>
      </c>
      <c r="E974" s="3">
        <v>45.75</v>
      </c>
      <c r="F974">
        <v>20160826</v>
      </c>
      <c r="G974" t="s">
        <v>66</v>
      </c>
      <c r="H974" t="s">
        <v>274</v>
      </c>
      <c r="I974">
        <v>0</v>
      </c>
      <c r="J974" t="s">
        <v>15</v>
      </c>
      <c r="K974" t="s">
        <v>67</v>
      </c>
      <c r="L974" t="s">
        <v>17</v>
      </c>
      <c r="M974" t="str">
        <f t="shared" si="59"/>
        <v>08</v>
      </c>
      <c r="N974" t="s">
        <v>12</v>
      </c>
    </row>
    <row r="975" spans="1:14" x14ac:dyDescent="0.25">
      <c r="A975">
        <v>20160826</v>
      </c>
      <c r="B975" t="str">
        <f>"022082"</f>
        <v>022082</v>
      </c>
      <c r="C975" t="str">
        <f>"81177"</f>
        <v>81177</v>
      </c>
      <c r="D975" t="s">
        <v>65</v>
      </c>
      <c r="E975" s="3">
        <v>46.67</v>
      </c>
      <c r="F975">
        <v>20160826</v>
      </c>
      <c r="G975" t="s">
        <v>134</v>
      </c>
      <c r="H975" t="s">
        <v>274</v>
      </c>
      <c r="I975">
        <v>0</v>
      </c>
      <c r="J975" t="s">
        <v>15</v>
      </c>
      <c r="K975" t="s">
        <v>135</v>
      </c>
      <c r="L975" t="s">
        <v>17</v>
      </c>
      <c r="M975" t="str">
        <f t="shared" si="59"/>
        <v>08</v>
      </c>
      <c r="N975" t="s">
        <v>12</v>
      </c>
    </row>
    <row r="976" spans="1:14" x14ac:dyDescent="0.25">
      <c r="A976">
        <v>20160819</v>
      </c>
      <c r="B976" t="str">
        <f>"064476"</f>
        <v>064476</v>
      </c>
      <c r="C976" t="str">
        <f>"79776"</f>
        <v>79776</v>
      </c>
      <c r="D976" t="s">
        <v>282</v>
      </c>
      <c r="E976" s="3">
        <v>5832.65</v>
      </c>
      <c r="F976">
        <v>20160817</v>
      </c>
      <c r="G976" t="s">
        <v>283</v>
      </c>
      <c r="H976" t="s">
        <v>284</v>
      </c>
      <c r="I976">
        <v>0</v>
      </c>
      <c r="J976" t="s">
        <v>15</v>
      </c>
      <c r="K976" t="s">
        <v>235</v>
      </c>
      <c r="L976" t="s">
        <v>285</v>
      </c>
      <c r="M976" t="str">
        <f t="shared" si="59"/>
        <v>08</v>
      </c>
      <c r="N976" t="s">
        <v>12</v>
      </c>
    </row>
    <row r="977" spans="1:14" x14ac:dyDescent="0.25">
      <c r="A977">
        <v>20150929</v>
      </c>
      <c r="B977" t="str">
        <f>"059123"</f>
        <v>059123</v>
      </c>
      <c r="C977" t="str">
        <f>"51311"</f>
        <v>51311</v>
      </c>
      <c r="D977" t="s">
        <v>286</v>
      </c>
      <c r="E977" s="3">
        <v>180</v>
      </c>
      <c r="F977">
        <v>20150929</v>
      </c>
      <c r="G977" t="s">
        <v>287</v>
      </c>
      <c r="H977" t="s">
        <v>288</v>
      </c>
      <c r="I977">
        <v>0</v>
      </c>
      <c r="J977" t="s">
        <v>289</v>
      </c>
      <c r="K977" t="s">
        <v>290</v>
      </c>
      <c r="L977" t="s">
        <v>17</v>
      </c>
      <c r="M977" t="str">
        <f t="shared" ref="M977:M1008" si="60">"09"</f>
        <v>09</v>
      </c>
      <c r="N977" t="s">
        <v>12</v>
      </c>
    </row>
    <row r="978" spans="1:14" x14ac:dyDescent="0.25">
      <c r="A978">
        <v>20150903</v>
      </c>
      <c r="B978" t="str">
        <f>"060173"</f>
        <v>060173</v>
      </c>
      <c r="C978" t="str">
        <f>"10235"</f>
        <v>10235</v>
      </c>
      <c r="D978" t="s">
        <v>291</v>
      </c>
      <c r="E978" s="3">
        <v>200</v>
      </c>
      <c r="F978">
        <v>20150903</v>
      </c>
      <c r="G978" t="s">
        <v>287</v>
      </c>
      <c r="H978" t="s">
        <v>292</v>
      </c>
      <c r="I978">
        <v>0</v>
      </c>
      <c r="J978" t="s">
        <v>289</v>
      </c>
      <c r="K978" t="s">
        <v>290</v>
      </c>
      <c r="L978" t="s">
        <v>285</v>
      </c>
      <c r="M978" t="str">
        <f t="shared" si="60"/>
        <v>09</v>
      </c>
      <c r="N978" t="s">
        <v>12</v>
      </c>
    </row>
    <row r="979" spans="1:14" x14ac:dyDescent="0.25">
      <c r="A979">
        <v>20150903</v>
      </c>
      <c r="B979" t="str">
        <f>"060173"</f>
        <v>060173</v>
      </c>
      <c r="C979" t="str">
        <f>"10235"</f>
        <v>10235</v>
      </c>
      <c r="D979" t="s">
        <v>291</v>
      </c>
      <c r="E979" s="3">
        <v>52</v>
      </c>
      <c r="F979">
        <v>20150903</v>
      </c>
      <c r="G979" t="s">
        <v>293</v>
      </c>
      <c r="H979" t="s">
        <v>292</v>
      </c>
      <c r="I979">
        <v>0</v>
      </c>
      <c r="J979" t="s">
        <v>289</v>
      </c>
      <c r="K979" t="s">
        <v>95</v>
      </c>
      <c r="L979" t="s">
        <v>285</v>
      </c>
      <c r="M979" t="str">
        <f t="shared" si="60"/>
        <v>09</v>
      </c>
      <c r="N979" t="s">
        <v>12</v>
      </c>
    </row>
    <row r="980" spans="1:14" x14ac:dyDescent="0.25">
      <c r="A980">
        <v>20150903</v>
      </c>
      <c r="B980" t="str">
        <f>"060176"</f>
        <v>060176</v>
      </c>
      <c r="C980" t="str">
        <f>"19208"</f>
        <v>19208</v>
      </c>
      <c r="D980" t="s">
        <v>294</v>
      </c>
      <c r="E980" s="3">
        <v>310</v>
      </c>
      <c r="F980">
        <v>20150903</v>
      </c>
      <c r="G980" t="s">
        <v>287</v>
      </c>
      <c r="H980" t="s">
        <v>295</v>
      </c>
      <c r="I980">
        <v>0</v>
      </c>
      <c r="J980" t="s">
        <v>289</v>
      </c>
      <c r="K980" t="s">
        <v>290</v>
      </c>
      <c r="L980" t="s">
        <v>285</v>
      </c>
      <c r="M980" t="str">
        <f t="shared" si="60"/>
        <v>09</v>
      </c>
      <c r="N980" t="s">
        <v>12</v>
      </c>
    </row>
    <row r="981" spans="1:14" x14ac:dyDescent="0.25">
      <c r="A981">
        <v>20150903</v>
      </c>
      <c r="B981" t="str">
        <f>"060176"</f>
        <v>060176</v>
      </c>
      <c r="C981" t="str">
        <f>"19208"</f>
        <v>19208</v>
      </c>
      <c r="D981" t="s">
        <v>294</v>
      </c>
      <c r="E981" s="3">
        <v>52</v>
      </c>
      <c r="F981">
        <v>20150903</v>
      </c>
      <c r="G981" t="s">
        <v>293</v>
      </c>
      <c r="H981" t="s">
        <v>295</v>
      </c>
      <c r="I981">
        <v>0</v>
      </c>
      <c r="J981" t="s">
        <v>289</v>
      </c>
      <c r="K981" t="s">
        <v>95</v>
      </c>
      <c r="L981" t="s">
        <v>285</v>
      </c>
      <c r="M981" t="str">
        <f t="shared" si="60"/>
        <v>09</v>
      </c>
      <c r="N981" t="s">
        <v>12</v>
      </c>
    </row>
    <row r="982" spans="1:14" x14ac:dyDescent="0.25">
      <c r="A982">
        <v>20150911</v>
      </c>
      <c r="B982" t="str">
        <f>"060223"</f>
        <v>060223</v>
      </c>
      <c r="C982" t="str">
        <f>"11385"</f>
        <v>11385</v>
      </c>
      <c r="D982" t="s">
        <v>296</v>
      </c>
      <c r="E982" s="3">
        <v>2000</v>
      </c>
      <c r="F982">
        <v>20150910</v>
      </c>
      <c r="G982" t="s">
        <v>297</v>
      </c>
      <c r="H982" t="s">
        <v>298</v>
      </c>
      <c r="I982">
        <v>0</v>
      </c>
      <c r="J982" t="s">
        <v>289</v>
      </c>
      <c r="K982" t="s">
        <v>235</v>
      </c>
      <c r="L982" t="s">
        <v>285</v>
      </c>
      <c r="M982" t="str">
        <f t="shared" si="60"/>
        <v>09</v>
      </c>
      <c r="N982" t="s">
        <v>12</v>
      </c>
    </row>
    <row r="983" spans="1:14" x14ac:dyDescent="0.25">
      <c r="A983">
        <v>20150911</v>
      </c>
      <c r="B983" t="str">
        <f>"060223"</f>
        <v>060223</v>
      </c>
      <c r="C983" t="str">
        <f>"11385"</f>
        <v>11385</v>
      </c>
      <c r="D983" t="s">
        <v>296</v>
      </c>
      <c r="E983" s="3">
        <v>5000</v>
      </c>
      <c r="F983">
        <v>20150910</v>
      </c>
      <c r="G983" t="s">
        <v>299</v>
      </c>
      <c r="H983" t="s">
        <v>300</v>
      </c>
      <c r="I983">
        <v>0</v>
      </c>
      <c r="J983" t="s">
        <v>289</v>
      </c>
      <c r="K983" t="s">
        <v>235</v>
      </c>
      <c r="L983" t="s">
        <v>285</v>
      </c>
      <c r="M983" t="str">
        <f t="shared" si="60"/>
        <v>09</v>
      </c>
      <c r="N983" t="s">
        <v>12</v>
      </c>
    </row>
    <row r="984" spans="1:14" x14ac:dyDescent="0.25">
      <c r="A984">
        <v>20150911</v>
      </c>
      <c r="B984" t="str">
        <f>"060224"</f>
        <v>060224</v>
      </c>
      <c r="C984" t="str">
        <f>"11385"</f>
        <v>11385</v>
      </c>
      <c r="D984" t="s">
        <v>296</v>
      </c>
      <c r="E984" s="3">
        <v>5000</v>
      </c>
      <c r="F984">
        <v>20150910</v>
      </c>
      <c r="G984" t="s">
        <v>299</v>
      </c>
      <c r="H984" t="s">
        <v>301</v>
      </c>
      <c r="I984">
        <v>0</v>
      </c>
      <c r="J984" t="s">
        <v>289</v>
      </c>
      <c r="K984" t="s">
        <v>235</v>
      </c>
      <c r="L984" t="s">
        <v>285</v>
      </c>
      <c r="M984" t="str">
        <f t="shared" si="60"/>
        <v>09</v>
      </c>
      <c r="N984" t="s">
        <v>12</v>
      </c>
    </row>
    <row r="985" spans="1:14" x14ac:dyDescent="0.25">
      <c r="A985">
        <v>20150911</v>
      </c>
      <c r="B985" t="str">
        <f>"060225"</f>
        <v>060225</v>
      </c>
      <c r="C985" t="str">
        <f>"08788"</f>
        <v>08788</v>
      </c>
      <c r="D985" t="s">
        <v>302</v>
      </c>
      <c r="E985" s="3">
        <v>52</v>
      </c>
      <c r="F985">
        <v>20150910</v>
      </c>
      <c r="G985" t="s">
        <v>303</v>
      </c>
      <c r="H985" t="s">
        <v>304</v>
      </c>
      <c r="I985">
        <v>0</v>
      </c>
      <c r="J985" t="s">
        <v>289</v>
      </c>
      <c r="K985" t="s">
        <v>235</v>
      </c>
      <c r="L985" t="s">
        <v>285</v>
      </c>
      <c r="M985" t="str">
        <f t="shared" si="60"/>
        <v>09</v>
      </c>
      <c r="N985" t="s">
        <v>12</v>
      </c>
    </row>
    <row r="986" spans="1:14" x14ac:dyDescent="0.25">
      <c r="A986">
        <v>20150911</v>
      </c>
      <c r="B986" t="str">
        <f>"060226"</f>
        <v>060226</v>
      </c>
      <c r="C986" t="str">
        <f>"14146"</f>
        <v>14146</v>
      </c>
      <c r="D986" t="s">
        <v>305</v>
      </c>
      <c r="E986" s="3">
        <v>198</v>
      </c>
      <c r="F986">
        <v>20150910</v>
      </c>
      <c r="G986" t="s">
        <v>303</v>
      </c>
      <c r="H986" t="s">
        <v>306</v>
      </c>
      <c r="I986">
        <v>0</v>
      </c>
      <c r="J986" t="s">
        <v>289</v>
      </c>
      <c r="K986" t="s">
        <v>235</v>
      </c>
      <c r="L986" t="s">
        <v>285</v>
      </c>
      <c r="M986" t="str">
        <f t="shared" si="60"/>
        <v>09</v>
      </c>
      <c r="N986" t="s">
        <v>12</v>
      </c>
    </row>
    <row r="987" spans="1:14" x14ac:dyDescent="0.25">
      <c r="A987">
        <v>20150911</v>
      </c>
      <c r="B987" t="str">
        <f>"060232"</f>
        <v>060232</v>
      </c>
      <c r="C987" t="str">
        <f>"24391"</f>
        <v>24391</v>
      </c>
      <c r="D987" t="s">
        <v>307</v>
      </c>
      <c r="E987" s="3">
        <v>230</v>
      </c>
      <c r="F987">
        <v>20150909</v>
      </c>
      <c r="G987" t="s">
        <v>303</v>
      </c>
      <c r="H987" t="s">
        <v>308</v>
      </c>
      <c r="I987">
        <v>0</v>
      </c>
      <c r="J987" t="s">
        <v>289</v>
      </c>
      <c r="K987" t="s">
        <v>235</v>
      </c>
      <c r="L987" t="s">
        <v>285</v>
      </c>
      <c r="M987" t="str">
        <f t="shared" si="60"/>
        <v>09</v>
      </c>
      <c r="N987" t="s">
        <v>12</v>
      </c>
    </row>
    <row r="988" spans="1:14" x14ac:dyDescent="0.25">
      <c r="A988">
        <v>20150911</v>
      </c>
      <c r="B988" t="str">
        <f>"060241"</f>
        <v>060241</v>
      </c>
      <c r="C988" t="str">
        <f>"29095"</f>
        <v>29095</v>
      </c>
      <c r="D988" t="s">
        <v>309</v>
      </c>
      <c r="E988" s="3">
        <v>283.36</v>
      </c>
      <c r="F988">
        <v>20150910</v>
      </c>
      <c r="G988" t="s">
        <v>310</v>
      </c>
      <c r="H988" t="s">
        <v>311</v>
      </c>
      <c r="I988">
        <v>0</v>
      </c>
      <c r="J988" t="s">
        <v>289</v>
      </c>
      <c r="K988" t="s">
        <v>290</v>
      </c>
      <c r="L988" t="s">
        <v>285</v>
      </c>
      <c r="M988" t="str">
        <f t="shared" si="60"/>
        <v>09</v>
      </c>
      <c r="N988" t="s">
        <v>12</v>
      </c>
    </row>
    <row r="989" spans="1:14" x14ac:dyDescent="0.25">
      <c r="A989">
        <v>20150911</v>
      </c>
      <c r="B989" t="str">
        <f>"060248"</f>
        <v>060248</v>
      </c>
      <c r="C989" t="str">
        <f>"29675"</f>
        <v>29675</v>
      </c>
      <c r="D989" t="s">
        <v>312</v>
      </c>
      <c r="E989" s="3">
        <v>126.43</v>
      </c>
      <c r="F989">
        <v>20150910</v>
      </c>
      <c r="G989" t="s">
        <v>303</v>
      </c>
      <c r="H989" t="s">
        <v>313</v>
      </c>
      <c r="I989">
        <v>0</v>
      </c>
      <c r="J989" t="s">
        <v>289</v>
      </c>
      <c r="K989" t="s">
        <v>235</v>
      </c>
      <c r="L989" t="s">
        <v>285</v>
      </c>
      <c r="M989" t="str">
        <f t="shared" si="60"/>
        <v>09</v>
      </c>
      <c r="N989" t="s">
        <v>12</v>
      </c>
    </row>
    <row r="990" spans="1:14" x14ac:dyDescent="0.25">
      <c r="A990">
        <v>20150911</v>
      </c>
      <c r="B990" t="str">
        <f>"060253"</f>
        <v>060253</v>
      </c>
      <c r="C990" t="str">
        <f>"44798"</f>
        <v>44798</v>
      </c>
      <c r="D990" t="s">
        <v>314</v>
      </c>
      <c r="E990" s="3">
        <v>270</v>
      </c>
      <c r="F990">
        <v>20150909</v>
      </c>
      <c r="G990" t="s">
        <v>315</v>
      </c>
      <c r="H990" t="s">
        <v>316</v>
      </c>
      <c r="I990">
        <v>0</v>
      </c>
      <c r="J990" t="s">
        <v>289</v>
      </c>
      <c r="K990" t="s">
        <v>95</v>
      </c>
      <c r="L990" t="s">
        <v>285</v>
      </c>
      <c r="M990" t="str">
        <f t="shared" si="60"/>
        <v>09</v>
      </c>
      <c r="N990" t="s">
        <v>12</v>
      </c>
    </row>
    <row r="991" spans="1:14" x14ac:dyDescent="0.25">
      <c r="A991">
        <v>20150911</v>
      </c>
      <c r="B991" t="str">
        <f>"060258"</f>
        <v>060258</v>
      </c>
      <c r="C991" t="str">
        <f>"48942"</f>
        <v>48942</v>
      </c>
      <c r="D991" t="s">
        <v>317</v>
      </c>
      <c r="E991" s="3">
        <v>123.75</v>
      </c>
      <c r="F991">
        <v>20150910</v>
      </c>
      <c r="G991" t="s">
        <v>303</v>
      </c>
      <c r="H991" t="s">
        <v>313</v>
      </c>
      <c r="I991">
        <v>0</v>
      </c>
      <c r="J991" t="s">
        <v>289</v>
      </c>
      <c r="K991" t="s">
        <v>235</v>
      </c>
      <c r="L991" t="s">
        <v>285</v>
      </c>
      <c r="M991" t="str">
        <f t="shared" si="60"/>
        <v>09</v>
      </c>
      <c r="N991" t="s">
        <v>12</v>
      </c>
    </row>
    <row r="992" spans="1:14" x14ac:dyDescent="0.25">
      <c r="A992">
        <v>20150911</v>
      </c>
      <c r="B992" t="str">
        <f>"060264"</f>
        <v>060264</v>
      </c>
      <c r="C992" t="str">
        <f>"56569"</f>
        <v>56569</v>
      </c>
      <c r="D992" t="s">
        <v>318</v>
      </c>
      <c r="E992" s="3">
        <v>77.959999999999994</v>
      </c>
      <c r="F992">
        <v>20150910</v>
      </c>
      <c r="G992" t="s">
        <v>303</v>
      </c>
      <c r="H992" t="s">
        <v>319</v>
      </c>
      <c r="I992">
        <v>0</v>
      </c>
      <c r="J992" t="s">
        <v>289</v>
      </c>
      <c r="K992" t="s">
        <v>235</v>
      </c>
      <c r="L992" t="s">
        <v>285</v>
      </c>
      <c r="M992" t="str">
        <f t="shared" si="60"/>
        <v>09</v>
      </c>
      <c r="N992" t="s">
        <v>12</v>
      </c>
    </row>
    <row r="993" spans="1:14" x14ac:dyDescent="0.25">
      <c r="A993">
        <v>20150911</v>
      </c>
      <c r="B993" t="str">
        <f>"060271"</f>
        <v>060271</v>
      </c>
      <c r="C993" t="str">
        <f>"61271"</f>
        <v>61271</v>
      </c>
      <c r="D993" t="s">
        <v>320</v>
      </c>
      <c r="E993" s="3">
        <v>100.65</v>
      </c>
      <c r="F993">
        <v>20150910</v>
      </c>
      <c r="G993" t="s">
        <v>303</v>
      </c>
      <c r="H993" t="s">
        <v>319</v>
      </c>
      <c r="I993">
        <v>0</v>
      </c>
      <c r="J993" t="s">
        <v>289</v>
      </c>
      <c r="K993" t="s">
        <v>235</v>
      </c>
      <c r="L993" t="s">
        <v>285</v>
      </c>
      <c r="M993" t="str">
        <f t="shared" si="60"/>
        <v>09</v>
      </c>
      <c r="N993" t="s">
        <v>12</v>
      </c>
    </row>
    <row r="994" spans="1:14" x14ac:dyDescent="0.25">
      <c r="A994">
        <v>20150911</v>
      </c>
      <c r="B994" t="str">
        <f>"060279"</f>
        <v>060279</v>
      </c>
      <c r="C994" t="str">
        <f>"64785"</f>
        <v>64785</v>
      </c>
      <c r="D994" t="s">
        <v>321</v>
      </c>
      <c r="E994" s="3">
        <v>128.5</v>
      </c>
      <c r="F994">
        <v>20150910</v>
      </c>
      <c r="G994" t="s">
        <v>303</v>
      </c>
      <c r="H994" t="s">
        <v>313</v>
      </c>
      <c r="I994">
        <v>0</v>
      </c>
      <c r="J994" t="s">
        <v>289</v>
      </c>
      <c r="K994" t="s">
        <v>235</v>
      </c>
      <c r="L994" t="s">
        <v>285</v>
      </c>
      <c r="M994" t="str">
        <f t="shared" si="60"/>
        <v>09</v>
      </c>
      <c r="N994" t="s">
        <v>12</v>
      </c>
    </row>
    <row r="995" spans="1:14" x14ac:dyDescent="0.25">
      <c r="A995">
        <v>20150911</v>
      </c>
      <c r="B995" t="str">
        <f>"060280"</f>
        <v>060280</v>
      </c>
      <c r="C995" t="str">
        <f>"65201"</f>
        <v>65201</v>
      </c>
      <c r="D995" t="s">
        <v>322</v>
      </c>
      <c r="E995" s="3">
        <v>125.23</v>
      </c>
      <c r="F995">
        <v>20150910</v>
      </c>
      <c r="G995" t="s">
        <v>303</v>
      </c>
      <c r="H995" t="s">
        <v>313</v>
      </c>
      <c r="I995">
        <v>0</v>
      </c>
      <c r="J995" t="s">
        <v>289</v>
      </c>
      <c r="K995" t="s">
        <v>235</v>
      </c>
      <c r="L995" t="s">
        <v>285</v>
      </c>
      <c r="M995" t="str">
        <f t="shared" si="60"/>
        <v>09</v>
      </c>
      <c r="N995" t="s">
        <v>12</v>
      </c>
    </row>
    <row r="996" spans="1:14" x14ac:dyDescent="0.25">
      <c r="A996">
        <v>20150911</v>
      </c>
      <c r="B996" t="str">
        <f>"060282"</f>
        <v>060282</v>
      </c>
      <c r="C996" t="str">
        <f>"65863"</f>
        <v>65863</v>
      </c>
      <c r="D996" t="s">
        <v>323</v>
      </c>
      <c r="E996" s="3">
        <v>87.92</v>
      </c>
      <c r="F996">
        <v>20150910</v>
      </c>
      <c r="G996" t="s">
        <v>303</v>
      </c>
      <c r="H996" t="s">
        <v>319</v>
      </c>
      <c r="I996">
        <v>0</v>
      </c>
      <c r="J996" t="s">
        <v>289</v>
      </c>
      <c r="K996" t="s">
        <v>235</v>
      </c>
      <c r="L996" t="s">
        <v>285</v>
      </c>
      <c r="M996" t="str">
        <f t="shared" si="60"/>
        <v>09</v>
      </c>
      <c r="N996" t="s">
        <v>12</v>
      </c>
    </row>
    <row r="997" spans="1:14" x14ac:dyDescent="0.25">
      <c r="A997">
        <v>20150911</v>
      </c>
      <c r="B997" t="str">
        <f>"060285"</f>
        <v>060285</v>
      </c>
      <c r="C997" t="str">
        <f>"69015"</f>
        <v>69015</v>
      </c>
      <c r="D997" t="s">
        <v>324</v>
      </c>
      <c r="E997" s="3">
        <v>156</v>
      </c>
      <c r="F997">
        <v>20150910</v>
      </c>
      <c r="G997" t="s">
        <v>303</v>
      </c>
      <c r="H997" t="s">
        <v>325</v>
      </c>
      <c r="I997">
        <v>0</v>
      </c>
      <c r="J997" t="s">
        <v>289</v>
      </c>
      <c r="K997" t="s">
        <v>235</v>
      </c>
      <c r="L997" t="s">
        <v>285</v>
      </c>
      <c r="M997" t="str">
        <f t="shared" si="60"/>
        <v>09</v>
      </c>
      <c r="N997" t="s">
        <v>12</v>
      </c>
    </row>
    <row r="998" spans="1:14" x14ac:dyDescent="0.25">
      <c r="A998">
        <v>20150911</v>
      </c>
      <c r="B998" t="str">
        <f>"060285"</f>
        <v>060285</v>
      </c>
      <c r="C998" t="str">
        <f>"69015"</f>
        <v>69015</v>
      </c>
      <c r="D998" t="s">
        <v>324</v>
      </c>
      <c r="E998" s="3">
        <v>350</v>
      </c>
      <c r="F998">
        <v>20150909</v>
      </c>
      <c r="G998" t="s">
        <v>326</v>
      </c>
      <c r="H998" t="s">
        <v>327</v>
      </c>
      <c r="I998">
        <v>0</v>
      </c>
      <c r="J998" t="s">
        <v>289</v>
      </c>
      <c r="K998" t="s">
        <v>290</v>
      </c>
      <c r="L998" t="s">
        <v>285</v>
      </c>
      <c r="M998" t="str">
        <f t="shared" si="60"/>
        <v>09</v>
      </c>
      <c r="N998" t="s">
        <v>12</v>
      </c>
    </row>
    <row r="999" spans="1:14" x14ac:dyDescent="0.25">
      <c r="A999">
        <v>20150911</v>
      </c>
      <c r="B999" t="str">
        <f>"060288"</f>
        <v>060288</v>
      </c>
      <c r="C999" t="str">
        <f>"74132"</f>
        <v>74132</v>
      </c>
      <c r="D999" t="s">
        <v>328</v>
      </c>
      <c r="E999" s="3">
        <v>300</v>
      </c>
      <c r="F999">
        <v>20150910</v>
      </c>
      <c r="G999" t="s">
        <v>310</v>
      </c>
      <c r="H999" t="s">
        <v>311</v>
      </c>
      <c r="I999">
        <v>0</v>
      </c>
      <c r="J999" t="s">
        <v>289</v>
      </c>
      <c r="K999" t="s">
        <v>290</v>
      </c>
      <c r="L999" t="s">
        <v>285</v>
      </c>
      <c r="M999" t="str">
        <f t="shared" si="60"/>
        <v>09</v>
      </c>
      <c r="N999" t="s">
        <v>12</v>
      </c>
    </row>
    <row r="1000" spans="1:14" x14ac:dyDescent="0.25">
      <c r="A1000">
        <v>20150911</v>
      </c>
      <c r="B1000" t="str">
        <f>"060293"</f>
        <v>060293</v>
      </c>
      <c r="C1000" t="str">
        <f>"84370"</f>
        <v>84370</v>
      </c>
      <c r="D1000" t="s">
        <v>329</v>
      </c>
      <c r="E1000" s="3">
        <v>504.9</v>
      </c>
      <c r="F1000">
        <v>20150910</v>
      </c>
      <c r="G1000" t="s">
        <v>303</v>
      </c>
      <c r="H1000" t="s">
        <v>325</v>
      </c>
      <c r="I1000">
        <v>0</v>
      </c>
      <c r="J1000" t="s">
        <v>289</v>
      </c>
      <c r="K1000" t="s">
        <v>235</v>
      </c>
      <c r="L1000" t="s">
        <v>285</v>
      </c>
      <c r="M1000" t="str">
        <f t="shared" si="60"/>
        <v>09</v>
      </c>
      <c r="N1000" t="s">
        <v>12</v>
      </c>
    </row>
    <row r="1001" spans="1:14" x14ac:dyDescent="0.25">
      <c r="A1001">
        <v>20150911</v>
      </c>
      <c r="B1001" t="str">
        <f>"060293"</f>
        <v>060293</v>
      </c>
      <c r="C1001" t="str">
        <f>"84370"</f>
        <v>84370</v>
      </c>
      <c r="D1001" t="s">
        <v>329</v>
      </c>
      <c r="E1001" s="3">
        <v>171.26</v>
      </c>
      <c r="F1001">
        <v>20150910</v>
      </c>
      <c r="G1001" t="s">
        <v>303</v>
      </c>
      <c r="H1001" t="s">
        <v>330</v>
      </c>
      <c r="I1001">
        <v>0</v>
      </c>
      <c r="J1001" t="s">
        <v>289</v>
      </c>
      <c r="K1001" t="s">
        <v>235</v>
      </c>
      <c r="L1001" t="s">
        <v>285</v>
      </c>
      <c r="M1001" t="str">
        <f t="shared" si="60"/>
        <v>09</v>
      </c>
      <c r="N1001" t="s">
        <v>12</v>
      </c>
    </row>
    <row r="1002" spans="1:14" x14ac:dyDescent="0.25">
      <c r="A1002">
        <v>20150911</v>
      </c>
      <c r="B1002" t="str">
        <f>"060293"</f>
        <v>060293</v>
      </c>
      <c r="C1002" t="str">
        <f>"84370"</f>
        <v>84370</v>
      </c>
      <c r="D1002" t="s">
        <v>329</v>
      </c>
      <c r="E1002" s="3">
        <v>345.53</v>
      </c>
      <c r="F1002">
        <v>20150910</v>
      </c>
      <c r="G1002" t="s">
        <v>331</v>
      </c>
      <c r="H1002" t="s">
        <v>332</v>
      </c>
      <c r="I1002">
        <v>0</v>
      </c>
      <c r="J1002" t="s">
        <v>289</v>
      </c>
      <c r="K1002" t="s">
        <v>290</v>
      </c>
      <c r="L1002" t="s">
        <v>285</v>
      </c>
      <c r="M1002" t="str">
        <f t="shared" si="60"/>
        <v>09</v>
      </c>
      <c r="N1002" t="s">
        <v>12</v>
      </c>
    </row>
    <row r="1003" spans="1:14" x14ac:dyDescent="0.25">
      <c r="A1003">
        <v>20150911</v>
      </c>
      <c r="B1003" t="str">
        <f>"060293"</f>
        <v>060293</v>
      </c>
      <c r="C1003" t="str">
        <f>"84370"</f>
        <v>84370</v>
      </c>
      <c r="D1003" t="s">
        <v>329</v>
      </c>
      <c r="E1003" s="3">
        <v>475.5</v>
      </c>
      <c r="F1003">
        <v>20150910</v>
      </c>
      <c r="G1003" t="s">
        <v>331</v>
      </c>
      <c r="H1003" t="s">
        <v>333</v>
      </c>
      <c r="I1003">
        <v>0</v>
      </c>
      <c r="J1003" t="s">
        <v>289</v>
      </c>
      <c r="K1003" t="s">
        <v>290</v>
      </c>
      <c r="L1003" t="s">
        <v>285</v>
      </c>
      <c r="M1003" t="str">
        <f t="shared" si="60"/>
        <v>09</v>
      </c>
      <c r="N1003" t="s">
        <v>12</v>
      </c>
    </row>
    <row r="1004" spans="1:14" x14ac:dyDescent="0.25">
      <c r="A1004">
        <v>20150911</v>
      </c>
      <c r="B1004" t="str">
        <f>"060294"</f>
        <v>060294</v>
      </c>
      <c r="C1004" t="str">
        <f>"85624"</f>
        <v>85624</v>
      </c>
      <c r="D1004" t="s">
        <v>334</v>
      </c>
      <c r="E1004" s="3">
        <v>82.28</v>
      </c>
      <c r="F1004">
        <v>20150910</v>
      </c>
      <c r="G1004" t="s">
        <v>303</v>
      </c>
      <c r="H1004" t="s">
        <v>319</v>
      </c>
      <c r="I1004">
        <v>0</v>
      </c>
      <c r="J1004" t="s">
        <v>289</v>
      </c>
      <c r="K1004" t="s">
        <v>235</v>
      </c>
      <c r="L1004" t="s">
        <v>285</v>
      </c>
      <c r="M1004" t="str">
        <f t="shared" si="60"/>
        <v>09</v>
      </c>
      <c r="N1004" t="s">
        <v>12</v>
      </c>
    </row>
    <row r="1005" spans="1:14" x14ac:dyDescent="0.25">
      <c r="A1005">
        <v>20150918</v>
      </c>
      <c r="B1005" t="str">
        <f>"060300"</f>
        <v>060300</v>
      </c>
      <c r="C1005" t="str">
        <f>"08875"</f>
        <v>08875</v>
      </c>
      <c r="D1005" t="s">
        <v>335</v>
      </c>
      <c r="E1005" s="3">
        <v>95</v>
      </c>
      <c r="F1005">
        <v>20150917</v>
      </c>
      <c r="G1005" t="s">
        <v>336</v>
      </c>
      <c r="H1005" t="s">
        <v>300</v>
      </c>
      <c r="I1005">
        <v>0</v>
      </c>
      <c r="J1005" t="s">
        <v>289</v>
      </c>
      <c r="K1005" t="s">
        <v>290</v>
      </c>
      <c r="L1005" t="s">
        <v>285</v>
      </c>
      <c r="M1005" t="str">
        <f t="shared" si="60"/>
        <v>09</v>
      </c>
      <c r="N1005" t="s">
        <v>12</v>
      </c>
    </row>
    <row r="1006" spans="1:14" x14ac:dyDescent="0.25">
      <c r="A1006">
        <v>20150918</v>
      </c>
      <c r="B1006" t="str">
        <f>"060303"</f>
        <v>060303</v>
      </c>
      <c r="C1006" t="str">
        <f>"10403"</f>
        <v>10403</v>
      </c>
      <c r="D1006" t="s">
        <v>337</v>
      </c>
      <c r="E1006" s="3">
        <v>80.05</v>
      </c>
      <c r="F1006">
        <v>20150917</v>
      </c>
      <c r="G1006" t="s">
        <v>338</v>
      </c>
      <c r="H1006" t="s">
        <v>339</v>
      </c>
      <c r="I1006">
        <v>0</v>
      </c>
      <c r="J1006" t="s">
        <v>289</v>
      </c>
      <c r="K1006" t="s">
        <v>290</v>
      </c>
      <c r="L1006" t="s">
        <v>285</v>
      </c>
      <c r="M1006" t="str">
        <f t="shared" si="60"/>
        <v>09</v>
      </c>
      <c r="N1006" t="s">
        <v>12</v>
      </c>
    </row>
    <row r="1007" spans="1:14" x14ac:dyDescent="0.25">
      <c r="A1007">
        <v>20150918</v>
      </c>
      <c r="B1007" t="str">
        <f>"060303"</f>
        <v>060303</v>
      </c>
      <c r="C1007" t="str">
        <f>"10403"</f>
        <v>10403</v>
      </c>
      <c r="D1007" t="s">
        <v>337</v>
      </c>
      <c r="E1007" s="3">
        <v>110.19</v>
      </c>
      <c r="F1007">
        <v>20150917</v>
      </c>
      <c r="G1007" t="s">
        <v>338</v>
      </c>
      <c r="H1007" t="s">
        <v>340</v>
      </c>
      <c r="I1007">
        <v>0</v>
      </c>
      <c r="J1007" t="s">
        <v>289</v>
      </c>
      <c r="K1007" t="s">
        <v>290</v>
      </c>
      <c r="L1007" t="s">
        <v>285</v>
      </c>
      <c r="M1007" t="str">
        <f t="shared" si="60"/>
        <v>09</v>
      </c>
      <c r="N1007" t="s">
        <v>12</v>
      </c>
    </row>
    <row r="1008" spans="1:14" x14ac:dyDescent="0.25">
      <c r="A1008">
        <v>20150918</v>
      </c>
      <c r="B1008" t="str">
        <f>"060305"</f>
        <v>060305</v>
      </c>
      <c r="C1008" t="str">
        <f>"19079"</f>
        <v>19079</v>
      </c>
      <c r="D1008" t="s">
        <v>341</v>
      </c>
      <c r="E1008" s="3">
        <v>128</v>
      </c>
      <c r="F1008">
        <v>20150917</v>
      </c>
      <c r="G1008" t="s">
        <v>336</v>
      </c>
      <c r="H1008" t="s">
        <v>300</v>
      </c>
      <c r="I1008">
        <v>0</v>
      </c>
      <c r="J1008" t="s">
        <v>289</v>
      </c>
      <c r="K1008" t="s">
        <v>290</v>
      </c>
      <c r="L1008" t="s">
        <v>285</v>
      </c>
      <c r="M1008" t="str">
        <f t="shared" si="60"/>
        <v>09</v>
      </c>
      <c r="N1008" t="s">
        <v>12</v>
      </c>
    </row>
    <row r="1009" spans="1:14" x14ac:dyDescent="0.25">
      <c r="A1009">
        <v>20150918</v>
      </c>
      <c r="B1009" t="str">
        <f>"060306"</f>
        <v>060306</v>
      </c>
      <c r="C1009" t="str">
        <f>"19069"</f>
        <v>19069</v>
      </c>
      <c r="D1009" t="s">
        <v>342</v>
      </c>
      <c r="E1009" s="3">
        <v>96.52</v>
      </c>
      <c r="F1009">
        <v>20150917</v>
      </c>
      <c r="G1009" t="s">
        <v>338</v>
      </c>
      <c r="H1009" t="s">
        <v>339</v>
      </c>
      <c r="I1009">
        <v>0</v>
      </c>
      <c r="J1009" t="s">
        <v>289</v>
      </c>
      <c r="K1009" t="s">
        <v>290</v>
      </c>
      <c r="L1009" t="s">
        <v>285</v>
      </c>
      <c r="M1009" t="str">
        <f t="shared" ref="M1009:M1040" si="61">"09"</f>
        <v>09</v>
      </c>
      <c r="N1009" t="s">
        <v>12</v>
      </c>
    </row>
    <row r="1010" spans="1:14" x14ac:dyDescent="0.25">
      <c r="A1010">
        <v>20150918</v>
      </c>
      <c r="B1010" t="str">
        <f>"060308"</f>
        <v>060308</v>
      </c>
      <c r="C1010" t="str">
        <f>"20434"</f>
        <v>20434</v>
      </c>
      <c r="D1010" t="s">
        <v>343</v>
      </c>
      <c r="E1010" s="3">
        <v>94.28</v>
      </c>
      <c r="F1010">
        <v>20150917</v>
      </c>
      <c r="G1010" t="s">
        <v>338</v>
      </c>
      <c r="H1010" t="s">
        <v>339</v>
      </c>
      <c r="I1010">
        <v>0</v>
      </c>
      <c r="J1010" t="s">
        <v>289</v>
      </c>
      <c r="K1010" t="s">
        <v>290</v>
      </c>
      <c r="L1010" t="s">
        <v>285</v>
      </c>
      <c r="M1010" t="str">
        <f t="shared" si="61"/>
        <v>09</v>
      </c>
      <c r="N1010" t="s">
        <v>12</v>
      </c>
    </row>
    <row r="1011" spans="1:14" x14ac:dyDescent="0.25">
      <c r="A1011">
        <v>20150918</v>
      </c>
      <c r="B1011" t="str">
        <f>"060309"</f>
        <v>060309</v>
      </c>
      <c r="C1011" t="str">
        <f>"21060"</f>
        <v>21060</v>
      </c>
      <c r="D1011" t="s">
        <v>344</v>
      </c>
      <c r="E1011" s="3">
        <v>74.73</v>
      </c>
      <c r="F1011">
        <v>20150917</v>
      </c>
      <c r="G1011" t="s">
        <v>345</v>
      </c>
      <c r="H1011" t="s">
        <v>346</v>
      </c>
      <c r="I1011">
        <v>0</v>
      </c>
      <c r="J1011" t="s">
        <v>289</v>
      </c>
      <c r="K1011" t="s">
        <v>95</v>
      </c>
      <c r="L1011" t="s">
        <v>285</v>
      </c>
      <c r="M1011" t="str">
        <f t="shared" si="61"/>
        <v>09</v>
      </c>
      <c r="N1011" t="s">
        <v>12</v>
      </c>
    </row>
    <row r="1012" spans="1:14" x14ac:dyDescent="0.25">
      <c r="A1012">
        <v>20150918</v>
      </c>
      <c r="B1012" t="str">
        <f>"060312"</f>
        <v>060312</v>
      </c>
      <c r="C1012" t="str">
        <f>"23676"</f>
        <v>23676</v>
      </c>
      <c r="D1012" t="s">
        <v>347</v>
      </c>
      <c r="E1012" s="3">
        <v>128</v>
      </c>
      <c r="F1012">
        <v>20150917</v>
      </c>
      <c r="G1012" t="s">
        <v>336</v>
      </c>
      <c r="H1012" t="s">
        <v>300</v>
      </c>
      <c r="I1012">
        <v>0</v>
      </c>
      <c r="J1012" t="s">
        <v>289</v>
      </c>
      <c r="K1012" t="s">
        <v>290</v>
      </c>
      <c r="L1012" t="s">
        <v>285</v>
      </c>
      <c r="M1012" t="str">
        <f t="shared" si="61"/>
        <v>09</v>
      </c>
      <c r="N1012" t="s">
        <v>12</v>
      </c>
    </row>
    <row r="1013" spans="1:14" x14ac:dyDescent="0.25">
      <c r="A1013">
        <v>20150918</v>
      </c>
      <c r="B1013" t="str">
        <f>"060313"</f>
        <v>060313</v>
      </c>
      <c r="C1013" t="str">
        <f>"24125"</f>
        <v>24125</v>
      </c>
      <c r="D1013" t="s">
        <v>348</v>
      </c>
      <c r="E1013" s="3">
        <v>80.17</v>
      </c>
      <c r="F1013">
        <v>20150917</v>
      </c>
      <c r="G1013" t="s">
        <v>345</v>
      </c>
      <c r="H1013" t="s">
        <v>346</v>
      </c>
      <c r="I1013">
        <v>0</v>
      </c>
      <c r="J1013" t="s">
        <v>289</v>
      </c>
      <c r="K1013" t="s">
        <v>95</v>
      </c>
      <c r="L1013" t="s">
        <v>285</v>
      </c>
      <c r="M1013" t="str">
        <f t="shared" si="61"/>
        <v>09</v>
      </c>
      <c r="N1013" t="s">
        <v>12</v>
      </c>
    </row>
    <row r="1014" spans="1:14" x14ac:dyDescent="0.25">
      <c r="A1014">
        <v>20150918</v>
      </c>
      <c r="B1014" t="str">
        <f>"060317"</f>
        <v>060317</v>
      </c>
      <c r="C1014" t="str">
        <f>"28675"</f>
        <v>28675</v>
      </c>
      <c r="D1014" t="s">
        <v>349</v>
      </c>
      <c r="E1014" s="3">
        <v>103.17</v>
      </c>
      <c r="F1014">
        <v>20150917</v>
      </c>
      <c r="G1014" t="s">
        <v>336</v>
      </c>
      <c r="H1014" t="s">
        <v>300</v>
      </c>
      <c r="I1014">
        <v>0</v>
      </c>
      <c r="J1014" t="s">
        <v>289</v>
      </c>
      <c r="K1014" t="s">
        <v>290</v>
      </c>
      <c r="L1014" t="s">
        <v>285</v>
      </c>
      <c r="M1014" t="str">
        <f t="shared" si="61"/>
        <v>09</v>
      </c>
      <c r="N1014" t="s">
        <v>12</v>
      </c>
    </row>
    <row r="1015" spans="1:14" x14ac:dyDescent="0.25">
      <c r="A1015">
        <v>20150918</v>
      </c>
      <c r="B1015" t="str">
        <f>"060318"</f>
        <v>060318</v>
      </c>
      <c r="C1015" t="str">
        <f>"28736"</f>
        <v>28736</v>
      </c>
      <c r="D1015" t="s">
        <v>350</v>
      </c>
      <c r="E1015" s="3">
        <v>40</v>
      </c>
      <c r="F1015">
        <v>20150917</v>
      </c>
      <c r="G1015" t="s">
        <v>336</v>
      </c>
      <c r="H1015" t="s">
        <v>300</v>
      </c>
      <c r="I1015">
        <v>0</v>
      </c>
      <c r="J1015" t="s">
        <v>289</v>
      </c>
      <c r="K1015" t="s">
        <v>290</v>
      </c>
      <c r="L1015" t="s">
        <v>285</v>
      </c>
      <c r="M1015" t="str">
        <f t="shared" si="61"/>
        <v>09</v>
      </c>
      <c r="N1015" t="s">
        <v>12</v>
      </c>
    </row>
    <row r="1016" spans="1:14" x14ac:dyDescent="0.25">
      <c r="A1016">
        <v>20150918</v>
      </c>
      <c r="B1016" t="str">
        <f>"060319"</f>
        <v>060319</v>
      </c>
      <c r="C1016" t="str">
        <f>"30118"</f>
        <v>30118</v>
      </c>
      <c r="D1016" t="s">
        <v>351</v>
      </c>
      <c r="E1016" s="3">
        <v>128</v>
      </c>
      <c r="F1016">
        <v>20150917</v>
      </c>
      <c r="G1016" t="s">
        <v>336</v>
      </c>
      <c r="H1016" t="s">
        <v>300</v>
      </c>
      <c r="I1016">
        <v>0</v>
      </c>
      <c r="J1016" t="s">
        <v>289</v>
      </c>
      <c r="K1016" t="s">
        <v>290</v>
      </c>
      <c r="L1016" t="s">
        <v>285</v>
      </c>
      <c r="M1016" t="str">
        <f t="shared" si="61"/>
        <v>09</v>
      </c>
      <c r="N1016" t="s">
        <v>12</v>
      </c>
    </row>
    <row r="1017" spans="1:14" x14ac:dyDescent="0.25">
      <c r="A1017">
        <v>20150918</v>
      </c>
      <c r="B1017" t="str">
        <f>"060319"</f>
        <v>060319</v>
      </c>
      <c r="C1017" t="str">
        <f>"30118"</f>
        <v>30118</v>
      </c>
      <c r="D1017" t="s">
        <v>351</v>
      </c>
      <c r="E1017" s="3">
        <v>128</v>
      </c>
      <c r="F1017">
        <v>20150917</v>
      </c>
      <c r="G1017" t="s">
        <v>338</v>
      </c>
      <c r="H1017" t="s">
        <v>339</v>
      </c>
      <c r="I1017">
        <v>0</v>
      </c>
      <c r="J1017" t="s">
        <v>289</v>
      </c>
      <c r="K1017" t="s">
        <v>290</v>
      </c>
      <c r="L1017" t="s">
        <v>285</v>
      </c>
      <c r="M1017" t="str">
        <f t="shared" si="61"/>
        <v>09</v>
      </c>
      <c r="N1017" t="s">
        <v>12</v>
      </c>
    </row>
    <row r="1018" spans="1:14" x14ac:dyDescent="0.25">
      <c r="A1018">
        <v>20150918</v>
      </c>
      <c r="B1018" t="str">
        <f>"060320"</f>
        <v>060320</v>
      </c>
      <c r="C1018" t="str">
        <f>"30837"</f>
        <v>30837</v>
      </c>
      <c r="D1018" t="s">
        <v>352</v>
      </c>
      <c r="E1018" s="3">
        <v>196</v>
      </c>
      <c r="F1018">
        <v>20150917</v>
      </c>
      <c r="G1018" t="s">
        <v>353</v>
      </c>
      <c r="H1018" t="s">
        <v>354</v>
      </c>
      <c r="I1018">
        <v>0</v>
      </c>
      <c r="J1018" t="s">
        <v>289</v>
      </c>
      <c r="K1018" t="s">
        <v>290</v>
      </c>
      <c r="L1018" t="s">
        <v>285</v>
      </c>
      <c r="M1018" t="str">
        <f t="shared" si="61"/>
        <v>09</v>
      </c>
      <c r="N1018" t="s">
        <v>12</v>
      </c>
    </row>
    <row r="1019" spans="1:14" x14ac:dyDescent="0.25">
      <c r="A1019">
        <v>20150918</v>
      </c>
      <c r="B1019" t="str">
        <f>"060321"</f>
        <v>060321</v>
      </c>
      <c r="C1019" t="str">
        <f>"31398"</f>
        <v>31398</v>
      </c>
      <c r="D1019" t="s">
        <v>355</v>
      </c>
      <c r="E1019" s="3">
        <v>40</v>
      </c>
      <c r="F1019">
        <v>20150917</v>
      </c>
      <c r="G1019" t="s">
        <v>336</v>
      </c>
      <c r="H1019" t="s">
        <v>300</v>
      </c>
      <c r="I1019">
        <v>0</v>
      </c>
      <c r="J1019" t="s">
        <v>289</v>
      </c>
      <c r="K1019" t="s">
        <v>290</v>
      </c>
      <c r="L1019" t="s">
        <v>285</v>
      </c>
      <c r="M1019" t="str">
        <f t="shared" si="61"/>
        <v>09</v>
      </c>
      <c r="N1019" t="s">
        <v>12</v>
      </c>
    </row>
    <row r="1020" spans="1:14" x14ac:dyDescent="0.25">
      <c r="A1020">
        <v>20150918</v>
      </c>
      <c r="B1020" t="str">
        <f>"060322"</f>
        <v>060322</v>
      </c>
      <c r="C1020" t="str">
        <f>"33755"</f>
        <v>33755</v>
      </c>
      <c r="D1020" t="s">
        <v>356</v>
      </c>
      <c r="E1020" s="3">
        <v>60</v>
      </c>
      <c r="F1020">
        <v>20150917</v>
      </c>
      <c r="G1020" t="s">
        <v>336</v>
      </c>
      <c r="H1020" t="s">
        <v>300</v>
      </c>
      <c r="I1020">
        <v>0</v>
      </c>
      <c r="J1020" t="s">
        <v>289</v>
      </c>
      <c r="K1020" t="s">
        <v>290</v>
      </c>
      <c r="L1020" t="s">
        <v>285</v>
      </c>
      <c r="M1020" t="str">
        <f t="shared" si="61"/>
        <v>09</v>
      </c>
      <c r="N1020" t="s">
        <v>12</v>
      </c>
    </row>
    <row r="1021" spans="1:14" x14ac:dyDescent="0.25">
      <c r="A1021">
        <v>20150918</v>
      </c>
      <c r="B1021" t="str">
        <f>"060324"</f>
        <v>060324</v>
      </c>
      <c r="C1021" t="str">
        <f>"35025"</f>
        <v>35025</v>
      </c>
      <c r="D1021" t="s">
        <v>357</v>
      </c>
      <c r="E1021" s="3">
        <v>66.3</v>
      </c>
      <c r="F1021">
        <v>20150917</v>
      </c>
      <c r="G1021" t="s">
        <v>345</v>
      </c>
      <c r="H1021" t="s">
        <v>346</v>
      </c>
      <c r="I1021">
        <v>0</v>
      </c>
      <c r="J1021" t="s">
        <v>289</v>
      </c>
      <c r="K1021" t="s">
        <v>95</v>
      </c>
      <c r="L1021" t="s">
        <v>285</v>
      </c>
      <c r="M1021" t="str">
        <f t="shared" si="61"/>
        <v>09</v>
      </c>
      <c r="N1021" t="s">
        <v>12</v>
      </c>
    </row>
    <row r="1022" spans="1:14" x14ac:dyDescent="0.25">
      <c r="A1022">
        <v>20150918</v>
      </c>
      <c r="B1022" t="str">
        <f>"060327"</f>
        <v>060327</v>
      </c>
      <c r="C1022" t="str">
        <f>"46190"</f>
        <v>46190</v>
      </c>
      <c r="D1022" t="s">
        <v>358</v>
      </c>
      <c r="E1022" s="3">
        <v>72.37</v>
      </c>
      <c r="F1022">
        <v>20150917</v>
      </c>
      <c r="G1022" t="s">
        <v>338</v>
      </c>
      <c r="H1022" t="s">
        <v>339</v>
      </c>
      <c r="I1022">
        <v>0</v>
      </c>
      <c r="J1022" t="s">
        <v>289</v>
      </c>
      <c r="K1022" t="s">
        <v>290</v>
      </c>
      <c r="L1022" t="s">
        <v>285</v>
      </c>
      <c r="M1022" t="str">
        <f t="shared" si="61"/>
        <v>09</v>
      </c>
      <c r="N1022" t="s">
        <v>12</v>
      </c>
    </row>
    <row r="1023" spans="1:14" x14ac:dyDescent="0.25">
      <c r="A1023">
        <v>20150918</v>
      </c>
      <c r="B1023" t="str">
        <f>"060330"</f>
        <v>060330</v>
      </c>
      <c r="C1023" t="str">
        <f>"49873"</f>
        <v>49873</v>
      </c>
      <c r="D1023" t="s">
        <v>359</v>
      </c>
      <c r="E1023" s="3">
        <v>95</v>
      </c>
      <c r="F1023">
        <v>20150917</v>
      </c>
      <c r="G1023" t="s">
        <v>336</v>
      </c>
      <c r="H1023" t="s">
        <v>300</v>
      </c>
      <c r="I1023">
        <v>0</v>
      </c>
      <c r="J1023" t="s">
        <v>289</v>
      </c>
      <c r="K1023" t="s">
        <v>290</v>
      </c>
      <c r="L1023" t="s">
        <v>285</v>
      </c>
      <c r="M1023" t="str">
        <f t="shared" si="61"/>
        <v>09</v>
      </c>
      <c r="N1023" t="s">
        <v>12</v>
      </c>
    </row>
    <row r="1024" spans="1:14" x14ac:dyDescent="0.25">
      <c r="A1024">
        <v>20150918</v>
      </c>
      <c r="B1024" t="str">
        <f>"060331"</f>
        <v>060331</v>
      </c>
      <c r="C1024" t="str">
        <f>"49919"</f>
        <v>49919</v>
      </c>
      <c r="D1024" t="s">
        <v>360</v>
      </c>
      <c r="E1024" s="3">
        <v>60</v>
      </c>
      <c r="F1024">
        <v>20150917</v>
      </c>
      <c r="G1024" t="s">
        <v>336</v>
      </c>
      <c r="H1024" t="s">
        <v>300</v>
      </c>
      <c r="I1024">
        <v>0</v>
      </c>
      <c r="J1024" t="s">
        <v>289</v>
      </c>
      <c r="K1024" t="s">
        <v>290</v>
      </c>
      <c r="L1024" t="s">
        <v>285</v>
      </c>
      <c r="M1024" t="str">
        <f t="shared" si="61"/>
        <v>09</v>
      </c>
      <c r="N1024" t="s">
        <v>12</v>
      </c>
    </row>
    <row r="1025" spans="1:14" x14ac:dyDescent="0.25">
      <c r="A1025">
        <v>20150918</v>
      </c>
      <c r="B1025" t="str">
        <f>"060332"</f>
        <v>060332</v>
      </c>
      <c r="C1025" t="str">
        <f>"49959"</f>
        <v>49959</v>
      </c>
      <c r="D1025" t="s">
        <v>361</v>
      </c>
      <c r="E1025" s="3">
        <v>128</v>
      </c>
      <c r="F1025">
        <v>20150917</v>
      </c>
      <c r="G1025" t="s">
        <v>336</v>
      </c>
      <c r="H1025" t="s">
        <v>300</v>
      </c>
      <c r="I1025">
        <v>0</v>
      </c>
      <c r="J1025" t="s">
        <v>289</v>
      </c>
      <c r="K1025" t="s">
        <v>290</v>
      </c>
      <c r="L1025" t="s">
        <v>285</v>
      </c>
      <c r="M1025" t="str">
        <f t="shared" si="61"/>
        <v>09</v>
      </c>
      <c r="N1025" t="s">
        <v>12</v>
      </c>
    </row>
    <row r="1026" spans="1:14" x14ac:dyDescent="0.25">
      <c r="A1026">
        <v>20150918</v>
      </c>
      <c r="B1026" t="str">
        <f>"060333"</f>
        <v>060333</v>
      </c>
      <c r="C1026" t="str">
        <f>"50108"</f>
        <v>50108</v>
      </c>
      <c r="D1026" t="s">
        <v>362</v>
      </c>
      <c r="E1026" s="3">
        <v>120.52</v>
      </c>
      <c r="F1026">
        <v>20150917</v>
      </c>
      <c r="G1026" t="s">
        <v>336</v>
      </c>
      <c r="H1026" t="s">
        <v>300</v>
      </c>
      <c r="I1026">
        <v>0</v>
      </c>
      <c r="J1026" t="s">
        <v>289</v>
      </c>
      <c r="K1026" t="s">
        <v>290</v>
      </c>
      <c r="L1026" t="s">
        <v>285</v>
      </c>
      <c r="M1026" t="str">
        <f t="shared" si="61"/>
        <v>09</v>
      </c>
      <c r="N1026" t="s">
        <v>12</v>
      </c>
    </row>
    <row r="1027" spans="1:14" x14ac:dyDescent="0.25">
      <c r="A1027">
        <v>20150918</v>
      </c>
      <c r="B1027" t="str">
        <f>"060336"</f>
        <v>060336</v>
      </c>
      <c r="C1027" t="str">
        <f>"56364"</f>
        <v>56364</v>
      </c>
      <c r="D1027" t="s">
        <v>363</v>
      </c>
      <c r="E1027" s="3">
        <v>111.96</v>
      </c>
      <c r="F1027">
        <v>20150917</v>
      </c>
      <c r="G1027" t="s">
        <v>336</v>
      </c>
      <c r="H1027" t="s">
        <v>300</v>
      </c>
      <c r="I1027">
        <v>0</v>
      </c>
      <c r="J1027" t="s">
        <v>289</v>
      </c>
      <c r="K1027" t="s">
        <v>290</v>
      </c>
      <c r="L1027" t="s">
        <v>285</v>
      </c>
      <c r="M1027" t="str">
        <f t="shared" si="61"/>
        <v>09</v>
      </c>
      <c r="N1027" t="s">
        <v>12</v>
      </c>
    </row>
    <row r="1028" spans="1:14" x14ac:dyDescent="0.25">
      <c r="A1028">
        <v>20150918</v>
      </c>
      <c r="B1028" t="str">
        <f>"060337"</f>
        <v>060337</v>
      </c>
      <c r="C1028" t="str">
        <f>"56560"</f>
        <v>56560</v>
      </c>
      <c r="D1028" t="s">
        <v>364</v>
      </c>
      <c r="E1028" s="3">
        <v>290</v>
      </c>
      <c r="F1028">
        <v>20150917</v>
      </c>
      <c r="G1028" t="s">
        <v>365</v>
      </c>
      <c r="H1028" t="s">
        <v>333</v>
      </c>
      <c r="I1028">
        <v>0</v>
      </c>
      <c r="J1028" t="s">
        <v>289</v>
      </c>
      <c r="K1028" t="s">
        <v>290</v>
      </c>
      <c r="L1028" t="s">
        <v>285</v>
      </c>
      <c r="M1028" t="str">
        <f t="shared" si="61"/>
        <v>09</v>
      </c>
      <c r="N1028" t="s">
        <v>12</v>
      </c>
    </row>
    <row r="1029" spans="1:14" x14ac:dyDescent="0.25">
      <c r="A1029">
        <v>20150918</v>
      </c>
      <c r="B1029" t="str">
        <f>"060338"</f>
        <v>060338</v>
      </c>
      <c r="C1029" t="str">
        <f>"51420"</f>
        <v>51420</v>
      </c>
      <c r="D1029" t="s">
        <v>366</v>
      </c>
      <c r="E1029" s="3">
        <v>2292.86</v>
      </c>
      <c r="F1029">
        <v>20150917</v>
      </c>
      <c r="G1029" t="s">
        <v>367</v>
      </c>
      <c r="H1029" t="s">
        <v>368</v>
      </c>
      <c r="I1029">
        <v>0</v>
      </c>
      <c r="J1029" t="s">
        <v>289</v>
      </c>
      <c r="K1029" t="s">
        <v>290</v>
      </c>
      <c r="L1029" t="s">
        <v>285</v>
      </c>
      <c r="M1029" t="str">
        <f t="shared" si="61"/>
        <v>09</v>
      </c>
      <c r="N1029" t="s">
        <v>12</v>
      </c>
    </row>
    <row r="1030" spans="1:14" x14ac:dyDescent="0.25">
      <c r="A1030">
        <v>20150918</v>
      </c>
      <c r="B1030" t="str">
        <f>"060338"</f>
        <v>060338</v>
      </c>
      <c r="C1030" t="str">
        <f>"51420"</f>
        <v>51420</v>
      </c>
      <c r="D1030" t="s">
        <v>366</v>
      </c>
      <c r="E1030" s="3">
        <v>379.71</v>
      </c>
      <c r="F1030">
        <v>20150917</v>
      </c>
      <c r="G1030" t="s">
        <v>367</v>
      </c>
      <c r="H1030" t="s">
        <v>369</v>
      </c>
      <c r="I1030">
        <v>0</v>
      </c>
      <c r="J1030" t="s">
        <v>289</v>
      </c>
      <c r="K1030" t="s">
        <v>290</v>
      </c>
      <c r="L1030" t="s">
        <v>285</v>
      </c>
      <c r="M1030" t="str">
        <f t="shared" si="61"/>
        <v>09</v>
      </c>
      <c r="N1030" t="s">
        <v>12</v>
      </c>
    </row>
    <row r="1031" spans="1:14" x14ac:dyDescent="0.25">
      <c r="A1031">
        <v>20150918</v>
      </c>
      <c r="B1031" t="str">
        <f>"060349"</f>
        <v>060349</v>
      </c>
      <c r="C1031" t="str">
        <f>"69107"</f>
        <v>69107</v>
      </c>
      <c r="D1031" t="s">
        <v>370</v>
      </c>
      <c r="E1031" s="3">
        <v>74.84</v>
      </c>
      <c r="F1031">
        <v>20150917</v>
      </c>
      <c r="G1031" t="s">
        <v>345</v>
      </c>
      <c r="H1031" t="s">
        <v>346</v>
      </c>
      <c r="I1031">
        <v>0</v>
      </c>
      <c r="J1031" t="s">
        <v>289</v>
      </c>
      <c r="K1031" t="s">
        <v>95</v>
      </c>
      <c r="L1031" t="s">
        <v>285</v>
      </c>
      <c r="M1031" t="str">
        <f t="shared" si="61"/>
        <v>09</v>
      </c>
      <c r="N1031" t="s">
        <v>12</v>
      </c>
    </row>
    <row r="1032" spans="1:14" x14ac:dyDescent="0.25">
      <c r="A1032">
        <v>20150918</v>
      </c>
      <c r="B1032" t="str">
        <f>"060350"</f>
        <v>060350</v>
      </c>
      <c r="C1032" t="str">
        <f>"72757"</f>
        <v>72757</v>
      </c>
      <c r="D1032" t="s">
        <v>371</v>
      </c>
      <c r="E1032" s="3">
        <v>40</v>
      </c>
      <c r="F1032">
        <v>20150917</v>
      </c>
      <c r="G1032" t="s">
        <v>336</v>
      </c>
      <c r="H1032" t="s">
        <v>300</v>
      </c>
      <c r="I1032">
        <v>0</v>
      </c>
      <c r="J1032" t="s">
        <v>289</v>
      </c>
      <c r="K1032" t="s">
        <v>290</v>
      </c>
      <c r="L1032" t="s">
        <v>285</v>
      </c>
      <c r="M1032" t="str">
        <f t="shared" si="61"/>
        <v>09</v>
      </c>
      <c r="N1032" t="s">
        <v>12</v>
      </c>
    </row>
    <row r="1033" spans="1:14" x14ac:dyDescent="0.25">
      <c r="A1033">
        <v>20150918</v>
      </c>
      <c r="B1033" t="str">
        <f>"060351"</f>
        <v>060351</v>
      </c>
      <c r="C1033" t="str">
        <f>"74243"</f>
        <v>74243</v>
      </c>
      <c r="D1033" t="s">
        <v>372</v>
      </c>
      <c r="E1033" s="3">
        <v>64</v>
      </c>
      <c r="F1033">
        <v>20150917</v>
      </c>
      <c r="G1033" t="s">
        <v>336</v>
      </c>
      <c r="H1033" t="s">
        <v>300</v>
      </c>
      <c r="I1033">
        <v>0</v>
      </c>
      <c r="J1033" t="s">
        <v>289</v>
      </c>
      <c r="K1033" t="s">
        <v>290</v>
      </c>
      <c r="L1033" t="s">
        <v>285</v>
      </c>
      <c r="M1033" t="str">
        <f t="shared" si="61"/>
        <v>09</v>
      </c>
      <c r="N1033" t="s">
        <v>12</v>
      </c>
    </row>
    <row r="1034" spans="1:14" x14ac:dyDescent="0.25">
      <c r="A1034">
        <v>20150918</v>
      </c>
      <c r="B1034" t="str">
        <f>"060351"</f>
        <v>060351</v>
      </c>
      <c r="C1034" t="str">
        <f>"74243"</f>
        <v>74243</v>
      </c>
      <c r="D1034" t="s">
        <v>372</v>
      </c>
      <c r="E1034" s="3">
        <v>128</v>
      </c>
      <c r="F1034">
        <v>20150917</v>
      </c>
      <c r="G1034" t="s">
        <v>338</v>
      </c>
      <c r="H1034" t="s">
        <v>340</v>
      </c>
      <c r="I1034">
        <v>0</v>
      </c>
      <c r="J1034" t="s">
        <v>289</v>
      </c>
      <c r="K1034" t="s">
        <v>290</v>
      </c>
      <c r="L1034" t="s">
        <v>285</v>
      </c>
      <c r="M1034" t="str">
        <f t="shared" si="61"/>
        <v>09</v>
      </c>
      <c r="N1034" t="s">
        <v>12</v>
      </c>
    </row>
    <row r="1035" spans="1:14" x14ac:dyDescent="0.25">
      <c r="A1035">
        <v>20150918</v>
      </c>
      <c r="B1035" t="str">
        <f>"060354"</f>
        <v>060354</v>
      </c>
      <c r="C1035" t="str">
        <f>"76508"</f>
        <v>76508</v>
      </c>
      <c r="D1035" t="s">
        <v>373</v>
      </c>
      <c r="E1035" s="3">
        <v>350</v>
      </c>
      <c r="F1035">
        <v>20150917</v>
      </c>
      <c r="G1035" t="s">
        <v>287</v>
      </c>
      <c r="H1035" t="s">
        <v>374</v>
      </c>
      <c r="I1035">
        <v>0</v>
      </c>
      <c r="J1035" t="s">
        <v>289</v>
      </c>
      <c r="K1035" t="s">
        <v>290</v>
      </c>
      <c r="L1035" t="s">
        <v>285</v>
      </c>
      <c r="M1035" t="str">
        <f t="shared" si="61"/>
        <v>09</v>
      </c>
      <c r="N1035" t="s">
        <v>12</v>
      </c>
    </row>
    <row r="1036" spans="1:14" x14ac:dyDescent="0.25">
      <c r="A1036">
        <v>20150918</v>
      </c>
      <c r="B1036" t="str">
        <f>"060354"</f>
        <v>060354</v>
      </c>
      <c r="C1036" t="str">
        <f>"76508"</f>
        <v>76508</v>
      </c>
      <c r="D1036" t="s">
        <v>373</v>
      </c>
      <c r="E1036" s="3">
        <v>150</v>
      </c>
      <c r="F1036">
        <v>20150917</v>
      </c>
      <c r="G1036" t="s">
        <v>293</v>
      </c>
      <c r="H1036" t="s">
        <v>374</v>
      </c>
      <c r="I1036">
        <v>0</v>
      </c>
      <c r="J1036" t="s">
        <v>289</v>
      </c>
      <c r="K1036" t="s">
        <v>95</v>
      </c>
      <c r="L1036" t="s">
        <v>285</v>
      </c>
      <c r="M1036" t="str">
        <f t="shared" si="61"/>
        <v>09</v>
      </c>
      <c r="N1036" t="s">
        <v>12</v>
      </c>
    </row>
    <row r="1037" spans="1:14" x14ac:dyDescent="0.25">
      <c r="A1037">
        <v>20150925</v>
      </c>
      <c r="B1037" t="str">
        <f>"060434"</f>
        <v>060434</v>
      </c>
      <c r="C1037" t="str">
        <f>"03450"</f>
        <v>03450</v>
      </c>
      <c r="D1037" t="s">
        <v>375</v>
      </c>
      <c r="E1037" s="3">
        <v>1451.85</v>
      </c>
      <c r="F1037">
        <v>20150923</v>
      </c>
      <c r="G1037" t="s">
        <v>367</v>
      </c>
      <c r="H1037" t="s">
        <v>368</v>
      </c>
      <c r="I1037">
        <v>0</v>
      </c>
      <c r="J1037" t="s">
        <v>289</v>
      </c>
      <c r="K1037" t="s">
        <v>290</v>
      </c>
      <c r="L1037" t="s">
        <v>285</v>
      </c>
      <c r="M1037" t="str">
        <f t="shared" si="61"/>
        <v>09</v>
      </c>
      <c r="N1037" t="s">
        <v>12</v>
      </c>
    </row>
    <row r="1038" spans="1:14" x14ac:dyDescent="0.25">
      <c r="A1038">
        <v>20150925</v>
      </c>
      <c r="B1038" t="str">
        <f>"060434"</f>
        <v>060434</v>
      </c>
      <c r="C1038" t="str">
        <f>"03450"</f>
        <v>03450</v>
      </c>
      <c r="D1038" t="s">
        <v>375</v>
      </c>
      <c r="E1038" s="3">
        <v>74</v>
      </c>
      <c r="F1038">
        <v>20150923</v>
      </c>
      <c r="G1038" t="s">
        <v>367</v>
      </c>
      <c r="H1038" t="s">
        <v>376</v>
      </c>
      <c r="I1038">
        <v>0</v>
      </c>
      <c r="J1038" t="s">
        <v>289</v>
      </c>
      <c r="K1038" t="s">
        <v>290</v>
      </c>
      <c r="L1038" t="s">
        <v>285</v>
      </c>
      <c r="M1038" t="str">
        <f t="shared" si="61"/>
        <v>09</v>
      </c>
      <c r="N1038" t="s">
        <v>12</v>
      </c>
    </row>
    <row r="1039" spans="1:14" x14ac:dyDescent="0.25">
      <c r="A1039">
        <v>20150925</v>
      </c>
      <c r="B1039" t="str">
        <f>"060440"</f>
        <v>060440</v>
      </c>
      <c r="C1039" t="str">
        <f>"11385"</f>
        <v>11385</v>
      </c>
      <c r="D1039" t="s">
        <v>296</v>
      </c>
      <c r="E1039" s="3">
        <v>5000</v>
      </c>
      <c r="F1039">
        <v>20150923</v>
      </c>
      <c r="G1039" t="s">
        <v>299</v>
      </c>
      <c r="H1039" t="s">
        <v>377</v>
      </c>
      <c r="I1039">
        <v>0</v>
      </c>
      <c r="J1039" t="s">
        <v>289</v>
      </c>
      <c r="K1039" t="s">
        <v>235</v>
      </c>
      <c r="L1039" t="s">
        <v>285</v>
      </c>
      <c r="M1039" t="str">
        <f t="shared" si="61"/>
        <v>09</v>
      </c>
      <c r="N1039" t="s">
        <v>12</v>
      </c>
    </row>
    <row r="1040" spans="1:14" x14ac:dyDescent="0.25">
      <c r="A1040">
        <v>20150925</v>
      </c>
      <c r="B1040" t="str">
        <f>"060443"</f>
        <v>060443</v>
      </c>
      <c r="C1040" t="str">
        <f>"19069"</f>
        <v>19069</v>
      </c>
      <c r="D1040" t="s">
        <v>342</v>
      </c>
      <c r="E1040" s="3">
        <v>63.43</v>
      </c>
      <c r="F1040">
        <v>20150923</v>
      </c>
      <c r="G1040" t="s">
        <v>345</v>
      </c>
      <c r="H1040" t="s">
        <v>378</v>
      </c>
      <c r="I1040">
        <v>0</v>
      </c>
      <c r="J1040" t="s">
        <v>289</v>
      </c>
      <c r="K1040" t="s">
        <v>95</v>
      </c>
      <c r="L1040" t="s">
        <v>285</v>
      </c>
      <c r="M1040" t="str">
        <f t="shared" si="61"/>
        <v>09</v>
      </c>
      <c r="N1040" t="s">
        <v>12</v>
      </c>
    </row>
    <row r="1041" spans="1:14" x14ac:dyDescent="0.25">
      <c r="A1041">
        <v>20150925</v>
      </c>
      <c r="B1041" t="str">
        <f>"060444"</f>
        <v>060444</v>
      </c>
      <c r="C1041" t="str">
        <f>"51346"</f>
        <v>51346</v>
      </c>
      <c r="D1041" t="s">
        <v>379</v>
      </c>
      <c r="E1041" s="3">
        <v>180</v>
      </c>
      <c r="F1041">
        <v>20150923</v>
      </c>
      <c r="G1041" t="s">
        <v>380</v>
      </c>
      <c r="H1041" t="s">
        <v>292</v>
      </c>
      <c r="I1041">
        <v>0</v>
      </c>
      <c r="J1041" t="s">
        <v>289</v>
      </c>
      <c r="K1041" t="s">
        <v>290</v>
      </c>
      <c r="L1041" t="s">
        <v>285</v>
      </c>
      <c r="M1041" t="str">
        <f t="shared" ref="M1041:M1054" si="62">"09"</f>
        <v>09</v>
      </c>
      <c r="N1041" t="s">
        <v>12</v>
      </c>
    </row>
    <row r="1042" spans="1:14" x14ac:dyDescent="0.25">
      <c r="A1042">
        <v>20150925</v>
      </c>
      <c r="B1042" t="str">
        <f>"060444"</f>
        <v>060444</v>
      </c>
      <c r="C1042" t="str">
        <f>"51346"</f>
        <v>51346</v>
      </c>
      <c r="D1042" t="s">
        <v>379</v>
      </c>
      <c r="E1042" s="3">
        <v>154.4</v>
      </c>
      <c r="F1042">
        <v>20150923</v>
      </c>
      <c r="G1042" t="s">
        <v>381</v>
      </c>
      <c r="H1042" t="s">
        <v>382</v>
      </c>
      <c r="I1042">
        <v>0</v>
      </c>
      <c r="J1042" t="s">
        <v>289</v>
      </c>
      <c r="K1042" t="s">
        <v>95</v>
      </c>
      <c r="L1042" t="s">
        <v>285</v>
      </c>
      <c r="M1042" t="str">
        <f t="shared" si="62"/>
        <v>09</v>
      </c>
      <c r="N1042" t="s">
        <v>12</v>
      </c>
    </row>
    <row r="1043" spans="1:14" x14ac:dyDescent="0.25">
      <c r="A1043">
        <v>20150925</v>
      </c>
      <c r="B1043" t="str">
        <f>"060451"</f>
        <v>060451</v>
      </c>
      <c r="C1043" t="str">
        <f>"26337"</f>
        <v>26337</v>
      </c>
      <c r="D1043" t="s">
        <v>383</v>
      </c>
      <c r="E1043" s="3">
        <v>128</v>
      </c>
      <c r="F1043">
        <v>20150923</v>
      </c>
      <c r="G1043" t="s">
        <v>336</v>
      </c>
      <c r="H1043" t="s">
        <v>300</v>
      </c>
      <c r="I1043">
        <v>0</v>
      </c>
      <c r="J1043" t="s">
        <v>289</v>
      </c>
      <c r="K1043" t="s">
        <v>290</v>
      </c>
      <c r="L1043" t="s">
        <v>285</v>
      </c>
      <c r="M1043" t="str">
        <f t="shared" si="62"/>
        <v>09</v>
      </c>
      <c r="N1043" t="s">
        <v>12</v>
      </c>
    </row>
    <row r="1044" spans="1:14" x14ac:dyDescent="0.25">
      <c r="A1044">
        <v>20150925</v>
      </c>
      <c r="B1044" t="str">
        <f>"060455"</f>
        <v>060455</v>
      </c>
      <c r="C1044" t="str">
        <f>"30148"</f>
        <v>30148</v>
      </c>
      <c r="D1044" t="s">
        <v>384</v>
      </c>
      <c r="E1044" s="3">
        <v>220</v>
      </c>
      <c r="F1044">
        <v>20150923</v>
      </c>
      <c r="G1044" t="s">
        <v>385</v>
      </c>
      <c r="H1044" t="s">
        <v>386</v>
      </c>
      <c r="I1044">
        <v>0</v>
      </c>
      <c r="J1044" t="s">
        <v>289</v>
      </c>
      <c r="K1044" t="s">
        <v>290</v>
      </c>
      <c r="L1044" t="s">
        <v>285</v>
      </c>
      <c r="M1044" t="str">
        <f t="shared" si="62"/>
        <v>09</v>
      </c>
      <c r="N1044" t="s">
        <v>12</v>
      </c>
    </row>
    <row r="1045" spans="1:14" x14ac:dyDescent="0.25">
      <c r="A1045">
        <v>20150925</v>
      </c>
      <c r="B1045" t="str">
        <f>"060458"</f>
        <v>060458</v>
      </c>
      <c r="C1045" t="str">
        <f>"35025"</f>
        <v>35025</v>
      </c>
      <c r="D1045" t="s">
        <v>357</v>
      </c>
      <c r="E1045" s="3">
        <v>63.02</v>
      </c>
      <c r="F1045">
        <v>20150923</v>
      </c>
      <c r="G1045" t="s">
        <v>345</v>
      </c>
      <c r="H1045" t="s">
        <v>378</v>
      </c>
      <c r="I1045">
        <v>0</v>
      </c>
      <c r="J1045" t="s">
        <v>289</v>
      </c>
      <c r="K1045" t="s">
        <v>95</v>
      </c>
      <c r="L1045" t="s">
        <v>285</v>
      </c>
      <c r="M1045" t="str">
        <f t="shared" si="62"/>
        <v>09</v>
      </c>
      <c r="N1045" t="s">
        <v>12</v>
      </c>
    </row>
    <row r="1046" spans="1:14" x14ac:dyDescent="0.25">
      <c r="A1046">
        <v>20150925</v>
      </c>
      <c r="B1046" t="str">
        <f>"060473"</f>
        <v>060473</v>
      </c>
      <c r="C1046" t="str">
        <f>"73600"</f>
        <v>73600</v>
      </c>
      <c r="D1046" t="s">
        <v>387</v>
      </c>
      <c r="E1046" s="3">
        <v>375</v>
      </c>
      <c r="F1046">
        <v>20150923</v>
      </c>
      <c r="G1046" t="s">
        <v>385</v>
      </c>
      <c r="H1046" t="s">
        <v>388</v>
      </c>
      <c r="I1046">
        <v>0</v>
      </c>
      <c r="J1046" t="s">
        <v>289</v>
      </c>
      <c r="K1046" t="s">
        <v>290</v>
      </c>
      <c r="L1046" t="s">
        <v>285</v>
      </c>
      <c r="M1046" t="str">
        <f t="shared" si="62"/>
        <v>09</v>
      </c>
      <c r="N1046" t="s">
        <v>12</v>
      </c>
    </row>
    <row r="1047" spans="1:14" x14ac:dyDescent="0.25">
      <c r="A1047">
        <v>20150925</v>
      </c>
      <c r="B1047" t="str">
        <f>"060474"</f>
        <v>060474</v>
      </c>
      <c r="C1047" t="str">
        <f>"57318"</f>
        <v>57318</v>
      </c>
      <c r="D1047" t="s">
        <v>389</v>
      </c>
      <c r="E1047" s="3">
        <v>73.84</v>
      </c>
      <c r="F1047">
        <v>20150923</v>
      </c>
      <c r="G1047" t="s">
        <v>345</v>
      </c>
      <c r="H1047" t="s">
        <v>378</v>
      </c>
      <c r="I1047">
        <v>0</v>
      </c>
      <c r="J1047" t="s">
        <v>289</v>
      </c>
      <c r="K1047" t="s">
        <v>95</v>
      </c>
      <c r="L1047" t="s">
        <v>285</v>
      </c>
      <c r="M1047" t="str">
        <f t="shared" si="62"/>
        <v>09</v>
      </c>
      <c r="N1047" t="s">
        <v>12</v>
      </c>
    </row>
    <row r="1048" spans="1:14" x14ac:dyDescent="0.25">
      <c r="A1048">
        <v>20150925</v>
      </c>
      <c r="B1048" t="str">
        <f>"060475"</f>
        <v>060475</v>
      </c>
      <c r="C1048" t="str">
        <f>"57988"</f>
        <v>57988</v>
      </c>
      <c r="D1048" t="s">
        <v>390</v>
      </c>
      <c r="E1048" s="3">
        <v>60</v>
      </c>
      <c r="F1048">
        <v>20150923</v>
      </c>
      <c r="G1048" t="s">
        <v>345</v>
      </c>
      <c r="H1048" t="s">
        <v>378</v>
      </c>
      <c r="I1048">
        <v>0</v>
      </c>
      <c r="J1048" t="s">
        <v>289</v>
      </c>
      <c r="K1048" t="s">
        <v>95</v>
      </c>
      <c r="L1048" t="s">
        <v>285</v>
      </c>
      <c r="M1048" t="str">
        <f t="shared" si="62"/>
        <v>09</v>
      </c>
      <c r="N1048" t="s">
        <v>12</v>
      </c>
    </row>
    <row r="1049" spans="1:14" x14ac:dyDescent="0.25">
      <c r="A1049">
        <v>20150925</v>
      </c>
      <c r="B1049" t="str">
        <f>"060477"</f>
        <v>060477</v>
      </c>
      <c r="C1049" t="str">
        <f>"58321"</f>
        <v>58321</v>
      </c>
      <c r="D1049" t="s">
        <v>391</v>
      </c>
      <c r="E1049" s="3">
        <v>96</v>
      </c>
      <c r="F1049">
        <v>20150923</v>
      </c>
      <c r="G1049" t="s">
        <v>345</v>
      </c>
      <c r="H1049" t="s">
        <v>340</v>
      </c>
      <c r="I1049">
        <v>0</v>
      </c>
      <c r="J1049" t="s">
        <v>289</v>
      </c>
      <c r="K1049" t="s">
        <v>95</v>
      </c>
      <c r="L1049" t="s">
        <v>285</v>
      </c>
      <c r="M1049" t="str">
        <f t="shared" si="62"/>
        <v>09</v>
      </c>
      <c r="N1049" t="s">
        <v>12</v>
      </c>
    </row>
    <row r="1050" spans="1:14" x14ac:dyDescent="0.25">
      <c r="A1050">
        <v>20150925</v>
      </c>
      <c r="B1050" t="str">
        <f>"060492"</f>
        <v>060492</v>
      </c>
      <c r="C1050" t="str">
        <f>"76476"</f>
        <v>76476</v>
      </c>
      <c r="D1050" t="s">
        <v>373</v>
      </c>
      <c r="E1050" s="3">
        <v>420</v>
      </c>
      <c r="F1050">
        <v>20150923</v>
      </c>
      <c r="G1050" t="s">
        <v>287</v>
      </c>
      <c r="H1050" t="s">
        <v>392</v>
      </c>
      <c r="I1050">
        <v>0</v>
      </c>
      <c r="J1050" t="s">
        <v>289</v>
      </c>
      <c r="K1050" t="s">
        <v>290</v>
      </c>
      <c r="L1050" t="s">
        <v>285</v>
      </c>
      <c r="M1050" t="str">
        <f t="shared" si="62"/>
        <v>09</v>
      </c>
      <c r="N1050" t="s">
        <v>12</v>
      </c>
    </row>
    <row r="1051" spans="1:14" x14ac:dyDescent="0.25">
      <c r="A1051">
        <v>20150925</v>
      </c>
      <c r="B1051" t="str">
        <f>"060492"</f>
        <v>060492</v>
      </c>
      <c r="C1051" t="str">
        <f>"76476"</f>
        <v>76476</v>
      </c>
      <c r="D1051" t="s">
        <v>373</v>
      </c>
      <c r="E1051" s="3">
        <v>26</v>
      </c>
      <c r="F1051">
        <v>20150923</v>
      </c>
      <c r="G1051" t="s">
        <v>293</v>
      </c>
      <c r="H1051" t="s">
        <v>392</v>
      </c>
      <c r="I1051">
        <v>0</v>
      </c>
      <c r="J1051" t="s">
        <v>289</v>
      </c>
      <c r="K1051" t="s">
        <v>95</v>
      </c>
      <c r="L1051" t="s">
        <v>285</v>
      </c>
      <c r="M1051" t="str">
        <f t="shared" si="62"/>
        <v>09</v>
      </c>
      <c r="N1051" t="s">
        <v>12</v>
      </c>
    </row>
    <row r="1052" spans="1:14" x14ac:dyDescent="0.25">
      <c r="A1052">
        <v>20150925</v>
      </c>
      <c r="B1052" t="str">
        <f>"060496"</f>
        <v>060496</v>
      </c>
      <c r="C1052" t="str">
        <f>"82457"</f>
        <v>82457</v>
      </c>
      <c r="D1052" t="s">
        <v>393</v>
      </c>
      <c r="E1052" s="3">
        <v>102.31</v>
      </c>
      <c r="F1052">
        <v>20150923</v>
      </c>
      <c r="G1052" t="s">
        <v>338</v>
      </c>
      <c r="H1052" t="s">
        <v>340</v>
      </c>
      <c r="I1052">
        <v>0</v>
      </c>
      <c r="J1052" t="s">
        <v>289</v>
      </c>
      <c r="K1052" t="s">
        <v>290</v>
      </c>
      <c r="L1052" t="s">
        <v>285</v>
      </c>
      <c r="M1052" t="str">
        <f t="shared" si="62"/>
        <v>09</v>
      </c>
      <c r="N1052" t="s">
        <v>12</v>
      </c>
    </row>
    <row r="1053" spans="1:14" x14ac:dyDescent="0.25">
      <c r="A1053">
        <v>20150925</v>
      </c>
      <c r="B1053" t="str">
        <f>"060497"</f>
        <v>060497</v>
      </c>
      <c r="C1053" t="str">
        <f>"83022"</f>
        <v>83022</v>
      </c>
      <c r="D1053" t="s">
        <v>394</v>
      </c>
      <c r="E1053" s="3">
        <v>46.57</v>
      </c>
      <c r="F1053">
        <v>20150924</v>
      </c>
      <c r="G1053" t="s">
        <v>367</v>
      </c>
      <c r="H1053" t="s">
        <v>395</v>
      </c>
      <c r="I1053">
        <v>0</v>
      </c>
      <c r="J1053" t="s">
        <v>289</v>
      </c>
      <c r="K1053" t="s">
        <v>290</v>
      </c>
      <c r="L1053" t="s">
        <v>285</v>
      </c>
      <c r="M1053" t="str">
        <f t="shared" si="62"/>
        <v>09</v>
      </c>
      <c r="N1053" t="s">
        <v>12</v>
      </c>
    </row>
    <row r="1054" spans="1:14" x14ac:dyDescent="0.25">
      <c r="A1054">
        <v>20150929</v>
      </c>
      <c r="B1054" t="str">
        <f>"060502"</f>
        <v>060502</v>
      </c>
      <c r="C1054" t="str">
        <f>"34949"</f>
        <v>34949</v>
      </c>
      <c r="D1054" t="s">
        <v>396</v>
      </c>
      <c r="E1054" s="3">
        <v>30</v>
      </c>
      <c r="F1054">
        <v>20150929</v>
      </c>
      <c r="G1054" t="s">
        <v>315</v>
      </c>
      <c r="H1054" t="s">
        <v>397</v>
      </c>
      <c r="I1054">
        <v>0</v>
      </c>
      <c r="J1054" t="s">
        <v>289</v>
      </c>
      <c r="K1054" t="s">
        <v>95</v>
      </c>
      <c r="L1054" t="s">
        <v>17</v>
      </c>
      <c r="M1054" t="str">
        <f t="shared" si="62"/>
        <v>09</v>
      </c>
      <c r="N1054" t="s">
        <v>12</v>
      </c>
    </row>
    <row r="1055" spans="1:14" x14ac:dyDescent="0.25">
      <c r="A1055">
        <v>20151008</v>
      </c>
      <c r="B1055" t="str">
        <f>"060506"</f>
        <v>060506</v>
      </c>
      <c r="C1055" t="str">
        <f>"64004"</f>
        <v>64004</v>
      </c>
      <c r="D1055" t="s">
        <v>398</v>
      </c>
      <c r="E1055" s="3">
        <v>200</v>
      </c>
      <c r="F1055">
        <v>20151008</v>
      </c>
      <c r="G1055" t="s">
        <v>287</v>
      </c>
      <c r="H1055" t="s">
        <v>399</v>
      </c>
      <c r="I1055">
        <v>0</v>
      </c>
      <c r="J1055" t="s">
        <v>289</v>
      </c>
      <c r="K1055" t="s">
        <v>290</v>
      </c>
      <c r="L1055" t="s">
        <v>285</v>
      </c>
      <c r="M1055" t="str">
        <f t="shared" ref="M1055:M1086" si="63">"10"</f>
        <v>10</v>
      </c>
      <c r="N1055" t="s">
        <v>12</v>
      </c>
    </row>
    <row r="1056" spans="1:14" x14ac:dyDescent="0.25">
      <c r="A1056">
        <v>20151008</v>
      </c>
      <c r="B1056" t="str">
        <f>"060506"</f>
        <v>060506</v>
      </c>
      <c r="C1056" t="str">
        <f>"64004"</f>
        <v>64004</v>
      </c>
      <c r="D1056" t="s">
        <v>398</v>
      </c>
      <c r="E1056" s="3">
        <v>46</v>
      </c>
      <c r="F1056">
        <v>20151008</v>
      </c>
      <c r="G1056" t="s">
        <v>293</v>
      </c>
      <c r="H1056" t="s">
        <v>399</v>
      </c>
      <c r="I1056">
        <v>0</v>
      </c>
      <c r="J1056" t="s">
        <v>289</v>
      </c>
      <c r="K1056" t="s">
        <v>95</v>
      </c>
      <c r="L1056" t="s">
        <v>285</v>
      </c>
      <c r="M1056" t="str">
        <f t="shared" si="63"/>
        <v>10</v>
      </c>
      <c r="N1056" t="s">
        <v>12</v>
      </c>
    </row>
    <row r="1057" spans="1:14" x14ac:dyDescent="0.25">
      <c r="A1057">
        <v>20151009</v>
      </c>
      <c r="B1057" t="str">
        <f>"060511"</f>
        <v>060511</v>
      </c>
      <c r="C1057" t="str">
        <f>"03847"</f>
        <v>03847</v>
      </c>
      <c r="D1057" t="s">
        <v>400</v>
      </c>
      <c r="E1057" s="3">
        <v>1644.3</v>
      </c>
      <c r="F1057">
        <v>20151008</v>
      </c>
      <c r="G1057" t="s">
        <v>401</v>
      </c>
      <c r="H1057" t="s">
        <v>402</v>
      </c>
      <c r="I1057">
        <v>0</v>
      </c>
      <c r="J1057" t="s">
        <v>289</v>
      </c>
      <c r="K1057" t="s">
        <v>290</v>
      </c>
      <c r="L1057" t="s">
        <v>285</v>
      </c>
      <c r="M1057" t="str">
        <f t="shared" si="63"/>
        <v>10</v>
      </c>
      <c r="N1057" t="s">
        <v>12</v>
      </c>
    </row>
    <row r="1058" spans="1:14" x14ac:dyDescent="0.25">
      <c r="A1058">
        <v>20151009</v>
      </c>
      <c r="B1058" t="str">
        <f>"060513"</f>
        <v>060513</v>
      </c>
      <c r="C1058" t="str">
        <f>"03332"</f>
        <v>03332</v>
      </c>
      <c r="D1058" t="s">
        <v>403</v>
      </c>
      <c r="E1058" s="3">
        <v>50.67</v>
      </c>
      <c r="F1058">
        <v>20151008</v>
      </c>
      <c r="G1058" t="s">
        <v>310</v>
      </c>
      <c r="H1058" t="s">
        <v>311</v>
      </c>
      <c r="I1058">
        <v>0</v>
      </c>
      <c r="J1058" t="s">
        <v>289</v>
      </c>
      <c r="K1058" t="s">
        <v>290</v>
      </c>
      <c r="L1058" t="s">
        <v>285</v>
      </c>
      <c r="M1058" t="str">
        <f t="shared" si="63"/>
        <v>10</v>
      </c>
      <c r="N1058" t="s">
        <v>12</v>
      </c>
    </row>
    <row r="1059" spans="1:14" x14ac:dyDescent="0.25">
      <c r="A1059">
        <v>20151009</v>
      </c>
      <c r="B1059" t="str">
        <f>"060514"</f>
        <v>060514</v>
      </c>
      <c r="C1059" t="str">
        <f>"03450"</f>
        <v>03450</v>
      </c>
      <c r="D1059" t="s">
        <v>375</v>
      </c>
      <c r="E1059" s="3">
        <v>89</v>
      </c>
      <c r="F1059">
        <v>20151008</v>
      </c>
      <c r="G1059" t="s">
        <v>367</v>
      </c>
      <c r="H1059" t="s">
        <v>404</v>
      </c>
      <c r="I1059">
        <v>0</v>
      </c>
      <c r="J1059" t="s">
        <v>289</v>
      </c>
      <c r="K1059" t="s">
        <v>290</v>
      </c>
      <c r="L1059" t="s">
        <v>285</v>
      </c>
      <c r="M1059" t="str">
        <f t="shared" si="63"/>
        <v>10</v>
      </c>
      <c r="N1059" t="s">
        <v>12</v>
      </c>
    </row>
    <row r="1060" spans="1:14" x14ac:dyDescent="0.25">
      <c r="A1060">
        <v>20151009</v>
      </c>
      <c r="B1060" t="str">
        <f>"060521"</f>
        <v>060521</v>
      </c>
      <c r="C1060" t="str">
        <f>"75739"</f>
        <v>75739</v>
      </c>
      <c r="D1060" t="s">
        <v>405</v>
      </c>
      <c r="E1060" s="3">
        <v>523.5</v>
      </c>
      <c r="F1060">
        <v>20151008</v>
      </c>
      <c r="G1060" t="s">
        <v>406</v>
      </c>
      <c r="H1060" t="s">
        <v>407</v>
      </c>
      <c r="I1060">
        <v>0</v>
      </c>
      <c r="J1060" t="s">
        <v>289</v>
      </c>
      <c r="K1060" t="s">
        <v>95</v>
      </c>
      <c r="L1060" t="s">
        <v>285</v>
      </c>
      <c r="M1060" t="str">
        <f t="shared" si="63"/>
        <v>10</v>
      </c>
      <c r="N1060" t="s">
        <v>12</v>
      </c>
    </row>
    <row r="1061" spans="1:14" x14ac:dyDescent="0.25">
      <c r="A1061">
        <v>20151009</v>
      </c>
      <c r="B1061" t="str">
        <f>"060526"</f>
        <v>060526</v>
      </c>
      <c r="C1061" t="str">
        <f>"19230"</f>
        <v>19230</v>
      </c>
      <c r="D1061" t="s">
        <v>408</v>
      </c>
      <c r="E1061" s="3">
        <v>94.59</v>
      </c>
      <c r="F1061">
        <v>20151008</v>
      </c>
      <c r="G1061" t="s">
        <v>409</v>
      </c>
      <c r="H1061" t="s">
        <v>410</v>
      </c>
      <c r="I1061">
        <v>0</v>
      </c>
      <c r="J1061" t="s">
        <v>289</v>
      </c>
      <c r="K1061" t="s">
        <v>95</v>
      </c>
      <c r="L1061" t="s">
        <v>285</v>
      </c>
      <c r="M1061" t="str">
        <f t="shared" si="63"/>
        <v>10</v>
      </c>
      <c r="N1061" t="s">
        <v>12</v>
      </c>
    </row>
    <row r="1062" spans="1:14" x14ac:dyDescent="0.25">
      <c r="A1062">
        <v>20151009</v>
      </c>
      <c r="B1062" t="str">
        <f>"060528"</f>
        <v>060528</v>
      </c>
      <c r="C1062" t="str">
        <f>"19294"</f>
        <v>19294</v>
      </c>
      <c r="D1062" t="s">
        <v>411</v>
      </c>
      <c r="E1062" s="3">
        <v>77.78</v>
      </c>
      <c r="F1062">
        <v>20151008</v>
      </c>
      <c r="G1062" t="s">
        <v>338</v>
      </c>
      <c r="H1062" t="s">
        <v>412</v>
      </c>
      <c r="I1062">
        <v>0</v>
      </c>
      <c r="J1062" t="s">
        <v>289</v>
      </c>
      <c r="K1062" t="s">
        <v>290</v>
      </c>
      <c r="L1062" t="s">
        <v>285</v>
      </c>
      <c r="M1062" t="str">
        <f t="shared" si="63"/>
        <v>10</v>
      </c>
      <c r="N1062" t="s">
        <v>12</v>
      </c>
    </row>
    <row r="1063" spans="1:14" x14ac:dyDescent="0.25">
      <c r="A1063">
        <v>20151009</v>
      </c>
      <c r="B1063" t="str">
        <f>"060530"</f>
        <v>060530</v>
      </c>
      <c r="C1063" t="str">
        <f>"20433"</f>
        <v>20433</v>
      </c>
      <c r="D1063" t="s">
        <v>413</v>
      </c>
      <c r="E1063" s="3">
        <v>45</v>
      </c>
      <c r="F1063">
        <v>20151008</v>
      </c>
      <c r="G1063" t="s">
        <v>336</v>
      </c>
      <c r="H1063" t="s">
        <v>300</v>
      </c>
      <c r="I1063">
        <v>0</v>
      </c>
      <c r="J1063" t="s">
        <v>289</v>
      </c>
      <c r="K1063" t="s">
        <v>290</v>
      </c>
      <c r="L1063" t="s">
        <v>285</v>
      </c>
      <c r="M1063" t="str">
        <f t="shared" si="63"/>
        <v>10</v>
      </c>
      <c r="N1063" t="s">
        <v>12</v>
      </c>
    </row>
    <row r="1064" spans="1:14" x14ac:dyDescent="0.25">
      <c r="A1064">
        <v>20151009</v>
      </c>
      <c r="B1064" t="str">
        <f>"060530"</f>
        <v>060530</v>
      </c>
      <c r="C1064" t="str">
        <f>"20433"</f>
        <v>20433</v>
      </c>
      <c r="D1064" t="s">
        <v>413</v>
      </c>
      <c r="E1064" s="3">
        <v>45</v>
      </c>
      <c r="F1064">
        <v>20151008</v>
      </c>
      <c r="G1064" t="s">
        <v>409</v>
      </c>
      <c r="H1064" t="s">
        <v>414</v>
      </c>
      <c r="I1064">
        <v>0</v>
      </c>
      <c r="J1064" t="s">
        <v>289</v>
      </c>
      <c r="K1064" t="s">
        <v>95</v>
      </c>
      <c r="L1064" t="s">
        <v>285</v>
      </c>
      <c r="M1064" t="str">
        <f t="shared" si="63"/>
        <v>10</v>
      </c>
      <c r="N1064" t="s">
        <v>12</v>
      </c>
    </row>
    <row r="1065" spans="1:14" x14ac:dyDescent="0.25">
      <c r="A1065">
        <v>20151009</v>
      </c>
      <c r="B1065" t="str">
        <f>"060530"</f>
        <v>060530</v>
      </c>
      <c r="C1065" t="str">
        <f>"20433"</f>
        <v>20433</v>
      </c>
      <c r="D1065" t="s">
        <v>413</v>
      </c>
      <c r="E1065" s="3">
        <v>45</v>
      </c>
      <c r="F1065">
        <v>20151008</v>
      </c>
      <c r="G1065" t="s">
        <v>409</v>
      </c>
      <c r="H1065" t="s">
        <v>415</v>
      </c>
      <c r="I1065">
        <v>0</v>
      </c>
      <c r="J1065" t="s">
        <v>289</v>
      </c>
      <c r="K1065" t="s">
        <v>95</v>
      </c>
      <c r="L1065" t="s">
        <v>285</v>
      </c>
      <c r="M1065" t="str">
        <f t="shared" si="63"/>
        <v>10</v>
      </c>
      <c r="N1065" t="s">
        <v>12</v>
      </c>
    </row>
    <row r="1066" spans="1:14" x14ac:dyDescent="0.25">
      <c r="A1066">
        <v>20151009</v>
      </c>
      <c r="B1066" t="str">
        <f>"060530"</f>
        <v>060530</v>
      </c>
      <c r="C1066" t="str">
        <f>"20433"</f>
        <v>20433</v>
      </c>
      <c r="D1066" t="s">
        <v>413</v>
      </c>
      <c r="E1066" s="3">
        <v>45</v>
      </c>
      <c r="F1066">
        <v>20151008</v>
      </c>
      <c r="G1066" t="s">
        <v>409</v>
      </c>
      <c r="H1066" t="s">
        <v>410</v>
      </c>
      <c r="I1066">
        <v>0</v>
      </c>
      <c r="J1066" t="s">
        <v>289</v>
      </c>
      <c r="K1066" t="s">
        <v>95</v>
      </c>
      <c r="L1066" t="s">
        <v>285</v>
      </c>
      <c r="M1066" t="str">
        <f t="shared" si="63"/>
        <v>10</v>
      </c>
      <c r="N1066" t="s">
        <v>12</v>
      </c>
    </row>
    <row r="1067" spans="1:14" x14ac:dyDescent="0.25">
      <c r="A1067">
        <v>20151009</v>
      </c>
      <c r="B1067" t="str">
        <f>"060530"</f>
        <v>060530</v>
      </c>
      <c r="C1067" t="str">
        <f>"20433"</f>
        <v>20433</v>
      </c>
      <c r="D1067" t="s">
        <v>413</v>
      </c>
      <c r="E1067" s="3">
        <v>45</v>
      </c>
      <c r="F1067">
        <v>20151008</v>
      </c>
      <c r="G1067" t="s">
        <v>409</v>
      </c>
      <c r="H1067" t="s">
        <v>416</v>
      </c>
      <c r="I1067">
        <v>0</v>
      </c>
      <c r="J1067" t="s">
        <v>289</v>
      </c>
      <c r="K1067" t="s">
        <v>95</v>
      </c>
      <c r="L1067" t="s">
        <v>285</v>
      </c>
      <c r="M1067" t="str">
        <f t="shared" si="63"/>
        <v>10</v>
      </c>
      <c r="N1067" t="s">
        <v>12</v>
      </c>
    </row>
    <row r="1068" spans="1:14" x14ac:dyDescent="0.25">
      <c r="A1068">
        <v>20151009</v>
      </c>
      <c r="B1068" t="str">
        <f>"060531"</f>
        <v>060531</v>
      </c>
      <c r="C1068" t="str">
        <f>"20648"</f>
        <v>20648</v>
      </c>
      <c r="D1068" t="s">
        <v>417</v>
      </c>
      <c r="E1068" s="3">
        <v>105.38</v>
      </c>
      <c r="F1068">
        <v>20151008</v>
      </c>
      <c r="G1068" t="s">
        <v>338</v>
      </c>
      <c r="H1068" t="s">
        <v>418</v>
      </c>
      <c r="I1068">
        <v>0</v>
      </c>
      <c r="J1068" t="s">
        <v>289</v>
      </c>
      <c r="K1068" t="s">
        <v>290</v>
      </c>
      <c r="L1068" t="s">
        <v>285</v>
      </c>
      <c r="M1068" t="str">
        <f t="shared" si="63"/>
        <v>10</v>
      </c>
      <c r="N1068" t="s">
        <v>12</v>
      </c>
    </row>
    <row r="1069" spans="1:14" x14ac:dyDescent="0.25">
      <c r="A1069">
        <v>20151009</v>
      </c>
      <c r="B1069" t="str">
        <f>"060532"</f>
        <v>060532</v>
      </c>
      <c r="C1069" t="str">
        <f>"51345"</f>
        <v>51345</v>
      </c>
      <c r="D1069" t="s">
        <v>419</v>
      </c>
      <c r="E1069" s="3">
        <v>24</v>
      </c>
      <c r="F1069">
        <v>20151008</v>
      </c>
      <c r="G1069" t="s">
        <v>420</v>
      </c>
      <c r="H1069" t="s">
        <v>386</v>
      </c>
      <c r="I1069">
        <v>0</v>
      </c>
      <c r="J1069" t="s">
        <v>289</v>
      </c>
      <c r="K1069" t="s">
        <v>290</v>
      </c>
      <c r="L1069" t="s">
        <v>285</v>
      </c>
      <c r="M1069" t="str">
        <f t="shared" si="63"/>
        <v>10</v>
      </c>
      <c r="N1069" t="s">
        <v>12</v>
      </c>
    </row>
    <row r="1070" spans="1:14" x14ac:dyDescent="0.25">
      <c r="A1070">
        <v>20151009</v>
      </c>
      <c r="B1070" t="str">
        <f>"060548"</f>
        <v>060548</v>
      </c>
      <c r="C1070" t="str">
        <f>"26337"</f>
        <v>26337</v>
      </c>
      <c r="D1070" t="s">
        <v>383</v>
      </c>
      <c r="E1070" s="3">
        <v>96</v>
      </c>
      <c r="F1070">
        <v>20151008</v>
      </c>
      <c r="G1070" t="s">
        <v>338</v>
      </c>
      <c r="H1070" t="s">
        <v>412</v>
      </c>
      <c r="I1070">
        <v>0</v>
      </c>
      <c r="J1070" t="s">
        <v>289</v>
      </c>
      <c r="K1070" t="s">
        <v>290</v>
      </c>
      <c r="L1070" t="s">
        <v>285</v>
      </c>
      <c r="M1070" t="str">
        <f t="shared" si="63"/>
        <v>10</v>
      </c>
      <c r="N1070" t="s">
        <v>12</v>
      </c>
    </row>
    <row r="1071" spans="1:14" x14ac:dyDescent="0.25">
      <c r="A1071">
        <v>20151009</v>
      </c>
      <c r="B1071" t="str">
        <f>"060548"</f>
        <v>060548</v>
      </c>
      <c r="C1071" t="str">
        <f>"26337"</f>
        <v>26337</v>
      </c>
      <c r="D1071" t="s">
        <v>383</v>
      </c>
      <c r="E1071" s="3">
        <v>96</v>
      </c>
      <c r="F1071">
        <v>20151008</v>
      </c>
      <c r="G1071" t="s">
        <v>338</v>
      </c>
      <c r="H1071" t="s">
        <v>421</v>
      </c>
      <c r="I1071">
        <v>0</v>
      </c>
      <c r="J1071" t="s">
        <v>289</v>
      </c>
      <c r="K1071" t="s">
        <v>290</v>
      </c>
      <c r="L1071" t="s">
        <v>285</v>
      </c>
      <c r="M1071" t="str">
        <f t="shared" si="63"/>
        <v>10</v>
      </c>
      <c r="N1071" t="s">
        <v>12</v>
      </c>
    </row>
    <row r="1072" spans="1:14" x14ac:dyDescent="0.25">
      <c r="A1072">
        <v>20151009</v>
      </c>
      <c r="B1072" t="str">
        <f>"060551"</f>
        <v>060551</v>
      </c>
      <c r="C1072" t="str">
        <f>"28680"</f>
        <v>28680</v>
      </c>
      <c r="D1072" t="s">
        <v>422</v>
      </c>
      <c r="E1072" s="3">
        <v>111</v>
      </c>
      <c r="F1072">
        <v>20151008</v>
      </c>
      <c r="G1072" t="s">
        <v>310</v>
      </c>
      <c r="H1072" t="s">
        <v>423</v>
      </c>
      <c r="I1072">
        <v>0</v>
      </c>
      <c r="J1072" t="s">
        <v>289</v>
      </c>
      <c r="K1072" t="s">
        <v>290</v>
      </c>
      <c r="L1072" t="s">
        <v>285</v>
      </c>
      <c r="M1072" t="str">
        <f t="shared" si="63"/>
        <v>10</v>
      </c>
      <c r="N1072" t="s">
        <v>12</v>
      </c>
    </row>
    <row r="1073" spans="1:14" x14ac:dyDescent="0.25">
      <c r="A1073">
        <v>20151009</v>
      </c>
      <c r="B1073" t="str">
        <f>"060554"</f>
        <v>060554</v>
      </c>
      <c r="C1073" t="str">
        <f>"29636"</f>
        <v>29636</v>
      </c>
      <c r="D1073" t="s">
        <v>424</v>
      </c>
      <c r="E1073" s="3">
        <v>84.13</v>
      </c>
      <c r="F1073">
        <v>20151008</v>
      </c>
      <c r="G1073" t="s">
        <v>409</v>
      </c>
      <c r="H1073" t="s">
        <v>416</v>
      </c>
      <c r="I1073">
        <v>0</v>
      </c>
      <c r="J1073" t="s">
        <v>289</v>
      </c>
      <c r="K1073" t="s">
        <v>95</v>
      </c>
      <c r="L1073" t="s">
        <v>285</v>
      </c>
      <c r="M1073" t="str">
        <f t="shared" si="63"/>
        <v>10</v>
      </c>
      <c r="N1073" t="s">
        <v>12</v>
      </c>
    </row>
    <row r="1074" spans="1:14" x14ac:dyDescent="0.25">
      <c r="A1074">
        <v>20151009</v>
      </c>
      <c r="B1074" t="str">
        <f>"060556"</f>
        <v>060556</v>
      </c>
      <c r="C1074" t="str">
        <f>"31310"</f>
        <v>31310</v>
      </c>
      <c r="D1074" t="s">
        <v>425</v>
      </c>
      <c r="E1074" s="3">
        <v>94.2</v>
      </c>
      <c r="F1074">
        <v>20151008</v>
      </c>
      <c r="G1074" t="s">
        <v>338</v>
      </c>
      <c r="H1074" t="s">
        <v>418</v>
      </c>
      <c r="I1074">
        <v>0</v>
      </c>
      <c r="J1074" t="s">
        <v>289</v>
      </c>
      <c r="K1074" t="s">
        <v>290</v>
      </c>
      <c r="L1074" t="s">
        <v>285</v>
      </c>
      <c r="M1074" t="str">
        <f t="shared" si="63"/>
        <v>10</v>
      </c>
      <c r="N1074" t="s">
        <v>12</v>
      </c>
    </row>
    <row r="1075" spans="1:14" x14ac:dyDescent="0.25">
      <c r="A1075">
        <v>20151009</v>
      </c>
      <c r="B1075" t="str">
        <f>"060557"</f>
        <v>060557</v>
      </c>
      <c r="C1075" t="str">
        <f>"31345"</f>
        <v>31345</v>
      </c>
      <c r="D1075" t="s">
        <v>426</v>
      </c>
      <c r="E1075" s="3">
        <v>408.24</v>
      </c>
      <c r="F1075">
        <v>20151008</v>
      </c>
      <c r="G1075" t="s">
        <v>427</v>
      </c>
      <c r="H1075" t="s">
        <v>428</v>
      </c>
      <c r="I1075">
        <v>0</v>
      </c>
      <c r="J1075" t="s">
        <v>289</v>
      </c>
      <c r="K1075" t="s">
        <v>290</v>
      </c>
      <c r="L1075" t="s">
        <v>285</v>
      </c>
      <c r="M1075" t="str">
        <f t="shared" si="63"/>
        <v>10</v>
      </c>
      <c r="N1075" t="s">
        <v>12</v>
      </c>
    </row>
    <row r="1076" spans="1:14" x14ac:dyDescent="0.25">
      <c r="A1076">
        <v>20151009</v>
      </c>
      <c r="B1076" t="str">
        <f>"060558"</f>
        <v>060558</v>
      </c>
      <c r="C1076" t="str">
        <f>"31363"</f>
        <v>31363</v>
      </c>
      <c r="D1076" t="s">
        <v>429</v>
      </c>
      <c r="E1076" s="3">
        <v>79.849999999999994</v>
      </c>
      <c r="F1076">
        <v>20151008</v>
      </c>
      <c r="G1076" t="s">
        <v>336</v>
      </c>
      <c r="H1076" t="s">
        <v>430</v>
      </c>
      <c r="I1076">
        <v>0</v>
      </c>
      <c r="J1076" t="s">
        <v>289</v>
      </c>
      <c r="K1076" t="s">
        <v>290</v>
      </c>
      <c r="L1076" t="s">
        <v>285</v>
      </c>
      <c r="M1076" t="str">
        <f t="shared" si="63"/>
        <v>10</v>
      </c>
      <c r="N1076" t="s">
        <v>12</v>
      </c>
    </row>
    <row r="1077" spans="1:14" x14ac:dyDescent="0.25">
      <c r="A1077">
        <v>20151009</v>
      </c>
      <c r="B1077" t="str">
        <f>"060567"</f>
        <v>060567</v>
      </c>
      <c r="C1077" t="str">
        <f>"34901"</f>
        <v>34901</v>
      </c>
      <c r="D1077" t="s">
        <v>431</v>
      </c>
      <c r="E1077" s="3">
        <v>80</v>
      </c>
      <c r="F1077">
        <v>20151008</v>
      </c>
      <c r="G1077" t="s">
        <v>409</v>
      </c>
      <c r="H1077" t="s">
        <v>414</v>
      </c>
      <c r="I1077">
        <v>0</v>
      </c>
      <c r="J1077" t="s">
        <v>289</v>
      </c>
      <c r="K1077" t="s">
        <v>95</v>
      </c>
      <c r="L1077" t="s">
        <v>285</v>
      </c>
      <c r="M1077" t="str">
        <f t="shared" si="63"/>
        <v>10</v>
      </c>
      <c r="N1077" t="s">
        <v>12</v>
      </c>
    </row>
    <row r="1078" spans="1:14" x14ac:dyDescent="0.25">
      <c r="A1078">
        <v>20151009</v>
      </c>
      <c r="B1078" t="str">
        <f>"060567"</f>
        <v>060567</v>
      </c>
      <c r="C1078" t="str">
        <f>"34901"</f>
        <v>34901</v>
      </c>
      <c r="D1078" t="s">
        <v>431</v>
      </c>
      <c r="E1078" s="3">
        <v>80.7</v>
      </c>
      <c r="F1078">
        <v>20151008</v>
      </c>
      <c r="G1078" t="s">
        <v>409</v>
      </c>
      <c r="H1078" t="s">
        <v>416</v>
      </c>
      <c r="I1078">
        <v>0</v>
      </c>
      <c r="J1078" t="s">
        <v>289</v>
      </c>
      <c r="K1078" t="s">
        <v>95</v>
      </c>
      <c r="L1078" t="s">
        <v>285</v>
      </c>
      <c r="M1078" t="str">
        <f t="shared" si="63"/>
        <v>10</v>
      </c>
      <c r="N1078" t="s">
        <v>12</v>
      </c>
    </row>
    <row r="1079" spans="1:14" x14ac:dyDescent="0.25">
      <c r="A1079">
        <v>20151009</v>
      </c>
      <c r="B1079" t="str">
        <f>"060568"</f>
        <v>060568</v>
      </c>
      <c r="C1079" t="str">
        <f>"35025"</f>
        <v>35025</v>
      </c>
      <c r="D1079" t="s">
        <v>357</v>
      </c>
      <c r="E1079" s="3">
        <v>81.44</v>
      </c>
      <c r="F1079">
        <v>20151008</v>
      </c>
      <c r="G1079" t="s">
        <v>338</v>
      </c>
      <c r="H1079" t="s">
        <v>418</v>
      </c>
      <c r="I1079">
        <v>0</v>
      </c>
      <c r="J1079" t="s">
        <v>289</v>
      </c>
      <c r="K1079" t="s">
        <v>290</v>
      </c>
      <c r="L1079" t="s">
        <v>285</v>
      </c>
      <c r="M1079" t="str">
        <f t="shared" si="63"/>
        <v>10</v>
      </c>
      <c r="N1079" t="s">
        <v>12</v>
      </c>
    </row>
    <row r="1080" spans="1:14" x14ac:dyDescent="0.25">
      <c r="A1080">
        <v>20151009</v>
      </c>
      <c r="B1080" t="str">
        <f>"060571"</f>
        <v>060571</v>
      </c>
      <c r="C1080" t="str">
        <f>"37607"</f>
        <v>37607</v>
      </c>
      <c r="D1080" t="s">
        <v>432</v>
      </c>
      <c r="E1080" s="3">
        <v>80.23</v>
      </c>
      <c r="F1080">
        <v>20151008</v>
      </c>
      <c r="G1080" t="s">
        <v>338</v>
      </c>
      <c r="H1080" t="s">
        <v>340</v>
      </c>
      <c r="I1080">
        <v>0</v>
      </c>
      <c r="J1080" t="s">
        <v>289</v>
      </c>
      <c r="K1080" t="s">
        <v>290</v>
      </c>
      <c r="L1080" t="s">
        <v>285</v>
      </c>
      <c r="M1080" t="str">
        <f t="shared" si="63"/>
        <v>10</v>
      </c>
      <c r="N1080" t="s">
        <v>12</v>
      </c>
    </row>
    <row r="1081" spans="1:14" x14ac:dyDescent="0.25">
      <c r="A1081">
        <v>20151009</v>
      </c>
      <c r="B1081" t="str">
        <f>"060572"</f>
        <v>060572</v>
      </c>
      <c r="C1081" t="str">
        <f>"37790"</f>
        <v>37790</v>
      </c>
      <c r="D1081" t="s">
        <v>433</v>
      </c>
      <c r="E1081" s="3">
        <v>90</v>
      </c>
      <c r="F1081">
        <v>20151008</v>
      </c>
      <c r="G1081" t="s">
        <v>336</v>
      </c>
      <c r="H1081" t="s">
        <v>434</v>
      </c>
      <c r="I1081">
        <v>0</v>
      </c>
      <c r="J1081" t="s">
        <v>289</v>
      </c>
      <c r="K1081" t="s">
        <v>290</v>
      </c>
      <c r="L1081" t="s">
        <v>285</v>
      </c>
      <c r="M1081" t="str">
        <f t="shared" si="63"/>
        <v>10</v>
      </c>
      <c r="N1081" t="s">
        <v>12</v>
      </c>
    </row>
    <row r="1082" spans="1:14" x14ac:dyDescent="0.25">
      <c r="A1082">
        <v>20151009</v>
      </c>
      <c r="B1082" t="str">
        <f>"060575"</f>
        <v>060575</v>
      </c>
      <c r="C1082" t="str">
        <f>"40550"</f>
        <v>40550</v>
      </c>
      <c r="D1082" t="s">
        <v>435</v>
      </c>
      <c r="E1082" s="3">
        <v>225.82</v>
      </c>
      <c r="F1082">
        <v>20151008</v>
      </c>
      <c r="G1082" t="s">
        <v>367</v>
      </c>
      <c r="H1082" t="s">
        <v>436</v>
      </c>
      <c r="I1082">
        <v>0</v>
      </c>
      <c r="J1082" t="s">
        <v>289</v>
      </c>
      <c r="K1082" t="s">
        <v>290</v>
      </c>
      <c r="L1082" t="s">
        <v>285</v>
      </c>
      <c r="M1082" t="str">
        <f t="shared" si="63"/>
        <v>10</v>
      </c>
      <c r="N1082" t="s">
        <v>12</v>
      </c>
    </row>
    <row r="1083" spans="1:14" x14ac:dyDescent="0.25">
      <c r="A1083">
        <v>20151009</v>
      </c>
      <c r="B1083" t="str">
        <f>"060580"</f>
        <v>060580</v>
      </c>
      <c r="C1083" t="str">
        <f>"45149"</f>
        <v>45149</v>
      </c>
      <c r="D1083" t="s">
        <v>437</v>
      </c>
      <c r="E1083" s="3">
        <v>106.62</v>
      </c>
      <c r="F1083">
        <v>20151008</v>
      </c>
      <c r="G1083" t="s">
        <v>338</v>
      </c>
      <c r="H1083" t="s">
        <v>412</v>
      </c>
      <c r="I1083">
        <v>0</v>
      </c>
      <c r="J1083" t="s">
        <v>289</v>
      </c>
      <c r="K1083" t="s">
        <v>290</v>
      </c>
      <c r="L1083" t="s">
        <v>285</v>
      </c>
      <c r="M1083" t="str">
        <f t="shared" si="63"/>
        <v>10</v>
      </c>
      <c r="N1083" t="s">
        <v>12</v>
      </c>
    </row>
    <row r="1084" spans="1:14" x14ac:dyDescent="0.25">
      <c r="A1084">
        <v>20151009</v>
      </c>
      <c r="B1084" t="str">
        <f>"060581"</f>
        <v>060581</v>
      </c>
      <c r="C1084" t="str">
        <f>"45150"</f>
        <v>45150</v>
      </c>
      <c r="D1084" t="s">
        <v>438</v>
      </c>
      <c r="E1084" s="3">
        <v>80</v>
      </c>
      <c r="F1084">
        <v>20151008</v>
      </c>
      <c r="G1084" t="s">
        <v>338</v>
      </c>
      <c r="H1084" t="s">
        <v>412</v>
      </c>
      <c r="I1084">
        <v>0</v>
      </c>
      <c r="J1084" t="s">
        <v>289</v>
      </c>
      <c r="K1084" t="s">
        <v>290</v>
      </c>
      <c r="L1084" t="s">
        <v>285</v>
      </c>
      <c r="M1084" t="str">
        <f t="shared" si="63"/>
        <v>10</v>
      </c>
      <c r="N1084" t="s">
        <v>12</v>
      </c>
    </row>
    <row r="1085" spans="1:14" x14ac:dyDescent="0.25">
      <c r="A1085">
        <v>20151009</v>
      </c>
      <c r="B1085" t="str">
        <f>"060581"</f>
        <v>060581</v>
      </c>
      <c r="C1085" t="str">
        <f>"45150"</f>
        <v>45150</v>
      </c>
      <c r="D1085" t="s">
        <v>438</v>
      </c>
      <c r="E1085" s="3">
        <v>100</v>
      </c>
      <c r="F1085">
        <v>20151008</v>
      </c>
      <c r="G1085" t="s">
        <v>338</v>
      </c>
      <c r="H1085" t="s">
        <v>421</v>
      </c>
      <c r="I1085">
        <v>0</v>
      </c>
      <c r="J1085" t="s">
        <v>289</v>
      </c>
      <c r="K1085" t="s">
        <v>290</v>
      </c>
      <c r="L1085" t="s">
        <v>285</v>
      </c>
      <c r="M1085" t="str">
        <f t="shared" si="63"/>
        <v>10</v>
      </c>
      <c r="N1085" t="s">
        <v>12</v>
      </c>
    </row>
    <row r="1086" spans="1:14" x14ac:dyDescent="0.25">
      <c r="A1086">
        <v>20151009</v>
      </c>
      <c r="B1086" t="str">
        <f>"060585"</f>
        <v>060585</v>
      </c>
      <c r="C1086" t="str">
        <f>"46399"</f>
        <v>46399</v>
      </c>
      <c r="D1086" t="s">
        <v>439</v>
      </c>
      <c r="E1086" s="3">
        <v>95.52</v>
      </c>
      <c r="F1086">
        <v>20151008</v>
      </c>
      <c r="G1086" t="s">
        <v>336</v>
      </c>
      <c r="H1086" t="s">
        <v>434</v>
      </c>
      <c r="I1086">
        <v>0</v>
      </c>
      <c r="J1086" t="s">
        <v>289</v>
      </c>
      <c r="K1086" t="s">
        <v>290</v>
      </c>
      <c r="L1086" t="s">
        <v>285</v>
      </c>
      <c r="M1086" t="str">
        <f t="shared" si="63"/>
        <v>10</v>
      </c>
      <c r="N1086" t="s">
        <v>12</v>
      </c>
    </row>
    <row r="1087" spans="1:14" x14ac:dyDescent="0.25">
      <c r="A1087">
        <v>20151009</v>
      </c>
      <c r="B1087" t="str">
        <f>"060589"</f>
        <v>060589</v>
      </c>
      <c r="C1087" t="str">
        <f>"49221"</f>
        <v>49221</v>
      </c>
      <c r="D1087" t="s">
        <v>440</v>
      </c>
      <c r="E1087" s="3">
        <v>94.91</v>
      </c>
      <c r="F1087">
        <v>20151008</v>
      </c>
      <c r="G1087" t="s">
        <v>409</v>
      </c>
      <c r="H1087" t="s">
        <v>415</v>
      </c>
      <c r="I1087">
        <v>0</v>
      </c>
      <c r="J1087" t="s">
        <v>289</v>
      </c>
      <c r="K1087" t="s">
        <v>95</v>
      </c>
      <c r="L1087" t="s">
        <v>285</v>
      </c>
      <c r="M1087" t="str">
        <f t="shared" ref="M1087:M1118" si="64">"10"</f>
        <v>10</v>
      </c>
      <c r="N1087" t="s">
        <v>12</v>
      </c>
    </row>
    <row r="1088" spans="1:14" x14ac:dyDescent="0.25">
      <c r="A1088">
        <v>20151009</v>
      </c>
      <c r="B1088" t="str">
        <f>"060589"</f>
        <v>060589</v>
      </c>
      <c r="C1088" t="str">
        <f>"49221"</f>
        <v>49221</v>
      </c>
      <c r="D1088" t="s">
        <v>440</v>
      </c>
      <c r="E1088" s="3">
        <v>96.33</v>
      </c>
      <c r="F1088">
        <v>20151008</v>
      </c>
      <c r="G1088" t="s">
        <v>409</v>
      </c>
      <c r="H1088" t="s">
        <v>410</v>
      </c>
      <c r="I1088">
        <v>0</v>
      </c>
      <c r="J1088" t="s">
        <v>289</v>
      </c>
      <c r="K1088" t="s">
        <v>95</v>
      </c>
      <c r="L1088" t="s">
        <v>285</v>
      </c>
      <c r="M1088" t="str">
        <f t="shared" si="64"/>
        <v>10</v>
      </c>
      <c r="N1088" t="s">
        <v>12</v>
      </c>
    </row>
    <row r="1089" spans="1:14" x14ac:dyDescent="0.25">
      <c r="A1089">
        <v>20151009</v>
      </c>
      <c r="B1089" t="str">
        <f>"060594"</f>
        <v>060594</v>
      </c>
      <c r="C1089" t="str">
        <f>"49867"</f>
        <v>49867</v>
      </c>
      <c r="D1089" t="s">
        <v>441</v>
      </c>
      <c r="E1089" s="3">
        <v>74.25</v>
      </c>
      <c r="F1089">
        <v>20151008</v>
      </c>
      <c r="G1089" t="s">
        <v>338</v>
      </c>
      <c r="H1089" t="s">
        <v>421</v>
      </c>
      <c r="I1089">
        <v>0</v>
      </c>
      <c r="J1089" t="s">
        <v>289</v>
      </c>
      <c r="K1089" t="s">
        <v>290</v>
      </c>
      <c r="L1089" t="s">
        <v>285</v>
      </c>
      <c r="M1089" t="str">
        <f t="shared" si="64"/>
        <v>10</v>
      </c>
      <c r="N1089" t="s">
        <v>12</v>
      </c>
    </row>
    <row r="1090" spans="1:14" x14ac:dyDescent="0.25">
      <c r="A1090">
        <v>20151009</v>
      </c>
      <c r="B1090" t="str">
        <f>"060604"</f>
        <v>060604</v>
      </c>
      <c r="C1090" t="str">
        <f>"56560"</f>
        <v>56560</v>
      </c>
      <c r="D1090" t="s">
        <v>364</v>
      </c>
      <c r="E1090" s="3">
        <v>290</v>
      </c>
      <c r="F1090">
        <v>20151008</v>
      </c>
      <c r="G1090" t="s">
        <v>365</v>
      </c>
      <c r="H1090" t="s">
        <v>333</v>
      </c>
      <c r="I1090">
        <v>0</v>
      </c>
      <c r="J1090" t="s">
        <v>289</v>
      </c>
      <c r="K1090" t="s">
        <v>290</v>
      </c>
      <c r="L1090" t="s">
        <v>285</v>
      </c>
      <c r="M1090" t="str">
        <f t="shared" si="64"/>
        <v>10</v>
      </c>
      <c r="N1090" t="s">
        <v>12</v>
      </c>
    </row>
    <row r="1091" spans="1:14" x14ac:dyDescent="0.25">
      <c r="A1091">
        <v>20151009</v>
      </c>
      <c r="B1091" t="str">
        <f>"060604"</f>
        <v>060604</v>
      </c>
      <c r="C1091" t="str">
        <f>"56560"</f>
        <v>56560</v>
      </c>
      <c r="D1091" t="s">
        <v>364</v>
      </c>
      <c r="E1091" s="3">
        <v>-290</v>
      </c>
      <c r="F1091">
        <v>20151020</v>
      </c>
      <c r="G1091" t="s">
        <v>365</v>
      </c>
      <c r="H1091" t="s">
        <v>442</v>
      </c>
      <c r="I1091">
        <v>0</v>
      </c>
      <c r="J1091" t="s">
        <v>289</v>
      </c>
      <c r="K1091" t="s">
        <v>290</v>
      </c>
      <c r="L1091" t="s">
        <v>17</v>
      </c>
      <c r="M1091" t="str">
        <f t="shared" si="64"/>
        <v>10</v>
      </c>
      <c r="N1091" t="s">
        <v>12</v>
      </c>
    </row>
    <row r="1092" spans="1:14" x14ac:dyDescent="0.25">
      <c r="A1092">
        <v>20151009</v>
      </c>
      <c r="B1092" t="str">
        <f>"060606"</f>
        <v>060606</v>
      </c>
      <c r="C1092" t="str">
        <f>"57318"</f>
        <v>57318</v>
      </c>
      <c r="D1092" t="s">
        <v>389</v>
      </c>
      <c r="E1092" s="3">
        <v>94.13</v>
      </c>
      <c r="F1092">
        <v>20151009</v>
      </c>
      <c r="G1092" t="s">
        <v>409</v>
      </c>
      <c r="H1092" t="s">
        <v>410</v>
      </c>
      <c r="I1092">
        <v>0</v>
      </c>
      <c r="J1092" t="s">
        <v>289</v>
      </c>
      <c r="K1092" t="s">
        <v>95</v>
      </c>
      <c r="L1092" t="s">
        <v>285</v>
      </c>
      <c r="M1092" t="str">
        <f t="shared" si="64"/>
        <v>10</v>
      </c>
      <c r="N1092" t="s">
        <v>12</v>
      </c>
    </row>
    <row r="1093" spans="1:14" x14ac:dyDescent="0.25">
      <c r="A1093">
        <v>20151009</v>
      </c>
      <c r="B1093" t="str">
        <f>"060609"</f>
        <v>060609</v>
      </c>
      <c r="C1093" t="str">
        <f>"57554"</f>
        <v>57554</v>
      </c>
      <c r="D1093" t="s">
        <v>443</v>
      </c>
      <c r="E1093" s="3">
        <v>91.48</v>
      </c>
      <c r="F1093">
        <v>20151009</v>
      </c>
      <c r="G1093" t="s">
        <v>336</v>
      </c>
      <c r="H1093" t="s">
        <v>434</v>
      </c>
      <c r="I1093">
        <v>0</v>
      </c>
      <c r="J1093" t="s">
        <v>289</v>
      </c>
      <c r="K1093" t="s">
        <v>290</v>
      </c>
      <c r="L1093" t="s">
        <v>285</v>
      </c>
      <c r="M1093" t="str">
        <f t="shared" si="64"/>
        <v>10</v>
      </c>
      <c r="N1093" t="s">
        <v>12</v>
      </c>
    </row>
    <row r="1094" spans="1:14" x14ac:dyDescent="0.25">
      <c r="A1094">
        <v>20151009</v>
      </c>
      <c r="B1094" t="str">
        <f>"060610"</f>
        <v>060610</v>
      </c>
      <c r="C1094" t="str">
        <f>"57661"</f>
        <v>57661</v>
      </c>
      <c r="D1094" t="s">
        <v>444</v>
      </c>
      <c r="E1094" s="3">
        <v>95.81</v>
      </c>
      <c r="F1094">
        <v>20151009</v>
      </c>
      <c r="G1094" t="s">
        <v>336</v>
      </c>
      <c r="H1094" t="s">
        <v>434</v>
      </c>
      <c r="I1094">
        <v>0</v>
      </c>
      <c r="J1094" t="s">
        <v>289</v>
      </c>
      <c r="K1094" t="s">
        <v>290</v>
      </c>
      <c r="L1094" t="s">
        <v>285</v>
      </c>
      <c r="M1094" t="str">
        <f t="shared" si="64"/>
        <v>10</v>
      </c>
      <c r="N1094" t="s">
        <v>12</v>
      </c>
    </row>
    <row r="1095" spans="1:14" x14ac:dyDescent="0.25">
      <c r="A1095">
        <v>20151009</v>
      </c>
      <c r="B1095" t="str">
        <f>"060614"</f>
        <v>060614</v>
      </c>
      <c r="C1095" t="str">
        <f>"57991"</f>
        <v>57991</v>
      </c>
      <c r="D1095" t="s">
        <v>445</v>
      </c>
      <c r="E1095" s="3">
        <v>82.49</v>
      </c>
      <c r="F1095">
        <v>20151009</v>
      </c>
      <c r="G1095" t="s">
        <v>336</v>
      </c>
      <c r="H1095" t="s">
        <v>430</v>
      </c>
      <c r="I1095">
        <v>0</v>
      </c>
      <c r="J1095" t="s">
        <v>289</v>
      </c>
      <c r="K1095" t="s">
        <v>290</v>
      </c>
      <c r="L1095" t="s">
        <v>285</v>
      </c>
      <c r="M1095" t="str">
        <f t="shared" si="64"/>
        <v>10</v>
      </c>
      <c r="N1095" t="s">
        <v>12</v>
      </c>
    </row>
    <row r="1096" spans="1:14" x14ac:dyDescent="0.25">
      <c r="A1096">
        <v>20151009</v>
      </c>
      <c r="B1096" t="str">
        <f>"060622"</f>
        <v>060622</v>
      </c>
      <c r="C1096" t="str">
        <f>"61271"</f>
        <v>61271</v>
      </c>
      <c r="D1096" t="s">
        <v>320</v>
      </c>
      <c r="E1096" s="3">
        <v>100.28</v>
      </c>
      <c r="F1096">
        <v>20151009</v>
      </c>
      <c r="G1096" t="s">
        <v>338</v>
      </c>
      <c r="H1096" t="s">
        <v>421</v>
      </c>
      <c r="I1096">
        <v>0</v>
      </c>
      <c r="J1096" t="s">
        <v>289</v>
      </c>
      <c r="K1096" t="s">
        <v>290</v>
      </c>
      <c r="L1096" t="s">
        <v>285</v>
      </c>
      <c r="M1096" t="str">
        <f t="shared" si="64"/>
        <v>10</v>
      </c>
      <c r="N1096" t="s">
        <v>12</v>
      </c>
    </row>
    <row r="1097" spans="1:14" x14ac:dyDescent="0.25">
      <c r="A1097">
        <v>20151009</v>
      </c>
      <c r="B1097" t="str">
        <f>"060624"</f>
        <v>060624</v>
      </c>
      <c r="C1097" t="str">
        <f>"62271"</f>
        <v>62271</v>
      </c>
      <c r="D1097" t="s">
        <v>446</v>
      </c>
      <c r="E1097" s="3">
        <v>99.69</v>
      </c>
      <c r="F1097">
        <v>20151009</v>
      </c>
      <c r="G1097" t="s">
        <v>338</v>
      </c>
      <c r="H1097" t="s">
        <v>418</v>
      </c>
      <c r="I1097">
        <v>0</v>
      </c>
      <c r="J1097" t="s">
        <v>289</v>
      </c>
      <c r="K1097" t="s">
        <v>290</v>
      </c>
      <c r="L1097" t="s">
        <v>285</v>
      </c>
      <c r="M1097" t="str">
        <f t="shared" si="64"/>
        <v>10</v>
      </c>
      <c r="N1097" t="s">
        <v>12</v>
      </c>
    </row>
    <row r="1098" spans="1:14" x14ac:dyDescent="0.25">
      <c r="A1098">
        <v>20151009</v>
      </c>
      <c r="B1098" t="str">
        <f>"060626"</f>
        <v>060626</v>
      </c>
      <c r="C1098" t="str">
        <f>"62290"</f>
        <v>62290</v>
      </c>
      <c r="D1098" t="s">
        <v>447</v>
      </c>
      <c r="E1098" s="3">
        <v>71.03</v>
      </c>
      <c r="F1098">
        <v>20151009</v>
      </c>
      <c r="G1098" t="s">
        <v>336</v>
      </c>
      <c r="H1098" t="s">
        <v>430</v>
      </c>
      <c r="I1098">
        <v>0</v>
      </c>
      <c r="J1098" t="s">
        <v>289</v>
      </c>
      <c r="K1098" t="s">
        <v>290</v>
      </c>
      <c r="L1098" t="s">
        <v>285</v>
      </c>
      <c r="M1098" t="str">
        <f t="shared" si="64"/>
        <v>10</v>
      </c>
      <c r="N1098" t="s">
        <v>12</v>
      </c>
    </row>
    <row r="1099" spans="1:14" x14ac:dyDescent="0.25">
      <c r="A1099">
        <v>20151009</v>
      </c>
      <c r="B1099" t="str">
        <f>"060636"</f>
        <v>060636</v>
      </c>
      <c r="C1099" t="str">
        <f>"63766"</f>
        <v>63766</v>
      </c>
      <c r="D1099" t="s">
        <v>448</v>
      </c>
      <c r="E1099" s="3">
        <v>87.45</v>
      </c>
      <c r="F1099">
        <v>20151009</v>
      </c>
      <c r="G1099" t="s">
        <v>338</v>
      </c>
      <c r="H1099" t="s">
        <v>412</v>
      </c>
      <c r="I1099">
        <v>0</v>
      </c>
      <c r="J1099" t="s">
        <v>289</v>
      </c>
      <c r="K1099" t="s">
        <v>290</v>
      </c>
      <c r="L1099" t="s">
        <v>285</v>
      </c>
      <c r="M1099" t="str">
        <f t="shared" si="64"/>
        <v>10</v>
      </c>
      <c r="N1099" t="s">
        <v>12</v>
      </c>
    </row>
    <row r="1100" spans="1:14" x14ac:dyDescent="0.25">
      <c r="A1100">
        <v>20151009</v>
      </c>
      <c r="B1100" t="str">
        <f>"060637"</f>
        <v>060637</v>
      </c>
      <c r="C1100" t="str">
        <f>"64838"</f>
        <v>64838</v>
      </c>
      <c r="D1100" t="s">
        <v>449</v>
      </c>
      <c r="E1100" s="3">
        <v>71.25</v>
      </c>
      <c r="F1100">
        <v>20151009</v>
      </c>
      <c r="G1100" t="s">
        <v>409</v>
      </c>
      <c r="H1100" t="s">
        <v>414</v>
      </c>
      <c r="I1100">
        <v>0</v>
      </c>
      <c r="J1100" t="s">
        <v>289</v>
      </c>
      <c r="K1100" t="s">
        <v>95</v>
      </c>
      <c r="L1100" t="s">
        <v>285</v>
      </c>
      <c r="M1100" t="str">
        <f t="shared" si="64"/>
        <v>10</v>
      </c>
      <c r="N1100" t="s">
        <v>12</v>
      </c>
    </row>
    <row r="1101" spans="1:14" x14ac:dyDescent="0.25">
      <c r="A1101">
        <v>20151009</v>
      </c>
      <c r="B1101" t="str">
        <f>"060639"</f>
        <v>060639</v>
      </c>
      <c r="C1101" t="str">
        <f>"65201"</f>
        <v>65201</v>
      </c>
      <c r="D1101" t="s">
        <v>322</v>
      </c>
      <c r="E1101" s="3">
        <v>82.2</v>
      </c>
      <c r="F1101">
        <v>20151009</v>
      </c>
      <c r="G1101" t="s">
        <v>409</v>
      </c>
      <c r="H1101" t="s">
        <v>415</v>
      </c>
      <c r="I1101">
        <v>0</v>
      </c>
      <c r="J1101" t="s">
        <v>289</v>
      </c>
      <c r="K1101" t="s">
        <v>95</v>
      </c>
      <c r="L1101" t="s">
        <v>285</v>
      </c>
      <c r="M1101" t="str">
        <f t="shared" si="64"/>
        <v>10</v>
      </c>
      <c r="N1101" t="s">
        <v>12</v>
      </c>
    </row>
    <row r="1102" spans="1:14" x14ac:dyDescent="0.25">
      <c r="A1102">
        <v>20151009</v>
      </c>
      <c r="B1102" t="str">
        <f>"060639"</f>
        <v>060639</v>
      </c>
      <c r="C1102" t="str">
        <f>"65201"</f>
        <v>65201</v>
      </c>
      <c r="D1102" t="s">
        <v>322</v>
      </c>
      <c r="E1102" s="3">
        <v>70</v>
      </c>
      <c r="F1102">
        <v>20151009</v>
      </c>
      <c r="G1102" t="s">
        <v>409</v>
      </c>
      <c r="H1102" t="s">
        <v>416</v>
      </c>
      <c r="I1102">
        <v>0</v>
      </c>
      <c r="J1102" t="s">
        <v>289</v>
      </c>
      <c r="K1102" t="s">
        <v>95</v>
      </c>
      <c r="L1102" t="s">
        <v>285</v>
      </c>
      <c r="M1102" t="str">
        <f t="shared" si="64"/>
        <v>10</v>
      </c>
      <c r="N1102" t="s">
        <v>12</v>
      </c>
    </row>
    <row r="1103" spans="1:14" x14ac:dyDescent="0.25">
      <c r="A1103">
        <v>20151009</v>
      </c>
      <c r="B1103" t="str">
        <f>"060645"</f>
        <v>060645</v>
      </c>
      <c r="C1103" t="str">
        <f>"69162"</f>
        <v>69162</v>
      </c>
      <c r="D1103" t="s">
        <v>450</v>
      </c>
      <c r="E1103" s="3">
        <v>21.21</v>
      </c>
      <c r="F1103">
        <v>20151009</v>
      </c>
      <c r="G1103" t="s">
        <v>310</v>
      </c>
      <c r="H1103" t="s">
        <v>325</v>
      </c>
      <c r="I1103">
        <v>0</v>
      </c>
      <c r="J1103" t="s">
        <v>289</v>
      </c>
      <c r="K1103" t="s">
        <v>290</v>
      </c>
      <c r="L1103" t="s">
        <v>285</v>
      </c>
      <c r="M1103" t="str">
        <f t="shared" si="64"/>
        <v>10</v>
      </c>
      <c r="N1103" t="s">
        <v>12</v>
      </c>
    </row>
    <row r="1104" spans="1:14" x14ac:dyDescent="0.25">
      <c r="A1104">
        <v>20151009</v>
      </c>
      <c r="B1104" t="str">
        <f>"060645"</f>
        <v>060645</v>
      </c>
      <c r="C1104" t="str">
        <f>"69162"</f>
        <v>69162</v>
      </c>
      <c r="D1104" t="s">
        <v>450</v>
      </c>
      <c r="E1104" s="3">
        <v>26.3</v>
      </c>
      <c r="F1104">
        <v>20151009</v>
      </c>
      <c r="G1104" t="s">
        <v>310</v>
      </c>
      <c r="H1104" t="s">
        <v>333</v>
      </c>
      <c r="I1104">
        <v>0</v>
      </c>
      <c r="J1104" t="s">
        <v>289</v>
      </c>
      <c r="K1104" t="s">
        <v>290</v>
      </c>
      <c r="L1104" t="s">
        <v>285</v>
      </c>
      <c r="M1104" t="str">
        <f t="shared" si="64"/>
        <v>10</v>
      </c>
      <c r="N1104" t="s">
        <v>12</v>
      </c>
    </row>
    <row r="1105" spans="1:14" x14ac:dyDescent="0.25">
      <c r="A1105">
        <v>20151009</v>
      </c>
      <c r="B1105" t="str">
        <f>"060645"</f>
        <v>060645</v>
      </c>
      <c r="C1105" t="str">
        <f>"69162"</f>
        <v>69162</v>
      </c>
      <c r="D1105" t="s">
        <v>450</v>
      </c>
      <c r="E1105" s="3">
        <v>34.44</v>
      </c>
      <c r="F1105">
        <v>20151009</v>
      </c>
      <c r="G1105" t="s">
        <v>310</v>
      </c>
      <c r="H1105" t="s">
        <v>451</v>
      </c>
      <c r="I1105">
        <v>0</v>
      </c>
      <c r="J1105" t="s">
        <v>289</v>
      </c>
      <c r="K1105" t="s">
        <v>290</v>
      </c>
      <c r="L1105" t="s">
        <v>285</v>
      </c>
      <c r="M1105" t="str">
        <f t="shared" si="64"/>
        <v>10</v>
      </c>
      <c r="N1105" t="s">
        <v>12</v>
      </c>
    </row>
    <row r="1106" spans="1:14" x14ac:dyDescent="0.25">
      <c r="A1106">
        <v>20151009</v>
      </c>
      <c r="B1106" t="str">
        <f>"060647"</f>
        <v>060647</v>
      </c>
      <c r="C1106" t="str">
        <f>"73646"</f>
        <v>73646</v>
      </c>
      <c r="D1106" t="s">
        <v>452</v>
      </c>
      <c r="E1106" s="3">
        <v>85.29</v>
      </c>
      <c r="F1106">
        <v>20151009</v>
      </c>
      <c r="G1106" t="s">
        <v>409</v>
      </c>
      <c r="H1106" t="s">
        <v>415</v>
      </c>
      <c r="I1106">
        <v>0</v>
      </c>
      <c r="J1106" t="s">
        <v>289</v>
      </c>
      <c r="K1106" t="s">
        <v>95</v>
      </c>
      <c r="L1106" t="s">
        <v>285</v>
      </c>
      <c r="M1106" t="str">
        <f t="shared" si="64"/>
        <v>10</v>
      </c>
      <c r="N1106" t="s">
        <v>12</v>
      </c>
    </row>
    <row r="1107" spans="1:14" x14ac:dyDescent="0.25">
      <c r="A1107">
        <v>20151009</v>
      </c>
      <c r="B1107" t="str">
        <f>"060649"</f>
        <v>060649</v>
      </c>
      <c r="C1107" t="str">
        <f>"74131"</f>
        <v>74131</v>
      </c>
      <c r="D1107" t="s">
        <v>453</v>
      </c>
      <c r="E1107" s="3">
        <v>1250</v>
      </c>
      <c r="F1107">
        <v>20151009</v>
      </c>
      <c r="G1107" t="s">
        <v>454</v>
      </c>
      <c r="H1107" t="s">
        <v>455</v>
      </c>
      <c r="I1107">
        <v>0</v>
      </c>
      <c r="J1107" t="s">
        <v>289</v>
      </c>
      <c r="K1107" t="s">
        <v>290</v>
      </c>
      <c r="L1107" t="s">
        <v>285</v>
      </c>
      <c r="M1107" t="str">
        <f t="shared" si="64"/>
        <v>10</v>
      </c>
      <c r="N1107" t="s">
        <v>12</v>
      </c>
    </row>
    <row r="1108" spans="1:14" x14ac:dyDescent="0.25">
      <c r="A1108">
        <v>20151009</v>
      </c>
      <c r="B1108" t="str">
        <f>"060650"</f>
        <v>060650</v>
      </c>
      <c r="C1108" t="str">
        <f>"74240"</f>
        <v>74240</v>
      </c>
      <c r="D1108" t="s">
        <v>456</v>
      </c>
      <c r="E1108" s="3">
        <v>275</v>
      </c>
      <c r="F1108">
        <v>20151009</v>
      </c>
      <c r="G1108" t="s">
        <v>457</v>
      </c>
      <c r="H1108" t="s">
        <v>300</v>
      </c>
      <c r="I1108">
        <v>0</v>
      </c>
      <c r="J1108" t="s">
        <v>289</v>
      </c>
      <c r="K1108" t="s">
        <v>290</v>
      </c>
      <c r="L1108" t="s">
        <v>285</v>
      </c>
      <c r="M1108" t="str">
        <f t="shared" si="64"/>
        <v>10</v>
      </c>
      <c r="N1108" t="s">
        <v>12</v>
      </c>
    </row>
    <row r="1109" spans="1:14" x14ac:dyDescent="0.25">
      <c r="A1109">
        <v>20151009</v>
      </c>
      <c r="B1109" t="str">
        <f>"060656"</f>
        <v>060656</v>
      </c>
      <c r="C1109" t="str">
        <f>"78311"</f>
        <v>78311</v>
      </c>
      <c r="D1109" t="s">
        <v>458</v>
      </c>
      <c r="E1109" s="3">
        <v>19.079999999999998</v>
      </c>
      <c r="F1109">
        <v>20151009</v>
      </c>
      <c r="G1109" t="s">
        <v>310</v>
      </c>
      <c r="H1109" t="s">
        <v>311</v>
      </c>
      <c r="I1109">
        <v>0</v>
      </c>
      <c r="J1109" t="s">
        <v>289</v>
      </c>
      <c r="K1109" t="s">
        <v>290</v>
      </c>
      <c r="L1109" t="s">
        <v>285</v>
      </c>
      <c r="M1109" t="str">
        <f t="shared" si="64"/>
        <v>10</v>
      </c>
      <c r="N1109" t="s">
        <v>12</v>
      </c>
    </row>
    <row r="1110" spans="1:14" x14ac:dyDescent="0.25">
      <c r="A1110">
        <v>20151009</v>
      </c>
      <c r="B1110" t="str">
        <f>"060661"</f>
        <v>060661</v>
      </c>
      <c r="C1110" t="str">
        <f>"80523"</f>
        <v>80523</v>
      </c>
      <c r="D1110" t="s">
        <v>459</v>
      </c>
      <c r="E1110" s="3">
        <v>51.19</v>
      </c>
      <c r="F1110">
        <v>20151009</v>
      </c>
      <c r="G1110" t="s">
        <v>310</v>
      </c>
      <c r="H1110" t="s">
        <v>311</v>
      </c>
      <c r="I1110">
        <v>0</v>
      </c>
      <c r="J1110" t="s">
        <v>289</v>
      </c>
      <c r="K1110" t="s">
        <v>290</v>
      </c>
      <c r="L1110" t="s">
        <v>285</v>
      </c>
      <c r="M1110" t="str">
        <f t="shared" si="64"/>
        <v>10</v>
      </c>
      <c r="N1110" t="s">
        <v>12</v>
      </c>
    </row>
    <row r="1111" spans="1:14" x14ac:dyDescent="0.25">
      <c r="A1111">
        <v>20151009</v>
      </c>
      <c r="B1111" t="str">
        <f t="shared" ref="B1111:B1127" si="65">"060668"</f>
        <v>060668</v>
      </c>
      <c r="C1111" t="str">
        <f t="shared" ref="C1111:C1127" si="66">"84370"</f>
        <v>84370</v>
      </c>
      <c r="D1111" t="s">
        <v>329</v>
      </c>
      <c r="E1111" s="3">
        <v>180.05</v>
      </c>
      <c r="F1111">
        <v>20151009</v>
      </c>
      <c r="G1111" t="s">
        <v>380</v>
      </c>
      <c r="H1111" t="s">
        <v>374</v>
      </c>
      <c r="I1111">
        <v>0</v>
      </c>
      <c r="J1111" t="s">
        <v>289</v>
      </c>
      <c r="K1111" t="s">
        <v>290</v>
      </c>
      <c r="L1111" t="s">
        <v>285</v>
      </c>
      <c r="M1111" t="str">
        <f t="shared" si="64"/>
        <v>10</v>
      </c>
      <c r="N1111" t="s">
        <v>12</v>
      </c>
    </row>
    <row r="1112" spans="1:14" x14ac:dyDescent="0.25">
      <c r="A1112">
        <v>20151009</v>
      </c>
      <c r="B1112" t="str">
        <f t="shared" si="65"/>
        <v>060668</v>
      </c>
      <c r="C1112" t="str">
        <f t="shared" si="66"/>
        <v>84370</v>
      </c>
      <c r="D1112" t="s">
        <v>329</v>
      </c>
      <c r="E1112" s="3">
        <v>50.32</v>
      </c>
      <c r="F1112">
        <v>20151009</v>
      </c>
      <c r="G1112" t="s">
        <v>460</v>
      </c>
      <c r="H1112" t="s">
        <v>292</v>
      </c>
      <c r="I1112">
        <v>0</v>
      </c>
      <c r="J1112" t="s">
        <v>289</v>
      </c>
      <c r="K1112" t="s">
        <v>95</v>
      </c>
      <c r="L1112" t="s">
        <v>285</v>
      </c>
      <c r="M1112" t="str">
        <f t="shared" si="64"/>
        <v>10</v>
      </c>
      <c r="N1112" t="s">
        <v>12</v>
      </c>
    </row>
    <row r="1113" spans="1:14" x14ac:dyDescent="0.25">
      <c r="A1113">
        <v>20151009</v>
      </c>
      <c r="B1113" t="str">
        <f t="shared" si="65"/>
        <v>060668</v>
      </c>
      <c r="C1113" t="str">
        <f t="shared" si="66"/>
        <v>84370</v>
      </c>
      <c r="D1113" t="s">
        <v>329</v>
      </c>
      <c r="E1113" s="3">
        <v>86.6</v>
      </c>
      <c r="F1113">
        <v>20151009</v>
      </c>
      <c r="G1113" t="s">
        <v>460</v>
      </c>
      <c r="H1113" t="s">
        <v>461</v>
      </c>
      <c r="I1113">
        <v>0</v>
      </c>
      <c r="J1113" t="s">
        <v>289</v>
      </c>
      <c r="K1113" t="s">
        <v>95</v>
      </c>
      <c r="L1113" t="s">
        <v>285</v>
      </c>
      <c r="M1113" t="str">
        <f t="shared" si="64"/>
        <v>10</v>
      </c>
      <c r="N1113" t="s">
        <v>12</v>
      </c>
    </row>
    <row r="1114" spans="1:14" x14ac:dyDescent="0.25">
      <c r="A1114">
        <v>20151009</v>
      </c>
      <c r="B1114" t="str">
        <f t="shared" si="65"/>
        <v>060668</v>
      </c>
      <c r="C1114" t="str">
        <f t="shared" si="66"/>
        <v>84370</v>
      </c>
      <c r="D1114" t="s">
        <v>329</v>
      </c>
      <c r="E1114" s="3">
        <v>98.66</v>
      </c>
      <c r="F1114">
        <v>20151009</v>
      </c>
      <c r="G1114" t="s">
        <v>460</v>
      </c>
      <c r="H1114" t="s">
        <v>374</v>
      </c>
      <c r="I1114">
        <v>0</v>
      </c>
      <c r="J1114" t="s">
        <v>289</v>
      </c>
      <c r="K1114" t="s">
        <v>95</v>
      </c>
      <c r="L1114" t="s">
        <v>285</v>
      </c>
      <c r="M1114" t="str">
        <f t="shared" si="64"/>
        <v>10</v>
      </c>
      <c r="N1114" t="s">
        <v>12</v>
      </c>
    </row>
    <row r="1115" spans="1:14" x14ac:dyDescent="0.25">
      <c r="A1115">
        <v>20151009</v>
      </c>
      <c r="B1115" t="str">
        <f t="shared" si="65"/>
        <v>060668</v>
      </c>
      <c r="C1115" t="str">
        <f t="shared" si="66"/>
        <v>84370</v>
      </c>
      <c r="D1115" t="s">
        <v>329</v>
      </c>
      <c r="E1115" s="3">
        <v>367.72</v>
      </c>
      <c r="F1115">
        <v>20151009</v>
      </c>
      <c r="G1115" t="s">
        <v>331</v>
      </c>
      <c r="H1115" t="s">
        <v>462</v>
      </c>
      <c r="I1115">
        <v>0</v>
      </c>
      <c r="J1115" t="s">
        <v>289</v>
      </c>
      <c r="K1115" t="s">
        <v>290</v>
      </c>
      <c r="L1115" t="s">
        <v>285</v>
      </c>
      <c r="M1115" t="str">
        <f t="shared" si="64"/>
        <v>10</v>
      </c>
      <c r="N1115" t="s">
        <v>12</v>
      </c>
    </row>
    <row r="1116" spans="1:14" x14ac:dyDescent="0.25">
      <c r="A1116">
        <v>20151009</v>
      </c>
      <c r="B1116" t="str">
        <f t="shared" si="65"/>
        <v>060668</v>
      </c>
      <c r="C1116" t="str">
        <f t="shared" si="66"/>
        <v>84370</v>
      </c>
      <c r="D1116" t="s">
        <v>329</v>
      </c>
      <c r="E1116" s="3">
        <v>304.32</v>
      </c>
      <c r="F1116">
        <v>20151009</v>
      </c>
      <c r="G1116" t="s">
        <v>331</v>
      </c>
      <c r="H1116" t="s">
        <v>463</v>
      </c>
      <c r="I1116">
        <v>0</v>
      </c>
      <c r="J1116" t="s">
        <v>289</v>
      </c>
      <c r="K1116" t="s">
        <v>290</v>
      </c>
      <c r="L1116" t="s">
        <v>285</v>
      </c>
      <c r="M1116" t="str">
        <f t="shared" si="64"/>
        <v>10</v>
      </c>
      <c r="N1116" t="s">
        <v>12</v>
      </c>
    </row>
    <row r="1117" spans="1:14" x14ac:dyDescent="0.25">
      <c r="A1117">
        <v>20151009</v>
      </c>
      <c r="B1117" t="str">
        <f t="shared" si="65"/>
        <v>060668</v>
      </c>
      <c r="C1117" t="str">
        <f t="shared" si="66"/>
        <v>84370</v>
      </c>
      <c r="D1117" t="s">
        <v>329</v>
      </c>
      <c r="E1117" s="3">
        <v>460.52</v>
      </c>
      <c r="F1117">
        <v>20151009</v>
      </c>
      <c r="G1117" t="s">
        <v>331</v>
      </c>
      <c r="H1117" t="s">
        <v>451</v>
      </c>
      <c r="I1117">
        <v>0</v>
      </c>
      <c r="J1117" t="s">
        <v>289</v>
      </c>
      <c r="K1117" t="s">
        <v>290</v>
      </c>
      <c r="L1117" t="s">
        <v>285</v>
      </c>
      <c r="M1117" t="str">
        <f t="shared" si="64"/>
        <v>10</v>
      </c>
      <c r="N1117" t="s">
        <v>12</v>
      </c>
    </row>
    <row r="1118" spans="1:14" x14ac:dyDescent="0.25">
      <c r="A1118">
        <v>20151009</v>
      </c>
      <c r="B1118" t="str">
        <f t="shared" si="65"/>
        <v>060668</v>
      </c>
      <c r="C1118" t="str">
        <f t="shared" si="66"/>
        <v>84370</v>
      </c>
      <c r="D1118" t="s">
        <v>329</v>
      </c>
      <c r="E1118" s="3">
        <v>373.76</v>
      </c>
      <c r="F1118">
        <v>20151009</v>
      </c>
      <c r="G1118" t="s">
        <v>464</v>
      </c>
      <c r="H1118" t="s">
        <v>465</v>
      </c>
      <c r="I1118">
        <v>0</v>
      </c>
      <c r="J1118" t="s">
        <v>289</v>
      </c>
      <c r="K1118" t="s">
        <v>95</v>
      </c>
      <c r="L1118" t="s">
        <v>285</v>
      </c>
      <c r="M1118" t="str">
        <f t="shared" si="64"/>
        <v>10</v>
      </c>
      <c r="N1118" t="s">
        <v>12</v>
      </c>
    </row>
    <row r="1119" spans="1:14" x14ac:dyDescent="0.25">
      <c r="A1119">
        <v>20151009</v>
      </c>
      <c r="B1119" t="str">
        <f t="shared" si="65"/>
        <v>060668</v>
      </c>
      <c r="C1119" t="str">
        <f t="shared" si="66"/>
        <v>84370</v>
      </c>
      <c r="D1119" t="s">
        <v>329</v>
      </c>
      <c r="E1119" s="3">
        <v>344.56</v>
      </c>
      <c r="F1119">
        <v>20151009</v>
      </c>
      <c r="G1119" t="s">
        <v>464</v>
      </c>
      <c r="H1119" t="s">
        <v>466</v>
      </c>
      <c r="I1119">
        <v>0</v>
      </c>
      <c r="J1119" t="s">
        <v>289</v>
      </c>
      <c r="K1119" t="s">
        <v>95</v>
      </c>
      <c r="L1119" t="s">
        <v>285</v>
      </c>
      <c r="M1119" t="str">
        <f t="shared" ref="M1119:M1150" si="67">"10"</f>
        <v>10</v>
      </c>
      <c r="N1119" t="s">
        <v>12</v>
      </c>
    </row>
    <row r="1120" spans="1:14" x14ac:dyDescent="0.25">
      <c r="A1120">
        <v>20151009</v>
      </c>
      <c r="B1120" t="str">
        <f t="shared" si="65"/>
        <v>060668</v>
      </c>
      <c r="C1120" t="str">
        <f t="shared" si="66"/>
        <v>84370</v>
      </c>
      <c r="D1120" t="s">
        <v>329</v>
      </c>
      <c r="E1120" s="3">
        <v>78.02</v>
      </c>
      <c r="F1120">
        <v>20151009</v>
      </c>
      <c r="G1120" t="s">
        <v>467</v>
      </c>
      <c r="H1120" t="s">
        <v>468</v>
      </c>
      <c r="I1120">
        <v>0</v>
      </c>
      <c r="J1120" t="s">
        <v>289</v>
      </c>
      <c r="K1120" t="s">
        <v>290</v>
      </c>
      <c r="L1120" t="s">
        <v>285</v>
      </c>
      <c r="M1120" t="str">
        <f t="shared" si="67"/>
        <v>10</v>
      </c>
      <c r="N1120" t="s">
        <v>12</v>
      </c>
    </row>
    <row r="1121" spans="1:14" x14ac:dyDescent="0.25">
      <c r="A1121">
        <v>20151009</v>
      </c>
      <c r="B1121" t="str">
        <f t="shared" si="65"/>
        <v>060668</v>
      </c>
      <c r="C1121" t="str">
        <f t="shared" si="66"/>
        <v>84370</v>
      </c>
      <c r="D1121" t="s">
        <v>329</v>
      </c>
      <c r="E1121" s="3">
        <v>85.86</v>
      </c>
      <c r="F1121">
        <v>20151009</v>
      </c>
      <c r="G1121" t="s">
        <v>467</v>
      </c>
      <c r="H1121" t="s">
        <v>469</v>
      </c>
      <c r="I1121">
        <v>0</v>
      </c>
      <c r="J1121" t="s">
        <v>289</v>
      </c>
      <c r="K1121" t="s">
        <v>290</v>
      </c>
      <c r="L1121" t="s">
        <v>285</v>
      </c>
      <c r="M1121" t="str">
        <f t="shared" si="67"/>
        <v>10</v>
      </c>
      <c r="N1121" t="s">
        <v>12</v>
      </c>
    </row>
    <row r="1122" spans="1:14" x14ac:dyDescent="0.25">
      <c r="A1122">
        <v>20151009</v>
      </c>
      <c r="B1122" t="str">
        <f t="shared" si="65"/>
        <v>060668</v>
      </c>
      <c r="C1122" t="str">
        <f t="shared" si="66"/>
        <v>84370</v>
      </c>
      <c r="D1122" t="s">
        <v>329</v>
      </c>
      <c r="E1122" s="3">
        <v>138.82</v>
      </c>
      <c r="F1122">
        <v>20151009</v>
      </c>
      <c r="G1122" t="s">
        <v>467</v>
      </c>
      <c r="H1122" t="s">
        <v>470</v>
      </c>
      <c r="I1122">
        <v>0</v>
      </c>
      <c r="J1122" t="s">
        <v>289</v>
      </c>
      <c r="K1122" t="s">
        <v>290</v>
      </c>
      <c r="L1122" t="s">
        <v>285</v>
      </c>
      <c r="M1122" t="str">
        <f t="shared" si="67"/>
        <v>10</v>
      </c>
      <c r="N1122" t="s">
        <v>12</v>
      </c>
    </row>
    <row r="1123" spans="1:14" x14ac:dyDescent="0.25">
      <c r="A1123">
        <v>20151009</v>
      </c>
      <c r="B1123" t="str">
        <f t="shared" si="65"/>
        <v>060668</v>
      </c>
      <c r="C1123" t="str">
        <f t="shared" si="66"/>
        <v>84370</v>
      </c>
      <c r="D1123" t="s">
        <v>329</v>
      </c>
      <c r="E1123" s="3">
        <v>126.89</v>
      </c>
      <c r="F1123">
        <v>20151009</v>
      </c>
      <c r="G1123" t="s">
        <v>471</v>
      </c>
      <c r="H1123" t="s">
        <v>472</v>
      </c>
      <c r="I1123">
        <v>0</v>
      </c>
      <c r="J1123" t="s">
        <v>289</v>
      </c>
      <c r="K1123" t="s">
        <v>95</v>
      </c>
      <c r="L1123" t="s">
        <v>285</v>
      </c>
      <c r="M1123" t="str">
        <f t="shared" si="67"/>
        <v>10</v>
      </c>
      <c r="N1123" t="s">
        <v>12</v>
      </c>
    </row>
    <row r="1124" spans="1:14" x14ac:dyDescent="0.25">
      <c r="A1124">
        <v>20151009</v>
      </c>
      <c r="B1124" t="str">
        <f t="shared" si="65"/>
        <v>060668</v>
      </c>
      <c r="C1124" t="str">
        <f t="shared" si="66"/>
        <v>84370</v>
      </c>
      <c r="D1124" t="s">
        <v>329</v>
      </c>
      <c r="E1124" s="3">
        <v>189.74</v>
      </c>
      <c r="F1124">
        <v>20151009</v>
      </c>
      <c r="G1124" t="s">
        <v>353</v>
      </c>
      <c r="H1124" t="s">
        <v>473</v>
      </c>
      <c r="I1124">
        <v>0</v>
      </c>
      <c r="J1124" t="s">
        <v>289</v>
      </c>
      <c r="K1124" t="s">
        <v>290</v>
      </c>
      <c r="L1124" t="s">
        <v>285</v>
      </c>
      <c r="M1124" t="str">
        <f t="shared" si="67"/>
        <v>10</v>
      </c>
      <c r="N1124" t="s">
        <v>12</v>
      </c>
    </row>
    <row r="1125" spans="1:14" x14ac:dyDescent="0.25">
      <c r="A1125">
        <v>20151009</v>
      </c>
      <c r="B1125" t="str">
        <f t="shared" si="65"/>
        <v>060668</v>
      </c>
      <c r="C1125" t="str">
        <f t="shared" si="66"/>
        <v>84370</v>
      </c>
      <c r="D1125" t="s">
        <v>329</v>
      </c>
      <c r="E1125" s="3">
        <v>131.28</v>
      </c>
      <c r="F1125">
        <v>20151009</v>
      </c>
      <c r="G1125" t="s">
        <v>353</v>
      </c>
      <c r="H1125" t="s">
        <v>474</v>
      </c>
      <c r="I1125">
        <v>0</v>
      </c>
      <c r="J1125" t="s">
        <v>289</v>
      </c>
      <c r="K1125" t="s">
        <v>290</v>
      </c>
      <c r="L1125" t="s">
        <v>285</v>
      </c>
      <c r="M1125" t="str">
        <f t="shared" si="67"/>
        <v>10</v>
      </c>
      <c r="N1125" t="s">
        <v>12</v>
      </c>
    </row>
    <row r="1126" spans="1:14" x14ac:dyDescent="0.25">
      <c r="A1126">
        <v>20151009</v>
      </c>
      <c r="B1126" t="str">
        <f t="shared" si="65"/>
        <v>060668</v>
      </c>
      <c r="C1126" t="str">
        <f t="shared" si="66"/>
        <v>84370</v>
      </c>
      <c r="D1126" t="s">
        <v>329</v>
      </c>
      <c r="E1126" s="3">
        <v>134.15</v>
      </c>
      <c r="F1126">
        <v>20151009</v>
      </c>
      <c r="G1126" t="s">
        <v>381</v>
      </c>
      <c r="H1126" t="s">
        <v>475</v>
      </c>
      <c r="I1126">
        <v>0</v>
      </c>
      <c r="J1126" t="s">
        <v>289</v>
      </c>
      <c r="K1126" t="s">
        <v>95</v>
      </c>
      <c r="L1126" t="s">
        <v>285</v>
      </c>
      <c r="M1126" t="str">
        <f t="shared" si="67"/>
        <v>10</v>
      </c>
      <c r="N1126" t="s">
        <v>12</v>
      </c>
    </row>
    <row r="1127" spans="1:14" x14ac:dyDescent="0.25">
      <c r="A1127">
        <v>20151009</v>
      </c>
      <c r="B1127" t="str">
        <f t="shared" si="65"/>
        <v>060668</v>
      </c>
      <c r="C1127" t="str">
        <f t="shared" si="66"/>
        <v>84370</v>
      </c>
      <c r="D1127" t="s">
        <v>329</v>
      </c>
      <c r="E1127" s="3">
        <v>189.9</v>
      </c>
      <c r="F1127">
        <v>20151009</v>
      </c>
      <c r="G1127" t="s">
        <v>381</v>
      </c>
      <c r="H1127" t="s">
        <v>476</v>
      </c>
      <c r="I1127">
        <v>0</v>
      </c>
      <c r="J1127" t="s">
        <v>289</v>
      </c>
      <c r="K1127" t="s">
        <v>95</v>
      </c>
      <c r="L1127" t="s">
        <v>285</v>
      </c>
      <c r="M1127" t="str">
        <f t="shared" si="67"/>
        <v>10</v>
      </c>
      <c r="N1127" t="s">
        <v>12</v>
      </c>
    </row>
    <row r="1128" spans="1:14" x14ac:dyDescent="0.25">
      <c r="A1128">
        <v>20151009</v>
      </c>
      <c r="B1128" t="str">
        <f>"060669"</f>
        <v>060669</v>
      </c>
      <c r="C1128" t="str">
        <f>"84400"</f>
        <v>84400</v>
      </c>
      <c r="D1128" t="s">
        <v>477</v>
      </c>
      <c r="E1128" s="3">
        <v>90.44</v>
      </c>
      <c r="F1128">
        <v>20151009</v>
      </c>
      <c r="G1128" t="s">
        <v>338</v>
      </c>
      <c r="H1128" t="s">
        <v>421</v>
      </c>
      <c r="I1128">
        <v>0</v>
      </c>
      <c r="J1128" t="s">
        <v>289</v>
      </c>
      <c r="K1128" t="s">
        <v>290</v>
      </c>
      <c r="L1128" t="s">
        <v>285</v>
      </c>
      <c r="M1128" t="str">
        <f t="shared" si="67"/>
        <v>10</v>
      </c>
      <c r="N1128" t="s">
        <v>12</v>
      </c>
    </row>
    <row r="1129" spans="1:14" x14ac:dyDescent="0.25">
      <c r="A1129">
        <v>20151015</v>
      </c>
      <c r="B1129" t="str">
        <f>"060671"</f>
        <v>060671</v>
      </c>
      <c r="C1129" t="str">
        <f>"49959"</f>
        <v>49959</v>
      </c>
      <c r="D1129" t="s">
        <v>361</v>
      </c>
      <c r="E1129" s="3">
        <v>128</v>
      </c>
      <c r="F1129">
        <v>20151015</v>
      </c>
      <c r="G1129" t="s">
        <v>336</v>
      </c>
      <c r="H1129" t="s">
        <v>301</v>
      </c>
      <c r="I1129">
        <v>0</v>
      </c>
      <c r="J1129" t="s">
        <v>289</v>
      </c>
      <c r="K1129" t="s">
        <v>290</v>
      </c>
      <c r="L1129" t="s">
        <v>285</v>
      </c>
      <c r="M1129" t="str">
        <f t="shared" si="67"/>
        <v>10</v>
      </c>
      <c r="N1129" t="s">
        <v>12</v>
      </c>
    </row>
    <row r="1130" spans="1:14" x14ac:dyDescent="0.25">
      <c r="A1130">
        <v>20151016</v>
      </c>
      <c r="B1130" t="str">
        <f>"060675"</f>
        <v>060675</v>
      </c>
      <c r="C1130" t="str">
        <f>"03857"</f>
        <v>03857</v>
      </c>
      <c r="D1130" t="s">
        <v>478</v>
      </c>
      <c r="E1130" s="3">
        <v>90</v>
      </c>
      <c r="F1130">
        <v>20151015</v>
      </c>
      <c r="G1130" t="s">
        <v>336</v>
      </c>
      <c r="H1130" t="s">
        <v>301</v>
      </c>
      <c r="I1130">
        <v>0</v>
      </c>
      <c r="J1130" t="s">
        <v>289</v>
      </c>
      <c r="K1130" t="s">
        <v>290</v>
      </c>
      <c r="L1130" t="s">
        <v>285</v>
      </c>
      <c r="M1130" t="str">
        <f t="shared" si="67"/>
        <v>10</v>
      </c>
      <c r="N1130" t="s">
        <v>12</v>
      </c>
    </row>
    <row r="1131" spans="1:14" x14ac:dyDescent="0.25">
      <c r="A1131">
        <v>20151016</v>
      </c>
      <c r="B1131" t="str">
        <f>"060685"</f>
        <v>060685</v>
      </c>
      <c r="C1131" t="str">
        <f>"11385"</f>
        <v>11385</v>
      </c>
      <c r="D1131" t="s">
        <v>296</v>
      </c>
      <c r="E1131" s="3">
        <v>5000</v>
      </c>
      <c r="F1131">
        <v>20151015</v>
      </c>
      <c r="G1131" t="s">
        <v>299</v>
      </c>
      <c r="H1131" t="s">
        <v>479</v>
      </c>
      <c r="I1131">
        <v>0</v>
      </c>
      <c r="J1131" t="s">
        <v>289</v>
      </c>
      <c r="K1131" t="s">
        <v>235</v>
      </c>
      <c r="L1131" t="s">
        <v>285</v>
      </c>
      <c r="M1131" t="str">
        <f t="shared" si="67"/>
        <v>10</v>
      </c>
      <c r="N1131" t="s">
        <v>12</v>
      </c>
    </row>
    <row r="1132" spans="1:14" x14ac:dyDescent="0.25">
      <c r="A1132">
        <v>20151016</v>
      </c>
      <c r="B1132" t="str">
        <f>"060687"</f>
        <v>060687</v>
      </c>
      <c r="C1132" t="str">
        <f>"08788"</f>
        <v>08788</v>
      </c>
      <c r="D1132" t="s">
        <v>302</v>
      </c>
      <c r="E1132" s="3">
        <v>60</v>
      </c>
      <c r="F1132">
        <v>20151016</v>
      </c>
      <c r="G1132" t="s">
        <v>303</v>
      </c>
      <c r="H1132" t="s">
        <v>480</v>
      </c>
      <c r="I1132">
        <v>0</v>
      </c>
      <c r="J1132" t="s">
        <v>289</v>
      </c>
      <c r="K1132" t="s">
        <v>235</v>
      </c>
      <c r="L1132" t="s">
        <v>285</v>
      </c>
      <c r="M1132" t="str">
        <f t="shared" si="67"/>
        <v>10</v>
      </c>
      <c r="N1132" t="s">
        <v>12</v>
      </c>
    </row>
    <row r="1133" spans="1:14" x14ac:dyDescent="0.25">
      <c r="A1133">
        <v>20151016</v>
      </c>
      <c r="B1133" t="str">
        <f>"060687"</f>
        <v>060687</v>
      </c>
      <c r="C1133" t="str">
        <f>"08788"</f>
        <v>08788</v>
      </c>
      <c r="D1133" t="s">
        <v>302</v>
      </c>
      <c r="E1133" s="3">
        <v>1443.38</v>
      </c>
      <c r="F1133">
        <v>20151015</v>
      </c>
      <c r="G1133" t="s">
        <v>481</v>
      </c>
      <c r="H1133" t="s">
        <v>482</v>
      </c>
      <c r="I1133">
        <v>0</v>
      </c>
      <c r="J1133" t="s">
        <v>289</v>
      </c>
      <c r="K1133" t="s">
        <v>290</v>
      </c>
      <c r="L1133" t="s">
        <v>285</v>
      </c>
      <c r="M1133" t="str">
        <f t="shared" si="67"/>
        <v>10</v>
      </c>
      <c r="N1133" t="s">
        <v>12</v>
      </c>
    </row>
    <row r="1134" spans="1:14" x14ac:dyDescent="0.25">
      <c r="A1134">
        <v>20151016</v>
      </c>
      <c r="B1134" t="str">
        <f>"060689"</f>
        <v>060689</v>
      </c>
      <c r="C1134" t="str">
        <f>"14179"</f>
        <v>14179</v>
      </c>
      <c r="D1134" t="s">
        <v>483</v>
      </c>
      <c r="E1134" s="3">
        <v>90</v>
      </c>
      <c r="F1134">
        <v>20151015</v>
      </c>
      <c r="G1134" t="s">
        <v>336</v>
      </c>
      <c r="H1134" t="s">
        <v>301</v>
      </c>
      <c r="I1134">
        <v>0</v>
      </c>
      <c r="J1134" t="s">
        <v>289</v>
      </c>
      <c r="K1134" t="s">
        <v>290</v>
      </c>
      <c r="L1134" t="s">
        <v>285</v>
      </c>
      <c r="M1134" t="str">
        <f t="shared" si="67"/>
        <v>10</v>
      </c>
      <c r="N1134" t="s">
        <v>12</v>
      </c>
    </row>
    <row r="1135" spans="1:14" x14ac:dyDescent="0.25">
      <c r="A1135">
        <v>20151016</v>
      </c>
      <c r="B1135" t="str">
        <f>"060693"</f>
        <v>060693</v>
      </c>
      <c r="C1135" t="str">
        <f>"19230"</f>
        <v>19230</v>
      </c>
      <c r="D1135" t="s">
        <v>408</v>
      </c>
      <c r="E1135" s="3">
        <v>90</v>
      </c>
      <c r="F1135">
        <v>20151015</v>
      </c>
      <c r="G1135" t="s">
        <v>336</v>
      </c>
      <c r="H1135" t="s">
        <v>301</v>
      </c>
      <c r="I1135">
        <v>0</v>
      </c>
      <c r="J1135" t="s">
        <v>289</v>
      </c>
      <c r="K1135" t="s">
        <v>290</v>
      </c>
      <c r="L1135" t="s">
        <v>285</v>
      </c>
      <c r="M1135" t="str">
        <f t="shared" si="67"/>
        <v>10</v>
      </c>
      <c r="N1135" t="s">
        <v>12</v>
      </c>
    </row>
    <row r="1136" spans="1:14" x14ac:dyDescent="0.25">
      <c r="A1136">
        <v>20151016</v>
      </c>
      <c r="B1136" t="str">
        <f>"060696"</f>
        <v>060696</v>
      </c>
      <c r="C1136" t="str">
        <f>"22120"</f>
        <v>22120</v>
      </c>
      <c r="D1136" t="s">
        <v>484</v>
      </c>
      <c r="E1136" s="3">
        <v>250</v>
      </c>
      <c r="F1136">
        <v>20151015</v>
      </c>
      <c r="G1136" t="s">
        <v>485</v>
      </c>
      <c r="H1136" t="s">
        <v>486</v>
      </c>
      <c r="I1136">
        <v>0</v>
      </c>
      <c r="J1136" t="s">
        <v>289</v>
      </c>
      <c r="K1136" t="s">
        <v>290</v>
      </c>
      <c r="L1136" t="s">
        <v>285</v>
      </c>
      <c r="M1136" t="str">
        <f t="shared" si="67"/>
        <v>10</v>
      </c>
      <c r="N1136" t="s">
        <v>12</v>
      </c>
    </row>
    <row r="1137" spans="1:14" x14ac:dyDescent="0.25">
      <c r="A1137">
        <v>20151016</v>
      </c>
      <c r="B1137" t="str">
        <f>"060696"</f>
        <v>060696</v>
      </c>
      <c r="C1137" t="str">
        <f>"22120"</f>
        <v>22120</v>
      </c>
      <c r="D1137" t="s">
        <v>484</v>
      </c>
      <c r="E1137" s="3">
        <v>-250</v>
      </c>
      <c r="F1137">
        <v>20151106</v>
      </c>
      <c r="G1137" t="s">
        <v>485</v>
      </c>
      <c r="H1137" t="s">
        <v>214</v>
      </c>
      <c r="I1137">
        <v>0</v>
      </c>
      <c r="J1137" t="s">
        <v>289</v>
      </c>
      <c r="K1137" t="s">
        <v>290</v>
      </c>
      <c r="L1137" t="s">
        <v>17</v>
      </c>
      <c r="M1137" t="str">
        <f t="shared" si="67"/>
        <v>10</v>
      </c>
      <c r="N1137" t="s">
        <v>12</v>
      </c>
    </row>
    <row r="1138" spans="1:14" x14ac:dyDescent="0.25">
      <c r="A1138">
        <v>20151016</v>
      </c>
      <c r="B1138" t="str">
        <f>"060697"</f>
        <v>060697</v>
      </c>
      <c r="C1138" t="str">
        <f>"20433"</f>
        <v>20433</v>
      </c>
      <c r="D1138" t="s">
        <v>413</v>
      </c>
      <c r="E1138" s="3">
        <v>45</v>
      </c>
      <c r="F1138">
        <v>20151015</v>
      </c>
      <c r="G1138" t="s">
        <v>336</v>
      </c>
      <c r="H1138" t="s">
        <v>301</v>
      </c>
      <c r="I1138">
        <v>0</v>
      </c>
      <c r="J1138" t="s">
        <v>289</v>
      </c>
      <c r="K1138" t="s">
        <v>290</v>
      </c>
      <c r="L1138" t="s">
        <v>285</v>
      </c>
      <c r="M1138" t="str">
        <f t="shared" si="67"/>
        <v>10</v>
      </c>
      <c r="N1138" t="s">
        <v>12</v>
      </c>
    </row>
    <row r="1139" spans="1:14" x14ac:dyDescent="0.25">
      <c r="A1139">
        <v>20151016</v>
      </c>
      <c r="B1139" t="str">
        <f>"060699"</f>
        <v>060699</v>
      </c>
      <c r="C1139" t="str">
        <f>"20648"</f>
        <v>20648</v>
      </c>
      <c r="D1139" t="s">
        <v>417</v>
      </c>
      <c r="E1139" s="3">
        <v>104.88</v>
      </c>
      <c r="F1139">
        <v>20151015</v>
      </c>
      <c r="G1139" t="s">
        <v>338</v>
      </c>
      <c r="H1139" t="s">
        <v>487</v>
      </c>
      <c r="I1139">
        <v>0</v>
      </c>
      <c r="J1139" t="s">
        <v>289</v>
      </c>
      <c r="K1139" t="s">
        <v>290</v>
      </c>
      <c r="L1139" t="s">
        <v>285</v>
      </c>
      <c r="M1139" t="str">
        <f t="shared" si="67"/>
        <v>10</v>
      </c>
      <c r="N1139" t="s">
        <v>12</v>
      </c>
    </row>
    <row r="1140" spans="1:14" x14ac:dyDescent="0.25">
      <c r="A1140">
        <v>20151016</v>
      </c>
      <c r="B1140" t="str">
        <f>"060701"</f>
        <v>060701</v>
      </c>
      <c r="C1140" t="str">
        <f>"21060"</f>
        <v>21060</v>
      </c>
      <c r="D1140" t="s">
        <v>344</v>
      </c>
      <c r="E1140" s="3">
        <v>74.849999999999994</v>
      </c>
      <c r="F1140">
        <v>20151015</v>
      </c>
      <c r="G1140" t="s">
        <v>345</v>
      </c>
      <c r="H1140" t="s">
        <v>488</v>
      </c>
      <c r="I1140">
        <v>0</v>
      </c>
      <c r="J1140" t="s">
        <v>289</v>
      </c>
      <c r="K1140" t="s">
        <v>95</v>
      </c>
      <c r="L1140" t="s">
        <v>285</v>
      </c>
      <c r="M1140" t="str">
        <f t="shared" si="67"/>
        <v>10</v>
      </c>
      <c r="N1140" t="s">
        <v>12</v>
      </c>
    </row>
    <row r="1141" spans="1:14" x14ac:dyDescent="0.25">
      <c r="A1141">
        <v>20151016</v>
      </c>
      <c r="B1141" t="str">
        <f>"060702"</f>
        <v>060702</v>
      </c>
      <c r="C1141" t="str">
        <f>"21082"</f>
        <v>21082</v>
      </c>
      <c r="D1141" t="s">
        <v>489</v>
      </c>
      <c r="E1141" s="3">
        <v>200</v>
      </c>
      <c r="F1141">
        <v>20151015</v>
      </c>
      <c r="G1141" t="s">
        <v>490</v>
      </c>
      <c r="H1141" t="s">
        <v>491</v>
      </c>
      <c r="I1141">
        <v>0</v>
      </c>
      <c r="J1141" t="s">
        <v>289</v>
      </c>
      <c r="K1141" t="s">
        <v>290</v>
      </c>
      <c r="L1141" t="s">
        <v>285</v>
      </c>
      <c r="M1141" t="str">
        <f t="shared" si="67"/>
        <v>10</v>
      </c>
      <c r="N1141" t="s">
        <v>12</v>
      </c>
    </row>
    <row r="1142" spans="1:14" x14ac:dyDescent="0.25">
      <c r="A1142">
        <v>20151016</v>
      </c>
      <c r="B1142" t="str">
        <f>"060707"</f>
        <v>060707</v>
      </c>
      <c r="C1142" t="str">
        <f>"23676"</f>
        <v>23676</v>
      </c>
      <c r="D1142" t="s">
        <v>347</v>
      </c>
      <c r="E1142" s="3">
        <v>128</v>
      </c>
      <c r="F1142">
        <v>20151015</v>
      </c>
      <c r="G1142" t="s">
        <v>336</v>
      </c>
      <c r="H1142" t="s">
        <v>301</v>
      </c>
      <c r="I1142">
        <v>0</v>
      </c>
      <c r="J1142" t="s">
        <v>289</v>
      </c>
      <c r="K1142" t="s">
        <v>290</v>
      </c>
      <c r="L1142" t="s">
        <v>285</v>
      </c>
      <c r="M1142" t="str">
        <f t="shared" si="67"/>
        <v>10</v>
      </c>
      <c r="N1142" t="s">
        <v>12</v>
      </c>
    </row>
    <row r="1143" spans="1:14" x14ac:dyDescent="0.25">
      <c r="A1143">
        <v>20151016</v>
      </c>
      <c r="B1143" t="str">
        <f>"060720"</f>
        <v>060720</v>
      </c>
      <c r="C1143" t="str">
        <f>"28835"</f>
        <v>28835</v>
      </c>
      <c r="D1143" t="s">
        <v>492</v>
      </c>
      <c r="E1143" s="3">
        <v>90</v>
      </c>
      <c r="F1143">
        <v>20151015</v>
      </c>
      <c r="G1143" t="s">
        <v>336</v>
      </c>
      <c r="H1143" t="s">
        <v>301</v>
      </c>
      <c r="I1143">
        <v>0</v>
      </c>
      <c r="J1143" t="s">
        <v>289</v>
      </c>
      <c r="K1143" t="s">
        <v>290</v>
      </c>
      <c r="L1143" t="s">
        <v>285</v>
      </c>
      <c r="M1143" t="str">
        <f t="shared" si="67"/>
        <v>10</v>
      </c>
      <c r="N1143" t="s">
        <v>12</v>
      </c>
    </row>
    <row r="1144" spans="1:14" x14ac:dyDescent="0.25">
      <c r="A1144">
        <v>20151016</v>
      </c>
      <c r="B1144" t="str">
        <f>"060723"</f>
        <v>060723</v>
      </c>
      <c r="C1144" t="str">
        <f>"30118"</f>
        <v>30118</v>
      </c>
      <c r="D1144" t="s">
        <v>351</v>
      </c>
      <c r="E1144" s="3">
        <v>128</v>
      </c>
      <c r="F1144">
        <v>20151015</v>
      </c>
      <c r="G1144" t="s">
        <v>336</v>
      </c>
      <c r="H1144" t="s">
        <v>301</v>
      </c>
      <c r="I1144">
        <v>0</v>
      </c>
      <c r="J1144" t="s">
        <v>289</v>
      </c>
      <c r="K1144" t="s">
        <v>290</v>
      </c>
      <c r="L1144" t="s">
        <v>285</v>
      </c>
      <c r="M1144" t="str">
        <f t="shared" si="67"/>
        <v>10</v>
      </c>
      <c r="N1144" t="s">
        <v>12</v>
      </c>
    </row>
    <row r="1145" spans="1:14" x14ac:dyDescent="0.25">
      <c r="A1145">
        <v>20151016</v>
      </c>
      <c r="B1145" t="str">
        <f>"060725"</f>
        <v>060725</v>
      </c>
      <c r="C1145" t="str">
        <f>"31210"</f>
        <v>31210</v>
      </c>
      <c r="D1145" t="s">
        <v>493</v>
      </c>
      <c r="E1145" s="3">
        <v>90</v>
      </c>
      <c r="F1145">
        <v>20151015</v>
      </c>
      <c r="G1145" t="s">
        <v>336</v>
      </c>
      <c r="H1145" t="s">
        <v>301</v>
      </c>
      <c r="I1145">
        <v>0</v>
      </c>
      <c r="J1145" t="s">
        <v>289</v>
      </c>
      <c r="K1145" t="s">
        <v>290</v>
      </c>
      <c r="L1145" t="s">
        <v>285</v>
      </c>
      <c r="M1145" t="str">
        <f t="shared" si="67"/>
        <v>10</v>
      </c>
      <c r="N1145" t="s">
        <v>12</v>
      </c>
    </row>
    <row r="1146" spans="1:14" x14ac:dyDescent="0.25">
      <c r="A1146">
        <v>20151016</v>
      </c>
      <c r="B1146" t="str">
        <f>"060725"</f>
        <v>060725</v>
      </c>
      <c r="C1146" t="str">
        <f>"31210"</f>
        <v>31210</v>
      </c>
      <c r="D1146" t="s">
        <v>493</v>
      </c>
      <c r="E1146" s="3">
        <v>122.12</v>
      </c>
      <c r="F1146">
        <v>20151015</v>
      </c>
      <c r="G1146" t="s">
        <v>336</v>
      </c>
      <c r="H1146" t="s">
        <v>494</v>
      </c>
      <c r="I1146">
        <v>0</v>
      </c>
      <c r="J1146" t="s">
        <v>289</v>
      </c>
      <c r="K1146" t="s">
        <v>290</v>
      </c>
      <c r="L1146" t="s">
        <v>285</v>
      </c>
      <c r="M1146" t="str">
        <f t="shared" si="67"/>
        <v>10</v>
      </c>
      <c r="N1146" t="s">
        <v>12</v>
      </c>
    </row>
    <row r="1147" spans="1:14" x14ac:dyDescent="0.25">
      <c r="A1147">
        <v>20151016</v>
      </c>
      <c r="B1147" t="str">
        <f>"060726"</f>
        <v>060726</v>
      </c>
      <c r="C1147" t="str">
        <f>"31366"</f>
        <v>31366</v>
      </c>
      <c r="D1147" t="s">
        <v>495</v>
      </c>
      <c r="E1147" s="3">
        <v>105.28</v>
      </c>
      <c r="F1147">
        <v>20151015</v>
      </c>
      <c r="G1147" t="s">
        <v>338</v>
      </c>
      <c r="H1147" t="s">
        <v>487</v>
      </c>
      <c r="I1147">
        <v>0</v>
      </c>
      <c r="J1147" t="s">
        <v>289</v>
      </c>
      <c r="K1147" t="s">
        <v>290</v>
      </c>
      <c r="L1147" t="s">
        <v>285</v>
      </c>
      <c r="M1147" t="str">
        <f t="shared" si="67"/>
        <v>10</v>
      </c>
      <c r="N1147" t="s">
        <v>12</v>
      </c>
    </row>
    <row r="1148" spans="1:14" x14ac:dyDescent="0.25">
      <c r="A1148">
        <v>20151016</v>
      </c>
      <c r="B1148" t="str">
        <f>"060727"</f>
        <v>060727</v>
      </c>
      <c r="C1148" t="str">
        <f>"34949"</f>
        <v>34949</v>
      </c>
      <c r="D1148" t="s">
        <v>396</v>
      </c>
      <c r="E1148" s="3">
        <v>125</v>
      </c>
      <c r="F1148">
        <v>20151015</v>
      </c>
      <c r="G1148" t="s">
        <v>496</v>
      </c>
      <c r="H1148" t="s">
        <v>497</v>
      </c>
      <c r="I1148">
        <v>0</v>
      </c>
      <c r="J1148" t="s">
        <v>289</v>
      </c>
      <c r="K1148" t="s">
        <v>290</v>
      </c>
      <c r="L1148" t="s">
        <v>285</v>
      </c>
      <c r="M1148" t="str">
        <f t="shared" si="67"/>
        <v>10</v>
      </c>
      <c r="N1148" t="s">
        <v>12</v>
      </c>
    </row>
    <row r="1149" spans="1:14" x14ac:dyDescent="0.25">
      <c r="A1149">
        <v>20151016</v>
      </c>
      <c r="B1149" t="str">
        <f>"060732"</f>
        <v>060732</v>
      </c>
      <c r="C1149" t="str">
        <f>"37788"</f>
        <v>37788</v>
      </c>
      <c r="D1149" t="s">
        <v>498</v>
      </c>
      <c r="E1149" s="3">
        <v>149.72</v>
      </c>
      <c r="F1149">
        <v>20151015</v>
      </c>
      <c r="G1149" t="s">
        <v>336</v>
      </c>
      <c r="H1149" t="s">
        <v>301</v>
      </c>
      <c r="I1149">
        <v>0</v>
      </c>
      <c r="J1149" t="s">
        <v>289</v>
      </c>
      <c r="K1149" t="s">
        <v>290</v>
      </c>
      <c r="L1149" t="s">
        <v>285</v>
      </c>
      <c r="M1149" t="str">
        <f t="shared" si="67"/>
        <v>10</v>
      </c>
      <c r="N1149" t="s">
        <v>12</v>
      </c>
    </row>
    <row r="1150" spans="1:14" x14ac:dyDescent="0.25">
      <c r="A1150">
        <v>20151016</v>
      </c>
      <c r="B1150" t="str">
        <f>"060733"</f>
        <v>060733</v>
      </c>
      <c r="C1150" t="str">
        <f>"37790"</f>
        <v>37790</v>
      </c>
      <c r="D1150" t="s">
        <v>433</v>
      </c>
      <c r="E1150" s="3">
        <v>90</v>
      </c>
      <c r="F1150">
        <v>20151015</v>
      </c>
      <c r="G1150" t="s">
        <v>336</v>
      </c>
      <c r="H1150" t="s">
        <v>301</v>
      </c>
      <c r="I1150">
        <v>0</v>
      </c>
      <c r="J1150" t="s">
        <v>289</v>
      </c>
      <c r="K1150" t="s">
        <v>290</v>
      </c>
      <c r="L1150" t="s">
        <v>285</v>
      </c>
      <c r="M1150" t="str">
        <f t="shared" si="67"/>
        <v>10</v>
      </c>
      <c r="N1150" t="s">
        <v>12</v>
      </c>
    </row>
    <row r="1151" spans="1:14" x14ac:dyDescent="0.25">
      <c r="A1151">
        <v>20151016</v>
      </c>
      <c r="B1151" t="str">
        <f>"060734"</f>
        <v>060734</v>
      </c>
      <c r="C1151" t="str">
        <f>"39578"</f>
        <v>39578</v>
      </c>
      <c r="D1151" t="s">
        <v>499</v>
      </c>
      <c r="E1151" s="3">
        <v>90</v>
      </c>
      <c r="F1151">
        <v>20151015</v>
      </c>
      <c r="G1151" t="s">
        <v>336</v>
      </c>
      <c r="H1151" t="s">
        <v>301</v>
      </c>
      <c r="I1151">
        <v>0</v>
      </c>
      <c r="J1151" t="s">
        <v>289</v>
      </c>
      <c r="K1151" t="s">
        <v>290</v>
      </c>
      <c r="L1151" t="s">
        <v>285</v>
      </c>
      <c r="M1151" t="str">
        <f t="shared" ref="M1151:M1182" si="68">"10"</f>
        <v>10</v>
      </c>
      <c r="N1151" t="s">
        <v>12</v>
      </c>
    </row>
    <row r="1152" spans="1:14" x14ac:dyDescent="0.25">
      <c r="A1152">
        <v>20151016</v>
      </c>
      <c r="B1152" t="str">
        <f>"060742"</f>
        <v>060742</v>
      </c>
      <c r="C1152" t="str">
        <f>"46399"</f>
        <v>46399</v>
      </c>
      <c r="D1152" t="s">
        <v>439</v>
      </c>
      <c r="E1152" s="3">
        <v>120.37</v>
      </c>
      <c r="F1152">
        <v>20151016</v>
      </c>
      <c r="G1152" t="s">
        <v>336</v>
      </c>
      <c r="H1152" t="s">
        <v>494</v>
      </c>
      <c r="I1152">
        <v>0</v>
      </c>
      <c r="J1152" t="s">
        <v>289</v>
      </c>
      <c r="K1152" t="s">
        <v>290</v>
      </c>
      <c r="L1152" t="s">
        <v>285</v>
      </c>
      <c r="M1152" t="str">
        <f t="shared" si="68"/>
        <v>10</v>
      </c>
      <c r="N1152" t="s">
        <v>12</v>
      </c>
    </row>
    <row r="1153" spans="1:14" x14ac:dyDescent="0.25">
      <c r="A1153">
        <v>20151016</v>
      </c>
      <c r="B1153" t="str">
        <f>"060743"</f>
        <v>060743</v>
      </c>
      <c r="C1153" t="str">
        <f>"46425"</f>
        <v>46425</v>
      </c>
      <c r="D1153" t="s">
        <v>500</v>
      </c>
      <c r="E1153" s="3">
        <v>100</v>
      </c>
      <c r="F1153">
        <v>20151016</v>
      </c>
      <c r="G1153" t="s">
        <v>485</v>
      </c>
      <c r="H1153" t="s">
        <v>501</v>
      </c>
      <c r="I1153">
        <v>0</v>
      </c>
      <c r="J1153" t="s">
        <v>289</v>
      </c>
      <c r="K1153" t="s">
        <v>290</v>
      </c>
      <c r="L1153" t="s">
        <v>285</v>
      </c>
      <c r="M1153" t="str">
        <f t="shared" si="68"/>
        <v>10</v>
      </c>
      <c r="N1153" t="s">
        <v>12</v>
      </c>
    </row>
    <row r="1154" spans="1:14" x14ac:dyDescent="0.25">
      <c r="A1154">
        <v>20151016</v>
      </c>
      <c r="B1154" t="str">
        <f>"060745"</f>
        <v>060745</v>
      </c>
      <c r="C1154" t="str">
        <f>"48074"</f>
        <v>48074</v>
      </c>
      <c r="D1154" t="s">
        <v>502</v>
      </c>
      <c r="E1154" s="3">
        <v>78.91</v>
      </c>
      <c r="F1154">
        <v>20151016</v>
      </c>
      <c r="G1154" t="s">
        <v>338</v>
      </c>
      <c r="H1154" t="s">
        <v>487</v>
      </c>
      <c r="I1154">
        <v>0</v>
      </c>
      <c r="J1154" t="s">
        <v>289</v>
      </c>
      <c r="K1154" t="s">
        <v>290</v>
      </c>
      <c r="L1154" t="s">
        <v>285</v>
      </c>
      <c r="M1154" t="str">
        <f t="shared" si="68"/>
        <v>10</v>
      </c>
      <c r="N1154" t="s">
        <v>12</v>
      </c>
    </row>
    <row r="1155" spans="1:14" x14ac:dyDescent="0.25">
      <c r="A1155">
        <v>20151016</v>
      </c>
      <c r="B1155" t="str">
        <f>"060746"</f>
        <v>060746</v>
      </c>
      <c r="C1155" t="str">
        <f>"48960"</f>
        <v>48960</v>
      </c>
      <c r="D1155" t="s">
        <v>503</v>
      </c>
      <c r="E1155" s="3">
        <v>115</v>
      </c>
      <c r="F1155">
        <v>20151016</v>
      </c>
      <c r="G1155" t="s">
        <v>336</v>
      </c>
      <c r="H1155" t="s">
        <v>494</v>
      </c>
      <c r="I1155">
        <v>0</v>
      </c>
      <c r="J1155" t="s">
        <v>289</v>
      </c>
      <c r="K1155" t="s">
        <v>290</v>
      </c>
      <c r="L1155" t="s">
        <v>285</v>
      </c>
      <c r="M1155" t="str">
        <f t="shared" si="68"/>
        <v>10</v>
      </c>
      <c r="N1155" t="s">
        <v>12</v>
      </c>
    </row>
    <row r="1156" spans="1:14" x14ac:dyDescent="0.25">
      <c r="A1156">
        <v>20151016</v>
      </c>
      <c r="B1156" t="str">
        <f>"060753"</f>
        <v>060753</v>
      </c>
      <c r="C1156" t="str">
        <f>"55886"</f>
        <v>55886</v>
      </c>
      <c r="D1156" t="s">
        <v>504</v>
      </c>
      <c r="E1156" s="3">
        <v>88.4</v>
      </c>
      <c r="F1156">
        <v>20151016</v>
      </c>
      <c r="G1156" t="s">
        <v>310</v>
      </c>
      <c r="H1156" t="s">
        <v>505</v>
      </c>
      <c r="I1156">
        <v>0</v>
      </c>
      <c r="J1156" t="s">
        <v>289</v>
      </c>
      <c r="K1156" t="s">
        <v>290</v>
      </c>
      <c r="L1156" t="s">
        <v>285</v>
      </c>
      <c r="M1156" t="str">
        <f t="shared" si="68"/>
        <v>10</v>
      </c>
      <c r="N1156" t="s">
        <v>12</v>
      </c>
    </row>
    <row r="1157" spans="1:14" x14ac:dyDescent="0.25">
      <c r="A1157">
        <v>20151016</v>
      </c>
      <c r="B1157" t="str">
        <f>"060756"</f>
        <v>060756</v>
      </c>
      <c r="C1157" t="str">
        <f>"56571"</f>
        <v>56571</v>
      </c>
      <c r="D1157" t="s">
        <v>506</v>
      </c>
      <c r="E1157" s="3">
        <v>30</v>
      </c>
      <c r="F1157">
        <v>20151016</v>
      </c>
      <c r="G1157" t="s">
        <v>336</v>
      </c>
      <c r="H1157" t="s">
        <v>301</v>
      </c>
      <c r="I1157">
        <v>0</v>
      </c>
      <c r="J1157" t="s">
        <v>289</v>
      </c>
      <c r="K1157" t="s">
        <v>290</v>
      </c>
      <c r="L1157" t="s">
        <v>285</v>
      </c>
      <c r="M1157" t="str">
        <f t="shared" si="68"/>
        <v>10</v>
      </c>
      <c r="N1157" t="s">
        <v>12</v>
      </c>
    </row>
    <row r="1158" spans="1:14" x14ac:dyDescent="0.25">
      <c r="A1158">
        <v>20151016</v>
      </c>
      <c r="B1158" t="str">
        <f>"060759"</f>
        <v>060759</v>
      </c>
      <c r="C1158" t="str">
        <f>"57988"</f>
        <v>57988</v>
      </c>
      <c r="D1158" t="s">
        <v>390</v>
      </c>
      <c r="E1158" s="3">
        <v>78.72</v>
      </c>
      <c r="F1158">
        <v>20151016</v>
      </c>
      <c r="G1158" t="s">
        <v>338</v>
      </c>
      <c r="H1158" t="s">
        <v>487</v>
      </c>
      <c r="I1158">
        <v>0</v>
      </c>
      <c r="J1158" t="s">
        <v>289</v>
      </c>
      <c r="K1158" t="s">
        <v>290</v>
      </c>
      <c r="L1158" t="s">
        <v>285</v>
      </c>
      <c r="M1158" t="str">
        <f t="shared" si="68"/>
        <v>10</v>
      </c>
      <c r="N1158" t="s">
        <v>12</v>
      </c>
    </row>
    <row r="1159" spans="1:14" x14ac:dyDescent="0.25">
      <c r="A1159">
        <v>20151016</v>
      </c>
      <c r="B1159" t="str">
        <f>"060761"</f>
        <v>060761</v>
      </c>
      <c r="C1159" t="str">
        <f>"58207"</f>
        <v>58207</v>
      </c>
      <c r="D1159" t="s">
        <v>296</v>
      </c>
      <c r="E1159" s="3">
        <v>16.079999999999998</v>
      </c>
      <c r="F1159">
        <v>20151016</v>
      </c>
      <c r="G1159" t="s">
        <v>507</v>
      </c>
      <c r="H1159" t="s">
        <v>508</v>
      </c>
      <c r="I1159">
        <v>0</v>
      </c>
      <c r="J1159" t="s">
        <v>289</v>
      </c>
      <c r="K1159" t="s">
        <v>290</v>
      </c>
      <c r="L1159" t="s">
        <v>285</v>
      </c>
      <c r="M1159" t="str">
        <f t="shared" si="68"/>
        <v>10</v>
      </c>
      <c r="N1159" t="s">
        <v>12</v>
      </c>
    </row>
    <row r="1160" spans="1:14" x14ac:dyDescent="0.25">
      <c r="A1160">
        <v>20151016</v>
      </c>
      <c r="B1160" t="str">
        <f>"060761"</f>
        <v>060761</v>
      </c>
      <c r="C1160" t="str">
        <f>"58207"</f>
        <v>58207</v>
      </c>
      <c r="D1160" t="s">
        <v>296</v>
      </c>
      <c r="E1160" s="3">
        <v>71.44</v>
      </c>
      <c r="F1160">
        <v>20151016</v>
      </c>
      <c r="G1160" t="s">
        <v>509</v>
      </c>
      <c r="H1160" t="s">
        <v>510</v>
      </c>
      <c r="I1160">
        <v>0</v>
      </c>
      <c r="J1160" t="s">
        <v>289</v>
      </c>
      <c r="K1160" t="s">
        <v>290</v>
      </c>
      <c r="L1160" t="s">
        <v>285</v>
      </c>
      <c r="M1160" t="str">
        <f t="shared" si="68"/>
        <v>10</v>
      </c>
      <c r="N1160" t="s">
        <v>12</v>
      </c>
    </row>
    <row r="1161" spans="1:14" x14ac:dyDescent="0.25">
      <c r="A1161">
        <v>20151016</v>
      </c>
      <c r="B1161" t="str">
        <f>"060761"</f>
        <v>060761</v>
      </c>
      <c r="C1161" t="str">
        <f>"58207"</f>
        <v>58207</v>
      </c>
      <c r="D1161" t="s">
        <v>296</v>
      </c>
      <c r="E1161" s="3">
        <v>27.53</v>
      </c>
      <c r="F1161">
        <v>20151016</v>
      </c>
      <c r="G1161" t="s">
        <v>367</v>
      </c>
      <c r="H1161" t="s">
        <v>511</v>
      </c>
      <c r="I1161">
        <v>0</v>
      </c>
      <c r="J1161" t="s">
        <v>289</v>
      </c>
      <c r="K1161" t="s">
        <v>290</v>
      </c>
      <c r="L1161" t="s">
        <v>285</v>
      </c>
      <c r="M1161" t="str">
        <f t="shared" si="68"/>
        <v>10</v>
      </c>
      <c r="N1161" t="s">
        <v>12</v>
      </c>
    </row>
    <row r="1162" spans="1:14" x14ac:dyDescent="0.25">
      <c r="A1162">
        <v>20151016</v>
      </c>
      <c r="B1162" t="str">
        <f>"060761"</f>
        <v>060761</v>
      </c>
      <c r="C1162" t="str">
        <f>"58207"</f>
        <v>58207</v>
      </c>
      <c r="D1162" t="s">
        <v>296</v>
      </c>
      <c r="E1162" s="3">
        <v>56.41</v>
      </c>
      <c r="F1162">
        <v>20151016</v>
      </c>
      <c r="G1162" t="s">
        <v>481</v>
      </c>
      <c r="H1162" t="s">
        <v>512</v>
      </c>
      <c r="I1162">
        <v>0</v>
      </c>
      <c r="J1162" t="s">
        <v>289</v>
      </c>
      <c r="K1162" t="s">
        <v>290</v>
      </c>
      <c r="L1162" t="s">
        <v>285</v>
      </c>
      <c r="M1162" t="str">
        <f t="shared" si="68"/>
        <v>10</v>
      </c>
      <c r="N1162" t="s">
        <v>12</v>
      </c>
    </row>
    <row r="1163" spans="1:14" x14ac:dyDescent="0.25">
      <c r="A1163">
        <v>20151016</v>
      </c>
      <c r="B1163" t="str">
        <f>"060764"</f>
        <v>060764</v>
      </c>
      <c r="C1163" t="str">
        <f>"59091"</f>
        <v>59091</v>
      </c>
      <c r="D1163" t="s">
        <v>513</v>
      </c>
      <c r="E1163" s="3">
        <v>30</v>
      </c>
      <c r="F1163">
        <v>20151016</v>
      </c>
      <c r="G1163" t="s">
        <v>336</v>
      </c>
      <c r="H1163" t="s">
        <v>301</v>
      </c>
      <c r="I1163">
        <v>0</v>
      </c>
      <c r="J1163" t="s">
        <v>289</v>
      </c>
      <c r="K1163" t="s">
        <v>290</v>
      </c>
      <c r="L1163" t="s">
        <v>285</v>
      </c>
      <c r="M1163" t="str">
        <f t="shared" si="68"/>
        <v>10</v>
      </c>
      <c r="N1163" t="s">
        <v>12</v>
      </c>
    </row>
    <row r="1164" spans="1:14" x14ac:dyDescent="0.25">
      <c r="A1164">
        <v>20151016</v>
      </c>
      <c r="B1164" t="str">
        <f>"060767"</f>
        <v>060767</v>
      </c>
      <c r="C1164" t="str">
        <f>"61140"</f>
        <v>61140</v>
      </c>
      <c r="D1164" t="s">
        <v>514</v>
      </c>
      <c r="E1164" s="3">
        <v>113.49</v>
      </c>
      <c r="F1164">
        <v>20151016</v>
      </c>
      <c r="G1164" t="s">
        <v>336</v>
      </c>
      <c r="H1164" t="s">
        <v>494</v>
      </c>
      <c r="I1164">
        <v>0</v>
      </c>
      <c r="J1164" t="s">
        <v>289</v>
      </c>
      <c r="K1164" t="s">
        <v>290</v>
      </c>
      <c r="L1164" t="s">
        <v>285</v>
      </c>
      <c r="M1164" t="str">
        <f t="shared" si="68"/>
        <v>10</v>
      </c>
      <c r="N1164" t="s">
        <v>12</v>
      </c>
    </row>
    <row r="1165" spans="1:14" x14ac:dyDescent="0.25">
      <c r="A1165">
        <v>20151016</v>
      </c>
      <c r="B1165" t="str">
        <f>"060770"</f>
        <v>060770</v>
      </c>
      <c r="C1165" t="str">
        <f>"62290"</f>
        <v>62290</v>
      </c>
      <c r="D1165" t="s">
        <v>447</v>
      </c>
      <c r="E1165" s="3">
        <v>13.95</v>
      </c>
      <c r="F1165">
        <v>20151016</v>
      </c>
      <c r="G1165" t="s">
        <v>336</v>
      </c>
      <c r="H1165" t="s">
        <v>430</v>
      </c>
      <c r="I1165">
        <v>0</v>
      </c>
      <c r="J1165" t="s">
        <v>289</v>
      </c>
      <c r="K1165" t="s">
        <v>290</v>
      </c>
      <c r="L1165" t="s">
        <v>285</v>
      </c>
      <c r="M1165" t="str">
        <f t="shared" si="68"/>
        <v>10</v>
      </c>
      <c r="N1165" t="s">
        <v>12</v>
      </c>
    </row>
    <row r="1166" spans="1:14" x14ac:dyDescent="0.25">
      <c r="A1166">
        <v>20151016</v>
      </c>
      <c r="B1166" t="str">
        <f>"060771"</f>
        <v>060771</v>
      </c>
      <c r="C1166" t="str">
        <f>"62386"</f>
        <v>62386</v>
      </c>
      <c r="D1166" t="s">
        <v>515</v>
      </c>
      <c r="E1166" s="3">
        <v>94.27</v>
      </c>
      <c r="F1166">
        <v>20151016</v>
      </c>
      <c r="G1166" t="s">
        <v>409</v>
      </c>
      <c r="H1166" t="s">
        <v>414</v>
      </c>
      <c r="I1166">
        <v>0</v>
      </c>
      <c r="J1166" t="s">
        <v>289</v>
      </c>
      <c r="K1166" t="s">
        <v>95</v>
      </c>
      <c r="L1166" t="s">
        <v>285</v>
      </c>
      <c r="M1166" t="str">
        <f t="shared" si="68"/>
        <v>10</v>
      </c>
      <c r="N1166" t="s">
        <v>12</v>
      </c>
    </row>
    <row r="1167" spans="1:14" x14ac:dyDescent="0.25">
      <c r="A1167">
        <v>20151016</v>
      </c>
      <c r="B1167" t="str">
        <f>"060774"</f>
        <v>060774</v>
      </c>
      <c r="C1167" t="str">
        <f>"63766"</f>
        <v>63766</v>
      </c>
      <c r="D1167" t="s">
        <v>448</v>
      </c>
      <c r="E1167" s="3">
        <v>72.45</v>
      </c>
      <c r="F1167">
        <v>20151016</v>
      </c>
      <c r="G1167" t="s">
        <v>345</v>
      </c>
      <c r="H1167" t="s">
        <v>488</v>
      </c>
      <c r="I1167">
        <v>0</v>
      </c>
      <c r="J1167" t="s">
        <v>289</v>
      </c>
      <c r="K1167" t="s">
        <v>95</v>
      </c>
      <c r="L1167" t="s">
        <v>285</v>
      </c>
      <c r="M1167" t="str">
        <f t="shared" si="68"/>
        <v>10</v>
      </c>
      <c r="N1167" t="s">
        <v>12</v>
      </c>
    </row>
    <row r="1168" spans="1:14" x14ac:dyDescent="0.25">
      <c r="A1168">
        <v>20151016</v>
      </c>
      <c r="B1168" t="str">
        <f>"060775"</f>
        <v>060775</v>
      </c>
      <c r="C1168" t="str">
        <f>"63765"</f>
        <v>63765</v>
      </c>
      <c r="D1168" t="s">
        <v>516</v>
      </c>
      <c r="E1168" s="3">
        <v>1235</v>
      </c>
      <c r="F1168">
        <v>20151016</v>
      </c>
      <c r="G1168" t="s">
        <v>517</v>
      </c>
      <c r="H1168" t="s">
        <v>518</v>
      </c>
      <c r="I1168">
        <v>0</v>
      </c>
      <c r="J1168" t="s">
        <v>289</v>
      </c>
      <c r="K1168" t="s">
        <v>95</v>
      </c>
      <c r="L1168" t="s">
        <v>285</v>
      </c>
      <c r="M1168" t="str">
        <f t="shared" si="68"/>
        <v>10</v>
      </c>
      <c r="N1168" t="s">
        <v>12</v>
      </c>
    </row>
    <row r="1169" spans="1:14" x14ac:dyDescent="0.25">
      <c r="A1169">
        <v>20151016</v>
      </c>
      <c r="B1169" t="str">
        <f>"060783"</f>
        <v>060783</v>
      </c>
      <c r="C1169" t="str">
        <f>"65389"</f>
        <v>65389</v>
      </c>
      <c r="D1169" t="s">
        <v>519</v>
      </c>
      <c r="E1169" s="3">
        <v>200</v>
      </c>
      <c r="F1169">
        <v>20151016</v>
      </c>
      <c r="G1169" t="s">
        <v>496</v>
      </c>
      <c r="H1169" t="s">
        <v>520</v>
      </c>
      <c r="I1169">
        <v>0</v>
      </c>
      <c r="J1169" t="s">
        <v>289</v>
      </c>
      <c r="K1169" t="s">
        <v>290</v>
      </c>
      <c r="L1169" t="s">
        <v>285</v>
      </c>
      <c r="M1169" t="str">
        <f t="shared" si="68"/>
        <v>10</v>
      </c>
      <c r="N1169" t="s">
        <v>12</v>
      </c>
    </row>
    <row r="1170" spans="1:14" x14ac:dyDescent="0.25">
      <c r="A1170">
        <v>20151016</v>
      </c>
      <c r="B1170" t="str">
        <f>"060805"</f>
        <v>060805</v>
      </c>
      <c r="C1170" t="str">
        <f>"80756"</f>
        <v>80756</v>
      </c>
      <c r="D1170" t="s">
        <v>521</v>
      </c>
      <c r="E1170" s="3">
        <v>200</v>
      </c>
      <c r="F1170">
        <v>20151016</v>
      </c>
      <c r="G1170" t="s">
        <v>517</v>
      </c>
      <c r="H1170" t="s">
        <v>522</v>
      </c>
      <c r="I1170">
        <v>0</v>
      </c>
      <c r="J1170" t="s">
        <v>289</v>
      </c>
      <c r="K1170" t="s">
        <v>95</v>
      </c>
      <c r="L1170" t="s">
        <v>285</v>
      </c>
      <c r="M1170" t="str">
        <f t="shared" si="68"/>
        <v>10</v>
      </c>
      <c r="N1170" t="s">
        <v>12</v>
      </c>
    </row>
    <row r="1171" spans="1:14" x14ac:dyDescent="0.25">
      <c r="A1171">
        <v>20151016</v>
      </c>
      <c r="B1171" t="str">
        <f>"060807"</f>
        <v>060807</v>
      </c>
      <c r="C1171" t="str">
        <f>"82457"</f>
        <v>82457</v>
      </c>
      <c r="D1171" t="s">
        <v>393</v>
      </c>
      <c r="E1171" s="3">
        <v>50</v>
      </c>
      <c r="F1171">
        <v>20151016</v>
      </c>
      <c r="G1171" t="s">
        <v>345</v>
      </c>
      <c r="H1171" t="s">
        <v>488</v>
      </c>
      <c r="I1171">
        <v>0</v>
      </c>
      <c r="J1171" t="s">
        <v>289</v>
      </c>
      <c r="K1171" t="s">
        <v>95</v>
      </c>
      <c r="L1171" t="s">
        <v>285</v>
      </c>
      <c r="M1171" t="str">
        <f t="shared" si="68"/>
        <v>10</v>
      </c>
      <c r="N1171" t="s">
        <v>12</v>
      </c>
    </row>
    <row r="1172" spans="1:14" x14ac:dyDescent="0.25">
      <c r="A1172">
        <v>20151016</v>
      </c>
      <c r="B1172" t="str">
        <f>"060808"</f>
        <v>060808</v>
      </c>
      <c r="C1172" t="str">
        <f>"83037"</f>
        <v>83037</v>
      </c>
      <c r="D1172" t="s">
        <v>523</v>
      </c>
      <c r="E1172" s="3">
        <v>96</v>
      </c>
      <c r="F1172">
        <v>20151016</v>
      </c>
      <c r="G1172" t="s">
        <v>338</v>
      </c>
      <c r="H1172" t="s">
        <v>487</v>
      </c>
      <c r="I1172">
        <v>0</v>
      </c>
      <c r="J1172" t="s">
        <v>289</v>
      </c>
      <c r="K1172" t="s">
        <v>290</v>
      </c>
      <c r="L1172" t="s">
        <v>285</v>
      </c>
      <c r="M1172" t="str">
        <f t="shared" si="68"/>
        <v>10</v>
      </c>
      <c r="N1172" t="s">
        <v>12</v>
      </c>
    </row>
    <row r="1173" spans="1:14" x14ac:dyDescent="0.25">
      <c r="A1173">
        <v>20151016</v>
      </c>
      <c r="B1173" t="str">
        <f>"060810"</f>
        <v>060810</v>
      </c>
      <c r="C1173" t="str">
        <f>"84559"</f>
        <v>84559</v>
      </c>
      <c r="D1173" t="s">
        <v>524</v>
      </c>
      <c r="E1173" s="3">
        <v>76.069999999999993</v>
      </c>
      <c r="F1173">
        <v>20151016</v>
      </c>
      <c r="G1173" t="s">
        <v>345</v>
      </c>
      <c r="H1173" t="s">
        <v>488</v>
      </c>
      <c r="I1173">
        <v>0</v>
      </c>
      <c r="J1173" t="s">
        <v>289</v>
      </c>
      <c r="K1173" t="s">
        <v>95</v>
      </c>
      <c r="L1173" t="s">
        <v>285</v>
      </c>
      <c r="M1173" t="str">
        <f t="shared" si="68"/>
        <v>10</v>
      </c>
      <c r="N1173" t="s">
        <v>12</v>
      </c>
    </row>
    <row r="1174" spans="1:14" x14ac:dyDescent="0.25">
      <c r="A1174">
        <v>20151016</v>
      </c>
      <c r="B1174" t="str">
        <f>"060811"</f>
        <v>060811</v>
      </c>
      <c r="C1174" t="str">
        <f>"84654"</f>
        <v>84654</v>
      </c>
      <c r="D1174" t="s">
        <v>525</v>
      </c>
      <c r="E1174" s="3">
        <v>88.4</v>
      </c>
      <c r="F1174">
        <v>20151016</v>
      </c>
      <c r="G1174" t="s">
        <v>310</v>
      </c>
      <c r="H1174" t="s">
        <v>505</v>
      </c>
      <c r="I1174">
        <v>0</v>
      </c>
      <c r="J1174" t="s">
        <v>289</v>
      </c>
      <c r="K1174" t="s">
        <v>290</v>
      </c>
      <c r="L1174" t="s">
        <v>285</v>
      </c>
      <c r="M1174" t="str">
        <f t="shared" si="68"/>
        <v>10</v>
      </c>
      <c r="N1174" t="s">
        <v>12</v>
      </c>
    </row>
    <row r="1175" spans="1:14" x14ac:dyDescent="0.25">
      <c r="A1175">
        <v>20151016</v>
      </c>
      <c r="B1175" t="str">
        <f>"060812"</f>
        <v>060812</v>
      </c>
      <c r="C1175" t="str">
        <f>"83190"</f>
        <v>83190</v>
      </c>
      <c r="D1175" t="s">
        <v>526</v>
      </c>
      <c r="E1175" s="3">
        <v>107.76</v>
      </c>
      <c r="F1175">
        <v>20151016</v>
      </c>
      <c r="G1175" t="s">
        <v>338</v>
      </c>
      <c r="H1175" t="s">
        <v>340</v>
      </c>
      <c r="I1175">
        <v>0</v>
      </c>
      <c r="J1175" t="s">
        <v>289</v>
      </c>
      <c r="K1175" t="s">
        <v>290</v>
      </c>
      <c r="L1175" t="s">
        <v>285</v>
      </c>
      <c r="M1175" t="str">
        <f t="shared" si="68"/>
        <v>10</v>
      </c>
      <c r="N1175" t="s">
        <v>12</v>
      </c>
    </row>
    <row r="1176" spans="1:14" x14ac:dyDescent="0.25">
      <c r="A1176">
        <v>20151023</v>
      </c>
      <c r="B1176" t="str">
        <f>"060828"</f>
        <v>060828</v>
      </c>
      <c r="C1176" t="str">
        <f>"12382"</f>
        <v>12382</v>
      </c>
      <c r="D1176" t="s">
        <v>527</v>
      </c>
      <c r="E1176" s="3">
        <v>45</v>
      </c>
      <c r="F1176">
        <v>20151021</v>
      </c>
      <c r="G1176" t="s">
        <v>409</v>
      </c>
      <c r="H1176" t="s">
        <v>414</v>
      </c>
      <c r="I1176">
        <v>0</v>
      </c>
      <c r="J1176" t="s">
        <v>289</v>
      </c>
      <c r="K1176" t="s">
        <v>95</v>
      </c>
      <c r="L1176" t="s">
        <v>285</v>
      </c>
      <c r="M1176" t="str">
        <f t="shared" si="68"/>
        <v>10</v>
      </c>
      <c r="N1176" t="s">
        <v>12</v>
      </c>
    </row>
    <row r="1177" spans="1:14" x14ac:dyDescent="0.25">
      <c r="A1177">
        <v>20151023</v>
      </c>
      <c r="B1177" t="str">
        <f>"060832"</f>
        <v>060832</v>
      </c>
      <c r="C1177" t="str">
        <f>"20469"</f>
        <v>20469</v>
      </c>
      <c r="D1177" t="s">
        <v>528</v>
      </c>
      <c r="E1177" s="3">
        <v>176.39</v>
      </c>
      <c r="F1177">
        <v>20151021</v>
      </c>
      <c r="G1177" t="s">
        <v>353</v>
      </c>
      <c r="H1177" t="s">
        <v>529</v>
      </c>
      <c r="I1177">
        <v>0</v>
      </c>
      <c r="J1177" t="s">
        <v>289</v>
      </c>
      <c r="K1177" t="s">
        <v>290</v>
      </c>
      <c r="L1177" t="s">
        <v>285</v>
      </c>
      <c r="M1177" t="str">
        <f t="shared" si="68"/>
        <v>10</v>
      </c>
      <c r="N1177" t="s">
        <v>12</v>
      </c>
    </row>
    <row r="1178" spans="1:14" x14ac:dyDescent="0.25">
      <c r="A1178">
        <v>20151023</v>
      </c>
      <c r="B1178" t="str">
        <f>"060839"</f>
        <v>060839</v>
      </c>
      <c r="C1178" t="str">
        <f>"24343"</f>
        <v>24343</v>
      </c>
      <c r="D1178" t="s">
        <v>530</v>
      </c>
      <c r="E1178" s="3">
        <v>86.77</v>
      </c>
      <c r="F1178">
        <v>20151021</v>
      </c>
      <c r="G1178" t="s">
        <v>381</v>
      </c>
      <c r="H1178" t="s">
        <v>531</v>
      </c>
      <c r="I1178">
        <v>0</v>
      </c>
      <c r="J1178" t="s">
        <v>289</v>
      </c>
      <c r="K1178" t="s">
        <v>95</v>
      </c>
      <c r="L1178" t="s">
        <v>285</v>
      </c>
      <c r="M1178" t="str">
        <f t="shared" si="68"/>
        <v>10</v>
      </c>
      <c r="N1178" t="s">
        <v>12</v>
      </c>
    </row>
    <row r="1179" spans="1:14" x14ac:dyDescent="0.25">
      <c r="A1179">
        <v>20151023</v>
      </c>
      <c r="B1179" t="str">
        <f>"060842"</f>
        <v>060842</v>
      </c>
      <c r="C1179" t="str">
        <f>"25853"</f>
        <v>25853</v>
      </c>
      <c r="D1179" t="s">
        <v>532</v>
      </c>
      <c r="E1179" s="3">
        <v>1470</v>
      </c>
      <c r="F1179">
        <v>20151021</v>
      </c>
      <c r="G1179" t="s">
        <v>533</v>
      </c>
      <c r="H1179" t="s">
        <v>534</v>
      </c>
      <c r="I1179">
        <v>0</v>
      </c>
      <c r="J1179" t="s">
        <v>289</v>
      </c>
      <c r="K1179" t="s">
        <v>290</v>
      </c>
      <c r="L1179" t="s">
        <v>285</v>
      </c>
      <c r="M1179" t="str">
        <f t="shared" si="68"/>
        <v>10</v>
      </c>
      <c r="N1179" t="s">
        <v>12</v>
      </c>
    </row>
    <row r="1180" spans="1:14" x14ac:dyDescent="0.25">
      <c r="A1180">
        <v>20151023</v>
      </c>
      <c r="B1180" t="str">
        <f>"060842"</f>
        <v>060842</v>
      </c>
      <c r="C1180" t="str">
        <f>"25853"</f>
        <v>25853</v>
      </c>
      <c r="D1180" t="s">
        <v>532</v>
      </c>
      <c r="E1180" s="3">
        <v>1470</v>
      </c>
      <c r="F1180">
        <v>20151021</v>
      </c>
      <c r="G1180" t="s">
        <v>533</v>
      </c>
      <c r="H1180" t="s">
        <v>505</v>
      </c>
      <c r="I1180">
        <v>0</v>
      </c>
      <c r="J1180" t="s">
        <v>289</v>
      </c>
      <c r="K1180" t="s">
        <v>290</v>
      </c>
      <c r="L1180" t="s">
        <v>285</v>
      </c>
      <c r="M1180" t="str">
        <f t="shared" si="68"/>
        <v>10</v>
      </c>
      <c r="N1180" t="s">
        <v>12</v>
      </c>
    </row>
    <row r="1181" spans="1:14" x14ac:dyDescent="0.25">
      <c r="A1181">
        <v>20151023</v>
      </c>
      <c r="B1181" t="str">
        <f>"060860"</f>
        <v>060860</v>
      </c>
      <c r="C1181" t="str">
        <f>"43853"</f>
        <v>43853</v>
      </c>
      <c r="D1181" t="s">
        <v>535</v>
      </c>
      <c r="E1181" s="3">
        <v>1071</v>
      </c>
      <c r="F1181">
        <v>20151021</v>
      </c>
      <c r="G1181" t="s">
        <v>536</v>
      </c>
      <c r="H1181" t="s">
        <v>537</v>
      </c>
      <c r="I1181">
        <v>0</v>
      </c>
      <c r="J1181" t="s">
        <v>289</v>
      </c>
      <c r="K1181" t="s">
        <v>290</v>
      </c>
      <c r="L1181" t="s">
        <v>285</v>
      </c>
      <c r="M1181" t="str">
        <f t="shared" si="68"/>
        <v>10</v>
      </c>
      <c r="N1181" t="s">
        <v>12</v>
      </c>
    </row>
    <row r="1182" spans="1:14" x14ac:dyDescent="0.25">
      <c r="A1182">
        <v>20151023</v>
      </c>
      <c r="B1182" t="str">
        <f>"060861"</f>
        <v>060861</v>
      </c>
      <c r="C1182" t="str">
        <f>"45093"</f>
        <v>45093</v>
      </c>
      <c r="D1182" t="s">
        <v>538</v>
      </c>
      <c r="E1182" s="3">
        <v>208.31</v>
      </c>
      <c r="F1182">
        <v>20151021</v>
      </c>
      <c r="G1182" t="s">
        <v>380</v>
      </c>
      <c r="H1182" t="s">
        <v>392</v>
      </c>
      <c r="I1182">
        <v>0</v>
      </c>
      <c r="J1182" t="s">
        <v>289</v>
      </c>
      <c r="K1182" t="s">
        <v>290</v>
      </c>
      <c r="L1182" t="s">
        <v>285</v>
      </c>
      <c r="M1182" t="str">
        <f t="shared" si="68"/>
        <v>10</v>
      </c>
      <c r="N1182" t="s">
        <v>12</v>
      </c>
    </row>
    <row r="1183" spans="1:14" x14ac:dyDescent="0.25">
      <c r="A1183">
        <v>20151023</v>
      </c>
      <c r="B1183" t="str">
        <f>"060869"</f>
        <v>060869</v>
      </c>
      <c r="C1183" t="str">
        <f>"50374"</f>
        <v>50374</v>
      </c>
      <c r="D1183" t="s">
        <v>539</v>
      </c>
      <c r="E1183" s="3">
        <v>225</v>
      </c>
      <c r="F1183">
        <v>20151021</v>
      </c>
      <c r="G1183" t="s">
        <v>496</v>
      </c>
      <c r="H1183" t="s">
        <v>540</v>
      </c>
      <c r="I1183">
        <v>0</v>
      </c>
      <c r="J1183" t="s">
        <v>289</v>
      </c>
      <c r="K1183" t="s">
        <v>290</v>
      </c>
      <c r="L1183" t="s">
        <v>285</v>
      </c>
      <c r="M1183" t="str">
        <f t="shared" ref="M1183:M1214" si="69">"10"</f>
        <v>10</v>
      </c>
      <c r="N1183" t="s">
        <v>12</v>
      </c>
    </row>
    <row r="1184" spans="1:14" x14ac:dyDescent="0.25">
      <c r="A1184">
        <v>20151023</v>
      </c>
      <c r="B1184" t="str">
        <f>"060879"</f>
        <v>060879</v>
      </c>
      <c r="C1184" t="str">
        <f>"58931"</f>
        <v>58931</v>
      </c>
      <c r="D1184" t="s">
        <v>541</v>
      </c>
      <c r="E1184" s="3">
        <v>1560</v>
      </c>
      <c r="F1184">
        <v>20151022</v>
      </c>
      <c r="G1184" t="s">
        <v>507</v>
      </c>
      <c r="H1184" t="s">
        <v>542</v>
      </c>
      <c r="I1184">
        <v>0</v>
      </c>
      <c r="J1184" t="s">
        <v>289</v>
      </c>
      <c r="K1184" t="s">
        <v>290</v>
      </c>
      <c r="L1184" t="s">
        <v>285</v>
      </c>
      <c r="M1184" t="str">
        <f t="shared" si="69"/>
        <v>10</v>
      </c>
      <c r="N1184" t="s">
        <v>12</v>
      </c>
    </row>
    <row r="1185" spans="1:14" x14ac:dyDescent="0.25">
      <c r="A1185">
        <v>20151023</v>
      </c>
      <c r="B1185" t="str">
        <f>"060884"</f>
        <v>060884</v>
      </c>
      <c r="C1185" t="str">
        <f>"61340"</f>
        <v>61340</v>
      </c>
      <c r="D1185" t="s">
        <v>543</v>
      </c>
      <c r="E1185" s="3">
        <v>160</v>
      </c>
      <c r="F1185">
        <v>20151022</v>
      </c>
      <c r="G1185" t="s">
        <v>385</v>
      </c>
      <c r="H1185" t="s">
        <v>544</v>
      </c>
      <c r="I1185">
        <v>0</v>
      </c>
      <c r="J1185" t="s">
        <v>289</v>
      </c>
      <c r="K1185" t="s">
        <v>290</v>
      </c>
      <c r="L1185" t="s">
        <v>285</v>
      </c>
      <c r="M1185" t="str">
        <f t="shared" si="69"/>
        <v>10</v>
      </c>
      <c r="N1185" t="s">
        <v>12</v>
      </c>
    </row>
    <row r="1186" spans="1:14" x14ac:dyDescent="0.25">
      <c r="A1186">
        <v>20151023</v>
      </c>
      <c r="B1186" t="str">
        <f>"060886"</f>
        <v>060886</v>
      </c>
      <c r="C1186" t="str">
        <f>"62795"</f>
        <v>62795</v>
      </c>
      <c r="D1186" t="s">
        <v>545</v>
      </c>
      <c r="E1186" s="3">
        <v>271.95</v>
      </c>
      <c r="F1186">
        <v>20151022</v>
      </c>
      <c r="G1186" t="s">
        <v>481</v>
      </c>
      <c r="H1186" t="s">
        <v>546</v>
      </c>
      <c r="I1186">
        <v>0</v>
      </c>
      <c r="J1186" t="s">
        <v>289</v>
      </c>
      <c r="K1186" t="s">
        <v>290</v>
      </c>
      <c r="L1186" t="s">
        <v>285</v>
      </c>
      <c r="M1186" t="str">
        <f t="shared" si="69"/>
        <v>10</v>
      </c>
      <c r="N1186" t="s">
        <v>12</v>
      </c>
    </row>
    <row r="1187" spans="1:14" x14ac:dyDescent="0.25">
      <c r="A1187">
        <v>20151023</v>
      </c>
      <c r="B1187" t="str">
        <f>"060905"</f>
        <v>060905</v>
      </c>
      <c r="C1187" t="str">
        <f>"82511"</f>
        <v>82511</v>
      </c>
      <c r="D1187" t="s">
        <v>547</v>
      </c>
      <c r="E1187" s="3">
        <v>23</v>
      </c>
      <c r="F1187">
        <v>20151022</v>
      </c>
      <c r="G1187" t="s">
        <v>365</v>
      </c>
      <c r="H1187" t="s">
        <v>505</v>
      </c>
      <c r="I1187">
        <v>0</v>
      </c>
      <c r="J1187" t="s">
        <v>289</v>
      </c>
      <c r="K1187" t="s">
        <v>290</v>
      </c>
      <c r="L1187" t="s">
        <v>285</v>
      </c>
      <c r="M1187" t="str">
        <f t="shared" si="69"/>
        <v>10</v>
      </c>
      <c r="N1187" t="s">
        <v>12</v>
      </c>
    </row>
    <row r="1188" spans="1:14" x14ac:dyDescent="0.25">
      <c r="A1188">
        <v>20151029</v>
      </c>
      <c r="B1188" t="str">
        <f>"060906"</f>
        <v>060906</v>
      </c>
      <c r="C1188" t="str">
        <f>"01830"</f>
        <v>01830</v>
      </c>
      <c r="D1188" t="s">
        <v>548</v>
      </c>
      <c r="E1188" s="3">
        <v>83.32</v>
      </c>
      <c r="F1188">
        <v>20151027</v>
      </c>
      <c r="G1188" t="s">
        <v>409</v>
      </c>
      <c r="H1188" t="s">
        <v>549</v>
      </c>
      <c r="I1188">
        <v>0</v>
      </c>
      <c r="J1188" t="s">
        <v>289</v>
      </c>
      <c r="K1188" t="s">
        <v>95</v>
      </c>
      <c r="L1188" t="s">
        <v>285</v>
      </c>
      <c r="M1188" t="str">
        <f t="shared" si="69"/>
        <v>10</v>
      </c>
      <c r="N1188" t="s">
        <v>12</v>
      </c>
    </row>
    <row r="1189" spans="1:14" x14ac:dyDescent="0.25">
      <c r="A1189">
        <v>20151029</v>
      </c>
      <c r="B1189" t="str">
        <f>"060907"</f>
        <v>060907</v>
      </c>
      <c r="C1189" t="str">
        <f>"03694"</f>
        <v>03694</v>
      </c>
      <c r="D1189" t="s">
        <v>550</v>
      </c>
      <c r="E1189" s="3">
        <v>141</v>
      </c>
      <c r="F1189">
        <v>20151027</v>
      </c>
      <c r="G1189" t="s">
        <v>365</v>
      </c>
      <c r="H1189" t="s">
        <v>451</v>
      </c>
      <c r="I1189">
        <v>0</v>
      </c>
      <c r="J1189" t="s">
        <v>289</v>
      </c>
      <c r="K1189" t="s">
        <v>290</v>
      </c>
      <c r="L1189" t="s">
        <v>285</v>
      </c>
      <c r="M1189" t="str">
        <f t="shared" si="69"/>
        <v>10</v>
      </c>
      <c r="N1189" t="s">
        <v>12</v>
      </c>
    </row>
    <row r="1190" spans="1:14" x14ac:dyDescent="0.25">
      <c r="A1190">
        <v>20151029</v>
      </c>
      <c r="B1190" t="str">
        <f>"060912"</f>
        <v>060912</v>
      </c>
      <c r="C1190" t="str">
        <f>"10403"</f>
        <v>10403</v>
      </c>
      <c r="D1190" t="s">
        <v>337</v>
      </c>
      <c r="E1190" s="3">
        <v>62.29</v>
      </c>
      <c r="F1190">
        <v>20151027</v>
      </c>
      <c r="G1190" t="s">
        <v>345</v>
      </c>
      <c r="H1190" t="s">
        <v>551</v>
      </c>
      <c r="I1190">
        <v>0</v>
      </c>
      <c r="J1190" t="s">
        <v>289</v>
      </c>
      <c r="K1190" t="s">
        <v>95</v>
      </c>
      <c r="L1190" t="s">
        <v>285</v>
      </c>
      <c r="M1190" t="str">
        <f t="shared" si="69"/>
        <v>10</v>
      </c>
      <c r="N1190" t="s">
        <v>12</v>
      </c>
    </row>
    <row r="1191" spans="1:14" x14ac:dyDescent="0.25">
      <c r="A1191">
        <v>20151029</v>
      </c>
      <c r="B1191" t="str">
        <f>"060913"</f>
        <v>060913</v>
      </c>
      <c r="C1191" t="str">
        <f>"10429"</f>
        <v>10429</v>
      </c>
      <c r="D1191" t="s">
        <v>552</v>
      </c>
      <c r="E1191" s="3">
        <v>60</v>
      </c>
      <c r="F1191">
        <v>20151027</v>
      </c>
      <c r="G1191" t="s">
        <v>336</v>
      </c>
      <c r="H1191" t="s">
        <v>377</v>
      </c>
      <c r="I1191">
        <v>0</v>
      </c>
      <c r="J1191" t="s">
        <v>289</v>
      </c>
      <c r="K1191" t="s">
        <v>290</v>
      </c>
      <c r="L1191" t="s">
        <v>285</v>
      </c>
      <c r="M1191" t="str">
        <f t="shared" si="69"/>
        <v>10</v>
      </c>
      <c r="N1191" t="s">
        <v>12</v>
      </c>
    </row>
    <row r="1192" spans="1:14" x14ac:dyDescent="0.25">
      <c r="A1192">
        <v>20151029</v>
      </c>
      <c r="B1192" t="str">
        <f>"060915"</f>
        <v>060915</v>
      </c>
      <c r="C1192" t="str">
        <f>"08788"</f>
        <v>08788</v>
      </c>
      <c r="D1192" t="s">
        <v>302</v>
      </c>
      <c r="E1192" s="3">
        <v>3639.95</v>
      </c>
      <c r="F1192">
        <v>20151027</v>
      </c>
      <c r="G1192" t="s">
        <v>553</v>
      </c>
      <c r="H1192" t="s">
        <v>554</v>
      </c>
      <c r="I1192">
        <v>0</v>
      </c>
      <c r="J1192" t="s">
        <v>289</v>
      </c>
      <c r="K1192" t="s">
        <v>290</v>
      </c>
      <c r="L1192" t="s">
        <v>285</v>
      </c>
      <c r="M1192" t="str">
        <f t="shared" si="69"/>
        <v>10</v>
      </c>
      <c r="N1192" t="s">
        <v>12</v>
      </c>
    </row>
    <row r="1193" spans="1:14" x14ac:dyDescent="0.25">
      <c r="A1193">
        <v>20151029</v>
      </c>
      <c r="B1193" t="str">
        <f>"060915"</f>
        <v>060915</v>
      </c>
      <c r="C1193" t="str">
        <f>"08788"</f>
        <v>08788</v>
      </c>
      <c r="D1193" t="s">
        <v>302</v>
      </c>
      <c r="E1193" s="3">
        <v>554.4</v>
      </c>
      <c r="F1193">
        <v>20151027</v>
      </c>
      <c r="G1193" t="s">
        <v>555</v>
      </c>
      <c r="H1193" t="s">
        <v>556</v>
      </c>
      <c r="I1193">
        <v>0</v>
      </c>
      <c r="J1193" t="s">
        <v>289</v>
      </c>
      <c r="K1193" t="s">
        <v>95</v>
      </c>
      <c r="L1193" t="s">
        <v>285</v>
      </c>
      <c r="M1193" t="str">
        <f t="shared" si="69"/>
        <v>10</v>
      </c>
      <c r="N1193" t="s">
        <v>12</v>
      </c>
    </row>
    <row r="1194" spans="1:14" x14ac:dyDescent="0.25">
      <c r="A1194">
        <v>20151029</v>
      </c>
      <c r="B1194" t="str">
        <f>"060915"</f>
        <v>060915</v>
      </c>
      <c r="C1194" t="str">
        <f>"08788"</f>
        <v>08788</v>
      </c>
      <c r="D1194" t="s">
        <v>302</v>
      </c>
      <c r="E1194" s="3">
        <v>868.18</v>
      </c>
      <c r="F1194">
        <v>20151027</v>
      </c>
      <c r="G1194" t="s">
        <v>555</v>
      </c>
      <c r="H1194" t="s">
        <v>557</v>
      </c>
      <c r="I1194">
        <v>0</v>
      </c>
      <c r="J1194" t="s">
        <v>289</v>
      </c>
      <c r="K1194" t="s">
        <v>95</v>
      </c>
      <c r="L1194" t="s">
        <v>285</v>
      </c>
      <c r="M1194" t="str">
        <f t="shared" si="69"/>
        <v>10</v>
      </c>
      <c r="N1194" t="s">
        <v>12</v>
      </c>
    </row>
    <row r="1195" spans="1:14" x14ac:dyDescent="0.25">
      <c r="A1195">
        <v>20151029</v>
      </c>
      <c r="B1195" t="str">
        <f>"060918"</f>
        <v>060918</v>
      </c>
      <c r="C1195" t="str">
        <f>"19208"</f>
        <v>19208</v>
      </c>
      <c r="D1195" t="s">
        <v>294</v>
      </c>
      <c r="E1195" s="3">
        <v>550</v>
      </c>
      <c r="F1195">
        <v>20151027</v>
      </c>
      <c r="G1195" t="s">
        <v>385</v>
      </c>
      <c r="H1195" t="s">
        <v>558</v>
      </c>
      <c r="I1195">
        <v>0</v>
      </c>
      <c r="J1195" t="s">
        <v>289</v>
      </c>
      <c r="K1195" t="s">
        <v>290</v>
      </c>
      <c r="L1195" t="s">
        <v>285</v>
      </c>
      <c r="M1195" t="str">
        <f t="shared" si="69"/>
        <v>10</v>
      </c>
      <c r="N1195" t="s">
        <v>12</v>
      </c>
    </row>
    <row r="1196" spans="1:14" x14ac:dyDescent="0.25">
      <c r="A1196">
        <v>20151029</v>
      </c>
      <c r="B1196" t="str">
        <f>"060920"</f>
        <v>060920</v>
      </c>
      <c r="C1196" t="str">
        <f>"19294"</f>
        <v>19294</v>
      </c>
      <c r="D1196" t="s">
        <v>411</v>
      </c>
      <c r="E1196" s="3">
        <v>60</v>
      </c>
      <c r="F1196">
        <v>20151027</v>
      </c>
      <c r="G1196" t="s">
        <v>345</v>
      </c>
      <c r="H1196" t="s">
        <v>551</v>
      </c>
      <c r="I1196">
        <v>0</v>
      </c>
      <c r="J1196" t="s">
        <v>289</v>
      </c>
      <c r="K1196" t="s">
        <v>95</v>
      </c>
      <c r="L1196" t="s">
        <v>285</v>
      </c>
      <c r="M1196" t="str">
        <f t="shared" si="69"/>
        <v>10</v>
      </c>
      <c r="N1196" t="s">
        <v>12</v>
      </c>
    </row>
    <row r="1197" spans="1:14" x14ac:dyDescent="0.25">
      <c r="A1197">
        <v>20151029</v>
      </c>
      <c r="B1197" t="str">
        <f>"060922"</f>
        <v>060922</v>
      </c>
      <c r="C1197" t="str">
        <f>"20433"</f>
        <v>20433</v>
      </c>
      <c r="D1197" t="s">
        <v>413</v>
      </c>
      <c r="E1197" s="3">
        <v>45</v>
      </c>
      <c r="F1197">
        <v>20151027</v>
      </c>
      <c r="G1197" t="s">
        <v>409</v>
      </c>
      <c r="H1197" t="s">
        <v>549</v>
      </c>
      <c r="I1197">
        <v>0</v>
      </c>
      <c r="J1197" t="s">
        <v>289</v>
      </c>
      <c r="K1197" t="s">
        <v>95</v>
      </c>
      <c r="L1197" t="s">
        <v>285</v>
      </c>
      <c r="M1197" t="str">
        <f t="shared" si="69"/>
        <v>10</v>
      </c>
      <c r="N1197" t="s">
        <v>12</v>
      </c>
    </row>
    <row r="1198" spans="1:14" x14ac:dyDescent="0.25">
      <c r="A1198">
        <v>20151029</v>
      </c>
      <c r="B1198" t="str">
        <f>"060924"</f>
        <v>060924</v>
      </c>
      <c r="C1198" t="str">
        <f>"21776"</f>
        <v>21776</v>
      </c>
      <c r="D1198" t="s">
        <v>559</v>
      </c>
      <c r="E1198" s="3">
        <v>682.87</v>
      </c>
      <c r="F1198">
        <v>20151028</v>
      </c>
      <c r="G1198" t="s">
        <v>367</v>
      </c>
      <c r="H1198" t="s">
        <v>395</v>
      </c>
      <c r="I1198">
        <v>0</v>
      </c>
      <c r="J1198" t="s">
        <v>289</v>
      </c>
      <c r="K1198" t="s">
        <v>290</v>
      </c>
      <c r="L1198" t="s">
        <v>285</v>
      </c>
      <c r="M1198" t="str">
        <f t="shared" si="69"/>
        <v>10</v>
      </c>
      <c r="N1198" t="s">
        <v>12</v>
      </c>
    </row>
    <row r="1199" spans="1:14" x14ac:dyDescent="0.25">
      <c r="A1199">
        <v>20151029</v>
      </c>
      <c r="B1199" t="str">
        <f>"060924"</f>
        <v>060924</v>
      </c>
      <c r="C1199" t="str">
        <f>"21776"</f>
        <v>21776</v>
      </c>
      <c r="D1199" t="s">
        <v>559</v>
      </c>
      <c r="E1199" s="3">
        <v>199.9</v>
      </c>
      <c r="F1199">
        <v>20151028</v>
      </c>
      <c r="G1199" t="s">
        <v>367</v>
      </c>
      <c r="H1199" t="s">
        <v>560</v>
      </c>
      <c r="I1199">
        <v>0</v>
      </c>
      <c r="J1199" t="s">
        <v>289</v>
      </c>
      <c r="K1199" t="s">
        <v>290</v>
      </c>
      <c r="L1199" t="s">
        <v>285</v>
      </c>
      <c r="M1199" t="str">
        <f t="shared" si="69"/>
        <v>10</v>
      </c>
      <c r="N1199" t="s">
        <v>12</v>
      </c>
    </row>
    <row r="1200" spans="1:14" x14ac:dyDescent="0.25">
      <c r="A1200">
        <v>20151029</v>
      </c>
      <c r="B1200" t="str">
        <f>"060925"</f>
        <v>060925</v>
      </c>
      <c r="C1200" t="str">
        <f>"23676"</f>
        <v>23676</v>
      </c>
      <c r="D1200" t="s">
        <v>347</v>
      </c>
      <c r="E1200" s="3">
        <v>128</v>
      </c>
      <c r="F1200">
        <v>20151027</v>
      </c>
      <c r="G1200" t="s">
        <v>336</v>
      </c>
      <c r="H1200" t="s">
        <v>377</v>
      </c>
      <c r="I1200">
        <v>0</v>
      </c>
      <c r="J1200" t="s">
        <v>289</v>
      </c>
      <c r="K1200" t="s">
        <v>290</v>
      </c>
      <c r="L1200" t="s">
        <v>285</v>
      </c>
      <c r="M1200" t="str">
        <f t="shared" si="69"/>
        <v>10</v>
      </c>
      <c r="N1200" t="s">
        <v>12</v>
      </c>
    </row>
    <row r="1201" spans="1:14" x14ac:dyDescent="0.25">
      <c r="A1201">
        <v>20151029</v>
      </c>
      <c r="B1201" t="str">
        <f>"060927"</f>
        <v>060927</v>
      </c>
      <c r="C1201" t="str">
        <f>"24860"</f>
        <v>24860</v>
      </c>
      <c r="D1201" t="s">
        <v>561</v>
      </c>
      <c r="E1201" s="3">
        <v>96.42</v>
      </c>
      <c r="F1201">
        <v>20151028</v>
      </c>
      <c r="G1201" t="s">
        <v>338</v>
      </c>
      <c r="H1201" t="s">
        <v>562</v>
      </c>
      <c r="I1201">
        <v>0</v>
      </c>
      <c r="J1201" t="s">
        <v>289</v>
      </c>
      <c r="K1201" t="s">
        <v>290</v>
      </c>
      <c r="L1201" t="s">
        <v>285</v>
      </c>
      <c r="M1201" t="str">
        <f t="shared" si="69"/>
        <v>10</v>
      </c>
      <c r="N1201" t="s">
        <v>12</v>
      </c>
    </row>
    <row r="1202" spans="1:14" x14ac:dyDescent="0.25">
      <c r="A1202">
        <v>20151029</v>
      </c>
      <c r="B1202" t="str">
        <f>"060932"</f>
        <v>060932</v>
      </c>
      <c r="C1202" t="str">
        <f>"30118"</f>
        <v>30118</v>
      </c>
      <c r="D1202" t="s">
        <v>351</v>
      </c>
      <c r="E1202" s="3">
        <v>128</v>
      </c>
      <c r="F1202">
        <v>20151028</v>
      </c>
      <c r="G1202" t="s">
        <v>336</v>
      </c>
      <c r="H1202" t="s">
        <v>377</v>
      </c>
      <c r="I1202">
        <v>0</v>
      </c>
      <c r="J1202" t="s">
        <v>289</v>
      </c>
      <c r="K1202" t="s">
        <v>290</v>
      </c>
      <c r="L1202" t="s">
        <v>285</v>
      </c>
      <c r="M1202" t="str">
        <f t="shared" si="69"/>
        <v>10</v>
      </c>
      <c r="N1202" t="s">
        <v>12</v>
      </c>
    </row>
    <row r="1203" spans="1:14" x14ac:dyDescent="0.25">
      <c r="A1203">
        <v>20151029</v>
      </c>
      <c r="B1203" t="str">
        <f>"060932"</f>
        <v>060932</v>
      </c>
      <c r="C1203" t="str">
        <f>"30118"</f>
        <v>30118</v>
      </c>
      <c r="D1203" t="s">
        <v>351</v>
      </c>
      <c r="E1203" s="3">
        <v>48</v>
      </c>
      <c r="F1203">
        <v>20151028</v>
      </c>
      <c r="G1203" t="s">
        <v>338</v>
      </c>
      <c r="H1203" t="s">
        <v>562</v>
      </c>
      <c r="I1203">
        <v>0</v>
      </c>
      <c r="J1203" t="s">
        <v>289</v>
      </c>
      <c r="K1203" t="s">
        <v>290</v>
      </c>
      <c r="L1203" t="s">
        <v>285</v>
      </c>
      <c r="M1203" t="str">
        <f t="shared" si="69"/>
        <v>10</v>
      </c>
      <c r="N1203" t="s">
        <v>12</v>
      </c>
    </row>
    <row r="1204" spans="1:14" x14ac:dyDescent="0.25">
      <c r="A1204">
        <v>20151029</v>
      </c>
      <c r="B1204" t="str">
        <f>"060937"</f>
        <v>060937</v>
      </c>
      <c r="C1204" t="str">
        <f>"34933"</f>
        <v>34933</v>
      </c>
      <c r="D1204" t="s">
        <v>563</v>
      </c>
      <c r="E1204" s="3">
        <v>45</v>
      </c>
      <c r="F1204">
        <v>20151028</v>
      </c>
      <c r="G1204" t="s">
        <v>564</v>
      </c>
      <c r="H1204" t="s">
        <v>565</v>
      </c>
      <c r="I1204">
        <v>0</v>
      </c>
      <c r="J1204" t="s">
        <v>289</v>
      </c>
      <c r="K1204" t="s">
        <v>290</v>
      </c>
      <c r="L1204" t="s">
        <v>285</v>
      </c>
      <c r="M1204" t="str">
        <f t="shared" si="69"/>
        <v>10</v>
      </c>
      <c r="N1204" t="s">
        <v>12</v>
      </c>
    </row>
    <row r="1205" spans="1:14" x14ac:dyDescent="0.25">
      <c r="A1205">
        <v>20151029</v>
      </c>
      <c r="B1205" t="str">
        <f>"060937"</f>
        <v>060937</v>
      </c>
      <c r="C1205" t="str">
        <f>"34933"</f>
        <v>34933</v>
      </c>
      <c r="D1205" t="s">
        <v>563</v>
      </c>
      <c r="E1205" s="3">
        <v>45</v>
      </c>
      <c r="F1205">
        <v>20151028</v>
      </c>
      <c r="G1205" t="s">
        <v>564</v>
      </c>
      <c r="H1205" t="s">
        <v>566</v>
      </c>
      <c r="I1205">
        <v>0</v>
      </c>
      <c r="J1205" t="s">
        <v>289</v>
      </c>
      <c r="K1205" t="s">
        <v>290</v>
      </c>
      <c r="L1205" t="s">
        <v>285</v>
      </c>
      <c r="M1205" t="str">
        <f t="shared" si="69"/>
        <v>10</v>
      </c>
      <c r="N1205" t="s">
        <v>12</v>
      </c>
    </row>
    <row r="1206" spans="1:14" x14ac:dyDescent="0.25">
      <c r="A1206">
        <v>20151029</v>
      </c>
      <c r="B1206" t="str">
        <f>"060937"</f>
        <v>060937</v>
      </c>
      <c r="C1206" t="str">
        <f>"34933"</f>
        <v>34933</v>
      </c>
      <c r="D1206" t="s">
        <v>563</v>
      </c>
      <c r="E1206" s="3">
        <v>45</v>
      </c>
      <c r="F1206">
        <v>20151028</v>
      </c>
      <c r="G1206" t="s">
        <v>564</v>
      </c>
      <c r="H1206" t="s">
        <v>567</v>
      </c>
      <c r="I1206">
        <v>0</v>
      </c>
      <c r="J1206" t="s">
        <v>289</v>
      </c>
      <c r="K1206" t="s">
        <v>290</v>
      </c>
      <c r="L1206" t="s">
        <v>285</v>
      </c>
      <c r="M1206" t="str">
        <f t="shared" si="69"/>
        <v>10</v>
      </c>
      <c r="N1206" t="s">
        <v>12</v>
      </c>
    </row>
    <row r="1207" spans="1:14" x14ac:dyDescent="0.25">
      <c r="A1207">
        <v>20151029</v>
      </c>
      <c r="B1207" t="str">
        <f>"060938"</f>
        <v>060938</v>
      </c>
      <c r="C1207" t="str">
        <f>"34949"</f>
        <v>34949</v>
      </c>
      <c r="D1207" t="s">
        <v>396</v>
      </c>
      <c r="E1207" s="3">
        <v>100</v>
      </c>
      <c r="F1207">
        <v>20151028</v>
      </c>
      <c r="G1207" t="s">
        <v>365</v>
      </c>
      <c r="H1207" t="s">
        <v>568</v>
      </c>
      <c r="I1207">
        <v>0</v>
      </c>
      <c r="J1207" t="s">
        <v>289</v>
      </c>
      <c r="K1207" t="s">
        <v>290</v>
      </c>
      <c r="L1207" t="s">
        <v>285</v>
      </c>
      <c r="M1207" t="str">
        <f t="shared" si="69"/>
        <v>10</v>
      </c>
      <c r="N1207" t="s">
        <v>12</v>
      </c>
    </row>
    <row r="1208" spans="1:14" x14ac:dyDescent="0.25">
      <c r="A1208">
        <v>20151029</v>
      </c>
      <c r="B1208" t="str">
        <f>"060939"</f>
        <v>060939</v>
      </c>
      <c r="C1208" t="str">
        <f>"37751"</f>
        <v>37751</v>
      </c>
      <c r="D1208" t="s">
        <v>569</v>
      </c>
      <c r="E1208" s="3">
        <v>50</v>
      </c>
      <c r="F1208">
        <v>20151028</v>
      </c>
      <c r="G1208" t="s">
        <v>345</v>
      </c>
      <c r="H1208" t="s">
        <v>570</v>
      </c>
      <c r="I1208">
        <v>0</v>
      </c>
      <c r="J1208" t="s">
        <v>289</v>
      </c>
      <c r="K1208" t="s">
        <v>95</v>
      </c>
      <c r="L1208" t="s">
        <v>285</v>
      </c>
      <c r="M1208" t="str">
        <f t="shared" si="69"/>
        <v>10</v>
      </c>
      <c r="N1208" t="s">
        <v>12</v>
      </c>
    </row>
    <row r="1209" spans="1:14" x14ac:dyDescent="0.25">
      <c r="A1209">
        <v>20151029</v>
      </c>
      <c r="B1209" t="str">
        <f>"060942"</f>
        <v>060942</v>
      </c>
      <c r="C1209" t="str">
        <f>"39410"</f>
        <v>39410</v>
      </c>
      <c r="D1209" t="s">
        <v>571</v>
      </c>
      <c r="E1209" s="3">
        <v>94.35</v>
      </c>
      <c r="F1209">
        <v>20151028</v>
      </c>
      <c r="G1209" t="s">
        <v>338</v>
      </c>
      <c r="H1209" t="s">
        <v>562</v>
      </c>
      <c r="I1209">
        <v>0</v>
      </c>
      <c r="J1209" t="s">
        <v>289</v>
      </c>
      <c r="K1209" t="s">
        <v>290</v>
      </c>
      <c r="L1209" t="s">
        <v>285</v>
      </c>
      <c r="M1209" t="str">
        <f t="shared" si="69"/>
        <v>10</v>
      </c>
      <c r="N1209" t="s">
        <v>12</v>
      </c>
    </row>
    <row r="1210" spans="1:14" x14ac:dyDescent="0.25">
      <c r="A1210">
        <v>20151029</v>
      </c>
      <c r="B1210" t="str">
        <f>"060944"</f>
        <v>060944</v>
      </c>
      <c r="C1210" t="str">
        <f>"40790"</f>
        <v>40790</v>
      </c>
      <c r="D1210" t="s">
        <v>572</v>
      </c>
      <c r="E1210" s="3">
        <v>35</v>
      </c>
      <c r="F1210">
        <v>20151028</v>
      </c>
      <c r="G1210" t="s">
        <v>564</v>
      </c>
      <c r="H1210" t="s">
        <v>566</v>
      </c>
      <c r="I1210">
        <v>0</v>
      </c>
      <c r="J1210" t="s">
        <v>289</v>
      </c>
      <c r="K1210" t="s">
        <v>290</v>
      </c>
      <c r="L1210" t="s">
        <v>285</v>
      </c>
      <c r="M1210" t="str">
        <f t="shared" si="69"/>
        <v>10</v>
      </c>
      <c r="N1210" t="s">
        <v>12</v>
      </c>
    </row>
    <row r="1211" spans="1:14" x14ac:dyDescent="0.25">
      <c r="A1211">
        <v>20151029</v>
      </c>
      <c r="B1211" t="str">
        <f>"060946"</f>
        <v>060946</v>
      </c>
      <c r="C1211" t="str">
        <f>"42192"</f>
        <v>42192</v>
      </c>
      <c r="D1211" t="s">
        <v>573</v>
      </c>
      <c r="E1211" s="3">
        <v>72.5</v>
      </c>
      <c r="F1211">
        <v>20151028</v>
      </c>
      <c r="G1211" t="s">
        <v>345</v>
      </c>
      <c r="H1211" t="s">
        <v>551</v>
      </c>
      <c r="I1211">
        <v>0</v>
      </c>
      <c r="J1211" t="s">
        <v>289</v>
      </c>
      <c r="K1211" t="s">
        <v>95</v>
      </c>
      <c r="L1211" t="s">
        <v>285</v>
      </c>
      <c r="M1211" t="str">
        <f t="shared" si="69"/>
        <v>10</v>
      </c>
      <c r="N1211" t="s">
        <v>12</v>
      </c>
    </row>
    <row r="1212" spans="1:14" x14ac:dyDescent="0.25">
      <c r="A1212">
        <v>20151029</v>
      </c>
      <c r="B1212" t="str">
        <f>"060948"</f>
        <v>060948</v>
      </c>
      <c r="C1212" t="str">
        <f>"46007"</f>
        <v>46007</v>
      </c>
      <c r="D1212" t="s">
        <v>574</v>
      </c>
      <c r="E1212" s="3">
        <v>88.41</v>
      </c>
      <c r="F1212">
        <v>20151028</v>
      </c>
      <c r="G1212" t="s">
        <v>345</v>
      </c>
      <c r="H1212" t="s">
        <v>570</v>
      </c>
      <c r="I1212">
        <v>0</v>
      </c>
      <c r="J1212" t="s">
        <v>289</v>
      </c>
      <c r="K1212" t="s">
        <v>95</v>
      </c>
      <c r="L1212" t="s">
        <v>285</v>
      </c>
      <c r="M1212" t="str">
        <f t="shared" si="69"/>
        <v>10</v>
      </c>
      <c r="N1212" t="s">
        <v>12</v>
      </c>
    </row>
    <row r="1213" spans="1:14" x14ac:dyDescent="0.25">
      <c r="A1213">
        <v>20151029</v>
      </c>
      <c r="B1213" t="str">
        <f>"060950"</f>
        <v>060950</v>
      </c>
      <c r="C1213" t="str">
        <f>"48074"</f>
        <v>48074</v>
      </c>
      <c r="D1213" t="s">
        <v>502</v>
      </c>
      <c r="E1213" s="3">
        <v>79.78</v>
      </c>
      <c r="F1213">
        <v>20151028</v>
      </c>
      <c r="G1213" t="s">
        <v>338</v>
      </c>
      <c r="H1213" t="s">
        <v>562</v>
      </c>
      <c r="I1213">
        <v>0</v>
      </c>
      <c r="J1213" t="s">
        <v>289</v>
      </c>
      <c r="K1213" t="s">
        <v>290</v>
      </c>
      <c r="L1213" t="s">
        <v>285</v>
      </c>
      <c r="M1213" t="str">
        <f t="shared" si="69"/>
        <v>10</v>
      </c>
      <c r="N1213" t="s">
        <v>12</v>
      </c>
    </row>
    <row r="1214" spans="1:14" x14ac:dyDescent="0.25">
      <c r="A1214">
        <v>20151029</v>
      </c>
      <c r="B1214" t="str">
        <f>"060951"</f>
        <v>060951</v>
      </c>
      <c r="C1214" t="str">
        <f>"49445"</f>
        <v>49445</v>
      </c>
      <c r="D1214" t="s">
        <v>575</v>
      </c>
      <c r="E1214" s="3">
        <v>720</v>
      </c>
      <c r="F1214">
        <v>20151028</v>
      </c>
      <c r="G1214" t="s">
        <v>507</v>
      </c>
      <c r="H1214" t="s">
        <v>576</v>
      </c>
      <c r="I1214">
        <v>0</v>
      </c>
      <c r="J1214" t="s">
        <v>289</v>
      </c>
      <c r="K1214" t="s">
        <v>290</v>
      </c>
      <c r="L1214" t="s">
        <v>285</v>
      </c>
      <c r="M1214" t="str">
        <f t="shared" si="69"/>
        <v>10</v>
      </c>
      <c r="N1214" t="s">
        <v>12</v>
      </c>
    </row>
    <row r="1215" spans="1:14" x14ac:dyDescent="0.25">
      <c r="A1215">
        <v>20151029</v>
      </c>
      <c r="B1215" t="str">
        <f>"060955"</f>
        <v>060955</v>
      </c>
      <c r="C1215" t="str">
        <f>"52217"</f>
        <v>52217</v>
      </c>
      <c r="D1215" t="s">
        <v>577</v>
      </c>
      <c r="E1215" s="3">
        <v>328</v>
      </c>
      <c r="F1215">
        <v>20151028</v>
      </c>
      <c r="G1215" t="s">
        <v>578</v>
      </c>
      <c r="H1215" t="s">
        <v>579</v>
      </c>
      <c r="I1215">
        <v>0</v>
      </c>
      <c r="J1215" t="s">
        <v>289</v>
      </c>
      <c r="K1215" t="s">
        <v>290</v>
      </c>
      <c r="L1215" t="s">
        <v>285</v>
      </c>
      <c r="M1215" t="str">
        <f t="shared" ref="M1215:M1243" si="70">"10"</f>
        <v>10</v>
      </c>
      <c r="N1215" t="s">
        <v>12</v>
      </c>
    </row>
    <row r="1216" spans="1:14" x14ac:dyDescent="0.25">
      <c r="A1216">
        <v>20151029</v>
      </c>
      <c r="B1216" t="str">
        <f>"060955"</f>
        <v>060955</v>
      </c>
      <c r="C1216" t="str">
        <f>"52217"</f>
        <v>52217</v>
      </c>
      <c r="D1216" t="s">
        <v>577</v>
      </c>
      <c r="E1216" s="3">
        <v>580.76</v>
      </c>
      <c r="F1216">
        <v>20151028</v>
      </c>
      <c r="G1216" t="s">
        <v>406</v>
      </c>
      <c r="H1216" t="s">
        <v>580</v>
      </c>
      <c r="I1216">
        <v>0</v>
      </c>
      <c r="J1216" t="s">
        <v>289</v>
      </c>
      <c r="K1216" t="s">
        <v>95</v>
      </c>
      <c r="L1216" t="s">
        <v>285</v>
      </c>
      <c r="M1216" t="str">
        <f t="shared" si="70"/>
        <v>10</v>
      </c>
      <c r="N1216" t="s">
        <v>12</v>
      </c>
    </row>
    <row r="1217" spans="1:14" x14ac:dyDescent="0.25">
      <c r="A1217">
        <v>20151029</v>
      </c>
      <c r="B1217" t="str">
        <f>"060955"</f>
        <v>060955</v>
      </c>
      <c r="C1217" t="str">
        <f>"52217"</f>
        <v>52217</v>
      </c>
      <c r="D1217" t="s">
        <v>577</v>
      </c>
      <c r="E1217" s="3">
        <v>60.98</v>
      </c>
      <c r="F1217">
        <v>20151028</v>
      </c>
      <c r="G1217" t="s">
        <v>406</v>
      </c>
      <c r="H1217" t="s">
        <v>581</v>
      </c>
      <c r="I1217">
        <v>0</v>
      </c>
      <c r="J1217" t="s">
        <v>289</v>
      </c>
      <c r="K1217" t="s">
        <v>95</v>
      </c>
      <c r="L1217" t="s">
        <v>285</v>
      </c>
      <c r="M1217" t="str">
        <f t="shared" si="70"/>
        <v>10</v>
      </c>
      <c r="N1217" t="s">
        <v>12</v>
      </c>
    </row>
    <row r="1218" spans="1:14" x14ac:dyDescent="0.25">
      <c r="A1218">
        <v>20151029</v>
      </c>
      <c r="B1218" t="str">
        <f>"060956"</f>
        <v>060956</v>
      </c>
      <c r="C1218" t="str">
        <f>"53457"</f>
        <v>53457</v>
      </c>
      <c r="D1218" t="s">
        <v>582</v>
      </c>
      <c r="E1218" s="3">
        <v>99.91</v>
      </c>
      <c r="F1218">
        <v>20151028</v>
      </c>
      <c r="G1218" t="s">
        <v>336</v>
      </c>
      <c r="H1218" t="s">
        <v>377</v>
      </c>
      <c r="I1218">
        <v>0</v>
      </c>
      <c r="J1218" t="s">
        <v>289</v>
      </c>
      <c r="K1218" t="s">
        <v>290</v>
      </c>
      <c r="L1218" t="s">
        <v>285</v>
      </c>
      <c r="M1218" t="str">
        <f t="shared" si="70"/>
        <v>10</v>
      </c>
      <c r="N1218" t="s">
        <v>12</v>
      </c>
    </row>
    <row r="1219" spans="1:14" x14ac:dyDescent="0.25">
      <c r="A1219">
        <v>20151029</v>
      </c>
      <c r="B1219" t="str">
        <f>"060958"</f>
        <v>060958</v>
      </c>
      <c r="C1219" t="str">
        <f>"54558"</f>
        <v>54558</v>
      </c>
      <c r="D1219" t="s">
        <v>583</v>
      </c>
      <c r="E1219" s="3">
        <v>45</v>
      </c>
      <c r="F1219">
        <v>20151028</v>
      </c>
      <c r="G1219" t="s">
        <v>564</v>
      </c>
      <c r="H1219" t="s">
        <v>565</v>
      </c>
      <c r="I1219">
        <v>0</v>
      </c>
      <c r="J1219" t="s">
        <v>289</v>
      </c>
      <c r="K1219" t="s">
        <v>290</v>
      </c>
      <c r="L1219" t="s">
        <v>285</v>
      </c>
      <c r="M1219" t="str">
        <f t="shared" si="70"/>
        <v>10</v>
      </c>
      <c r="N1219" t="s">
        <v>12</v>
      </c>
    </row>
    <row r="1220" spans="1:14" x14ac:dyDescent="0.25">
      <c r="A1220">
        <v>20151029</v>
      </c>
      <c r="B1220" t="str">
        <f>"060958"</f>
        <v>060958</v>
      </c>
      <c r="C1220" t="str">
        <f>"54558"</f>
        <v>54558</v>
      </c>
      <c r="D1220" t="s">
        <v>583</v>
      </c>
      <c r="E1220" s="3">
        <v>45</v>
      </c>
      <c r="F1220">
        <v>20151028</v>
      </c>
      <c r="G1220" t="s">
        <v>564</v>
      </c>
      <c r="H1220" t="s">
        <v>566</v>
      </c>
      <c r="I1220">
        <v>0</v>
      </c>
      <c r="J1220" t="s">
        <v>289</v>
      </c>
      <c r="K1220" t="s">
        <v>290</v>
      </c>
      <c r="L1220" t="s">
        <v>285</v>
      </c>
      <c r="M1220" t="str">
        <f t="shared" si="70"/>
        <v>10</v>
      </c>
      <c r="N1220" t="s">
        <v>12</v>
      </c>
    </row>
    <row r="1221" spans="1:14" x14ac:dyDescent="0.25">
      <c r="A1221">
        <v>20151029</v>
      </c>
      <c r="B1221" t="str">
        <f>"060958"</f>
        <v>060958</v>
      </c>
      <c r="C1221" t="str">
        <f>"54558"</f>
        <v>54558</v>
      </c>
      <c r="D1221" t="s">
        <v>583</v>
      </c>
      <c r="E1221" s="3">
        <v>45</v>
      </c>
      <c r="F1221">
        <v>20151028</v>
      </c>
      <c r="G1221" t="s">
        <v>564</v>
      </c>
      <c r="H1221" t="s">
        <v>567</v>
      </c>
      <c r="I1221">
        <v>0</v>
      </c>
      <c r="J1221" t="s">
        <v>289</v>
      </c>
      <c r="K1221" t="s">
        <v>290</v>
      </c>
      <c r="L1221" t="s">
        <v>285</v>
      </c>
      <c r="M1221" t="str">
        <f t="shared" si="70"/>
        <v>10</v>
      </c>
      <c r="N1221" t="s">
        <v>12</v>
      </c>
    </row>
    <row r="1222" spans="1:14" x14ac:dyDescent="0.25">
      <c r="A1222">
        <v>20151029</v>
      </c>
      <c r="B1222" t="str">
        <f>"060959"</f>
        <v>060959</v>
      </c>
      <c r="C1222" t="str">
        <f>"55506"</f>
        <v>55506</v>
      </c>
      <c r="D1222" t="s">
        <v>584</v>
      </c>
      <c r="E1222" s="3">
        <v>64.489999999999995</v>
      </c>
      <c r="F1222">
        <v>20151028</v>
      </c>
      <c r="G1222" t="s">
        <v>345</v>
      </c>
      <c r="H1222" t="s">
        <v>551</v>
      </c>
      <c r="I1222">
        <v>0</v>
      </c>
      <c r="J1222" t="s">
        <v>289</v>
      </c>
      <c r="K1222" t="s">
        <v>95</v>
      </c>
      <c r="L1222" t="s">
        <v>285</v>
      </c>
      <c r="M1222" t="str">
        <f t="shared" si="70"/>
        <v>10</v>
      </c>
      <c r="N1222" t="s">
        <v>12</v>
      </c>
    </row>
    <row r="1223" spans="1:14" x14ac:dyDescent="0.25">
      <c r="A1223">
        <v>20151029</v>
      </c>
      <c r="B1223" t="str">
        <f>"060961"</f>
        <v>060961</v>
      </c>
      <c r="C1223" t="str">
        <f>"56571"</f>
        <v>56571</v>
      </c>
      <c r="D1223" t="s">
        <v>506</v>
      </c>
      <c r="E1223" s="3">
        <v>80.77</v>
      </c>
      <c r="F1223">
        <v>20151028</v>
      </c>
      <c r="G1223" t="s">
        <v>409</v>
      </c>
      <c r="H1223" t="s">
        <v>549</v>
      </c>
      <c r="I1223">
        <v>0</v>
      </c>
      <c r="J1223" t="s">
        <v>289</v>
      </c>
      <c r="K1223" t="s">
        <v>95</v>
      </c>
      <c r="L1223" t="s">
        <v>285</v>
      </c>
      <c r="M1223" t="str">
        <f t="shared" si="70"/>
        <v>10</v>
      </c>
      <c r="N1223" t="s">
        <v>12</v>
      </c>
    </row>
    <row r="1224" spans="1:14" x14ac:dyDescent="0.25">
      <c r="A1224">
        <v>20151029</v>
      </c>
      <c r="B1224" t="str">
        <f>"060962"</f>
        <v>060962</v>
      </c>
      <c r="C1224" t="str">
        <f>"56569"</f>
        <v>56569</v>
      </c>
      <c r="D1224" t="s">
        <v>318</v>
      </c>
      <c r="E1224" s="3">
        <v>40</v>
      </c>
      <c r="F1224">
        <v>20151028</v>
      </c>
      <c r="G1224" t="s">
        <v>336</v>
      </c>
      <c r="H1224" t="s">
        <v>377</v>
      </c>
      <c r="I1224">
        <v>0</v>
      </c>
      <c r="J1224" t="s">
        <v>289</v>
      </c>
      <c r="K1224" t="s">
        <v>290</v>
      </c>
      <c r="L1224" t="s">
        <v>285</v>
      </c>
      <c r="M1224" t="str">
        <f t="shared" si="70"/>
        <v>10</v>
      </c>
      <c r="N1224" t="s">
        <v>12</v>
      </c>
    </row>
    <row r="1225" spans="1:14" x14ac:dyDescent="0.25">
      <c r="A1225">
        <v>20151029</v>
      </c>
      <c r="B1225" t="str">
        <f>"060963"</f>
        <v>060963</v>
      </c>
      <c r="C1225" t="str">
        <f>"57661"</f>
        <v>57661</v>
      </c>
      <c r="D1225" t="s">
        <v>444</v>
      </c>
      <c r="E1225" s="3">
        <v>40</v>
      </c>
      <c r="F1225">
        <v>20151028</v>
      </c>
      <c r="G1225" t="s">
        <v>336</v>
      </c>
      <c r="H1225" t="s">
        <v>377</v>
      </c>
      <c r="I1225">
        <v>0</v>
      </c>
      <c r="J1225" t="s">
        <v>289</v>
      </c>
      <c r="K1225" t="s">
        <v>290</v>
      </c>
      <c r="L1225" t="s">
        <v>285</v>
      </c>
      <c r="M1225" t="str">
        <f t="shared" si="70"/>
        <v>10</v>
      </c>
      <c r="N1225" t="s">
        <v>12</v>
      </c>
    </row>
    <row r="1226" spans="1:14" x14ac:dyDescent="0.25">
      <c r="A1226">
        <v>20151029</v>
      </c>
      <c r="B1226" t="str">
        <f>"060963"</f>
        <v>060963</v>
      </c>
      <c r="C1226" t="str">
        <f>"57661"</f>
        <v>57661</v>
      </c>
      <c r="D1226" t="s">
        <v>444</v>
      </c>
      <c r="E1226" s="3">
        <v>86.01</v>
      </c>
      <c r="F1226">
        <v>20151028</v>
      </c>
      <c r="G1226" t="s">
        <v>409</v>
      </c>
      <c r="H1226" t="s">
        <v>585</v>
      </c>
      <c r="I1226">
        <v>0</v>
      </c>
      <c r="J1226" t="s">
        <v>289</v>
      </c>
      <c r="K1226" t="s">
        <v>95</v>
      </c>
      <c r="L1226" t="s">
        <v>285</v>
      </c>
      <c r="M1226" t="str">
        <f t="shared" si="70"/>
        <v>10</v>
      </c>
      <c r="N1226" t="s">
        <v>12</v>
      </c>
    </row>
    <row r="1227" spans="1:14" x14ac:dyDescent="0.25">
      <c r="A1227">
        <v>20151029</v>
      </c>
      <c r="B1227" t="str">
        <f>"060965"</f>
        <v>060965</v>
      </c>
      <c r="C1227" t="str">
        <f>"57974"</f>
        <v>57974</v>
      </c>
      <c r="D1227" t="s">
        <v>586</v>
      </c>
      <c r="E1227" s="3">
        <v>128</v>
      </c>
      <c r="F1227">
        <v>20151028</v>
      </c>
      <c r="G1227" t="s">
        <v>336</v>
      </c>
      <c r="H1227" t="s">
        <v>377</v>
      </c>
      <c r="I1227">
        <v>0</v>
      </c>
      <c r="J1227" t="s">
        <v>289</v>
      </c>
      <c r="K1227" t="s">
        <v>290</v>
      </c>
      <c r="L1227" t="s">
        <v>285</v>
      </c>
      <c r="M1227" t="str">
        <f t="shared" si="70"/>
        <v>10</v>
      </c>
      <c r="N1227" t="s">
        <v>12</v>
      </c>
    </row>
    <row r="1228" spans="1:14" x14ac:dyDescent="0.25">
      <c r="A1228">
        <v>20151029</v>
      </c>
      <c r="B1228" t="str">
        <f>"060966"</f>
        <v>060966</v>
      </c>
      <c r="C1228" t="str">
        <f>"57991"</f>
        <v>57991</v>
      </c>
      <c r="D1228" t="s">
        <v>445</v>
      </c>
      <c r="E1228" s="3">
        <v>97.77</v>
      </c>
      <c r="F1228">
        <v>20151028</v>
      </c>
      <c r="G1228" t="s">
        <v>336</v>
      </c>
      <c r="H1228" t="s">
        <v>377</v>
      </c>
      <c r="I1228">
        <v>0</v>
      </c>
      <c r="J1228" t="s">
        <v>289</v>
      </c>
      <c r="K1228" t="s">
        <v>290</v>
      </c>
      <c r="L1228" t="s">
        <v>285</v>
      </c>
      <c r="M1228" t="str">
        <f t="shared" si="70"/>
        <v>10</v>
      </c>
      <c r="N1228" t="s">
        <v>12</v>
      </c>
    </row>
    <row r="1229" spans="1:14" x14ac:dyDescent="0.25">
      <c r="A1229">
        <v>20151029</v>
      </c>
      <c r="B1229" t="str">
        <f>"060968"</f>
        <v>060968</v>
      </c>
      <c r="C1229" t="str">
        <f>"59091"</f>
        <v>59091</v>
      </c>
      <c r="D1229" t="s">
        <v>513</v>
      </c>
      <c r="E1229" s="3">
        <v>40</v>
      </c>
      <c r="F1229">
        <v>20151028</v>
      </c>
      <c r="G1229" t="s">
        <v>336</v>
      </c>
      <c r="H1229" t="s">
        <v>377</v>
      </c>
      <c r="I1229">
        <v>0</v>
      </c>
      <c r="J1229" t="s">
        <v>289</v>
      </c>
      <c r="K1229" t="s">
        <v>290</v>
      </c>
      <c r="L1229" t="s">
        <v>285</v>
      </c>
      <c r="M1229" t="str">
        <f t="shared" si="70"/>
        <v>10</v>
      </c>
      <c r="N1229" t="s">
        <v>12</v>
      </c>
    </row>
    <row r="1230" spans="1:14" x14ac:dyDescent="0.25">
      <c r="A1230">
        <v>20151029</v>
      </c>
      <c r="B1230" t="str">
        <f>"060969"</f>
        <v>060969</v>
      </c>
      <c r="C1230" t="str">
        <f>"61155"</f>
        <v>61155</v>
      </c>
      <c r="D1230" t="s">
        <v>587</v>
      </c>
      <c r="E1230" s="3">
        <v>92.71</v>
      </c>
      <c r="F1230">
        <v>20151028</v>
      </c>
      <c r="G1230" t="s">
        <v>409</v>
      </c>
      <c r="H1230" t="s">
        <v>549</v>
      </c>
      <c r="I1230">
        <v>0</v>
      </c>
      <c r="J1230" t="s">
        <v>289</v>
      </c>
      <c r="K1230" t="s">
        <v>95</v>
      </c>
      <c r="L1230" t="s">
        <v>285</v>
      </c>
      <c r="M1230" t="str">
        <f t="shared" si="70"/>
        <v>10</v>
      </c>
      <c r="N1230" t="s">
        <v>12</v>
      </c>
    </row>
    <row r="1231" spans="1:14" x14ac:dyDescent="0.25">
      <c r="A1231">
        <v>20151029</v>
      </c>
      <c r="B1231" t="str">
        <f>"060970"</f>
        <v>060970</v>
      </c>
      <c r="C1231" t="str">
        <f>"62290"</f>
        <v>62290</v>
      </c>
      <c r="D1231" t="s">
        <v>447</v>
      </c>
      <c r="E1231" s="3">
        <v>99.01</v>
      </c>
      <c r="F1231">
        <v>20151028</v>
      </c>
      <c r="G1231" t="s">
        <v>336</v>
      </c>
      <c r="H1231" t="s">
        <v>377</v>
      </c>
      <c r="I1231">
        <v>0</v>
      </c>
      <c r="J1231" t="s">
        <v>289</v>
      </c>
      <c r="K1231" t="s">
        <v>290</v>
      </c>
      <c r="L1231" t="s">
        <v>285</v>
      </c>
      <c r="M1231" t="str">
        <f t="shared" si="70"/>
        <v>10</v>
      </c>
      <c r="N1231" t="s">
        <v>12</v>
      </c>
    </row>
    <row r="1232" spans="1:14" x14ac:dyDescent="0.25">
      <c r="A1232">
        <v>20151029</v>
      </c>
      <c r="B1232" t="str">
        <f>"060971"</f>
        <v>060971</v>
      </c>
      <c r="C1232" t="str">
        <f>"62339"</f>
        <v>62339</v>
      </c>
      <c r="D1232" t="s">
        <v>588</v>
      </c>
      <c r="E1232" s="3">
        <v>107.71</v>
      </c>
      <c r="F1232">
        <v>20151028</v>
      </c>
      <c r="G1232" t="s">
        <v>336</v>
      </c>
      <c r="H1232" t="s">
        <v>377</v>
      </c>
      <c r="I1232">
        <v>0</v>
      </c>
      <c r="J1232" t="s">
        <v>289</v>
      </c>
      <c r="K1232" t="s">
        <v>290</v>
      </c>
      <c r="L1232" t="s">
        <v>285</v>
      </c>
      <c r="M1232" t="str">
        <f t="shared" si="70"/>
        <v>10</v>
      </c>
      <c r="N1232" t="s">
        <v>12</v>
      </c>
    </row>
    <row r="1233" spans="1:14" x14ac:dyDescent="0.25">
      <c r="A1233">
        <v>20151029</v>
      </c>
      <c r="B1233" t="str">
        <f>"060973"</f>
        <v>060973</v>
      </c>
      <c r="C1233" t="str">
        <f>"65204"</f>
        <v>65204</v>
      </c>
      <c r="D1233" t="s">
        <v>589</v>
      </c>
      <c r="E1233" s="3">
        <v>82.8</v>
      </c>
      <c r="F1233">
        <v>20151028</v>
      </c>
      <c r="G1233" t="s">
        <v>338</v>
      </c>
      <c r="H1233" t="s">
        <v>562</v>
      </c>
      <c r="I1233">
        <v>0</v>
      </c>
      <c r="J1233" t="s">
        <v>289</v>
      </c>
      <c r="K1233" t="s">
        <v>290</v>
      </c>
      <c r="L1233" t="s">
        <v>285</v>
      </c>
      <c r="M1233" t="str">
        <f t="shared" si="70"/>
        <v>10</v>
      </c>
      <c r="N1233" t="s">
        <v>12</v>
      </c>
    </row>
    <row r="1234" spans="1:14" x14ac:dyDescent="0.25">
      <c r="A1234">
        <v>20151029</v>
      </c>
      <c r="B1234" t="str">
        <f>"060973"</f>
        <v>060973</v>
      </c>
      <c r="C1234" t="str">
        <f>"65204"</f>
        <v>65204</v>
      </c>
      <c r="D1234" t="s">
        <v>589</v>
      </c>
      <c r="E1234" s="3">
        <v>50</v>
      </c>
      <c r="F1234">
        <v>20151028</v>
      </c>
      <c r="G1234" t="s">
        <v>345</v>
      </c>
      <c r="H1234" t="s">
        <v>570</v>
      </c>
      <c r="I1234">
        <v>0</v>
      </c>
      <c r="J1234" t="s">
        <v>289</v>
      </c>
      <c r="K1234" t="s">
        <v>95</v>
      </c>
      <c r="L1234" t="s">
        <v>285</v>
      </c>
      <c r="M1234" t="str">
        <f t="shared" si="70"/>
        <v>10</v>
      </c>
      <c r="N1234" t="s">
        <v>12</v>
      </c>
    </row>
    <row r="1235" spans="1:14" x14ac:dyDescent="0.25">
      <c r="A1235">
        <v>20151029</v>
      </c>
      <c r="B1235" t="str">
        <f>"060975"</f>
        <v>060975</v>
      </c>
      <c r="C1235" t="str">
        <f>"65201"</f>
        <v>65201</v>
      </c>
      <c r="D1235" t="s">
        <v>322</v>
      </c>
      <c r="E1235" s="3">
        <v>60</v>
      </c>
      <c r="F1235">
        <v>20151028</v>
      </c>
      <c r="G1235" t="s">
        <v>336</v>
      </c>
      <c r="H1235" t="s">
        <v>377</v>
      </c>
      <c r="I1235">
        <v>0</v>
      </c>
      <c r="J1235" t="s">
        <v>289</v>
      </c>
      <c r="K1235" t="s">
        <v>290</v>
      </c>
      <c r="L1235" t="s">
        <v>285</v>
      </c>
      <c r="M1235" t="str">
        <f t="shared" si="70"/>
        <v>10</v>
      </c>
      <c r="N1235" t="s">
        <v>12</v>
      </c>
    </row>
    <row r="1236" spans="1:14" x14ac:dyDescent="0.25">
      <c r="A1236">
        <v>20151029</v>
      </c>
      <c r="B1236" t="str">
        <f>"060980"</f>
        <v>060980</v>
      </c>
      <c r="C1236" t="str">
        <f>"65863"</f>
        <v>65863</v>
      </c>
      <c r="D1236" t="s">
        <v>323</v>
      </c>
      <c r="E1236" s="3">
        <v>50</v>
      </c>
      <c r="F1236">
        <v>20151028</v>
      </c>
      <c r="G1236" t="s">
        <v>345</v>
      </c>
      <c r="H1236" t="s">
        <v>570</v>
      </c>
      <c r="I1236">
        <v>0</v>
      </c>
      <c r="J1236" t="s">
        <v>289</v>
      </c>
      <c r="K1236" t="s">
        <v>95</v>
      </c>
      <c r="L1236" t="s">
        <v>285</v>
      </c>
      <c r="M1236" t="str">
        <f t="shared" si="70"/>
        <v>10</v>
      </c>
      <c r="N1236" t="s">
        <v>12</v>
      </c>
    </row>
    <row r="1237" spans="1:14" x14ac:dyDescent="0.25">
      <c r="A1237">
        <v>20151029</v>
      </c>
      <c r="B1237" t="str">
        <f>"060981"</f>
        <v>060981</v>
      </c>
      <c r="C1237" t="str">
        <f>"69162"</f>
        <v>69162</v>
      </c>
      <c r="D1237" t="s">
        <v>450</v>
      </c>
      <c r="E1237" s="3">
        <v>23.3</v>
      </c>
      <c r="F1237">
        <v>20151028</v>
      </c>
      <c r="G1237" t="s">
        <v>310</v>
      </c>
      <c r="H1237" t="s">
        <v>568</v>
      </c>
      <c r="I1237">
        <v>0</v>
      </c>
      <c r="J1237" t="s">
        <v>289</v>
      </c>
      <c r="K1237" t="s">
        <v>290</v>
      </c>
      <c r="L1237" t="s">
        <v>285</v>
      </c>
      <c r="M1237" t="str">
        <f t="shared" si="70"/>
        <v>10</v>
      </c>
      <c r="N1237" t="s">
        <v>12</v>
      </c>
    </row>
    <row r="1238" spans="1:14" x14ac:dyDescent="0.25">
      <c r="A1238">
        <v>20151029</v>
      </c>
      <c r="B1238" t="str">
        <f>"060983"</f>
        <v>060983</v>
      </c>
      <c r="C1238" t="str">
        <f>"74140"</f>
        <v>74140</v>
      </c>
      <c r="D1238" t="s">
        <v>590</v>
      </c>
      <c r="E1238" s="3">
        <v>99.63</v>
      </c>
      <c r="F1238">
        <v>20151028</v>
      </c>
      <c r="G1238" t="s">
        <v>336</v>
      </c>
      <c r="H1238" t="s">
        <v>377</v>
      </c>
      <c r="I1238">
        <v>0</v>
      </c>
      <c r="J1238" t="s">
        <v>289</v>
      </c>
      <c r="K1238" t="s">
        <v>290</v>
      </c>
      <c r="L1238" t="s">
        <v>285</v>
      </c>
      <c r="M1238" t="str">
        <f t="shared" si="70"/>
        <v>10</v>
      </c>
      <c r="N1238" t="s">
        <v>12</v>
      </c>
    </row>
    <row r="1239" spans="1:14" x14ac:dyDescent="0.25">
      <c r="A1239">
        <v>20151029</v>
      </c>
      <c r="B1239" t="str">
        <f>"060987"</f>
        <v>060987</v>
      </c>
      <c r="C1239" t="str">
        <f>"80513"</f>
        <v>80513</v>
      </c>
      <c r="D1239" t="s">
        <v>591</v>
      </c>
      <c r="E1239" s="3">
        <v>77.8</v>
      </c>
      <c r="F1239">
        <v>20151028</v>
      </c>
      <c r="G1239" t="s">
        <v>409</v>
      </c>
      <c r="H1239" t="s">
        <v>585</v>
      </c>
      <c r="I1239">
        <v>0</v>
      </c>
      <c r="J1239" t="s">
        <v>289</v>
      </c>
      <c r="K1239" t="s">
        <v>95</v>
      </c>
      <c r="L1239" t="s">
        <v>285</v>
      </c>
      <c r="M1239" t="str">
        <f t="shared" si="70"/>
        <v>10</v>
      </c>
      <c r="N1239" t="s">
        <v>12</v>
      </c>
    </row>
    <row r="1240" spans="1:14" x14ac:dyDescent="0.25">
      <c r="A1240">
        <v>20151029</v>
      </c>
      <c r="B1240" t="str">
        <f>"060991"</f>
        <v>060991</v>
      </c>
      <c r="C1240" t="str">
        <f>"81715"</f>
        <v>81715</v>
      </c>
      <c r="D1240" t="s">
        <v>592</v>
      </c>
      <c r="E1240" s="3">
        <v>84.36</v>
      </c>
      <c r="F1240">
        <v>20151028</v>
      </c>
      <c r="G1240" t="s">
        <v>409</v>
      </c>
      <c r="H1240" t="s">
        <v>585</v>
      </c>
      <c r="I1240">
        <v>0</v>
      </c>
      <c r="J1240" t="s">
        <v>289</v>
      </c>
      <c r="K1240" t="s">
        <v>95</v>
      </c>
      <c r="L1240" t="s">
        <v>285</v>
      </c>
      <c r="M1240" t="str">
        <f t="shared" si="70"/>
        <v>10</v>
      </c>
      <c r="N1240" t="s">
        <v>12</v>
      </c>
    </row>
    <row r="1241" spans="1:14" x14ac:dyDescent="0.25">
      <c r="A1241">
        <v>20151029</v>
      </c>
      <c r="B1241" t="str">
        <f>"060992"</f>
        <v>060992</v>
      </c>
      <c r="C1241" t="str">
        <f>"83026"</f>
        <v>83026</v>
      </c>
      <c r="D1241" t="s">
        <v>593</v>
      </c>
      <c r="E1241" s="3">
        <v>35</v>
      </c>
      <c r="F1241">
        <v>20151028</v>
      </c>
      <c r="G1241" t="s">
        <v>564</v>
      </c>
      <c r="H1241" t="s">
        <v>565</v>
      </c>
      <c r="I1241">
        <v>0</v>
      </c>
      <c r="J1241" t="s">
        <v>289</v>
      </c>
      <c r="K1241" t="s">
        <v>290</v>
      </c>
      <c r="L1241" t="s">
        <v>285</v>
      </c>
      <c r="M1241" t="str">
        <f t="shared" si="70"/>
        <v>10</v>
      </c>
      <c r="N1241" t="s">
        <v>12</v>
      </c>
    </row>
    <row r="1242" spans="1:14" x14ac:dyDescent="0.25">
      <c r="A1242">
        <v>20151029</v>
      </c>
      <c r="B1242" t="str">
        <f>"060993"</f>
        <v>060993</v>
      </c>
      <c r="C1242" t="str">
        <f>"83022"</f>
        <v>83022</v>
      </c>
      <c r="D1242" t="s">
        <v>394</v>
      </c>
      <c r="E1242" s="3">
        <v>77.48</v>
      </c>
      <c r="F1242">
        <v>20151028</v>
      </c>
      <c r="G1242" t="s">
        <v>507</v>
      </c>
      <c r="H1242" t="s">
        <v>594</v>
      </c>
      <c r="I1242">
        <v>0</v>
      </c>
      <c r="J1242" t="s">
        <v>289</v>
      </c>
      <c r="K1242" t="s">
        <v>290</v>
      </c>
      <c r="L1242" t="s">
        <v>285</v>
      </c>
      <c r="M1242" t="str">
        <f t="shared" si="70"/>
        <v>10</v>
      </c>
      <c r="N1242" t="s">
        <v>12</v>
      </c>
    </row>
    <row r="1243" spans="1:14" x14ac:dyDescent="0.25">
      <c r="A1243">
        <v>20151029</v>
      </c>
      <c r="B1243" t="str">
        <f>"060993"</f>
        <v>060993</v>
      </c>
      <c r="C1243" t="str">
        <f>"83022"</f>
        <v>83022</v>
      </c>
      <c r="D1243" t="s">
        <v>394</v>
      </c>
      <c r="E1243" s="3">
        <v>39.4</v>
      </c>
      <c r="F1243">
        <v>20151028</v>
      </c>
      <c r="G1243" t="s">
        <v>509</v>
      </c>
      <c r="H1243" t="s">
        <v>595</v>
      </c>
      <c r="I1243">
        <v>0</v>
      </c>
      <c r="J1243" t="s">
        <v>289</v>
      </c>
      <c r="K1243" t="s">
        <v>290</v>
      </c>
      <c r="L1243" t="s">
        <v>285</v>
      </c>
      <c r="M1243" t="str">
        <f t="shared" si="70"/>
        <v>10</v>
      </c>
      <c r="N1243" t="s">
        <v>12</v>
      </c>
    </row>
    <row r="1244" spans="1:14" x14ac:dyDescent="0.25">
      <c r="A1244">
        <v>20151106</v>
      </c>
      <c r="B1244" t="str">
        <f>"061004"</f>
        <v>061004</v>
      </c>
      <c r="C1244" t="str">
        <f>"09170"</f>
        <v>09170</v>
      </c>
      <c r="D1244" t="s">
        <v>596</v>
      </c>
      <c r="E1244" s="3">
        <v>179.98</v>
      </c>
      <c r="F1244">
        <v>20151104</v>
      </c>
      <c r="G1244" t="s">
        <v>367</v>
      </c>
      <c r="H1244" t="s">
        <v>597</v>
      </c>
      <c r="I1244">
        <v>0</v>
      </c>
      <c r="J1244" t="s">
        <v>289</v>
      </c>
      <c r="K1244" t="s">
        <v>290</v>
      </c>
      <c r="L1244" t="s">
        <v>285</v>
      </c>
      <c r="M1244" t="str">
        <f t="shared" ref="M1244:M1275" si="71">"11"</f>
        <v>11</v>
      </c>
      <c r="N1244" t="s">
        <v>12</v>
      </c>
    </row>
    <row r="1245" spans="1:14" x14ac:dyDescent="0.25">
      <c r="A1245">
        <v>20151106</v>
      </c>
      <c r="B1245" t="str">
        <f>"061007"</f>
        <v>061007</v>
      </c>
      <c r="C1245" t="str">
        <f>"19291"</f>
        <v>19291</v>
      </c>
      <c r="D1245" t="s">
        <v>598</v>
      </c>
      <c r="E1245" s="3">
        <v>105</v>
      </c>
      <c r="F1245">
        <v>20151104</v>
      </c>
      <c r="G1245" t="s">
        <v>599</v>
      </c>
      <c r="H1245" t="s">
        <v>600</v>
      </c>
      <c r="I1245">
        <v>0</v>
      </c>
      <c r="J1245" t="s">
        <v>289</v>
      </c>
      <c r="K1245" t="s">
        <v>290</v>
      </c>
      <c r="L1245" t="s">
        <v>285</v>
      </c>
      <c r="M1245" t="str">
        <f t="shared" si="71"/>
        <v>11</v>
      </c>
      <c r="N1245" t="s">
        <v>12</v>
      </c>
    </row>
    <row r="1246" spans="1:14" x14ac:dyDescent="0.25">
      <c r="A1246">
        <v>20151106</v>
      </c>
      <c r="B1246" t="str">
        <f>"061008"</f>
        <v>061008</v>
      </c>
      <c r="C1246" t="str">
        <f>"22120"</f>
        <v>22120</v>
      </c>
      <c r="D1246" t="s">
        <v>484</v>
      </c>
      <c r="E1246" s="3">
        <v>130</v>
      </c>
      <c r="F1246">
        <v>20151105</v>
      </c>
      <c r="G1246" t="s">
        <v>485</v>
      </c>
      <c r="H1246" t="s">
        <v>486</v>
      </c>
      <c r="I1246">
        <v>0</v>
      </c>
      <c r="J1246" t="s">
        <v>289</v>
      </c>
      <c r="K1246" t="s">
        <v>290</v>
      </c>
      <c r="L1246" t="s">
        <v>285</v>
      </c>
      <c r="M1246" t="str">
        <f t="shared" si="71"/>
        <v>11</v>
      </c>
      <c r="N1246" t="s">
        <v>12</v>
      </c>
    </row>
    <row r="1247" spans="1:14" x14ac:dyDescent="0.25">
      <c r="A1247">
        <v>20151106</v>
      </c>
      <c r="B1247" t="str">
        <f>"061017"</f>
        <v>061017</v>
      </c>
      <c r="C1247" t="str">
        <f>"24206"</f>
        <v>24206</v>
      </c>
      <c r="D1247" t="s">
        <v>601</v>
      </c>
      <c r="E1247" s="3">
        <v>200</v>
      </c>
      <c r="F1247">
        <v>20151105</v>
      </c>
      <c r="G1247" t="s">
        <v>602</v>
      </c>
      <c r="H1247" t="s">
        <v>603</v>
      </c>
      <c r="I1247">
        <v>0</v>
      </c>
      <c r="J1247" t="s">
        <v>289</v>
      </c>
      <c r="K1247" t="s">
        <v>290</v>
      </c>
      <c r="L1247" t="s">
        <v>285</v>
      </c>
      <c r="M1247" t="str">
        <f t="shared" si="71"/>
        <v>11</v>
      </c>
      <c r="N1247" t="s">
        <v>12</v>
      </c>
    </row>
    <row r="1248" spans="1:14" x14ac:dyDescent="0.25">
      <c r="A1248">
        <v>20151106</v>
      </c>
      <c r="B1248" t="str">
        <f>"061017"</f>
        <v>061017</v>
      </c>
      <c r="C1248" t="str">
        <f>"24206"</f>
        <v>24206</v>
      </c>
      <c r="D1248" t="s">
        <v>601</v>
      </c>
      <c r="E1248" s="3">
        <v>-200</v>
      </c>
      <c r="F1248">
        <v>20151119</v>
      </c>
      <c r="G1248" t="s">
        <v>602</v>
      </c>
      <c r="H1248" t="s">
        <v>228</v>
      </c>
      <c r="I1248">
        <v>0</v>
      </c>
      <c r="J1248" t="s">
        <v>289</v>
      </c>
      <c r="K1248" t="s">
        <v>290</v>
      </c>
      <c r="L1248" t="s">
        <v>17</v>
      </c>
      <c r="M1248" t="str">
        <f t="shared" si="71"/>
        <v>11</v>
      </c>
      <c r="N1248" t="s">
        <v>12</v>
      </c>
    </row>
    <row r="1249" spans="1:14" x14ac:dyDescent="0.25">
      <c r="A1249">
        <v>20151106</v>
      </c>
      <c r="B1249" t="str">
        <f>"061031"</f>
        <v>061031</v>
      </c>
      <c r="C1249" t="str">
        <f>"41230"</f>
        <v>41230</v>
      </c>
      <c r="D1249" t="s">
        <v>604</v>
      </c>
      <c r="E1249" s="3">
        <v>33</v>
      </c>
      <c r="F1249">
        <v>20151105</v>
      </c>
      <c r="G1249" t="s">
        <v>507</v>
      </c>
      <c r="H1249" t="s">
        <v>605</v>
      </c>
      <c r="I1249">
        <v>0</v>
      </c>
      <c r="J1249" t="s">
        <v>289</v>
      </c>
      <c r="K1249" t="s">
        <v>290</v>
      </c>
      <c r="L1249" t="s">
        <v>285</v>
      </c>
      <c r="M1249" t="str">
        <f t="shared" si="71"/>
        <v>11</v>
      </c>
      <c r="N1249" t="s">
        <v>12</v>
      </c>
    </row>
    <row r="1250" spans="1:14" x14ac:dyDescent="0.25">
      <c r="A1250">
        <v>20151106</v>
      </c>
      <c r="B1250" t="str">
        <f>"061039"</f>
        <v>061039</v>
      </c>
      <c r="C1250" t="str">
        <f>"47157"</f>
        <v>47157</v>
      </c>
      <c r="D1250" t="s">
        <v>606</v>
      </c>
      <c r="E1250" s="3">
        <v>237.62</v>
      </c>
      <c r="F1250">
        <v>20151104</v>
      </c>
      <c r="G1250" t="s">
        <v>599</v>
      </c>
      <c r="H1250" t="s">
        <v>600</v>
      </c>
      <c r="I1250">
        <v>0</v>
      </c>
      <c r="J1250" t="s">
        <v>289</v>
      </c>
      <c r="K1250" t="s">
        <v>290</v>
      </c>
      <c r="L1250" t="s">
        <v>285</v>
      </c>
      <c r="M1250" t="str">
        <f t="shared" si="71"/>
        <v>11</v>
      </c>
      <c r="N1250" t="s">
        <v>12</v>
      </c>
    </row>
    <row r="1251" spans="1:14" x14ac:dyDescent="0.25">
      <c r="A1251">
        <v>20151106</v>
      </c>
      <c r="B1251" t="str">
        <f>"061069"</f>
        <v>061069</v>
      </c>
      <c r="C1251" t="str">
        <f>"84367"</f>
        <v>84367</v>
      </c>
      <c r="D1251" t="s">
        <v>607</v>
      </c>
      <c r="E1251" s="3">
        <v>109.03</v>
      </c>
      <c r="F1251">
        <v>20151103</v>
      </c>
      <c r="G1251" t="s">
        <v>471</v>
      </c>
      <c r="H1251" t="s">
        <v>608</v>
      </c>
      <c r="I1251">
        <v>0</v>
      </c>
      <c r="J1251" t="s">
        <v>289</v>
      </c>
      <c r="K1251" t="s">
        <v>95</v>
      </c>
      <c r="L1251" t="s">
        <v>285</v>
      </c>
      <c r="M1251" t="str">
        <f t="shared" si="71"/>
        <v>11</v>
      </c>
      <c r="N1251" t="s">
        <v>12</v>
      </c>
    </row>
    <row r="1252" spans="1:14" x14ac:dyDescent="0.25">
      <c r="A1252">
        <v>20151106</v>
      </c>
      <c r="B1252" t="str">
        <f>"061069"</f>
        <v>061069</v>
      </c>
      <c r="C1252" t="str">
        <f>"84367"</f>
        <v>84367</v>
      </c>
      <c r="D1252" t="s">
        <v>607</v>
      </c>
      <c r="E1252" s="3">
        <v>170.92</v>
      </c>
      <c r="F1252">
        <v>20151103</v>
      </c>
      <c r="G1252" t="s">
        <v>353</v>
      </c>
      <c r="H1252" t="s">
        <v>609</v>
      </c>
      <c r="I1252">
        <v>0</v>
      </c>
      <c r="J1252" t="s">
        <v>289</v>
      </c>
      <c r="K1252" t="s">
        <v>290</v>
      </c>
      <c r="L1252" t="s">
        <v>285</v>
      </c>
      <c r="M1252" t="str">
        <f t="shared" si="71"/>
        <v>11</v>
      </c>
      <c r="N1252" t="s">
        <v>12</v>
      </c>
    </row>
    <row r="1253" spans="1:14" x14ac:dyDescent="0.25">
      <c r="A1253">
        <v>20151106</v>
      </c>
      <c r="B1253" t="str">
        <f t="shared" ref="B1253:B1270" si="72">"061070"</f>
        <v>061070</v>
      </c>
      <c r="C1253" t="str">
        <f t="shared" ref="C1253:C1270" si="73">"84370"</f>
        <v>84370</v>
      </c>
      <c r="D1253" t="s">
        <v>329</v>
      </c>
      <c r="E1253" s="3">
        <v>272.62</v>
      </c>
      <c r="F1253">
        <v>20151103</v>
      </c>
      <c r="G1253" t="s">
        <v>331</v>
      </c>
      <c r="H1253" t="s">
        <v>610</v>
      </c>
      <c r="I1253">
        <v>0</v>
      </c>
      <c r="J1253" t="s">
        <v>289</v>
      </c>
      <c r="K1253" t="s">
        <v>290</v>
      </c>
      <c r="L1253" t="s">
        <v>285</v>
      </c>
      <c r="M1253" t="str">
        <f t="shared" si="71"/>
        <v>11</v>
      </c>
      <c r="N1253" t="s">
        <v>12</v>
      </c>
    </row>
    <row r="1254" spans="1:14" x14ac:dyDescent="0.25">
      <c r="A1254">
        <v>20151106</v>
      </c>
      <c r="B1254" t="str">
        <f t="shared" si="72"/>
        <v>061070</v>
      </c>
      <c r="C1254" t="str">
        <f t="shared" si="73"/>
        <v>84370</v>
      </c>
      <c r="D1254" t="s">
        <v>329</v>
      </c>
      <c r="E1254" s="3">
        <v>329.68</v>
      </c>
      <c r="F1254">
        <v>20151103</v>
      </c>
      <c r="G1254" t="s">
        <v>331</v>
      </c>
      <c r="H1254" t="s">
        <v>611</v>
      </c>
      <c r="I1254">
        <v>0</v>
      </c>
      <c r="J1254" t="s">
        <v>289</v>
      </c>
      <c r="K1254" t="s">
        <v>290</v>
      </c>
      <c r="L1254" t="s">
        <v>285</v>
      </c>
      <c r="M1254" t="str">
        <f t="shared" si="71"/>
        <v>11</v>
      </c>
      <c r="N1254" t="s">
        <v>12</v>
      </c>
    </row>
    <row r="1255" spans="1:14" x14ac:dyDescent="0.25">
      <c r="A1255">
        <v>20151106</v>
      </c>
      <c r="B1255" t="str">
        <f t="shared" si="72"/>
        <v>061070</v>
      </c>
      <c r="C1255" t="str">
        <f t="shared" si="73"/>
        <v>84370</v>
      </c>
      <c r="D1255" t="s">
        <v>329</v>
      </c>
      <c r="E1255" s="3">
        <v>285.3</v>
      </c>
      <c r="F1255">
        <v>20151103</v>
      </c>
      <c r="G1255" t="s">
        <v>331</v>
      </c>
      <c r="H1255" t="s">
        <v>612</v>
      </c>
      <c r="I1255">
        <v>0</v>
      </c>
      <c r="J1255" t="s">
        <v>289</v>
      </c>
      <c r="K1255" t="s">
        <v>290</v>
      </c>
      <c r="L1255" t="s">
        <v>285</v>
      </c>
      <c r="M1255" t="str">
        <f t="shared" si="71"/>
        <v>11</v>
      </c>
      <c r="N1255" t="s">
        <v>12</v>
      </c>
    </row>
    <row r="1256" spans="1:14" x14ac:dyDescent="0.25">
      <c r="A1256">
        <v>20151106</v>
      </c>
      <c r="B1256" t="str">
        <f t="shared" si="72"/>
        <v>061070</v>
      </c>
      <c r="C1256" t="str">
        <f t="shared" si="73"/>
        <v>84370</v>
      </c>
      <c r="D1256" t="s">
        <v>329</v>
      </c>
      <c r="E1256" s="3">
        <v>285.3</v>
      </c>
      <c r="F1256">
        <v>20151103</v>
      </c>
      <c r="G1256" t="s">
        <v>331</v>
      </c>
      <c r="H1256" t="s">
        <v>613</v>
      </c>
      <c r="I1256">
        <v>0</v>
      </c>
      <c r="J1256" t="s">
        <v>289</v>
      </c>
      <c r="K1256" t="s">
        <v>290</v>
      </c>
      <c r="L1256" t="s">
        <v>285</v>
      </c>
      <c r="M1256" t="str">
        <f t="shared" si="71"/>
        <v>11</v>
      </c>
      <c r="N1256" t="s">
        <v>12</v>
      </c>
    </row>
    <row r="1257" spans="1:14" x14ac:dyDescent="0.25">
      <c r="A1257">
        <v>20151106</v>
      </c>
      <c r="B1257" t="str">
        <f t="shared" si="72"/>
        <v>061070</v>
      </c>
      <c r="C1257" t="str">
        <f t="shared" si="73"/>
        <v>84370</v>
      </c>
      <c r="D1257" t="s">
        <v>329</v>
      </c>
      <c r="E1257" s="3">
        <v>460.52</v>
      </c>
      <c r="F1257">
        <v>20151103</v>
      </c>
      <c r="G1257" t="s">
        <v>331</v>
      </c>
      <c r="H1257" t="s">
        <v>568</v>
      </c>
      <c r="I1257">
        <v>0</v>
      </c>
      <c r="J1257" t="s">
        <v>289</v>
      </c>
      <c r="K1257" t="s">
        <v>290</v>
      </c>
      <c r="L1257" t="s">
        <v>285</v>
      </c>
      <c r="M1257" t="str">
        <f t="shared" si="71"/>
        <v>11</v>
      </c>
      <c r="N1257" t="s">
        <v>12</v>
      </c>
    </row>
    <row r="1258" spans="1:14" x14ac:dyDescent="0.25">
      <c r="A1258">
        <v>20151106</v>
      </c>
      <c r="B1258" t="str">
        <f t="shared" si="72"/>
        <v>061070</v>
      </c>
      <c r="C1258" t="str">
        <f t="shared" si="73"/>
        <v>84370</v>
      </c>
      <c r="D1258" t="s">
        <v>329</v>
      </c>
      <c r="E1258" s="3">
        <v>321.2</v>
      </c>
      <c r="F1258">
        <v>20151103</v>
      </c>
      <c r="G1258" t="s">
        <v>331</v>
      </c>
      <c r="H1258" t="s">
        <v>614</v>
      </c>
      <c r="I1258">
        <v>0</v>
      </c>
      <c r="J1258" t="s">
        <v>289</v>
      </c>
      <c r="K1258" t="s">
        <v>290</v>
      </c>
      <c r="L1258" t="s">
        <v>285</v>
      </c>
      <c r="M1258" t="str">
        <f t="shared" si="71"/>
        <v>11</v>
      </c>
      <c r="N1258" t="s">
        <v>12</v>
      </c>
    </row>
    <row r="1259" spans="1:14" x14ac:dyDescent="0.25">
      <c r="A1259">
        <v>20151106</v>
      </c>
      <c r="B1259" t="str">
        <f t="shared" si="72"/>
        <v>061070</v>
      </c>
      <c r="C1259" t="str">
        <f t="shared" si="73"/>
        <v>84370</v>
      </c>
      <c r="D1259" t="s">
        <v>329</v>
      </c>
      <c r="E1259" s="3">
        <v>338.72</v>
      </c>
      <c r="F1259">
        <v>20151103</v>
      </c>
      <c r="G1259" t="s">
        <v>464</v>
      </c>
      <c r="H1259" t="s">
        <v>615</v>
      </c>
      <c r="I1259">
        <v>0</v>
      </c>
      <c r="J1259" t="s">
        <v>289</v>
      </c>
      <c r="K1259" t="s">
        <v>95</v>
      </c>
      <c r="L1259" t="s">
        <v>285</v>
      </c>
      <c r="M1259" t="str">
        <f t="shared" si="71"/>
        <v>11</v>
      </c>
      <c r="N1259" t="s">
        <v>12</v>
      </c>
    </row>
    <row r="1260" spans="1:14" x14ac:dyDescent="0.25">
      <c r="A1260">
        <v>20151106</v>
      </c>
      <c r="B1260" t="str">
        <f t="shared" si="72"/>
        <v>061070</v>
      </c>
      <c r="C1260" t="str">
        <f t="shared" si="73"/>
        <v>84370</v>
      </c>
      <c r="D1260" t="s">
        <v>329</v>
      </c>
      <c r="E1260" s="3">
        <v>350.4</v>
      </c>
      <c r="F1260">
        <v>20151103</v>
      </c>
      <c r="G1260" t="s">
        <v>464</v>
      </c>
      <c r="H1260" t="s">
        <v>616</v>
      </c>
      <c r="I1260">
        <v>0</v>
      </c>
      <c r="J1260" t="s">
        <v>289</v>
      </c>
      <c r="K1260" t="s">
        <v>95</v>
      </c>
      <c r="L1260" t="s">
        <v>285</v>
      </c>
      <c r="M1260" t="str">
        <f t="shared" si="71"/>
        <v>11</v>
      </c>
      <c r="N1260" t="s">
        <v>12</v>
      </c>
    </row>
    <row r="1261" spans="1:14" x14ac:dyDescent="0.25">
      <c r="A1261">
        <v>20151106</v>
      </c>
      <c r="B1261" t="str">
        <f t="shared" si="72"/>
        <v>061070</v>
      </c>
      <c r="C1261" t="str">
        <f t="shared" si="73"/>
        <v>84370</v>
      </c>
      <c r="D1261" t="s">
        <v>329</v>
      </c>
      <c r="E1261" s="3">
        <v>332.88</v>
      </c>
      <c r="F1261">
        <v>20151103</v>
      </c>
      <c r="G1261" t="s">
        <v>464</v>
      </c>
      <c r="H1261" t="s">
        <v>617</v>
      </c>
      <c r="I1261">
        <v>0</v>
      </c>
      <c r="J1261" t="s">
        <v>289</v>
      </c>
      <c r="K1261" t="s">
        <v>95</v>
      </c>
      <c r="L1261" t="s">
        <v>285</v>
      </c>
      <c r="M1261" t="str">
        <f t="shared" si="71"/>
        <v>11</v>
      </c>
      <c r="N1261" t="s">
        <v>12</v>
      </c>
    </row>
    <row r="1262" spans="1:14" x14ac:dyDescent="0.25">
      <c r="A1262">
        <v>20151106</v>
      </c>
      <c r="B1262" t="str">
        <f t="shared" si="72"/>
        <v>061070</v>
      </c>
      <c r="C1262" t="str">
        <f t="shared" si="73"/>
        <v>84370</v>
      </c>
      <c r="D1262" t="s">
        <v>329</v>
      </c>
      <c r="E1262" s="3">
        <v>127.13</v>
      </c>
      <c r="F1262">
        <v>20151103</v>
      </c>
      <c r="G1262" t="s">
        <v>618</v>
      </c>
      <c r="H1262" t="s">
        <v>619</v>
      </c>
      <c r="I1262">
        <v>0</v>
      </c>
      <c r="J1262" t="s">
        <v>289</v>
      </c>
      <c r="K1262" t="s">
        <v>290</v>
      </c>
      <c r="L1262" t="s">
        <v>285</v>
      </c>
      <c r="M1262" t="str">
        <f t="shared" si="71"/>
        <v>11</v>
      </c>
      <c r="N1262" t="s">
        <v>12</v>
      </c>
    </row>
    <row r="1263" spans="1:14" x14ac:dyDescent="0.25">
      <c r="A1263">
        <v>20151106</v>
      </c>
      <c r="B1263" t="str">
        <f t="shared" si="72"/>
        <v>061070</v>
      </c>
      <c r="C1263" t="str">
        <f t="shared" si="73"/>
        <v>84370</v>
      </c>
      <c r="D1263" t="s">
        <v>329</v>
      </c>
      <c r="E1263" s="3">
        <v>51.87</v>
      </c>
      <c r="F1263">
        <v>20151103</v>
      </c>
      <c r="G1263" t="s">
        <v>467</v>
      </c>
      <c r="H1263" t="s">
        <v>620</v>
      </c>
      <c r="I1263">
        <v>0</v>
      </c>
      <c r="J1263" t="s">
        <v>289</v>
      </c>
      <c r="K1263" t="s">
        <v>290</v>
      </c>
      <c r="L1263" t="s">
        <v>285</v>
      </c>
      <c r="M1263" t="str">
        <f t="shared" si="71"/>
        <v>11</v>
      </c>
      <c r="N1263" t="s">
        <v>12</v>
      </c>
    </row>
    <row r="1264" spans="1:14" x14ac:dyDescent="0.25">
      <c r="A1264">
        <v>20151106</v>
      </c>
      <c r="B1264" t="str">
        <f t="shared" si="72"/>
        <v>061070</v>
      </c>
      <c r="C1264" t="str">
        <f t="shared" si="73"/>
        <v>84370</v>
      </c>
      <c r="D1264" t="s">
        <v>329</v>
      </c>
      <c r="E1264" s="3">
        <v>64.739999999999995</v>
      </c>
      <c r="F1264">
        <v>20151103</v>
      </c>
      <c r="G1264" t="s">
        <v>467</v>
      </c>
      <c r="H1264" t="s">
        <v>621</v>
      </c>
      <c r="I1264">
        <v>0</v>
      </c>
      <c r="J1264" t="s">
        <v>289</v>
      </c>
      <c r="K1264" t="s">
        <v>290</v>
      </c>
      <c r="L1264" t="s">
        <v>285</v>
      </c>
      <c r="M1264" t="str">
        <f t="shared" si="71"/>
        <v>11</v>
      </c>
      <c r="N1264" t="s">
        <v>12</v>
      </c>
    </row>
    <row r="1265" spans="1:14" x14ac:dyDescent="0.25">
      <c r="A1265">
        <v>20151106</v>
      </c>
      <c r="B1265" t="str">
        <f t="shared" si="72"/>
        <v>061070</v>
      </c>
      <c r="C1265" t="str">
        <f t="shared" si="73"/>
        <v>84370</v>
      </c>
      <c r="D1265" t="s">
        <v>329</v>
      </c>
      <c r="E1265" s="3">
        <v>87.56</v>
      </c>
      <c r="F1265">
        <v>20151103</v>
      </c>
      <c r="G1265" t="s">
        <v>467</v>
      </c>
      <c r="H1265" t="s">
        <v>622</v>
      </c>
      <c r="I1265">
        <v>0</v>
      </c>
      <c r="J1265" t="s">
        <v>289</v>
      </c>
      <c r="K1265" t="s">
        <v>290</v>
      </c>
      <c r="L1265" t="s">
        <v>285</v>
      </c>
      <c r="M1265" t="str">
        <f t="shared" si="71"/>
        <v>11</v>
      </c>
      <c r="N1265" t="s">
        <v>12</v>
      </c>
    </row>
    <row r="1266" spans="1:14" x14ac:dyDescent="0.25">
      <c r="A1266">
        <v>20151106</v>
      </c>
      <c r="B1266" t="str">
        <f t="shared" si="72"/>
        <v>061070</v>
      </c>
      <c r="C1266" t="str">
        <f t="shared" si="73"/>
        <v>84370</v>
      </c>
      <c r="D1266" t="s">
        <v>329</v>
      </c>
      <c r="E1266" s="3">
        <v>98.04</v>
      </c>
      <c r="F1266">
        <v>20151103</v>
      </c>
      <c r="G1266" t="s">
        <v>471</v>
      </c>
      <c r="H1266" t="s">
        <v>623</v>
      </c>
      <c r="I1266">
        <v>0</v>
      </c>
      <c r="J1266" t="s">
        <v>289</v>
      </c>
      <c r="K1266" t="s">
        <v>95</v>
      </c>
      <c r="L1266" t="s">
        <v>285</v>
      </c>
      <c r="M1266" t="str">
        <f t="shared" si="71"/>
        <v>11</v>
      </c>
      <c r="N1266" t="s">
        <v>12</v>
      </c>
    </row>
    <row r="1267" spans="1:14" x14ac:dyDescent="0.25">
      <c r="A1267">
        <v>20151106</v>
      </c>
      <c r="B1267" t="str">
        <f t="shared" si="72"/>
        <v>061070</v>
      </c>
      <c r="C1267" t="str">
        <f t="shared" si="73"/>
        <v>84370</v>
      </c>
      <c r="D1267" t="s">
        <v>329</v>
      </c>
      <c r="E1267" s="3">
        <v>117.11</v>
      </c>
      <c r="F1267">
        <v>20151103</v>
      </c>
      <c r="G1267" t="s">
        <v>471</v>
      </c>
      <c r="H1267" t="s">
        <v>624</v>
      </c>
      <c r="I1267">
        <v>0</v>
      </c>
      <c r="J1267" t="s">
        <v>289</v>
      </c>
      <c r="K1267" t="s">
        <v>95</v>
      </c>
      <c r="L1267" t="s">
        <v>285</v>
      </c>
      <c r="M1267" t="str">
        <f t="shared" si="71"/>
        <v>11</v>
      </c>
      <c r="N1267" t="s">
        <v>12</v>
      </c>
    </row>
    <row r="1268" spans="1:14" x14ac:dyDescent="0.25">
      <c r="A1268">
        <v>20151106</v>
      </c>
      <c r="B1268" t="str">
        <f t="shared" si="72"/>
        <v>061070</v>
      </c>
      <c r="C1268" t="str">
        <f t="shared" si="73"/>
        <v>84370</v>
      </c>
      <c r="D1268" t="s">
        <v>329</v>
      </c>
      <c r="E1268" s="3">
        <v>121.35</v>
      </c>
      <c r="F1268">
        <v>20151103</v>
      </c>
      <c r="G1268" t="s">
        <v>353</v>
      </c>
      <c r="H1268" t="s">
        <v>625</v>
      </c>
      <c r="I1268">
        <v>0</v>
      </c>
      <c r="J1268" t="s">
        <v>289</v>
      </c>
      <c r="K1268" t="s">
        <v>290</v>
      </c>
      <c r="L1268" t="s">
        <v>285</v>
      </c>
      <c r="M1268" t="str">
        <f t="shared" si="71"/>
        <v>11</v>
      </c>
      <c r="N1268" t="s">
        <v>12</v>
      </c>
    </row>
    <row r="1269" spans="1:14" x14ac:dyDescent="0.25">
      <c r="A1269">
        <v>20151106</v>
      </c>
      <c r="B1269" t="str">
        <f t="shared" si="72"/>
        <v>061070</v>
      </c>
      <c r="C1269" t="str">
        <f t="shared" si="73"/>
        <v>84370</v>
      </c>
      <c r="D1269" t="s">
        <v>329</v>
      </c>
      <c r="E1269" s="3">
        <v>181.61</v>
      </c>
      <c r="F1269">
        <v>20151103</v>
      </c>
      <c r="G1269" t="s">
        <v>353</v>
      </c>
      <c r="H1269" t="s">
        <v>626</v>
      </c>
      <c r="I1269">
        <v>0</v>
      </c>
      <c r="J1269" t="s">
        <v>289</v>
      </c>
      <c r="K1269" t="s">
        <v>290</v>
      </c>
      <c r="L1269" t="s">
        <v>285</v>
      </c>
      <c r="M1269" t="str">
        <f t="shared" si="71"/>
        <v>11</v>
      </c>
      <c r="N1269" t="s">
        <v>12</v>
      </c>
    </row>
    <row r="1270" spans="1:14" x14ac:dyDescent="0.25">
      <c r="A1270">
        <v>20151106</v>
      </c>
      <c r="B1270" t="str">
        <f t="shared" si="72"/>
        <v>061070</v>
      </c>
      <c r="C1270" t="str">
        <f t="shared" si="73"/>
        <v>84370</v>
      </c>
      <c r="D1270" t="s">
        <v>329</v>
      </c>
      <c r="E1270" s="3">
        <v>207.93</v>
      </c>
      <c r="F1270">
        <v>20151103</v>
      </c>
      <c r="G1270" t="s">
        <v>381</v>
      </c>
      <c r="H1270" t="s">
        <v>627</v>
      </c>
      <c r="I1270">
        <v>0</v>
      </c>
      <c r="J1270" t="s">
        <v>289</v>
      </c>
      <c r="K1270" t="s">
        <v>95</v>
      </c>
      <c r="L1270" t="s">
        <v>285</v>
      </c>
      <c r="M1270" t="str">
        <f t="shared" si="71"/>
        <v>11</v>
      </c>
      <c r="N1270" t="s">
        <v>12</v>
      </c>
    </row>
    <row r="1271" spans="1:14" x14ac:dyDescent="0.25">
      <c r="A1271">
        <v>20151113</v>
      </c>
      <c r="B1271" t="str">
        <f>"061072"</f>
        <v>061072</v>
      </c>
      <c r="C1271" t="str">
        <f>"03332"</f>
        <v>03332</v>
      </c>
      <c r="D1271" t="s">
        <v>403</v>
      </c>
      <c r="E1271" s="3">
        <v>324</v>
      </c>
      <c r="F1271">
        <v>20151112</v>
      </c>
      <c r="G1271" t="s">
        <v>618</v>
      </c>
      <c r="H1271" t="s">
        <v>619</v>
      </c>
      <c r="I1271">
        <v>0</v>
      </c>
      <c r="J1271" t="s">
        <v>289</v>
      </c>
      <c r="K1271" t="s">
        <v>290</v>
      </c>
      <c r="L1271" t="s">
        <v>285</v>
      </c>
      <c r="M1271" t="str">
        <f t="shared" si="71"/>
        <v>11</v>
      </c>
      <c r="N1271" t="s">
        <v>12</v>
      </c>
    </row>
    <row r="1272" spans="1:14" x14ac:dyDescent="0.25">
      <c r="A1272">
        <v>20151113</v>
      </c>
      <c r="B1272" t="str">
        <f>"061112"</f>
        <v>061112</v>
      </c>
      <c r="C1272" t="str">
        <f>"83798"</f>
        <v>83798</v>
      </c>
      <c r="D1272" t="s">
        <v>628</v>
      </c>
      <c r="E1272" s="3">
        <v>225</v>
      </c>
      <c r="F1272">
        <v>20151112</v>
      </c>
      <c r="G1272" t="s">
        <v>385</v>
      </c>
      <c r="H1272" t="s">
        <v>629</v>
      </c>
      <c r="I1272">
        <v>0</v>
      </c>
      <c r="J1272" t="s">
        <v>289</v>
      </c>
      <c r="K1272" t="s">
        <v>290</v>
      </c>
      <c r="L1272" t="s">
        <v>285</v>
      </c>
      <c r="M1272" t="str">
        <f t="shared" si="71"/>
        <v>11</v>
      </c>
      <c r="N1272" t="s">
        <v>12</v>
      </c>
    </row>
    <row r="1273" spans="1:14" x14ac:dyDescent="0.25">
      <c r="A1273">
        <v>20151120</v>
      </c>
      <c r="B1273" t="str">
        <f>"061119"</f>
        <v>061119</v>
      </c>
      <c r="C1273" t="str">
        <f>"03336"</f>
        <v>03336</v>
      </c>
      <c r="D1273" t="s">
        <v>630</v>
      </c>
      <c r="E1273" s="3">
        <v>95</v>
      </c>
      <c r="F1273">
        <v>20151118</v>
      </c>
      <c r="G1273" t="s">
        <v>336</v>
      </c>
      <c r="H1273" t="s">
        <v>479</v>
      </c>
      <c r="I1273">
        <v>0</v>
      </c>
      <c r="J1273" t="s">
        <v>289</v>
      </c>
      <c r="K1273" t="s">
        <v>290</v>
      </c>
      <c r="L1273" t="s">
        <v>285</v>
      </c>
      <c r="M1273" t="str">
        <f t="shared" si="71"/>
        <v>11</v>
      </c>
      <c r="N1273" t="s">
        <v>12</v>
      </c>
    </row>
    <row r="1274" spans="1:14" x14ac:dyDescent="0.25">
      <c r="A1274">
        <v>20151120</v>
      </c>
      <c r="B1274" t="str">
        <f>"061120"</f>
        <v>061120</v>
      </c>
      <c r="C1274" t="str">
        <f>"05530"</f>
        <v>05530</v>
      </c>
      <c r="D1274" t="s">
        <v>631</v>
      </c>
      <c r="E1274" s="3">
        <v>604</v>
      </c>
      <c r="F1274">
        <v>20151118</v>
      </c>
      <c r="G1274" t="s">
        <v>632</v>
      </c>
      <c r="H1274" t="s">
        <v>633</v>
      </c>
      <c r="I1274">
        <v>0</v>
      </c>
      <c r="J1274" t="s">
        <v>289</v>
      </c>
      <c r="K1274" t="s">
        <v>290</v>
      </c>
      <c r="L1274" t="s">
        <v>285</v>
      </c>
      <c r="M1274" t="str">
        <f t="shared" si="71"/>
        <v>11</v>
      </c>
      <c r="N1274" t="s">
        <v>12</v>
      </c>
    </row>
    <row r="1275" spans="1:14" x14ac:dyDescent="0.25">
      <c r="A1275">
        <v>20151120</v>
      </c>
      <c r="B1275" t="str">
        <f>"061127"</f>
        <v>061127</v>
      </c>
      <c r="C1275" t="str">
        <f>"10403"</f>
        <v>10403</v>
      </c>
      <c r="D1275" t="s">
        <v>337</v>
      </c>
      <c r="E1275" s="3">
        <v>80.38</v>
      </c>
      <c r="F1275">
        <v>20151118</v>
      </c>
      <c r="G1275" t="s">
        <v>338</v>
      </c>
      <c r="H1275" t="s">
        <v>634</v>
      </c>
      <c r="I1275">
        <v>0</v>
      </c>
      <c r="J1275" t="s">
        <v>289</v>
      </c>
      <c r="K1275" t="s">
        <v>290</v>
      </c>
      <c r="L1275" t="s">
        <v>285</v>
      </c>
      <c r="M1275" t="str">
        <f t="shared" si="71"/>
        <v>11</v>
      </c>
      <c r="N1275" t="s">
        <v>12</v>
      </c>
    </row>
    <row r="1276" spans="1:14" x14ac:dyDescent="0.25">
      <c r="A1276">
        <v>20151120</v>
      </c>
      <c r="B1276" t="str">
        <f>"061128"</f>
        <v>061128</v>
      </c>
      <c r="C1276" t="str">
        <f>"11076"</f>
        <v>11076</v>
      </c>
      <c r="D1276" t="s">
        <v>635</v>
      </c>
      <c r="E1276" s="3">
        <v>276</v>
      </c>
      <c r="F1276">
        <v>20151118</v>
      </c>
      <c r="G1276" t="s">
        <v>599</v>
      </c>
      <c r="H1276" t="s">
        <v>636</v>
      </c>
      <c r="I1276">
        <v>0</v>
      </c>
      <c r="J1276" t="s">
        <v>289</v>
      </c>
      <c r="K1276" t="s">
        <v>290</v>
      </c>
      <c r="L1276" t="s">
        <v>285</v>
      </c>
      <c r="M1276" t="str">
        <f t="shared" ref="M1276:M1307" si="74">"11"</f>
        <v>11</v>
      </c>
      <c r="N1276" t="s">
        <v>12</v>
      </c>
    </row>
    <row r="1277" spans="1:14" x14ac:dyDescent="0.25">
      <c r="A1277">
        <v>20151120</v>
      </c>
      <c r="B1277" t="str">
        <f>"061131"</f>
        <v>061131</v>
      </c>
      <c r="C1277" t="str">
        <f>"08788"</f>
        <v>08788</v>
      </c>
      <c r="D1277" t="s">
        <v>302</v>
      </c>
      <c r="E1277" s="3">
        <v>1802.5</v>
      </c>
      <c r="F1277">
        <v>20151118</v>
      </c>
      <c r="G1277" t="s">
        <v>481</v>
      </c>
      <c r="H1277" t="s">
        <v>637</v>
      </c>
      <c r="I1277">
        <v>0</v>
      </c>
      <c r="J1277" t="s">
        <v>289</v>
      </c>
      <c r="K1277" t="s">
        <v>290</v>
      </c>
      <c r="L1277" t="s">
        <v>285</v>
      </c>
      <c r="M1277" t="str">
        <f t="shared" si="74"/>
        <v>11</v>
      </c>
      <c r="N1277" t="s">
        <v>12</v>
      </c>
    </row>
    <row r="1278" spans="1:14" x14ac:dyDescent="0.25">
      <c r="A1278">
        <v>20151120</v>
      </c>
      <c r="B1278" t="str">
        <f>"061131"</f>
        <v>061131</v>
      </c>
      <c r="C1278" t="str">
        <f>"08788"</f>
        <v>08788</v>
      </c>
      <c r="D1278" t="s">
        <v>302</v>
      </c>
      <c r="E1278" s="3">
        <v>250.38</v>
      </c>
      <c r="F1278">
        <v>20151118</v>
      </c>
      <c r="G1278" t="s">
        <v>517</v>
      </c>
      <c r="H1278" t="s">
        <v>638</v>
      </c>
      <c r="I1278">
        <v>0</v>
      </c>
      <c r="J1278" t="s">
        <v>289</v>
      </c>
      <c r="K1278" t="s">
        <v>95</v>
      </c>
      <c r="L1278" t="s">
        <v>285</v>
      </c>
      <c r="M1278" t="str">
        <f t="shared" si="74"/>
        <v>11</v>
      </c>
      <c r="N1278" t="s">
        <v>12</v>
      </c>
    </row>
    <row r="1279" spans="1:14" x14ac:dyDescent="0.25">
      <c r="A1279">
        <v>20151120</v>
      </c>
      <c r="B1279" t="str">
        <f>"061135"</f>
        <v>061135</v>
      </c>
      <c r="C1279" t="str">
        <f>"19291"</f>
        <v>19291</v>
      </c>
      <c r="D1279" t="s">
        <v>598</v>
      </c>
      <c r="E1279" s="3">
        <v>39.590000000000003</v>
      </c>
      <c r="F1279">
        <v>20151118</v>
      </c>
      <c r="G1279" t="s">
        <v>599</v>
      </c>
      <c r="H1279" t="s">
        <v>600</v>
      </c>
      <c r="I1279">
        <v>0</v>
      </c>
      <c r="J1279" t="s">
        <v>289</v>
      </c>
      <c r="K1279" t="s">
        <v>290</v>
      </c>
      <c r="L1279" t="s">
        <v>285</v>
      </c>
      <c r="M1279" t="str">
        <f t="shared" si="74"/>
        <v>11</v>
      </c>
      <c r="N1279" t="s">
        <v>12</v>
      </c>
    </row>
    <row r="1280" spans="1:14" x14ac:dyDescent="0.25">
      <c r="A1280">
        <v>20151120</v>
      </c>
      <c r="B1280" t="str">
        <f>"061138"</f>
        <v>061138</v>
      </c>
      <c r="C1280" t="str">
        <f>"20433"</f>
        <v>20433</v>
      </c>
      <c r="D1280" t="s">
        <v>413</v>
      </c>
      <c r="E1280" s="3">
        <v>45</v>
      </c>
      <c r="F1280">
        <v>20151118</v>
      </c>
      <c r="G1280" t="s">
        <v>336</v>
      </c>
      <c r="H1280" t="s">
        <v>479</v>
      </c>
      <c r="I1280">
        <v>0</v>
      </c>
      <c r="J1280" t="s">
        <v>289</v>
      </c>
      <c r="K1280" t="s">
        <v>290</v>
      </c>
      <c r="L1280" t="s">
        <v>285</v>
      </c>
      <c r="M1280" t="str">
        <f t="shared" si="74"/>
        <v>11</v>
      </c>
      <c r="N1280" t="s">
        <v>12</v>
      </c>
    </row>
    <row r="1281" spans="1:14" x14ac:dyDescent="0.25">
      <c r="A1281">
        <v>20151120</v>
      </c>
      <c r="B1281" t="str">
        <f>"061138"</f>
        <v>061138</v>
      </c>
      <c r="C1281" t="str">
        <f>"20433"</f>
        <v>20433</v>
      </c>
      <c r="D1281" t="s">
        <v>413</v>
      </c>
      <c r="E1281" s="3">
        <v>45</v>
      </c>
      <c r="F1281">
        <v>20151118</v>
      </c>
      <c r="G1281" t="s">
        <v>409</v>
      </c>
      <c r="H1281" t="s">
        <v>639</v>
      </c>
      <c r="I1281">
        <v>0</v>
      </c>
      <c r="J1281" t="s">
        <v>289</v>
      </c>
      <c r="K1281" t="s">
        <v>95</v>
      </c>
      <c r="L1281" t="s">
        <v>285</v>
      </c>
      <c r="M1281" t="str">
        <f t="shared" si="74"/>
        <v>11</v>
      </c>
      <c r="N1281" t="s">
        <v>12</v>
      </c>
    </row>
    <row r="1282" spans="1:14" x14ac:dyDescent="0.25">
      <c r="A1282">
        <v>20151120</v>
      </c>
      <c r="B1282" t="str">
        <f>"061140"</f>
        <v>061140</v>
      </c>
      <c r="C1282" t="str">
        <f>"51349"</f>
        <v>51349</v>
      </c>
      <c r="D1282" t="s">
        <v>640</v>
      </c>
      <c r="E1282" s="3">
        <v>114</v>
      </c>
      <c r="F1282">
        <v>20151118</v>
      </c>
      <c r="G1282" t="s">
        <v>618</v>
      </c>
      <c r="H1282" t="s">
        <v>486</v>
      </c>
      <c r="I1282">
        <v>0</v>
      </c>
      <c r="J1282" t="s">
        <v>289</v>
      </c>
      <c r="K1282" t="s">
        <v>290</v>
      </c>
      <c r="L1282" t="s">
        <v>285</v>
      </c>
      <c r="M1282" t="str">
        <f t="shared" si="74"/>
        <v>11</v>
      </c>
      <c r="N1282" t="s">
        <v>12</v>
      </c>
    </row>
    <row r="1283" spans="1:14" x14ac:dyDescent="0.25">
      <c r="A1283">
        <v>20151120</v>
      </c>
      <c r="B1283" t="str">
        <f>"061142"</f>
        <v>061142</v>
      </c>
      <c r="C1283" t="str">
        <f>"80226"</f>
        <v>80226</v>
      </c>
      <c r="D1283" t="s">
        <v>641</v>
      </c>
      <c r="E1283" s="3">
        <v>300</v>
      </c>
      <c r="F1283">
        <v>20151118</v>
      </c>
      <c r="G1283" t="s">
        <v>642</v>
      </c>
      <c r="H1283" t="s">
        <v>643</v>
      </c>
      <c r="I1283">
        <v>0</v>
      </c>
      <c r="J1283" t="s">
        <v>289</v>
      </c>
      <c r="K1283" t="s">
        <v>290</v>
      </c>
      <c r="L1283" t="s">
        <v>285</v>
      </c>
      <c r="M1283" t="str">
        <f t="shared" si="74"/>
        <v>11</v>
      </c>
      <c r="N1283" t="s">
        <v>12</v>
      </c>
    </row>
    <row r="1284" spans="1:14" x14ac:dyDescent="0.25">
      <c r="A1284">
        <v>20151120</v>
      </c>
      <c r="B1284" t="str">
        <f>"061144"</f>
        <v>061144</v>
      </c>
      <c r="C1284" t="str">
        <f>"21776"</f>
        <v>21776</v>
      </c>
      <c r="D1284" t="s">
        <v>559</v>
      </c>
      <c r="E1284" s="3">
        <v>375</v>
      </c>
      <c r="F1284">
        <v>20151118</v>
      </c>
      <c r="G1284" t="s">
        <v>367</v>
      </c>
      <c r="H1284" t="s">
        <v>644</v>
      </c>
      <c r="I1284">
        <v>0</v>
      </c>
      <c r="J1284" t="s">
        <v>289</v>
      </c>
      <c r="K1284" t="s">
        <v>290</v>
      </c>
      <c r="L1284" t="s">
        <v>285</v>
      </c>
      <c r="M1284" t="str">
        <f t="shared" si="74"/>
        <v>11</v>
      </c>
      <c r="N1284" t="s">
        <v>12</v>
      </c>
    </row>
    <row r="1285" spans="1:14" x14ac:dyDescent="0.25">
      <c r="A1285">
        <v>20151120</v>
      </c>
      <c r="B1285" t="str">
        <f>"061145"</f>
        <v>061145</v>
      </c>
      <c r="C1285" t="str">
        <f>"22330"</f>
        <v>22330</v>
      </c>
      <c r="D1285" t="s">
        <v>645</v>
      </c>
      <c r="E1285" s="3">
        <v>510</v>
      </c>
      <c r="F1285">
        <v>20151118</v>
      </c>
      <c r="G1285" t="s">
        <v>646</v>
      </c>
      <c r="H1285" t="s">
        <v>643</v>
      </c>
      <c r="I1285">
        <v>0</v>
      </c>
      <c r="J1285" t="s">
        <v>289</v>
      </c>
      <c r="K1285" t="s">
        <v>290</v>
      </c>
      <c r="L1285" t="s">
        <v>285</v>
      </c>
      <c r="M1285" t="str">
        <f t="shared" si="74"/>
        <v>11</v>
      </c>
      <c r="N1285" t="s">
        <v>12</v>
      </c>
    </row>
    <row r="1286" spans="1:14" x14ac:dyDescent="0.25">
      <c r="A1286">
        <v>20151120</v>
      </c>
      <c r="B1286" t="str">
        <f>"061148"</f>
        <v>061148</v>
      </c>
      <c r="C1286" t="str">
        <f>"25853"</f>
        <v>25853</v>
      </c>
      <c r="D1286" t="s">
        <v>532</v>
      </c>
      <c r="E1286" s="3">
        <v>1150</v>
      </c>
      <c r="F1286">
        <v>20151118</v>
      </c>
      <c r="G1286" t="s">
        <v>533</v>
      </c>
      <c r="H1286" t="s">
        <v>529</v>
      </c>
      <c r="I1286">
        <v>0</v>
      </c>
      <c r="J1286" t="s">
        <v>289</v>
      </c>
      <c r="K1286" t="s">
        <v>290</v>
      </c>
      <c r="L1286" t="s">
        <v>285</v>
      </c>
      <c r="M1286" t="str">
        <f t="shared" si="74"/>
        <v>11</v>
      </c>
      <c r="N1286" t="s">
        <v>12</v>
      </c>
    </row>
    <row r="1287" spans="1:14" x14ac:dyDescent="0.25">
      <c r="A1287">
        <v>20151120</v>
      </c>
      <c r="B1287" t="str">
        <f>"061150"</f>
        <v>061150</v>
      </c>
      <c r="C1287" t="str">
        <f>"60618"</f>
        <v>60618</v>
      </c>
      <c r="D1287" t="s">
        <v>647</v>
      </c>
      <c r="E1287" s="3">
        <v>481</v>
      </c>
      <c r="F1287">
        <v>20151118</v>
      </c>
      <c r="G1287" t="s">
        <v>331</v>
      </c>
      <c r="H1287" t="s">
        <v>648</v>
      </c>
      <c r="I1287">
        <v>0</v>
      </c>
      <c r="J1287" t="s">
        <v>289</v>
      </c>
      <c r="K1287" t="s">
        <v>290</v>
      </c>
      <c r="L1287" t="s">
        <v>285</v>
      </c>
      <c r="M1287" t="str">
        <f t="shared" si="74"/>
        <v>11</v>
      </c>
      <c r="N1287" t="s">
        <v>12</v>
      </c>
    </row>
    <row r="1288" spans="1:14" x14ac:dyDescent="0.25">
      <c r="A1288">
        <v>20151120</v>
      </c>
      <c r="B1288" t="str">
        <f>"061152"</f>
        <v>061152</v>
      </c>
      <c r="C1288" t="str">
        <f>"77000"</f>
        <v>77000</v>
      </c>
      <c r="D1288" t="s">
        <v>649</v>
      </c>
      <c r="E1288" s="3">
        <v>40.049999999999997</v>
      </c>
      <c r="F1288">
        <v>20151118</v>
      </c>
      <c r="G1288" t="s">
        <v>553</v>
      </c>
      <c r="H1288" t="s">
        <v>650</v>
      </c>
      <c r="I1288">
        <v>0</v>
      </c>
      <c r="J1288" t="s">
        <v>289</v>
      </c>
      <c r="K1288" t="s">
        <v>290</v>
      </c>
      <c r="L1288" t="s">
        <v>285</v>
      </c>
      <c r="M1288" t="str">
        <f t="shared" si="74"/>
        <v>11</v>
      </c>
      <c r="N1288" t="s">
        <v>12</v>
      </c>
    </row>
    <row r="1289" spans="1:14" x14ac:dyDescent="0.25">
      <c r="A1289">
        <v>20151120</v>
      </c>
      <c r="B1289" t="str">
        <f>"061154"</f>
        <v>061154</v>
      </c>
      <c r="C1289" t="str">
        <f>"28680"</f>
        <v>28680</v>
      </c>
      <c r="D1289" t="s">
        <v>422</v>
      </c>
      <c r="E1289" s="3">
        <v>124.55</v>
      </c>
      <c r="F1289">
        <v>20151118</v>
      </c>
      <c r="G1289" t="s">
        <v>599</v>
      </c>
      <c r="H1289" t="s">
        <v>651</v>
      </c>
      <c r="I1289">
        <v>0</v>
      </c>
      <c r="J1289" t="s">
        <v>289</v>
      </c>
      <c r="K1289" t="s">
        <v>290</v>
      </c>
      <c r="L1289" t="s">
        <v>285</v>
      </c>
      <c r="M1289" t="str">
        <f t="shared" si="74"/>
        <v>11</v>
      </c>
      <c r="N1289" t="s">
        <v>12</v>
      </c>
    </row>
    <row r="1290" spans="1:14" x14ac:dyDescent="0.25">
      <c r="A1290">
        <v>20151120</v>
      </c>
      <c r="B1290" t="str">
        <f>"061160"</f>
        <v>061160</v>
      </c>
      <c r="C1290" t="str">
        <f>"29626"</f>
        <v>29626</v>
      </c>
      <c r="D1290" t="s">
        <v>652</v>
      </c>
      <c r="E1290" s="3">
        <v>164.24</v>
      </c>
      <c r="F1290">
        <v>20151118</v>
      </c>
      <c r="G1290" t="s">
        <v>336</v>
      </c>
      <c r="H1290" t="s">
        <v>479</v>
      </c>
      <c r="I1290">
        <v>0</v>
      </c>
      <c r="J1290" t="s">
        <v>289</v>
      </c>
      <c r="K1290" t="s">
        <v>290</v>
      </c>
      <c r="L1290" t="s">
        <v>285</v>
      </c>
      <c r="M1290" t="str">
        <f t="shared" si="74"/>
        <v>11</v>
      </c>
      <c r="N1290" t="s">
        <v>12</v>
      </c>
    </row>
    <row r="1291" spans="1:14" x14ac:dyDescent="0.25">
      <c r="A1291">
        <v>20151120</v>
      </c>
      <c r="B1291" t="str">
        <f>"061161"</f>
        <v>061161</v>
      </c>
      <c r="C1291" t="str">
        <f>"29680"</f>
        <v>29680</v>
      </c>
      <c r="D1291" t="s">
        <v>653</v>
      </c>
      <c r="E1291" s="3">
        <v>130</v>
      </c>
      <c r="F1291">
        <v>20151118</v>
      </c>
      <c r="G1291" t="s">
        <v>310</v>
      </c>
      <c r="H1291" t="s">
        <v>654</v>
      </c>
      <c r="I1291">
        <v>0</v>
      </c>
      <c r="J1291" t="s">
        <v>289</v>
      </c>
      <c r="K1291" t="s">
        <v>290</v>
      </c>
      <c r="L1291" t="s">
        <v>285</v>
      </c>
      <c r="M1291" t="str">
        <f t="shared" si="74"/>
        <v>11</v>
      </c>
      <c r="N1291" t="s">
        <v>12</v>
      </c>
    </row>
    <row r="1292" spans="1:14" x14ac:dyDescent="0.25">
      <c r="A1292">
        <v>20151120</v>
      </c>
      <c r="B1292" t="str">
        <f>"061167"</f>
        <v>061167</v>
      </c>
      <c r="C1292" t="str">
        <f>"30837"</f>
        <v>30837</v>
      </c>
      <c r="D1292" t="s">
        <v>352</v>
      </c>
      <c r="E1292" s="3">
        <v>296.89999999999998</v>
      </c>
      <c r="F1292">
        <v>20151119</v>
      </c>
      <c r="G1292" t="s">
        <v>599</v>
      </c>
      <c r="H1292" t="s">
        <v>655</v>
      </c>
      <c r="I1292">
        <v>0</v>
      </c>
      <c r="J1292" t="s">
        <v>289</v>
      </c>
      <c r="K1292" t="s">
        <v>290</v>
      </c>
      <c r="L1292" t="s">
        <v>285</v>
      </c>
      <c r="M1292" t="str">
        <f t="shared" si="74"/>
        <v>11</v>
      </c>
      <c r="N1292" t="s">
        <v>12</v>
      </c>
    </row>
    <row r="1293" spans="1:14" x14ac:dyDescent="0.25">
      <c r="A1293">
        <v>20151120</v>
      </c>
      <c r="B1293" t="str">
        <f>"061168"</f>
        <v>061168</v>
      </c>
      <c r="C1293" t="str">
        <f>"30846"</f>
        <v>30846</v>
      </c>
      <c r="D1293" t="s">
        <v>656</v>
      </c>
      <c r="E1293" s="3">
        <v>232</v>
      </c>
      <c r="F1293">
        <v>20151118</v>
      </c>
      <c r="G1293" t="s">
        <v>454</v>
      </c>
      <c r="H1293" t="s">
        <v>657</v>
      </c>
      <c r="I1293">
        <v>0</v>
      </c>
      <c r="J1293" t="s">
        <v>289</v>
      </c>
      <c r="K1293" t="s">
        <v>290</v>
      </c>
      <c r="L1293" t="s">
        <v>285</v>
      </c>
      <c r="M1293" t="str">
        <f t="shared" si="74"/>
        <v>11</v>
      </c>
      <c r="N1293" t="s">
        <v>12</v>
      </c>
    </row>
    <row r="1294" spans="1:14" x14ac:dyDescent="0.25">
      <c r="A1294">
        <v>20151120</v>
      </c>
      <c r="B1294" t="str">
        <f>"061169"</f>
        <v>061169</v>
      </c>
      <c r="C1294" t="str">
        <f>"31310"</f>
        <v>31310</v>
      </c>
      <c r="D1294" t="s">
        <v>425</v>
      </c>
      <c r="E1294" s="3">
        <v>79.430000000000007</v>
      </c>
      <c r="F1294">
        <v>20151118</v>
      </c>
      <c r="G1294" t="s">
        <v>338</v>
      </c>
      <c r="H1294" t="s">
        <v>634</v>
      </c>
      <c r="I1294">
        <v>0</v>
      </c>
      <c r="J1294" t="s">
        <v>289</v>
      </c>
      <c r="K1294" t="s">
        <v>290</v>
      </c>
      <c r="L1294" t="s">
        <v>285</v>
      </c>
      <c r="M1294" t="str">
        <f t="shared" si="74"/>
        <v>11</v>
      </c>
      <c r="N1294" t="s">
        <v>12</v>
      </c>
    </row>
    <row r="1295" spans="1:14" x14ac:dyDescent="0.25">
      <c r="A1295">
        <v>20151120</v>
      </c>
      <c r="B1295" t="str">
        <f>"061171"</f>
        <v>061171</v>
      </c>
      <c r="C1295" t="str">
        <f>"31384"</f>
        <v>31384</v>
      </c>
      <c r="D1295" t="s">
        <v>658</v>
      </c>
      <c r="E1295" s="3">
        <v>95</v>
      </c>
      <c r="F1295">
        <v>20151118</v>
      </c>
      <c r="G1295" t="s">
        <v>336</v>
      </c>
      <c r="H1295" t="s">
        <v>479</v>
      </c>
      <c r="I1295">
        <v>0</v>
      </c>
      <c r="J1295" t="s">
        <v>289</v>
      </c>
      <c r="K1295" t="s">
        <v>290</v>
      </c>
      <c r="L1295" t="s">
        <v>285</v>
      </c>
      <c r="M1295" t="str">
        <f t="shared" si="74"/>
        <v>11</v>
      </c>
      <c r="N1295" t="s">
        <v>12</v>
      </c>
    </row>
    <row r="1296" spans="1:14" x14ac:dyDescent="0.25">
      <c r="A1296">
        <v>20151120</v>
      </c>
      <c r="B1296" t="str">
        <f>"061172"</f>
        <v>061172</v>
      </c>
      <c r="C1296" t="str">
        <f>"34901"</f>
        <v>34901</v>
      </c>
      <c r="D1296" t="s">
        <v>431</v>
      </c>
      <c r="E1296" s="3">
        <v>95</v>
      </c>
      <c r="F1296">
        <v>20151118</v>
      </c>
      <c r="G1296" t="s">
        <v>336</v>
      </c>
      <c r="H1296" t="s">
        <v>479</v>
      </c>
      <c r="I1296">
        <v>0</v>
      </c>
      <c r="J1296" t="s">
        <v>289</v>
      </c>
      <c r="K1296" t="s">
        <v>290</v>
      </c>
      <c r="L1296" t="s">
        <v>285</v>
      </c>
      <c r="M1296" t="str">
        <f t="shared" si="74"/>
        <v>11</v>
      </c>
      <c r="N1296" t="s">
        <v>12</v>
      </c>
    </row>
    <row r="1297" spans="1:14" x14ac:dyDescent="0.25">
      <c r="A1297">
        <v>20151120</v>
      </c>
      <c r="B1297" t="str">
        <f>"061173"</f>
        <v>061173</v>
      </c>
      <c r="C1297" t="str">
        <f>"34929"</f>
        <v>34929</v>
      </c>
      <c r="D1297" t="s">
        <v>659</v>
      </c>
      <c r="E1297" s="3">
        <v>95</v>
      </c>
      <c r="F1297">
        <v>20151118</v>
      </c>
      <c r="G1297" t="s">
        <v>336</v>
      </c>
      <c r="H1297" t="s">
        <v>479</v>
      </c>
      <c r="I1297">
        <v>0</v>
      </c>
      <c r="J1297" t="s">
        <v>289</v>
      </c>
      <c r="K1297" t="s">
        <v>290</v>
      </c>
      <c r="L1297" t="s">
        <v>285</v>
      </c>
      <c r="M1297" t="str">
        <f t="shared" si="74"/>
        <v>11</v>
      </c>
      <c r="N1297" t="s">
        <v>12</v>
      </c>
    </row>
    <row r="1298" spans="1:14" x14ac:dyDescent="0.25">
      <c r="A1298">
        <v>20151120</v>
      </c>
      <c r="B1298" t="str">
        <f>"061175"</f>
        <v>061175</v>
      </c>
      <c r="C1298" t="str">
        <f>"35431"</f>
        <v>35431</v>
      </c>
      <c r="D1298" t="s">
        <v>660</v>
      </c>
      <c r="E1298" s="3">
        <v>135</v>
      </c>
      <c r="F1298">
        <v>20151118</v>
      </c>
      <c r="G1298" t="s">
        <v>507</v>
      </c>
      <c r="H1298" t="s">
        <v>661</v>
      </c>
      <c r="I1298">
        <v>0</v>
      </c>
      <c r="J1298" t="s">
        <v>289</v>
      </c>
      <c r="K1298" t="s">
        <v>290</v>
      </c>
      <c r="L1298" t="s">
        <v>285</v>
      </c>
      <c r="M1298" t="str">
        <f t="shared" si="74"/>
        <v>11</v>
      </c>
      <c r="N1298" t="s">
        <v>12</v>
      </c>
    </row>
    <row r="1299" spans="1:14" x14ac:dyDescent="0.25">
      <c r="A1299">
        <v>20151120</v>
      </c>
      <c r="B1299" t="str">
        <f>"061177"</f>
        <v>061177</v>
      </c>
      <c r="C1299" t="str">
        <f>"39405"</f>
        <v>39405</v>
      </c>
      <c r="D1299" t="s">
        <v>662</v>
      </c>
      <c r="E1299" s="3">
        <v>97.8</v>
      </c>
      <c r="F1299">
        <v>20151118</v>
      </c>
      <c r="G1299" t="s">
        <v>338</v>
      </c>
      <c r="H1299" t="s">
        <v>634</v>
      </c>
      <c r="I1299">
        <v>0</v>
      </c>
      <c r="J1299" t="s">
        <v>289</v>
      </c>
      <c r="K1299" t="s">
        <v>290</v>
      </c>
      <c r="L1299" t="s">
        <v>285</v>
      </c>
      <c r="M1299" t="str">
        <f t="shared" si="74"/>
        <v>11</v>
      </c>
      <c r="N1299" t="s">
        <v>12</v>
      </c>
    </row>
    <row r="1300" spans="1:14" x14ac:dyDescent="0.25">
      <c r="A1300">
        <v>20151120</v>
      </c>
      <c r="B1300" t="str">
        <f>"061178"</f>
        <v>061178</v>
      </c>
      <c r="C1300" t="str">
        <f>"37513"</f>
        <v>37513</v>
      </c>
      <c r="D1300" t="s">
        <v>663</v>
      </c>
      <c r="E1300" s="3">
        <v>60</v>
      </c>
      <c r="F1300">
        <v>20151118</v>
      </c>
      <c r="G1300" t="s">
        <v>664</v>
      </c>
      <c r="H1300" t="s">
        <v>665</v>
      </c>
      <c r="I1300">
        <v>0</v>
      </c>
      <c r="J1300" t="s">
        <v>289</v>
      </c>
      <c r="K1300" t="s">
        <v>290</v>
      </c>
      <c r="L1300" t="s">
        <v>285</v>
      </c>
      <c r="M1300" t="str">
        <f t="shared" si="74"/>
        <v>11</v>
      </c>
      <c r="N1300" t="s">
        <v>12</v>
      </c>
    </row>
    <row r="1301" spans="1:14" x14ac:dyDescent="0.25">
      <c r="A1301">
        <v>20151120</v>
      </c>
      <c r="B1301" t="str">
        <f>"061179"</f>
        <v>061179</v>
      </c>
      <c r="C1301" t="str">
        <f>"40790"</f>
        <v>40790</v>
      </c>
      <c r="D1301" t="s">
        <v>572</v>
      </c>
      <c r="E1301" s="3">
        <v>40</v>
      </c>
      <c r="F1301">
        <v>20151118</v>
      </c>
      <c r="G1301" t="s">
        <v>564</v>
      </c>
      <c r="H1301" t="s">
        <v>666</v>
      </c>
      <c r="I1301">
        <v>0</v>
      </c>
      <c r="J1301" t="s">
        <v>289</v>
      </c>
      <c r="K1301" t="s">
        <v>290</v>
      </c>
      <c r="L1301" t="s">
        <v>285</v>
      </c>
      <c r="M1301" t="str">
        <f t="shared" si="74"/>
        <v>11</v>
      </c>
      <c r="N1301" t="s">
        <v>12</v>
      </c>
    </row>
    <row r="1302" spans="1:14" x14ac:dyDescent="0.25">
      <c r="A1302">
        <v>20151120</v>
      </c>
      <c r="B1302" t="str">
        <f>"061185"</f>
        <v>061185</v>
      </c>
      <c r="C1302" t="str">
        <f>"47153"</f>
        <v>47153</v>
      </c>
      <c r="D1302" t="s">
        <v>667</v>
      </c>
      <c r="E1302" s="3">
        <v>40</v>
      </c>
      <c r="F1302">
        <v>20151118</v>
      </c>
      <c r="G1302" t="s">
        <v>336</v>
      </c>
      <c r="H1302" t="s">
        <v>479</v>
      </c>
      <c r="I1302">
        <v>0</v>
      </c>
      <c r="J1302" t="s">
        <v>289</v>
      </c>
      <c r="K1302" t="s">
        <v>290</v>
      </c>
      <c r="L1302" t="s">
        <v>285</v>
      </c>
      <c r="M1302" t="str">
        <f t="shared" si="74"/>
        <v>11</v>
      </c>
      <c r="N1302" t="s">
        <v>12</v>
      </c>
    </row>
    <row r="1303" spans="1:14" x14ac:dyDescent="0.25">
      <c r="A1303">
        <v>20151120</v>
      </c>
      <c r="B1303" t="str">
        <f>"061186"</f>
        <v>061186</v>
      </c>
      <c r="C1303" t="str">
        <f>"48933"</f>
        <v>48933</v>
      </c>
      <c r="D1303" t="s">
        <v>668</v>
      </c>
      <c r="E1303" s="3">
        <v>75</v>
      </c>
      <c r="F1303">
        <v>20151118</v>
      </c>
      <c r="G1303" t="s">
        <v>336</v>
      </c>
      <c r="H1303" t="s">
        <v>669</v>
      </c>
      <c r="I1303">
        <v>0</v>
      </c>
      <c r="J1303" t="s">
        <v>289</v>
      </c>
      <c r="K1303" t="s">
        <v>290</v>
      </c>
      <c r="L1303" t="s">
        <v>285</v>
      </c>
      <c r="M1303" t="str">
        <f t="shared" si="74"/>
        <v>11</v>
      </c>
      <c r="N1303" t="s">
        <v>12</v>
      </c>
    </row>
    <row r="1304" spans="1:14" x14ac:dyDescent="0.25">
      <c r="A1304">
        <v>20151120</v>
      </c>
      <c r="B1304" t="str">
        <f>"061188"</f>
        <v>061188</v>
      </c>
      <c r="C1304" t="str">
        <f>"49834"</f>
        <v>49834</v>
      </c>
      <c r="D1304" t="s">
        <v>670</v>
      </c>
      <c r="E1304" s="3">
        <v>78.150000000000006</v>
      </c>
      <c r="F1304">
        <v>20151118</v>
      </c>
      <c r="G1304" t="s">
        <v>338</v>
      </c>
      <c r="H1304" t="s">
        <v>634</v>
      </c>
      <c r="I1304">
        <v>0</v>
      </c>
      <c r="J1304" t="s">
        <v>289</v>
      </c>
      <c r="K1304" t="s">
        <v>290</v>
      </c>
      <c r="L1304" t="s">
        <v>285</v>
      </c>
      <c r="M1304" t="str">
        <f t="shared" si="74"/>
        <v>11</v>
      </c>
      <c r="N1304" t="s">
        <v>12</v>
      </c>
    </row>
    <row r="1305" spans="1:14" x14ac:dyDescent="0.25">
      <c r="A1305">
        <v>20151120</v>
      </c>
      <c r="B1305" t="str">
        <f>"061189"</f>
        <v>061189</v>
      </c>
      <c r="C1305" t="str">
        <f>"49959"</f>
        <v>49959</v>
      </c>
      <c r="D1305" t="s">
        <v>361</v>
      </c>
      <c r="E1305" s="3">
        <v>128</v>
      </c>
      <c r="F1305">
        <v>20151118</v>
      </c>
      <c r="G1305" t="s">
        <v>336</v>
      </c>
      <c r="H1305" t="s">
        <v>479</v>
      </c>
      <c r="I1305">
        <v>0</v>
      </c>
      <c r="J1305" t="s">
        <v>289</v>
      </c>
      <c r="K1305" t="s">
        <v>290</v>
      </c>
      <c r="L1305" t="s">
        <v>285</v>
      </c>
      <c r="M1305" t="str">
        <f t="shared" si="74"/>
        <v>11</v>
      </c>
      <c r="N1305" t="s">
        <v>12</v>
      </c>
    </row>
    <row r="1306" spans="1:14" x14ac:dyDescent="0.25">
      <c r="A1306">
        <v>20151120</v>
      </c>
      <c r="B1306" t="str">
        <f>"061190"</f>
        <v>061190</v>
      </c>
      <c r="C1306" t="str">
        <f>"53450"</f>
        <v>53450</v>
      </c>
      <c r="D1306" t="s">
        <v>671</v>
      </c>
      <c r="E1306" s="3">
        <v>160.79</v>
      </c>
      <c r="F1306">
        <v>20151118</v>
      </c>
      <c r="G1306" t="s">
        <v>336</v>
      </c>
      <c r="H1306" t="s">
        <v>479</v>
      </c>
      <c r="I1306">
        <v>0</v>
      </c>
      <c r="J1306" t="s">
        <v>289</v>
      </c>
      <c r="K1306" t="s">
        <v>290</v>
      </c>
      <c r="L1306" t="s">
        <v>285</v>
      </c>
      <c r="M1306" t="str">
        <f t="shared" si="74"/>
        <v>11</v>
      </c>
      <c r="N1306" t="s">
        <v>12</v>
      </c>
    </row>
    <row r="1307" spans="1:14" x14ac:dyDescent="0.25">
      <c r="A1307">
        <v>20151120</v>
      </c>
      <c r="B1307" t="str">
        <f>"061193"</f>
        <v>061193</v>
      </c>
      <c r="C1307" t="str">
        <f>"54558"</f>
        <v>54558</v>
      </c>
      <c r="D1307" t="s">
        <v>583</v>
      </c>
      <c r="E1307" s="3">
        <v>40</v>
      </c>
      <c r="F1307">
        <v>20151118</v>
      </c>
      <c r="G1307" t="s">
        <v>564</v>
      </c>
      <c r="H1307" t="s">
        <v>666</v>
      </c>
      <c r="I1307">
        <v>0</v>
      </c>
      <c r="J1307" t="s">
        <v>289</v>
      </c>
      <c r="K1307" t="s">
        <v>290</v>
      </c>
      <c r="L1307" t="s">
        <v>285</v>
      </c>
      <c r="M1307" t="str">
        <f t="shared" si="74"/>
        <v>11</v>
      </c>
      <c r="N1307" t="s">
        <v>12</v>
      </c>
    </row>
    <row r="1308" spans="1:14" x14ac:dyDescent="0.25">
      <c r="A1308">
        <v>20151120</v>
      </c>
      <c r="B1308" t="str">
        <f>"061194"</f>
        <v>061194</v>
      </c>
      <c r="C1308" t="str">
        <f>"54820"</f>
        <v>54820</v>
      </c>
      <c r="D1308" t="s">
        <v>672</v>
      </c>
      <c r="E1308" s="3">
        <v>84.84</v>
      </c>
      <c r="F1308">
        <v>20151118</v>
      </c>
      <c r="G1308" t="s">
        <v>409</v>
      </c>
      <c r="H1308" t="s">
        <v>639</v>
      </c>
      <c r="I1308">
        <v>0</v>
      </c>
      <c r="J1308" t="s">
        <v>289</v>
      </c>
      <c r="K1308" t="s">
        <v>95</v>
      </c>
      <c r="L1308" t="s">
        <v>285</v>
      </c>
      <c r="M1308" t="str">
        <f t="shared" ref="M1308:M1327" si="75">"11"</f>
        <v>11</v>
      </c>
      <c r="N1308" t="s">
        <v>12</v>
      </c>
    </row>
    <row r="1309" spans="1:14" x14ac:dyDescent="0.25">
      <c r="A1309">
        <v>20151120</v>
      </c>
      <c r="B1309" t="str">
        <f>"061196"</f>
        <v>061196</v>
      </c>
      <c r="C1309" t="str">
        <f>"55886"</f>
        <v>55886</v>
      </c>
      <c r="D1309" t="s">
        <v>504</v>
      </c>
      <c r="E1309" s="3">
        <v>85.61</v>
      </c>
      <c r="F1309">
        <v>20151118</v>
      </c>
      <c r="G1309" t="s">
        <v>310</v>
      </c>
      <c r="H1309" t="s">
        <v>673</v>
      </c>
      <c r="I1309">
        <v>0</v>
      </c>
      <c r="J1309" t="s">
        <v>289</v>
      </c>
      <c r="K1309" t="s">
        <v>290</v>
      </c>
      <c r="L1309" t="s">
        <v>285</v>
      </c>
      <c r="M1309" t="str">
        <f t="shared" si="75"/>
        <v>11</v>
      </c>
      <c r="N1309" t="s">
        <v>12</v>
      </c>
    </row>
    <row r="1310" spans="1:14" x14ac:dyDescent="0.25">
      <c r="A1310">
        <v>20151120</v>
      </c>
      <c r="B1310" t="str">
        <f>"061199"</f>
        <v>061199</v>
      </c>
      <c r="C1310" t="str">
        <f>"56569"</f>
        <v>56569</v>
      </c>
      <c r="D1310" t="s">
        <v>318</v>
      </c>
      <c r="E1310" s="3">
        <v>92.71</v>
      </c>
      <c r="F1310">
        <v>20151118</v>
      </c>
      <c r="G1310" t="s">
        <v>336</v>
      </c>
      <c r="H1310" t="s">
        <v>669</v>
      </c>
      <c r="I1310">
        <v>0</v>
      </c>
      <c r="J1310" t="s">
        <v>289</v>
      </c>
      <c r="K1310" t="s">
        <v>290</v>
      </c>
      <c r="L1310" t="s">
        <v>285</v>
      </c>
      <c r="M1310" t="str">
        <f t="shared" si="75"/>
        <v>11</v>
      </c>
      <c r="N1310" t="s">
        <v>12</v>
      </c>
    </row>
    <row r="1311" spans="1:14" x14ac:dyDescent="0.25">
      <c r="A1311">
        <v>20151120</v>
      </c>
      <c r="B1311" t="str">
        <f>"061201"</f>
        <v>061201</v>
      </c>
      <c r="C1311" t="str">
        <f>"57974"</f>
        <v>57974</v>
      </c>
      <c r="D1311" t="s">
        <v>586</v>
      </c>
      <c r="E1311" s="3">
        <v>128</v>
      </c>
      <c r="F1311">
        <v>20151118</v>
      </c>
      <c r="G1311" t="s">
        <v>336</v>
      </c>
      <c r="H1311" t="s">
        <v>479</v>
      </c>
      <c r="I1311">
        <v>0</v>
      </c>
      <c r="J1311" t="s">
        <v>289</v>
      </c>
      <c r="K1311" t="s">
        <v>290</v>
      </c>
      <c r="L1311" t="s">
        <v>285</v>
      </c>
      <c r="M1311" t="str">
        <f t="shared" si="75"/>
        <v>11</v>
      </c>
      <c r="N1311" t="s">
        <v>12</v>
      </c>
    </row>
    <row r="1312" spans="1:14" x14ac:dyDescent="0.25">
      <c r="A1312">
        <v>20151120</v>
      </c>
      <c r="B1312" t="str">
        <f>"061202"</f>
        <v>061202</v>
      </c>
      <c r="C1312" t="str">
        <f>"57991"</f>
        <v>57991</v>
      </c>
      <c r="D1312" t="s">
        <v>445</v>
      </c>
      <c r="E1312" s="3">
        <v>82.77</v>
      </c>
      <c r="F1312">
        <v>20151118</v>
      </c>
      <c r="G1312" t="s">
        <v>336</v>
      </c>
      <c r="H1312" t="s">
        <v>674</v>
      </c>
      <c r="I1312">
        <v>0</v>
      </c>
      <c r="J1312" t="s">
        <v>289</v>
      </c>
      <c r="K1312" t="s">
        <v>290</v>
      </c>
      <c r="L1312" t="s">
        <v>285</v>
      </c>
      <c r="M1312" t="str">
        <f t="shared" si="75"/>
        <v>11</v>
      </c>
      <c r="N1312" t="s">
        <v>12</v>
      </c>
    </row>
    <row r="1313" spans="1:14" x14ac:dyDescent="0.25">
      <c r="A1313">
        <v>20151120</v>
      </c>
      <c r="B1313" t="str">
        <f>"061206"</f>
        <v>061206</v>
      </c>
      <c r="C1313" t="str">
        <f>"59083"</f>
        <v>59083</v>
      </c>
      <c r="D1313" t="s">
        <v>675</v>
      </c>
      <c r="E1313" s="3">
        <v>40</v>
      </c>
      <c r="F1313">
        <v>20151118</v>
      </c>
      <c r="G1313" t="s">
        <v>336</v>
      </c>
      <c r="H1313" t="s">
        <v>479</v>
      </c>
      <c r="I1313">
        <v>0</v>
      </c>
      <c r="J1313" t="s">
        <v>289</v>
      </c>
      <c r="K1313" t="s">
        <v>290</v>
      </c>
      <c r="L1313" t="s">
        <v>285</v>
      </c>
      <c r="M1313" t="str">
        <f t="shared" si="75"/>
        <v>11</v>
      </c>
      <c r="N1313" t="s">
        <v>12</v>
      </c>
    </row>
    <row r="1314" spans="1:14" x14ac:dyDescent="0.25">
      <c r="A1314">
        <v>20151120</v>
      </c>
      <c r="B1314" t="str">
        <f>"061206"</f>
        <v>061206</v>
      </c>
      <c r="C1314" t="str">
        <f>"59083"</f>
        <v>59083</v>
      </c>
      <c r="D1314" t="s">
        <v>675</v>
      </c>
      <c r="E1314" s="3">
        <v>84.7</v>
      </c>
      <c r="F1314">
        <v>20151118</v>
      </c>
      <c r="G1314" t="s">
        <v>336</v>
      </c>
      <c r="H1314" t="s">
        <v>674</v>
      </c>
      <c r="I1314">
        <v>0</v>
      </c>
      <c r="J1314" t="s">
        <v>289</v>
      </c>
      <c r="K1314" t="s">
        <v>290</v>
      </c>
      <c r="L1314" t="s">
        <v>285</v>
      </c>
      <c r="M1314" t="str">
        <f t="shared" si="75"/>
        <v>11</v>
      </c>
      <c r="N1314" t="s">
        <v>12</v>
      </c>
    </row>
    <row r="1315" spans="1:14" x14ac:dyDescent="0.25">
      <c r="A1315">
        <v>20151120</v>
      </c>
      <c r="B1315" t="str">
        <f>"061210"</f>
        <v>061210</v>
      </c>
      <c r="C1315" t="str">
        <f>"60853"</f>
        <v>60853</v>
      </c>
      <c r="D1315" t="s">
        <v>676</v>
      </c>
      <c r="E1315" s="3">
        <v>200</v>
      </c>
      <c r="F1315">
        <v>20151118</v>
      </c>
      <c r="G1315" t="s">
        <v>602</v>
      </c>
      <c r="H1315" t="s">
        <v>603</v>
      </c>
      <c r="I1315">
        <v>0</v>
      </c>
      <c r="J1315" t="s">
        <v>289</v>
      </c>
      <c r="K1315" t="s">
        <v>290</v>
      </c>
      <c r="L1315" t="s">
        <v>285</v>
      </c>
      <c r="M1315" t="str">
        <f t="shared" si="75"/>
        <v>11</v>
      </c>
      <c r="N1315" t="s">
        <v>12</v>
      </c>
    </row>
    <row r="1316" spans="1:14" x14ac:dyDescent="0.25">
      <c r="A1316">
        <v>20151120</v>
      </c>
      <c r="B1316" t="str">
        <f>"061212"</f>
        <v>061212</v>
      </c>
      <c r="C1316" t="str">
        <f>"62290"</f>
        <v>62290</v>
      </c>
      <c r="D1316" t="s">
        <v>447</v>
      </c>
      <c r="E1316" s="3">
        <v>84.01</v>
      </c>
      <c r="F1316">
        <v>20151118</v>
      </c>
      <c r="G1316" t="s">
        <v>336</v>
      </c>
      <c r="H1316" t="s">
        <v>674</v>
      </c>
      <c r="I1316">
        <v>0</v>
      </c>
      <c r="J1316" t="s">
        <v>289</v>
      </c>
      <c r="K1316" t="s">
        <v>290</v>
      </c>
      <c r="L1316" t="s">
        <v>285</v>
      </c>
      <c r="M1316" t="str">
        <f t="shared" si="75"/>
        <v>11</v>
      </c>
      <c r="N1316" t="s">
        <v>12</v>
      </c>
    </row>
    <row r="1317" spans="1:14" x14ac:dyDescent="0.25">
      <c r="A1317">
        <v>20151120</v>
      </c>
      <c r="B1317" t="str">
        <f>"061214"</f>
        <v>061214</v>
      </c>
      <c r="C1317" t="str">
        <f>"62895"</f>
        <v>62895</v>
      </c>
      <c r="D1317" t="s">
        <v>677</v>
      </c>
      <c r="E1317" s="3">
        <v>120.19</v>
      </c>
      <c r="F1317">
        <v>20151118</v>
      </c>
      <c r="G1317" t="s">
        <v>336</v>
      </c>
      <c r="H1317" t="s">
        <v>479</v>
      </c>
      <c r="I1317">
        <v>0</v>
      </c>
      <c r="J1317" t="s">
        <v>289</v>
      </c>
      <c r="K1317" t="s">
        <v>290</v>
      </c>
      <c r="L1317" t="s">
        <v>285</v>
      </c>
      <c r="M1317" t="str">
        <f t="shared" si="75"/>
        <v>11</v>
      </c>
      <c r="N1317" t="s">
        <v>12</v>
      </c>
    </row>
    <row r="1318" spans="1:14" x14ac:dyDescent="0.25">
      <c r="A1318">
        <v>20151120</v>
      </c>
      <c r="B1318" t="str">
        <f>"061218"</f>
        <v>061218</v>
      </c>
      <c r="C1318" t="str">
        <f>"64610"</f>
        <v>64610</v>
      </c>
      <c r="D1318" t="s">
        <v>678</v>
      </c>
      <c r="E1318" s="3">
        <v>49</v>
      </c>
      <c r="F1318">
        <v>20151118</v>
      </c>
      <c r="G1318" t="s">
        <v>679</v>
      </c>
      <c r="H1318" t="s">
        <v>680</v>
      </c>
      <c r="I1318">
        <v>0</v>
      </c>
      <c r="J1318" t="s">
        <v>289</v>
      </c>
      <c r="K1318" t="s">
        <v>290</v>
      </c>
      <c r="L1318" t="s">
        <v>285</v>
      </c>
      <c r="M1318" t="str">
        <f t="shared" si="75"/>
        <v>11</v>
      </c>
      <c r="N1318" t="s">
        <v>12</v>
      </c>
    </row>
    <row r="1319" spans="1:14" x14ac:dyDescent="0.25">
      <c r="A1319">
        <v>20151120</v>
      </c>
      <c r="B1319" t="str">
        <f>"061219"</f>
        <v>061219</v>
      </c>
      <c r="C1319" t="str">
        <f>"64838"</f>
        <v>64838</v>
      </c>
      <c r="D1319" t="s">
        <v>449</v>
      </c>
      <c r="E1319" s="3">
        <v>40</v>
      </c>
      <c r="F1319">
        <v>20151118</v>
      </c>
      <c r="G1319" t="s">
        <v>336</v>
      </c>
      <c r="H1319" t="s">
        <v>479</v>
      </c>
      <c r="I1319">
        <v>0</v>
      </c>
      <c r="J1319" t="s">
        <v>289</v>
      </c>
      <c r="K1319" t="s">
        <v>290</v>
      </c>
      <c r="L1319" t="s">
        <v>285</v>
      </c>
      <c r="M1319" t="str">
        <f t="shared" si="75"/>
        <v>11</v>
      </c>
      <c r="N1319" t="s">
        <v>12</v>
      </c>
    </row>
    <row r="1320" spans="1:14" x14ac:dyDescent="0.25">
      <c r="A1320">
        <v>20151120</v>
      </c>
      <c r="B1320" t="str">
        <f>"061222"</f>
        <v>061222</v>
      </c>
      <c r="C1320" t="str">
        <f>"65476"</f>
        <v>65476</v>
      </c>
      <c r="D1320" t="s">
        <v>681</v>
      </c>
      <c r="E1320" s="3">
        <v>75</v>
      </c>
      <c r="F1320">
        <v>20151118</v>
      </c>
      <c r="G1320" t="s">
        <v>336</v>
      </c>
      <c r="H1320" t="s">
        <v>669</v>
      </c>
      <c r="I1320">
        <v>0</v>
      </c>
      <c r="J1320" t="s">
        <v>289</v>
      </c>
      <c r="K1320" t="s">
        <v>290</v>
      </c>
      <c r="L1320" t="s">
        <v>285</v>
      </c>
      <c r="M1320" t="str">
        <f t="shared" si="75"/>
        <v>11</v>
      </c>
      <c r="N1320" t="s">
        <v>12</v>
      </c>
    </row>
    <row r="1321" spans="1:14" x14ac:dyDescent="0.25">
      <c r="A1321">
        <v>20151120</v>
      </c>
      <c r="B1321" t="str">
        <f>"061231"</f>
        <v>061231</v>
      </c>
      <c r="C1321" t="str">
        <f>"74240"</f>
        <v>74240</v>
      </c>
      <c r="D1321" t="s">
        <v>456</v>
      </c>
      <c r="E1321" s="3">
        <v>825</v>
      </c>
      <c r="F1321">
        <v>20151118</v>
      </c>
      <c r="G1321" t="s">
        <v>457</v>
      </c>
      <c r="H1321" t="s">
        <v>682</v>
      </c>
      <c r="I1321">
        <v>0</v>
      </c>
      <c r="J1321" t="s">
        <v>289</v>
      </c>
      <c r="K1321" t="s">
        <v>290</v>
      </c>
      <c r="L1321" t="s">
        <v>285</v>
      </c>
      <c r="M1321" t="str">
        <f t="shared" si="75"/>
        <v>11</v>
      </c>
      <c r="N1321" t="s">
        <v>12</v>
      </c>
    </row>
    <row r="1322" spans="1:14" x14ac:dyDescent="0.25">
      <c r="A1322">
        <v>20151120</v>
      </c>
      <c r="B1322" t="str">
        <f>"061234"</f>
        <v>061234</v>
      </c>
      <c r="C1322" t="str">
        <f>"75958"</f>
        <v>75958</v>
      </c>
      <c r="D1322" t="s">
        <v>683</v>
      </c>
      <c r="E1322" s="3">
        <v>109.95</v>
      </c>
      <c r="F1322">
        <v>20151118</v>
      </c>
      <c r="G1322" t="s">
        <v>684</v>
      </c>
      <c r="H1322" t="s">
        <v>685</v>
      </c>
      <c r="I1322">
        <v>0</v>
      </c>
      <c r="J1322" t="s">
        <v>289</v>
      </c>
      <c r="K1322" t="s">
        <v>290</v>
      </c>
      <c r="L1322" t="s">
        <v>285</v>
      </c>
      <c r="M1322" t="str">
        <f t="shared" si="75"/>
        <v>11</v>
      </c>
      <c r="N1322" t="s">
        <v>12</v>
      </c>
    </row>
    <row r="1323" spans="1:14" x14ac:dyDescent="0.25">
      <c r="A1323">
        <v>20151120</v>
      </c>
      <c r="B1323" t="str">
        <f>"061234"</f>
        <v>061234</v>
      </c>
      <c r="C1323" t="str">
        <f>"75958"</f>
        <v>75958</v>
      </c>
      <c r="D1323" t="s">
        <v>683</v>
      </c>
      <c r="E1323" s="3">
        <v>250</v>
      </c>
      <c r="F1323">
        <v>20151118</v>
      </c>
      <c r="G1323" t="s">
        <v>684</v>
      </c>
      <c r="H1323" t="s">
        <v>686</v>
      </c>
      <c r="I1323">
        <v>0</v>
      </c>
      <c r="J1323" t="s">
        <v>289</v>
      </c>
      <c r="K1323" t="s">
        <v>290</v>
      </c>
      <c r="L1323" t="s">
        <v>285</v>
      </c>
      <c r="M1323" t="str">
        <f t="shared" si="75"/>
        <v>11</v>
      </c>
      <c r="N1323" t="s">
        <v>12</v>
      </c>
    </row>
    <row r="1324" spans="1:14" x14ac:dyDescent="0.25">
      <c r="A1324">
        <v>20151120</v>
      </c>
      <c r="B1324" t="str">
        <f>"061236"</f>
        <v>061236</v>
      </c>
      <c r="C1324" t="str">
        <f>"75351"</f>
        <v>75351</v>
      </c>
      <c r="D1324" t="s">
        <v>687</v>
      </c>
      <c r="E1324" s="3">
        <v>75</v>
      </c>
      <c r="F1324">
        <v>20151118</v>
      </c>
      <c r="G1324" t="s">
        <v>490</v>
      </c>
      <c r="H1324" t="s">
        <v>688</v>
      </c>
      <c r="I1324">
        <v>0</v>
      </c>
      <c r="J1324" t="s">
        <v>289</v>
      </c>
      <c r="K1324" t="s">
        <v>290</v>
      </c>
      <c r="L1324" t="s">
        <v>285</v>
      </c>
      <c r="M1324" t="str">
        <f t="shared" si="75"/>
        <v>11</v>
      </c>
      <c r="N1324" t="s">
        <v>12</v>
      </c>
    </row>
    <row r="1325" spans="1:14" x14ac:dyDescent="0.25">
      <c r="A1325">
        <v>20151120</v>
      </c>
      <c r="B1325" t="str">
        <f>"061244"</f>
        <v>061244</v>
      </c>
      <c r="C1325" t="str">
        <f>"81716"</f>
        <v>81716</v>
      </c>
      <c r="D1325" t="s">
        <v>689</v>
      </c>
      <c r="E1325" s="3">
        <v>85.12</v>
      </c>
      <c r="F1325">
        <v>20151118</v>
      </c>
      <c r="G1325" t="s">
        <v>409</v>
      </c>
      <c r="H1325" t="s">
        <v>639</v>
      </c>
      <c r="I1325">
        <v>0</v>
      </c>
      <c r="J1325" t="s">
        <v>289</v>
      </c>
      <c r="K1325" t="s">
        <v>95</v>
      </c>
      <c r="L1325" t="s">
        <v>285</v>
      </c>
      <c r="M1325" t="str">
        <f t="shared" si="75"/>
        <v>11</v>
      </c>
      <c r="N1325" t="s">
        <v>12</v>
      </c>
    </row>
    <row r="1326" spans="1:14" x14ac:dyDescent="0.25">
      <c r="A1326">
        <v>20151120</v>
      </c>
      <c r="B1326" t="str">
        <f>"061245"</f>
        <v>061245</v>
      </c>
      <c r="C1326" t="str">
        <f>"81715"</f>
        <v>81715</v>
      </c>
      <c r="D1326" t="s">
        <v>592</v>
      </c>
      <c r="E1326" s="3">
        <v>84.36</v>
      </c>
      <c r="F1326">
        <v>20151118</v>
      </c>
      <c r="G1326" t="s">
        <v>409</v>
      </c>
      <c r="H1326" t="s">
        <v>639</v>
      </c>
      <c r="I1326">
        <v>0</v>
      </c>
      <c r="J1326" t="s">
        <v>289</v>
      </c>
      <c r="K1326" t="s">
        <v>95</v>
      </c>
      <c r="L1326" t="s">
        <v>285</v>
      </c>
      <c r="M1326" t="str">
        <f t="shared" si="75"/>
        <v>11</v>
      </c>
      <c r="N1326" t="s">
        <v>12</v>
      </c>
    </row>
    <row r="1327" spans="1:14" x14ac:dyDescent="0.25">
      <c r="A1327">
        <v>20151120</v>
      </c>
      <c r="B1327" t="str">
        <f>"061247"</f>
        <v>061247</v>
      </c>
      <c r="C1327" t="str">
        <f>"82511"</f>
        <v>82511</v>
      </c>
      <c r="D1327" t="s">
        <v>547</v>
      </c>
      <c r="E1327" s="3">
        <v>168</v>
      </c>
      <c r="F1327">
        <v>20151118</v>
      </c>
      <c r="G1327" t="s">
        <v>365</v>
      </c>
      <c r="H1327" t="s">
        <v>673</v>
      </c>
      <c r="I1327">
        <v>0</v>
      </c>
      <c r="J1327" t="s">
        <v>289</v>
      </c>
      <c r="K1327" t="s">
        <v>290</v>
      </c>
      <c r="L1327" t="s">
        <v>285</v>
      </c>
      <c r="M1327" t="str">
        <f t="shared" si="75"/>
        <v>11</v>
      </c>
      <c r="N1327" t="s">
        <v>12</v>
      </c>
    </row>
    <row r="1328" spans="1:14" x14ac:dyDescent="0.25">
      <c r="A1328">
        <v>20151120</v>
      </c>
      <c r="B1328" t="str">
        <f>"061247"</f>
        <v>061247</v>
      </c>
      <c r="C1328" t="str">
        <f>"82511"</f>
        <v>82511</v>
      </c>
      <c r="D1328" t="s">
        <v>547</v>
      </c>
      <c r="E1328" s="3">
        <v>-168</v>
      </c>
      <c r="F1328">
        <v>20151211</v>
      </c>
      <c r="G1328" t="s">
        <v>365</v>
      </c>
      <c r="H1328" t="s">
        <v>214</v>
      </c>
      <c r="I1328">
        <v>0</v>
      </c>
      <c r="J1328" t="s">
        <v>289</v>
      </c>
      <c r="K1328" t="s">
        <v>290</v>
      </c>
      <c r="L1328" t="s">
        <v>17</v>
      </c>
      <c r="M1328" t="str">
        <f>"12"</f>
        <v>12</v>
      </c>
      <c r="N1328" t="s">
        <v>12</v>
      </c>
    </row>
    <row r="1329" spans="1:14" x14ac:dyDescent="0.25">
      <c r="A1329">
        <v>20151120</v>
      </c>
      <c r="B1329" t="str">
        <f>"061247"</f>
        <v>061247</v>
      </c>
      <c r="C1329" t="str">
        <f>"82511"</f>
        <v>82511</v>
      </c>
      <c r="D1329" t="s">
        <v>547</v>
      </c>
      <c r="E1329" s="3">
        <v>200</v>
      </c>
      <c r="F1329">
        <v>20151118</v>
      </c>
      <c r="G1329" t="s">
        <v>485</v>
      </c>
      <c r="H1329" t="s">
        <v>690</v>
      </c>
      <c r="I1329">
        <v>0</v>
      </c>
      <c r="J1329" t="s">
        <v>289</v>
      </c>
      <c r="K1329" t="s">
        <v>290</v>
      </c>
      <c r="L1329" t="s">
        <v>285</v>
      </c>
      <c r="M1329" t="str">
        <f>"11"</f>
        <v>11</v>
      </c>
      <c r="N1329" t="s">
        <v>12</v>
      </c>
    </row>
    <row r="1330" spans="1:14" x14ac:dyDescent="0.25">
      <c r="A1330">
        <v>20151120</v>
      </c>
      <c r="B1330" t="str">
        <f>"061247"</f>
        <v>061247</v>
      </c>
      <c r="C1330" t="str">
        <f>"82511"</f>
        <v>82511</v>
      </c>
      <c r="D1330" t="s">
        <v>547</v>
      </c>
      <c r="E1330" s="3">
        <v>-200</v>
      </c>
      <c r="F1330">
        <v>20151211</v>
      </c>
      <c r="G1330" t="s">
        <v>485</v>
      </c>
      <c r="H1330" t="s">
        <v>214</v>
      </c>
      <c r="I1330">
        <v>0</v>
      </c>
      <c r="J1330" t="s">
        <v>289</v>
      </c>
      <c r="K1330" t="s">
        <v>290</v>
      </c>
      <c r="L1330" t="s">
        <v>17</v>
      </c>
      <c r="M1330" t="str">
        <f>"12"</f>
        <v>12</v>
      </c>
      <c r="N1330" t="s">
        <v>12</v>
      </c>
    </row>
    <row r="1331" spans="1:14" x14ac:dyDescent="0.25">
      <c r="A1331">
        <v>20151120</v>
      </c>
      <c r="B1331" t="str">
        <f>"061249"</f>
        <v>061249</v>
      </c>
      <c r="C1331" t="str">
        <f>"83406"</f>
        <v>83406</v>
      </c>
      <c r="D1331" t="s">
        <v>691</v>
      </c>
      <c r="E1331" s="3">
        <v>1670.4</v>
      </c>
      <c r="F1331">
        <v>20151118</v>
      </c>
      <c r="G1331" t="s">
        <v>509</v>
      </c>
      <c r="H1331" t="s">
        <v>692</v>
      </c>
      <c r="I1331">
        <v>0</v>
      </c>
      <c r="J1331" t="s">
        <v>289</v>
      </c>
      <c r="K1331" t="s">
        <v>290</v>
      </c>
      <c r="L1331" t="s">
        <v>285</v>
      </c>
      <c r="M1331" t="str">
        <f>"11"</f>
        <v>11</v>
      </c>
      <c r="N1331" t="s">
        <v>12</v>
      </c>
    </row>
    <row r="1332" spans="1:14" x14ac:dyDescent="0.25">
      <c r="A1332">
        <v>20151120</v>
      </c>
      <c r="B1332" t="str">
        <f>"061250"</f>
        <v>061250</v>
      </c>
      <c r="C1332" t="str">
        <f>"84557"</f>
        <v>84557</v>
      </c>
      <c r="D1332" t="s">
        <v>693</v>
      </c>
      <c r="E1332" s="3">
        <v>75</v>
      </c>
      <c r="F1332">
        <v>20151118</v>
      </c>
      <c r="G1332" t="s">
        <v>336</v>
      </c>
      <c r="H1332" t="s">
        <v>669</v>
      </c>
      <c r="I1332">
        <v>0</v>
      </c>
      <c r="J1332" t="s">
        <v>289</v>
      </c>
      <c r="K1332" t="s">
        <v>290</v>
      </c>
      <c r="L1332" t="s">
        <v>285</v>
      </c>
      <c r="M1332" t="str">
        <f>"11"</f>
        <v>11</v>
      </c>
      <c r="N1332" t="s">
        <v>12</v>
      </c>
    </row>
    <row r="1333" spans="1:14" x14ac:dyDescent="0.25">
      <c r="A1333">
        <v>20151204</v>
      </c>
      <c r="B1333" t="str">
        <f>"061267"</f>
        <v>061267</v>
      </c>
      <c r="C1333" t="str">
        <f>"09170"</f>
        <v>09170</v>
      </c>
      <c r="D1333" t="s">
        <v>596</v>
      </c>
      <c r="E1333" s="3">
        <v>183.55</v>
      </c>
      <c r="F1333">
        <v>20151203</v>
      </c>
      <c r="G1333" t="s">
        <v>599</v>
      </c>
      <c r="H1333" t="s">
        <v>694</v>
      </c>
      <c r="I1333">
        <v>0</v>
      </c>
      <c r="J1333" t="s">
        <v>289</v>
      </c>
      <c r="K1333" t="s">
        <v>290</v>
      </c>
      <c r="L1333" t="s">
        <v>285</v>
      </c>
      <c r="M1333" t="str">
        <f t="shared" ref="M1333:M1364" si="76">"12"</f>
        <v>12</v>
      </c>
      <c r="N1333" t="s">
        <v>12</v>
      </c>
    </row>
    <row r="1334" spans="1:14" x14ac:dyDescent="0.25">
      <c r="A1334">
        <v>20151204</v>
      </c>
      <c r="B1334" t="str">
        <f>"061267"</f>
        <v>061267</v>
      </c>
      <c r="C1334" t="str">
        <f>"09170"</f>
        <v>09170</v>
      </c>
      <c r="D1334" t="s">
        <v>596</v>
      </c>
      <c r="E1334" s="3">
        <v>330</v>
      </c>
      <c r="F1334">
        <v>20151203</v>
      </c>
      <c r="G1334" t="s">
        <v>599</v>
      </c>
      <c r="H1334" t="s">
        <v>695</v>
      </c>
      <c r="I1334">
        <v>0</v>
      </c>
      <c r="J1334" t="s">
        <v>289</v>
      </c>
      <c r="K1334" t="s">
        <v>290</v>
      </c>
      <c r="L1334" t="s">
        <v>285</v>
      </c>
      <c r="M1334" t="str">
        <f t="shared" si="76"/>
        <v>12</v>
      </c>
      <c r="N1334" t="s">
        <v>12</v>
      </c>
    </row>
    <row r="1335" spans="1:14" x14ac:dyDescent="0.25">
      <c r="A1335">
        <v>20151204</v>
      </c>
      <c r="B1335" t="str">
        <f>"061273"</f>
        <v>061273</v>
      </c>
      <c r="C1335" t="str">
        <f>"18251"</f>
        <v>18251</v>
      </c>
      <c r="D1335" t="s">
        <v>696</v>
      </c>
      <c r="E1335" s="3">
        <v>250</v>
      </c>
      <c r="F1335">
        <v>20151203</v>
      </c>
      <c r="G1335" t="s">
        <v>697</v>
      </c>
      <c r="H1335" t="s">
        <v>698</v>
      </c>
      <c r="I1335">
        <v>0</v>
      </c>
      <c r="J1335" t="s">
        <v>289</v>
      </c>
      <c r="K1335" t="s">
        <v>95</v>
      </c>
      <c r="L1335" t="s">
        <v>285</v>
      </c>
      <c r="M1335" t="str">
        <f t="shared" si="76"/>
        <v>12</v>
      </c>
      <c r="N1335" t="s">
        <v>12</v>
      </c>
    </row>
    <row r="1336" spans="1:14" x14ac:dyDescent="0.25">
      <c r="A1336">
        <v>20151204</v>
      </c>
      <c r="B1336" t="str">
        <f>"061276"</f>
        <v>061276</v>
      </c>
      <c r="C1336" t="str">
        <f>"22120"</f>
        <v>22120</v>
      </c>
      <c r="D1336" t="s">
        <v>484</v>
      </c>
      <c r="E1336" s="3">
        <v>120</v>
      </c>
      <c r="F1336">
        <v>20151203</v>
      </c>
      <c r="G1336" t="s">
        <v>485</v>
      </c>
      <c r="H1336" t="s">
        <v>699</v>
      </c>
      <c r="I1336">
        <v>0</v>
      </c>
      <c r="J1336" t="s">
        <v>289</v>
      </c>
      <c r="K1336" t="s">
        <v>290</v>
      </c>
      <c r="L1336" t="s">
        <v>285</v>
      </c>
      <c r="M1336" t="str">
        <f t="shared" si="76"/>
        <v>12</v>
      </c>
      <c r="N1336" t="s">
        <v>12</v>
      </c>
    </row>
    <row r="1337" spans="1:14" x14ac:dyDescent="0.25">
      <c r="A1337">
        <v>20151204</v>
      </c>
      <c r="B1337" t="str">
        <f>"061279"</f>
        <v>061279</v>
      </c>
      <c r="C1337" t="str">
        <f>"51346"</f>
        <v>51346</v>
      </c>
      <c r="D1337" t="s">
        <v>379</v>
      </c>
      <c r="E1337" s="3">
        <v>72</v>
      </c>
      <c r="F1337">
        <v>20151203</v>
      </c>
      <c r="G1337" t="s">
        <v>700</v>
      </c>
      <c r="H1337" t="s">
        <v>520</v>
      </c>
      <c r="I1337">
        <v>0</v>
      </c>
      <c r="J1337" t="s">
        <v>289</v>
      </c>
      <c r="K1337" t="s">
        <v>290</v>
      </c>
      <c r="L1337" t="s">
        <v>285</v>
      </c>
      <c r="M1337" t="str">
        <f t="shared" si="76"/>
        <v>12</v>
      </c>
      <c r="N1337" t="s">
        <v>12</v>
      </c>
    </row>
    <row r="1338" spans="1:14" x14ac:dyDescent="0.25">
      <c r="A1338">
        <v>20151204</v>
      </c>
      <c r="B1338" t="str">
        <f>"061279"</f>
        <v>061279</v>
      </c>
      <c r="C1338" t="str">
        <f>"51346"</f>
        <v>51346</v>
      </c>
      <c r="D1338" t="s">
        <v>379</v>
      </c>
      <c r="E1338" s="3">
        <v>252</v>
      </c>
      <c r="F1338">
        <v>20151203</v>
      </c>
      <c r="G1338" t="s">
        <v>381</v>
      </c>
      <c r="H1338" t="s">
        <v>701</v>
      </c>
      <c r="I1338">
        <v>0</v>
      </c>
      <c r="J1338" t="s">
        <v>289</v>
      </c>
      <c r="K1338" t="s">
        <v>95</v>
      </c>
      <c r="L1338" t="s">
        <v>285</v>
      </c>
      <c r="M1338" t="str">
        <f t="shared" si="76"/>
        <v>12</v>
      </c>
      <c r="N1338" t="s">
        <v>12</v>
      </c>
    </row>
    <row r="1339" spans="1:14" x14ac:dyDescent="0.25">
      <c r="A1339">
        <v>20151204</v>
      </c>
      <c r="B1339" t="str">
        <f>"061285"</f>
        <v>061285</v>
      </c>
      <c r="C1339" t="str">
        <f>"25100"</f>
        <v>25100</v>
      </c>
      <c r="D1339" t="s">
        <v>702</v>
      </c>
      <c r="E1339" s="3">
        <v>134.62</v>
      </c>
      <c r="F1339">
        <v>20151203</v>
      </c>
      <c r="G1339" t="s">
        <v>703</v>
      </c>
      <c r="H1339" t="s">
        <v>704</v>
      </c>
      <c r="I1339">
        <v>0</v>
      </c>
      <c r="J1339" t="s">
        <v>289</v>
      </c>
      <c r="K1339" t="s">
        <v>95</v>
      </c>
      <c r="L1339" t="s">
        <v>285</v>
      </c>
      <c r="M1339" t="str">
        <f t="shared" si="76"/>
        <v>12</v>
      </c>
      <c r="N1339" t="s">
        <v>12</v>
      </c>
    </row>
    <row r="1340" spans="1:14" x14ac:dyDescent="0.25">
      <c r="A1340">
        <v>20151204</v>
      </c>
      <c r="B1340" t="str">
        <f>"061291"</f>
        <v>061291</v>
      </c>
      <c r="C1340" t="str">
        <f>"28574"</f>
        <v>28574</v>
      </c>
      <c r="D1340" t="s">
        <v>705</v>
      </c>
      <c r="E1340" s="3">
        <v>325</v>
      </c>
      <c r="F1340">
        <v>20151203</v>
      </c>
      <c r="G1340" t="s">
        <v>642</v>
      </c>
      <c r="H1340" t="s">
        <v>706</v>
      </c>
      <c r="I1340">
        <v>0</v>
      </c>
      <c r="J1340" t="s">
        <v>289</v>
      </c>
      <c r="K1340" t="s">
        <v>290</v>
      </c>
      <c r="L1340" t="s">
        <v>285</v>
      </c>
      <c r="M1340" t="str">
        <f t="shared" si="76"/>
        <v>12</v>
      </c>
      <c r="N1340" t="s">
        <v>12</v>
      </c>
    </row>
    <row r="1341" spans="1:14" x14ac:dyDescent="0.25">
      <c r="A1341">
        <v>20151204</v>
      </c>
      <c r="B1341" t="str">
        <f>"061293"</f>
        <v>061293</v>
      </c>
      <c r="C1341" t="str">
        <f>"28776"</f>
        <v>28776</v>
      </c>
      <c r="D1341" t="s">
        <v>707</v>
      </c>
      <c r="E1341" s="3">
        <v>239.98</v>
      </c>
      <c r="F1341">
        <v>20151203</v>
      </c>
      <c r="G1341" t="s">
        <v>708</v>
      </c>
      <c r="H1341" t="s">
        <v>709</v>
      </c>
      <c r="I1341">
        <v>0</v>
      </c>
      <c r="J1341" t="s">
        <v>289</v>
      </c>
      <c r="K1341" t="s">
        <v>290</v>
      </c>
      <c r="L1341" t="s">
        <v>285</v>
      </c>
      <c r="M1341" t="str">
        <f t="shared" si="76"/>
        <v>12</v>
      </c>
      <c r="N1341" t="s">
        <v>12</v>
      </c>
    </row>
    <row r="1342" spans="1:14" x14ac:dyDescent="0.25">
      <c r="A1342">
        <v>20151204</v>
      </c>
      <c r="B1342" t="str">
        <f>"061302"</f>
        <v>061302</v>
      </c>
      <c r="C1342" t="str">
        <f>"33762"</f>
        <v>33762</v>
      </c>
      <c r="D1342" t="s">
        <v>710</v>
      </c>
      <c r="E1342" s="3">
        <v>84.43</v>
      </c>
      <c r="F1342">
        <v>20151203</v>
      </c>
      <c r="G1342" t="s">
        <v>409</v>
      </c>
      <c r="H1342" t="s">
        <v>711</v>
      </c>
      <c r="I1342">
        <v>0</v>
      </c>
      <c r="J1342" t="s">
        <v>289</v>
      </c>
      <c r="K1342" t="s">
        <v>95</v>
      </c>
      <c r="L1342" t="s">
        <v>285</v>
      </c>
      <c r="M1342" t="str">
        <f t="shared" si="76"/>
        <v>12</v>
      </c>
      <c r="N1342" t="s">
        <v>12</v>
      </c>
    </row>
    <row r="1343" spans="1:14" x14ac:dyDescent="0.25">
      <c r="A1343">
        <v>20151204</v>
      </c>
      <c r="B1343" t="str">
        <f>"061306"</f>
        <v>061306</v>
      </c>
      <c r="C1343" t="str">
        <f>"34901"</f>
        <v>34901</v>
      </c>
      <c r="D1343" t="s">
        <v>431</v>
      </c>
      <c r="E1343" s="3">
        <v>76.77</v>
      </c>
      <c r="F1343">
        <v>20151203</v>
      </c>
      <c r="G1343" t="s">
        <v>409</v>
      </c>
      <c r="H1343" t="s">
        <v>711</v>
      </c>
      <c r="I1343">
        <v>0</v>
      </c>
      <c r="J1343" t="s">
        <v>289</v>
      </c>
      <c r="K1343" t="s">
        <v>95</v>
      </c>
      <c r="L1343" t="s">
        <v>285</v>
      </c>
      <c r="M1343" t="str">
        <f t="shared" si="76"/>
        <v>12</v>
      </c>
      <c r="N1343" t="s">
        <v>12</v>
      </c>
    </row>
    <row r="1344" spans="1:14" x14ac:dyDescent="0.25">
      <c r="A1344">
        <v>20151204</v>
      </c>
      <c r="B1344" t="str">
        <f>"061310"</f>
        <v>061310</v>
      </c>
      <c r="C1344" t="str">
        <f>"44798"</f>
        <v>44798</v>
      </c>
      <c r="D1344" t="s">
        <v>314</v>
      </c>
      <c r="E1344" s="3">
        <v>150</v>
      </c>
      <c r="F1344">
        <v>20151203</v>
      </c>
      <c r="G1344" t="s">
        <v>712</v>
      </c>
      <c r="H1344" t="s">
        <v>713</v>
      </c>
      <c r="I1344">
        <v>0</v>
      </c>
      <c r="J1344" t="s">
        <v>289</v>
      </c>
      <c r="K1344" t="s">
        <v>95</v>
      </c>
      <c r="L1344" t="s">
        <v>285</v>
      </c>
      <c r="M1344" t="str">
        <f t="shared" si="76"/>
        <v>12</v>
      </c>
      <c r="N1344" t="s">
        <v>12</v>
      </c>
    </row>
    <row r="1345" spans="1:14" x14ac:dyDescent="0.25">
      <c r="A1345">
        <v>20151204</v>
      </c>
      <c r="B1345" t="str">
        <f>"061312"</f>
        <v>061312</v>
      </c>
      <c r="C1345" t="str">
        <f>"45093"</f>
        <v>45093</v>
      </c>
      <c r="D1345" t="s">
        <v>538</v>
      </c>
      <c r="E1345" s="3">
        <v>329.04</v>
      </c>
      <c r="F1345">
        <v>20151203</v>
      </c>
      <c r="G1345" t="s">
        <v>380</v>
      </c>
      <c r="H1345" t="s">
        <v>714</v>
      </c>
      <c r="I1345">
        <v>0</v>
      </c>
      <c r="J1345" t="s">
        <v>289</v>
      </c>
      <c r="K1345" t="s">
        <v>290</v>
      </c>
      <c r="L1345" t="s">
        <v>285</v>
      </c>
      <c r="M1345" t="str">
        <f t="shared" si="76"/>
        <v>12</v>
      </c>
      <c r="N1345" t="s">
        <v>12</v>
      </c>
    </row>
    <row r="1346" spans="1:14" x14ac:dyDescent="0.25">
      <c r="A1346">
        <v>20151204</v>
      </c>
      <c r="B1346" t="str">
        <f>"061312"</f>
        <v>061312</v>
      </c>
      <c r="C1346" t="str">
        <f>"45093"</f>
        <v>45093</v>
      </c>
      <c r="D1346" t="s">
        <v>538</v>
      </c>
      <c r="E1346" s="3">
        <v>124</v>
      </c>
      <c r="F1346">
        <v>20151203</v>
      </c>
      <c r="G1346" t="s">
        <v>618</v>
      </c>
      <c r="H1346" t="s">
        <v>486</v>
      </c>
      <c r="I1346">
        <v>0</v>
      </c>
      <c r="J1346" t="s">
        <v>289</v>
      </c>
      <c r="K1346" t="s">
        <v>290</v>
      </c>
      <c r="L1346" t="s">
        <v>285</v>
      </c>
      <c r="M1346" t="str">
        <f t="shared" si="76"/>
        <v>12</v>
      </c>
      <c r="N1346" t="s">
        <v>12</v>
      </c>
    </row>
    <row r="1347" spans="1:14" x14ac:dyDescent="0.25">
      <c r="A1347">
        <v>20151204</v>
      </c>
      <c r="B1347" t="str">
        <f>"061319"</f>
        <v>061319</v>
      </c>
      <c r="C1347" t="str">
        <f>"48970"</f>
        <v>48970</v>
      </c>
      <c r="D1347" t="s">
        <v>715</v>
      </c>
      <c r="E1347" s="3">
        <v>86.84</v>
      </c>
      <c r="F1347">
        <v>20151203</v>
      </c>
      <c r="G1347" t="s">
        <v>409</v>
      </c>
      <c r="H1347" t="s">
        <v>711</v>
      </c>
      <c r="I1347">
        <v>0</v>
      </c>
      <c r="J1347" t="s">
        <v>289</v>
      </c>
      <c r="K1347" t="s">
        <v>95</v>
      </c>
      <c r="L1347" t="s">
        <v>285</v>
      </c>
      <c r="M1347" t="str">
        <f t="shared" si="76"/>
        <v>12</v>
      </c>
      <c r="N1347" t="s">
        <v>12</v>
      </c>
    </row>
    <row r="1348" spans="1:14" x14ac:dyDescent="0.25">
      <c r="A1348">
        <v>20151204</v>
      </c>
      <c r="B1348" t="str">
        <f>"061336"</f>
        <v>061336</v>
      </c>
      <c r="C1348" t="str">
        <f>"57991"</f>
        <v>57991</v>
      </c>
      <c r="D1348" t="s">
        <v>445</v>
      </c>
      <c r="E1348" s="3">
        <v>135.72999999999999</v>
      </c>
      <c r="F1348">
        <v>20151204</v>
      </c>
      <c r="G1348" t="s">
        <v>703</v>
      </c>
      <c r="H1348" t="s">
        <v>704</v>
      </c>
      <c r="I1348">
        <v>0</v>
      </c>
      <c r="J1348" t="s">
        <v>289</v>
      </c>
      <c r="K1348" t="s">
        <v>95</v>
      </c>
      <c r="L1348" t="s">
        <v>285</v>
      </c>
      <c r="M1348" t="str">
        <f t="shared" si="76"/>
        <v>12</v>
      </c>
      <c r="N1348" t="s">
        <v>12</v>
      </c>
    </row>
    <row r="1349" spans="1:14" x14ac:dyDescent="0.25">
      <c r="A1349">
        <v>20151204</v>
      </c>
      <c r="B1349" t="str">
        <f>"061347"</f>
        <v>061347</v>
      </c>
      <c r="C1349" t="str">
        <f>"68107"</f>
        <v>68107</v>
      </c>
      <c r="D1349" t="s">
        <v>716</v>
      </c>
      <c r="E1349" s="3">
        <v>146.4</v>
      </c>
      <c r="F1349">
        <v>20151204</v>
      </c>
      <c r="G1349" t="s">
        <v>310</v>
      </c>
      <c r="H1349" t="s">
        <v>717</v>
      </c>
      <c r="I1349">
        <v>0</v>
      </c>
      <c r="J1349" t="s">
        <v>289</v>
      </c>
      <c r="K1349" t="s">
        <v>290</v>
      </c>
      <c r="L1349" t="s">
        <v>285</v>
      </c>
      <c r="M1349" t="str">
        <f t="shared" si="76"/>
        <v>12</v>
      </c>
      <c r="N1349" t="s">
        <v>12</v>
      </c>
    </row>
    <row r="1350" spans="1:14" x14ac:dyDescent="0.25">
      <c r="A1350">
        <v>20151204</v>
      </c>
      <c r="B1350" t="str">
        <f>"061351"</f>
        <v>061351</v>
      </c>
      <c r="C1350" t="str">
        <f>"73987"</f>
        <v>73987</v>
      </c>
      <c r="D1350" t="s">
        <v>718</v>
      </c>
      <c r="E1350" s="3">
        <v>66.150000000000006</v>
      </c>
      <c r="F1350">
        <v>20151204</v>
      </c>
      <c r="G1350" t="s">
        <v>700</v>
      </c>
      <c r="H1350" t="s">
        <v>719</v>
      </c>
      <c r="I1350">
        <v>0</v>
      </c>
      <c r="J1350" t="s">
        <v>289</v>
      </c>
      <c r="K1350" t="s">
        <v>290</v>
      </c>
      <c r="L1350" t="s">
        <v>285</v>
      </c>
      <c r="M1350" t="str">
        <f t="shared" si="76"/>
        <v>12</v>
      </c>
      <c r="N1350" t="s">
        <v>12</v>
      </c>
    </row>
    <row r="1351" spans="1:14" x14ac:dyDescent="0.25">
      <c r="A1351">
        <v>20151204</v>
      </c>
      <c r="B1351" t="str">
        <f>"061355"</f>
        <v>061355</v>
      </c>
      <c r="C1351" t="str">
        <f>"78433"</f>
        <v>78433</v>
      </c>
      <c r="D1351" t="s">
        <v>687</v>
      </c>
      <c r="E1351" s="3">
        <v>320</v>
      </c>
      <c r="F1351">
        <v>20151204</v>
      </c>
      <c r="G1351" t="s">
        <v>490</v>
      </c>
      <c r="H1351" t="s">
        <v>720</v>
      </c>
      <c r="I1351">
        <v>0</v>
      </c>
      <c r="J1351" t="s">
        <v>289</v>
      </c>
      <c r="K1351" t="s">
        <v>290</v>
      </c>
      <c r="L1351" t="s">
        <v>285</v>
      </c>
      <c r="M1351" t="str">
        <f t="shared" si="76"/>
        <v>12</v>
      </c>
      <c r="N1351" t="s">
        <v>12</v>
      </c>
    </row>
    <row r="1352" spans="1:14" x14ac:dyDescent="0.25">
      <c r="A1352">
        <v>20151204</v>
      </c>
      <c r="B1352" t="str">
        <f>"061357"</f>
        <v>061357</v>
      </c>
      <c r="C1352" t="str">
        <f>"78432"</f>
        <v>78432</v>
      </c>
      <c r="D1352" t="s">
        <v>721</v>
      </c>
      <c r="E1352" s="3">
        <v>75</v>
      </c>
      <c r="F1352">
        <v>20151204</v>
      </c>
      <c r="G1352" t="s">
        <v>490</v>
      </c>
      <c r="H1352" t="s">
        <v>722</v>
      </c>
      <c r="I1352">
        <v>0</v>
      </c>
      <c r="J1352" t="s">
        <v>289</v>
      </c>
      <c r="K1352" t="s">
        <v>290</v>
      </c>
      <c r="L1352" t="s">
        <v>285</v>
      </c>
      <c r="M1352" t="str">
        <f t="shared" si="76"/>
        <v>12</v>
      </c>
      <c r="N1352" t="s">
        <v>12</v>
      </c>
    </row>
    <row r="1353" spans="1:14" x14ac:dyDescent="0.25">
      <c r="A1353">
        <v>20151204</v>
      </c>
      <c r="B1353" t="str">
        <f>"061360"</f>
        <v>061360</v>
      </c>
      <c r="C1353" t="str">
        <f>"80755"</f>
        <v>80755</v>
      </c>
      <c r="D1353" t="s">
        <v>723</v>
      </c>
      <c r="E1353" s="3">
        <v>892.5</v>
      </c>
      <c r="F1353">
        <v>20151204</v>
      </c>
      <c r="G1353" t="s">
        <v>708</v>
      </c>
      <c r="H1353" t="s">
        <v>724</v>
      </c>
      <c r="I1353">
        <v>0</v>
      </c>
      <c r="J1353" t="s">
        <v>289</v>
      </c>
      <c r="K1353" t="s">
        <v>290</v>
      </c>
      <c r="L1353" t="s">
        <v>285</v>
      </c>
      <c r="M1353" t="str">
        <f t="shared" si="76"/>
        <v>12</v>
      </c>
      <c r="N1353" t="s">
        <v>12</v>
      </c>
    </row>
    <row r="1354" spans="1:14" x14ac:dyDescent="0.25">
      <c r="A1354">
        <v>20151204</v>
      </c>
      <c r="B1354" t="str">
        <f>"061364"</f>
        <v>061364</v>
      </c>
      <c r="C1354" t="str">
        <f>"83022"</f>
        <v>83022</v>
      </c>
      <c r="D1354" t="s">
        <v>394</v>
      </c>
      <c r="E1354" s="3">
        <v>104.33</v>
      </c>
      <c r="F1354">
        <v>20151204</v>
      </c>
      <c r="G1354" t="s">
        <v>507</v>
      </c>
      <c r="H1354" t="s">
        <v>594</v>
      </c>
      <c r="I1354">
        <v>0</v>
      </c>
      <c r="J1354" t="s">
        <v>289</v>
      </c>
      <c r="K1354" t="s">
        <v>290</v>
      </c>
      <c r="L1354" t="s">
        <v>285</v>
      </c>
      <c r="M1354" t="str">
        <f t="shared" si="76"/>
        <v>12</v>
      </c>
      <c r="N1354" t="s">
        <v>12</v>
      </c>
    </row>
    <row r="1355" spans="1:14" x14ac:dyDescent="0.25">
      <c r="A1355">
        <v>20151204</v>
      </c>
      <c r="B1355" t="str">
        <f t="shared" ref="B1355:B1367" si="77">"061365"</f>
        <v>061365</v>
      </c>
      <c r="C1355" t="str">
        <f t="shared" ref="C1355:C1367" si="78">"84370"</f>
        <v>84370</v>
      </c>
      <c r="D1355" t="s">
        <v>329</v>
      </c>
      <c r="E1355" s="3">
        <v>43.78</v>
      </c>
      <c r="F1355">
        <v>20151204</v>
      </c>
      <c r="G1355" t="s">
        <v>700</v>
      </c>
      <c r="H1355" t="s">
        <v>725</v>
      </c>
      <c r="I1355">
        <v>0</v>
      </c>
      <c r="J1355" t="s">
        <v>289</v>
      </c>
      <c r="K1355" t="s">
        <v>290</v>
      </c>
      <c r="L1355" t="s">
        <v>285</v>
      </c>
      <c r="M1355" t="str">
        <f t="shared" si="76"/>
        <v>12</v>
      </c>
      <c r="N1355" t="s">
        <v>12</v>
      </c>
    </row>
    <row r="1356" spans="1:14" x14ac:dyDescent="0.25">
      <c r="A1356">
        <v>20151204</v>
      </c>
      <c r="B1356" t="str">
        <f t="shared" si="77"/>
        <v>061365</v>
      </c>
      <c r="C1356" t="str">
        <f t="shared" si="78"/>
        <v>84370</v>
      </c>
      <c r="D1356" t="s">
        <v>329</v>
      </c>
      <c r="E1356" s="3">
        <v>59.2</v>
      </c>
      <c r="F1356">
        <v>20151204</v>
      </c>
      <c r="G1356" t="s">
        <v>700</v>
      </c>
      <c r="H1356" t="s">
        <v>520</v>
      </c>
      <c r="I1356">
        <v>0</v>
      </c>
      <c r="J1356" t="s">
        <v>289</v>
      </c>
      <c r="K1356" t="s">
        <v>290</v>
      </c>
      <c r="L1356" t="s">
        <v>285</v>
      </c>
      <c r="M1356" t="str">
        <f t="shared" si="76"/>
        <v>12</v>
      </c>
      <c r="N1356" t="s">
        <v>12</v>
      </c>
    </row>
    <row r="1357" spans="1:14" x14ac:dyDescent="0.25">
      <c r="A1357">
        <v>20151204</v>
      </c>
      <c r="B1357" t="str">
        <f t="shared" si="77"/>
        <v>061365</v>
      </c>
      <c r="C1357" t="str">
        <f t="shared" si="78"/>
        <v>84370</v>
      </c>
      <c r="D1357" t="s">
        <v>329</v>
      </c>
      <c r="E1357" s="3">
        <v>56.31</v>
      </c>
      <c r="F1357">
        <v>20151204</v>
      </c>
      <c r="G1357" t="s">
        <v>700</v>
      </c>
      <c r="H1357" t="s">
        <v>726</v>
      </c>
      <c r="I1357">
        <v>0</v>
      </c>
      <c r="J1357" t="s">
        <v>289</v>
      </c>
      <c r="K1357" t="s">
        <v>290</v>
      </c>
      <c r="L1357" t="s">
        <v>285</v>
      </c>
      <c r="M1357" t="str">
        <f t="shared" si="76"/>
        <v>12</v>
      </c>
      <c r="N1357" t="s">
        <v>12</v>
      </c>
    </row>
    <row r="1358" spans="1:14" x14ac:dyDescent="0.25">
      <c r="A1358">
        <v>20151204</v>
      </c>
      <c r="B1358" t="str">
        <f t="shared" si="77"/>
        <v>061365</v>
      </c>
      <c r="C1358" t="str">
        <f t="shared" si="78"/>
        <v>84370</v>
      </c>
      <c r="D1358" t="s">
        <v>329</v>
      </c>
      <c r="E1358" s="3">
        <v>89.35</v>
      </c>
      <c r="F1358">
        <v>20151204</v>
      </c>
      <c r="G1358" t="s">
        <v>727</v>
      </c>
      <c r="H1358" t="s">
        <v>728</v>
      </c>
      <c r="I1358">
        <v>0</v>
      </c>
      <c r="J1358" t="s">
        <v>289</v>
      </c>
      <c r="K1358" t="s">
        <v>95</v>
      </c>
      <c r="L1358" t="s">
        <v>285</v>
      </c>
      <c r="M1358" t="str">
        <f t="shared" si="76"/>
        <v>12</v>
      </c>
      <c r="N1358" t="s">
        <v>12</v>
      </c>
    </row>
    <row r="1359" spans="1:14" x14ac:dyDescent="0.25">
      <c r="A1359">
        <v>20151204</v>
      </c>
      <c r="B1359" t="str">
        <f t="shared" si="77"/>
        <v>061365</v>
      </c>
      <c r="C1359" t="str">
        <f t="shared" si="78"/>
        <v>84370</v>
      </c>
      <c r="D1359" t="s">
        <v>329</v>
      </c>
      <c r="E1359" s="3">
        <v>240.92</v>
      </c>
      <c r="F1359">
        <v>20151204</v>
      </c>
      <c r="G1359" t="s">
        <v>331</v>
      </c>
      <c r="H1359" t="s">
        <v>729</v>
      </c>
      <c r="I1359">
        <v>0</v>
      </c>
      <c r="J1359" t="s">
        <v>289</v>
      </c>
      <c r="K1359" t="s">
        <v>290</v>
      </c>
      <c r="L1359" t="s">
        <v>285</v>
      </c>
      <c r="M1359" t="str">
        <f t="shared" si="76"/>
        <v>12</v>
      </c>
      <c r="N1359" t="s">
        <v>12</v>
      </c>
    </row>
    <row r="1360" spans="1:14" x14ac:dyDescent="0.25">
      <c r="A1360">
        <v>20151204</v>
      </c>
      <c r="B1360" t="str">
        <f t="shared" si="77"/>
        <v>061365</v>
      </c>
      <c r="C1360" t="str">
        <f t="shared" si="78"/>
        <v>84370</v>
      </c>
      <c r="D1360" t="s">
        <v>329</v>
      </c>
      <c r="E1360" s="3">
        <v>274.48</v>
      </c>
      <c r="F1360">
        <v>20151204</v>
      </c>
      <c r="G1360" t="s">
        <v>331</v>
      </c>
      <c r="H1360" t="s">
        <v>730</v>
      </c>
      <c r="I1360">
        <v>0</v>
      </c>
      <c r="J1360" t="s">
        <v>289</v>
      </c>
      <c r="K1360" t="s">
        <v>290</v>
      </c>
      <c r="L1360" t="s">
        <v>285</v>
      </c>
      <c r="M1360" t="str">
        <f t="shared" si="76"/>
        <v>12</v>
      </c>
      <c r="N1360" t="s">
        <v>12</v>
      </c>
    </row>
    <row r="1361" spans="1:14" x14ac:dyDescent="0.25">
      <c r="A1361">
        <v>20151204</v>
      </c>
      <c r="B1361" t="str">
        <f t="shared" si="77"/>
        <v>061365</v>
      </c>
      <c r="C1361" t="str">
        <f t="shared" si="78"/>
        <v>84370</v>
      </c>
      <c r="D1361" t="s">
        <v>329</v>
      </c>
      <c r="E1361" s="3">
        <v>286.16000000000003</v>
      </c>
      <c r="F1361">
        <v>20151204</v>
      </c>
      <c r="G1361" t="s">
        <v>464</v>
      </c>
      <c r="H1361" t="s">
        <v>731</v>
      </c>
      <c r="I1361">
        <v>0</v>
      </c>
      <c r="J1361" t="s">
        <v>289</v>
      </c>
      <c r="K1361" t="s">
        <v>95</v>
      </c>
      <c r="L1361" t="s">
        <v>285</v>
      </c>
      <c r="M1361" t="str">
        <f t="shared" si="76"/>
        <v>12</v>
      </c>
      <c r="N1361" t="s">
        <v>12</v>
      </c>
    </row>
    <row r="1362" spans="1:14" x14ac:dyDescent="0.25">
      <c r="A1362">
        <v>20151204</v>
      </c>
      <c r="B1362" t="str">
        <f t="shared" si="77"/>
        <v>061365</v>
      </c>
      <c r="C1362" t="str">
        <f t="shared" si="78"/>
        <v>84370</v>
      </c>
      <c r="D1362" t="s">
        <v>329</v>
      </c>
      <c r="E1362" s="3">
        <v>29.75</v>
      </c>
      <c r="F1362">
        <v>20151204</v>
      </c>
      <c r="G1362" t="s">
        <v>420</v>
      </c>
      <c r="H1362" t="s">
        <v>732</v>
      </c>
      <c r="I1362">
        <v>0</v>
      </c>
      <c r="J1362" t="s">
        <v>289</v>
      </c>
      <c r="K1362" t="s">
        <v>290</v>
      </c>
      <c r="L1362" t="s">
        <v>285</v>
      </c>
      <c r="M1362" t="str">
        <f t="shared" si="76"/>
        <v>12</v>
      </c>
      <c r="N1362" t="s">
        <v>12</v>
      </c>
    </row>
    <row r="1363" spans="1:14" x14ac:dyDescent="0.25">
      <c r="A1363">
        <v>20151204</v>
      </c>
      <c r="B1363" t="str">
        <f t="shared" si="77"/>
        <v>061365</v>
      </c>
      <c r="C1363" t="str">
        <f t="shared" si="78"/>
        <v>84370</v>
      </c>
      <c r="D1363" t="s">
        <v>329</v>
      </c>
      <c r="E1363" s="3">
        <v>112.22</v>
      </c>
      <c r="F1363">
        <v>20151204</v>
      </c>
      <c r="G1363" t="s">
        <v>618</v>
      </c>
      <c r="H1363" t="s">
        <v>733</v>
      </c>
      <c r="I1363">
        <v>0</v>
      </c>
      <c r="J1363" t="s">
        <v>289</v>
      </c>
      <c r="K1363" t="s">
        <v>290</v>
      </c>
      <c r="L1363" t="s">
        <v>285</v>
      </c>
      <c r="M1363" t="str">
        <f t="shared" si="76"/>
        <v>12</v>
      </c>
      <c r="N1363" t="s">
        <v>12</v>
      </c>
    </row>
    <row r="1364" spans="1:14" x14ac:dyDescent="0.25">
      <c r="A1364">
        <v>20151204</v>
      </c>
      <c r="B1364" t="str">
        <f t="shared" si="77"/>
        <v>061365</v>
      </c>
      <c r="C1364" t="str">
        <f t="shared" si="78"/>
        <v>84370</v>
      </c>
      <c r="D1364" t="s">
        <v>329</v>
      </c>
      <c r="E1364" s="3">
        <v>56.05</v>
      </c>
      <c r="F1364">
        <v>20151204</v>
      </c>
      <c r="G1364" t="s">
        <v>467</v>
      </c>
      <c r="H1364" t="s">
        <v>734</v>
      </c>
      <c r="I1364">
        <v>0</v>
      </c>
      <c r="J1364" t="s">
        <v>289</v>
      </c>
      <c r="K1364" t="s">
        <v>290</v>
      </c>
      <c r="L1364" t="s">
        <v>285</v>
      </c>
      <c r="M1364" t="str">
        <f t="shared" si="76"/>
        <v>12</v>
      </c>
      <c r="N1364" t="s">
        <v>12</v>
      </c>
    </row>
    <row r="1365" spans="1:14" x14ac:dyDescent="0.25">
      <c r="A1365">
        <v>20151204</v>
      </c>
      <c r="B1365" t="str">
        <f t="shared" si="77"/>
        <v>061365</v>
      </c>
      <c r="C1365" t="str">
        <f t="shared" si="78"/>
        <v>84370</v>
      </c>
      <c r="D1365" t="s">
        <v>329</v>
      </c>
      <c r="E1365" s="3">
        <v>45.77</v>
      </c>
      <c r="F1365">
        <v>20151204</v>
      </c>
      <c r="G1365" t="s">
        <v>467</v>
      </c>
      <c r="H1365" t="s">
        <v>735</v>
      </c>
      <c r="I1365">
        <v>0</v>
      </c>
      <c r="J1365" t="s">
        <v>289</v>
      </c>
      <c r="K1365" t="s">
        <v>290</v>
      </c>
      <c r="L1365" t="s">
        <v>285</v>
      </c>
      <c r="M1365" t="str">
        <f t="shared" ref="M1365:M1396" si="79">"12"</f>
        <v>12</v>
      </c>
      <c r="N1365" t="s">
        <v>12</v>
      </c>
    </row>
    <row r="1366" spans="1:14" x14ac:dyDescent="0.25">
      <c r="A1366">
        <v>20151204</v>
      </c>
      <c r="B1366" t="str">
        <f t="shared" si="77"/>
        <v>061365</v>
      </c>
      <c r="C1366" t="str">
        <f t="shared" si="78"/>
        <v>84370</v>
      </c>
      <c r="D1366" t="s">
        <v>329</v>
      </c>
      <c r="E1366" s="3">
        <v>138.63</v>
      </c>
      <c r="F1366">
        <v>20151204</v>
      </c>
      <c r="G1366" t="s">
        <v>353</v>
      </c>
      <c r="H1366" t="s">
        <v>736</v>
      </c>
      <c r="I1366">
        <v>0</v>
      </c>
      <c r="J1366" t="s">
        <v>289</v>
      </c>
      <c r="K1366" t="s">
        <v>290</v>
      </c>
      <c r="L1366" t="s">
        <v>285</v>
      </c>
      <c r="M1366" t="str">
        <f t="shared" si="79"/>
        <v>12</v>
      </c>
      <c r="N1366" t="s">
        <v>12</v>
      </c>
    </row>
    <row r="1367" spans="1:14" x14ac:dyDescent="0.25">
      <c r="A1367">
        <v>20151204</v>
      </c>
      <c r="B1367" t="str">
        <f t="shared" si="77"/>
        <v>061365</v>
      </c>
      <c r="C1367" t="str">
        <f t="shared" si="78"/>
        <v>84370</v>
      </c>
      <c r="D1367" t="s">
        <v>329</v>
      </c>
      <c r="E1367" s="3">
        <v>207.2</v>
      </c>
      <c r="F1367">
        <v>20151204</v>
      </c>
      <c r="G1367" t="s">
        <v>381</v>
      </c>
      <c r="H1367" t="s">
        <v>737</v>
      </c>
      <c r="I1367">
        <v>0</v>
      </c>
      <c r="J1367" t="s">
        <v>289</v>
      </c>
      <c r="K1367" t="s">
        <v>95</v>
      </c>
      <c r="L1367" t="s">
        <v>285</v>
      </c>
      <c r="M1367" t="str">
        <f t="shared" si="79"/>
        <v>12</v>
      </c>
      <c r="N1367" t="s">
        <v>12</v>
      </c>
    </row>
    <row r="1368" spans="1:14" x14ac:dyDescent="0.25">
      <c r="A1368">
        <v>20151210</v>
      </c>
      <c r="B1368" t="str">
        <f>"061367"</f>
        <v>061367</v>
      </c>
      <c r="C1368" t="str">
        <f>"13076"</f>
        <v>13076</v>
      </c>
      <c r="D1368" t="s">
        <v>738</v>
      </c>
      <c r="E1368" s="3">
        <v>230</v>
      </c>
      <c r="F1368">
        <v>20151210</v>
      </c>
      <c r="G1368" t="s">
        <v>485</v>
      </c>
      <c r="H1368" t="s">
        <v>739</v>
      </c>
      <c r="I1368">
        <v>0</v>
      </c>
      <c r="J1368" t="s">
        <v>289</v>
      </c>
      <c r="K1368" t="s">
        <v>290</v>
      </c>
      <c r="L1368" t="s">
        <v>17</v>
      </c>
      <c r="M1368" t="str">
        <f t="shared" si="79"/>
        <v>12</v>
      </c>
      <c r="N1368" t="s">
        <v>12</v>
      </c>
    </row>
    <row r="1369" spans="1:14" x14ac:dyDescent="0.25">
      <c r="A1369">
        <v>20151211</v>
      </c>
      <c r="B1369" t="str">
        <f>"061370"</f>
        <v>061370</v>
      </c>
      <c r="C1369" t="str">
        <f>"03450"</f>
        <v>03450</v>
      </c>
      <c r="D1369" t="s">
        <v>375</v>
      </c>
      <c r="E1369" s="3">
        <v>225</v>
      </c>
      <c r="F1369">
        <v>20151210</v>
      </c>
      <c r="G1369" t="s">
        <v>507</v>
      </c>
      <c r="H1369" t="s">
        <v>740</v>
      </c>
      <c r="I1369">
        <v>0</v>
      </c>
      <c r="J1369" t="s">
        <v>289</v>
      </c>
      <c r="K1369" t="s">
        <v>290</v>
      </c>
      <c r="L1369" t="s">
        <v>285</v>
      </c>
      <c r="M1369" t="str">
        <f t="shared" si="79"/>
        <v>12</v>
      </c>
      <c r="N1369" t="s">
        <v>12</v>
      </c>
    </row>
    <row r="1370" spans="1:14" x14ac:dyDescent="0.25">
      <c r="A1370">
        <v>20151211</v>
      </c>
      <c r="B1370" t="str">
        <f>"061371"</f>
        <v>061371</v>
      </c>
      <c r="C1370" t="str">
        <f>"03694"</f>
        <v>03694</v>
      </c>
      <c r="D1370" t="s">
        <v>550</v>
      </c>
      <c r="E1370" s="3">
        <v>250</v>
      </c>
      <c r="F1370">
        <v>20151210</v>
      </c>
      <c r="G1370" t="s">
        <v>697</v>
      </c>
      <c r="H1370" t="s">
        <v>741</v>
      </c>
      <c r="I1370">
        <v>0</v>
      </c>
      <c r="J1370" t="s">
        <v>289</v>
      </c>
      <c r="K1370" t="s">
        <v>95</v>
      </c>
      <c r="L1370" t="s">
        <v>285</v>
      </c>
      <c r="M1370" t="str">
        <f t="shared" si="79"/>
        <v>12</v>
      </c>
      <c r="N1370" t="s">
        <v>12</v>
      </c>
    </row>
    <row r="1371" spans="1:14" x14ac:dyDescent="0.25">
      <c r="A1371">
        <v>20151211</v>
      </c>
      <c r="B1371" t="str">
        <f>"061373"</f>
        <v>061373</v>
      </c>
      <c r="C1371" t="str">
        <f>"05530"</f>
        <v>05530</v>
      </c>
      <c r="D1371" t="s">
        <v>631</v>
      </c>
      <c r="E1371" s="3">
        <v>311</v>
      </c>
      <c r="F1371">
        <v>20151210</v>
      </c>
      <c r="G1371" t="s">
        <v>632</v>
      </c>
      <c r="H1371" t="s">
        <v>742</v>
      </c>
      <c r="I1371">
        <v>0</v>
      </c>
      <c r="J1371" t="s">
        <v>289</v>
      </c>
      <c r="K1371" t="s">
        <v>290</v>
      </c>
      <c r="L1371" t="s">
        <v>285</v>
      </c>
      <c r="M1371" t="str">
        <f t="shared" si="79"/>
        <v>12</v>
      </c>
      <c r="N1371" t="s">
        <v>12</v>
      </c>
    </row>
    <row r="1372" spans="1:14" x14ac:dyDescent="0.25">
      <c r="A1372">
        <v>20151211</v>
      </c>
      <c r="B1372" t="str">
        <f>"061378"</f>
        <v>061378</v>
      </c>
      <c r="C1372" t="str">
        <f>"72089"</f>
        <v>72089</v>
      </c>
      <c r="D1372" t="s">
        <v>743</v>
      </c>
      <c r="E1372" s="3">
        <v>62.5</v>
      </c>
      <c r="F1372">
        <v>20151210</v>
      </c>
      <c r="G1372" t="s">
        <v>744</v>
      </c>
      <c r="H1372" t="s">
        <v>745</v>
      </c>
      <c r="I1372">
        <v>0</v>
      </c>
      <c r="J1372" t="s">
        <v>289</v>
      </c>
      <c r="K1372" t="s">
        <v>290</v>
      </c>
      <c r="L1372" t="s">
        <v>285</v>
      </c>
      <c r="M1372" t="str">
        <f t="shared" si="79"/>
        <v>12</v>
      </c>
      <c r="N1372" t="s">
        <v>12</v>
      </c>
    </row>
    <row r="1373" spans="1:14" x14ac:dyDescent="0.25">
      <c r="A1373">
        <v>20151211</v>
      </c>
      <c r="B1373" t="str">
        <f>"061378"</f>
        <v>061378</v>
      </c>
      <c r="C1373" t="str">
        <f>"72089"</f>
        <v>72089</v>
      </c>
      <c r="D1373" t="s">
        <v>743</v>
      </c>
      <c r="E1373" s="3">
        <v>62.5</v>
      </c>
      <c r="F1373">
        <v>20151210</v>
      </c>
      <c r="G1373" t="s">
        <v>746</v>
      </c>
      <c r="H1373" t="s">
        <v>747</v>
      </c>
      <c r="I1373">
        <v>0</v>
      </c>
      <c r="J1373" t="s">
        <v>289</v>
      </c>
      <c r="K1373" t="s">
        <v>290</v>
      </c>
      <c r="L1373" t="s">
        <v>285</v>
      </c>
      <c r="M1373" t="str">
        <f t="shared" si="79"/>
        <v>12</v>
      </c>
      <c r="N1373" t="s">
        <v>12</v>
      </c>
    </row>
    <row r="1374" spans="1:14" x14ac:dyDescent="0.25">
      <c r="A1374">
        <v>20151211</v>
      </c>
      <c r="B1374" t="str">
        <f>"061384"</f>
        <v>061384</v>
      </c>
      <c r="C1374" t="str">
        <f>"19073"</f>
        <v>19073</v>
      </c>
      <c r="D1374" t="s">
        <v>748</v>
      </c>
      <c r="E1374" s="3">
        <v>125</v>
      </c>
      <c r="F1374">
        <v>20151210</v>
      </c>
      <c r="G1374" t="s">
        <v>744</v>
      </c>
      <c r="H1374" t="s">
        <v>745</v>
      </c>
      <c r="I1374">
        <v>0</v>
      </c>
      <c r="J1374" t="s">
        <v>289</v>
      </c>
      <c r="K1374" t="s">
        <v>290</v>
      </c>
      <c r="L1374" t="s">
        <v>285</v>
      </c>
      <c r="M1374" t="str">
        <f t="shared" si="79"/>
        <v>12</v>
      </c>
      <c r="N1374" t="s">
        <v>12</v>
      </c>
    </row>
    <row r="1375" spans="1:14" x14ac:dyDescent="0.25">
      <c r="A1375">
        <v>20151211</v>
      </c>
      <c r="B1375" t="str">
        <f>"061385"</f>
        <v>061385</v>
      </c>
      <c r="C1375" t="str">
        <f>"19079"</f>
        <v>19079</v>
      </c>
      <c r="D1375" t="s">
        <v>341</v>
      </c>
      <c r="E1375" s="3">
        <v>80</v>
      </c>
      <c r="F1375">
        <v>20151210</v>
      </c>
      <c r="G1375" t="s">
        <v>744</v>
      </c>
      <c r="H1375" t="s">
        <v>745</v>
      </c>
      <c r="I1375">
        <v>0</v>
      </c>
      <c r="J1375" t="s">
        <v>289</v>
      </c>
      <c r="K1375" t="s">
        <v>290</v>
      </c>
      <c r="L1375" t="s">
        <v>285</v>
      </c>
      <c r="M1375" t="str">
        <f t="shared" si="79"/>
        <v>12</v>
      </c>
      <c r="N1375" t="s">
        <v>12</v>
      </c>
    </row>
    <row r="1376" spans="1:14" x14ac:dyDescent="0.25">
      <c r="A1376">
        <v>20151211</v>
      </c>
      <c r="B1376" t="str">
        <f>"061385"</f>
        <v>061385</v>
      </c>
      <c r="C1376" t="str">
        <f>"19079"</f>
        <v>19079</v>
      </c>
      <c r="D1376" t="s">
        <v>341</v>
      </c>
      <c r="E1376" s="3">
        <v>80</v>
      </c>
      <c r="F1376">
        <v>20151210</v>
      </c>
      <c r="G1376" t="s">
        <v>746</v>
      </c>
      <c r="H1376" t="s">
        <v>747</v>
      </c>
      <c r="I1376">
        <v>0</v>
      </c>
      <c r="J1376" t="s">
        <v>289</v>
      </c>
      <c r="K1376" t="s">
        <v>290</v>
      </c>
      <c r="L1376" t="s">
        <v>285</v>
      </c>
      <c r="M1376" t="str">
        <f t="shared" si="79"/>
        <v>12</v>
      </c>
      <c r="N1376" t="s">
        <v>12</v>
      </c>
    </row>
    <row r="1377" spans="1:14" x14ac:dyDescent="0.25">
      <c r="A1377">
        <v>20151211</v>
      </c>
      <c r="B1377" t="str">
        <f>"061388"</f>
        <v>061388</v>
      </c>
      <c r="C1377" t="str">
        <f>"51346"</f>
        <v>51346</v>
      </c>
      <c r="D1377" t="s">
        <v>379</v>
      </c>
      <c r="E1377" s="3">
        <v>150</v>
      </c>
      <c r="F1377">
        <v>20151210</v>
      </c>
      <c r="G1377" t="s">
        <v>727</v>
      </c>
      <c r="H1377" t="s">
        <v>749</v>
      </c>
      <c r="I1377">
        <v>0</v>
      </c>
      <c r="J1377" t="s">
        <v>289</v>
      </c>
      <c r="K1377" t="s">
        <v>95</v>
      </c>
      <c r="L1377" t="s">
        <v>285</v>
      </c>
      <c r="M1377" t="str">
        <f t="shared" si="79"/>
        <v>12</v>
      </c>
      <c r="N1377" t="s">
        <v>12</v>
      </c>
    </row>
    <row r="1378" spans="1:14" x14ac:dyDescent="0.25">
      <c r="A1378">
        <v>20151211</v>
      </c>
      <c r="B1378" t="str">
        <f>"061392"</f>
        <v>061392</v>
      </c>
      <c r="C1378" t="str">
        <f>"22123"</f>
        <v>22123</v>
      </c>
      <c r="D1378" t="s">
        <v>750</v>
      </c>
      <c r="E1378" s="3">
        <v>100</v>
      </c>
      <c r="F1378">
        <v>20151210</v>
      </c>
      <c r="G1378" t="s">
        <v>751</v>
      </c>
      <c r="H1378" t="s">
        <v>752</v>
      </c>
      <c r="I1378">
        <v>0</v>
      </c>
      <c r="J1378" t="s">
        <v>289</v>
      </c>
      <c r="K1378" t="s">
        <v>290</v>
      </c>
      <c r="L1378" t="s">
        <v>285</v>
      </c>
      <c r="M1378" t="str">
        <f t="shared" si="79"/>
        <v>12</v>
      </c>
      <c r="N1378" t="s">
        <v>12</v>
      </c>
    </row>
    <row r="1379" spans="1:14" x14ac:dyDescent="0.25">
      <c r="A1379">
        <v>20151211</v>
      </c>
      <c r="B1379" t="str">
        <f>"061394"</f>
        <v>061394</v>
      </c>
      <c r="C1379" t="str">
        <f>"24338"</f>
        <v>24338</v>
      </c>
      <c r="D1379" t="s">
        <v>753</v>
      </c>
      <c r="E1379" s="3">
        <v>71.989999999999995</v>
      </c>
      <c r="F1379">
        <v>20151210</v>
      </c>
      <c r="G1379" t="s">
        <v>700</v>
      </c>
      <c r="H1379" t="s">
        <v>754</v>
      </c>
      <c r="I1379">
        <v>0</v>
      </c>
      <c r="J1379" t="s">
        <v>289</v>
      </c>
      <c r="K1379" t="s">
        <v>290</v>
      </c>
      <c r="L1379" t="s">
        <v>285</v>
      </c>
      <c r="M1379" t="str">
        <f t="shared" si="79"/>
        <v>12</v>
      </c>
      <c r="N1379" t="s">
        <v>12</v>
      </c>
    </row>
    <row r="1380" spans="1:14" x14ac:dyDescent="0.25">
      <c r="A1380">
        <v>20151211</v>
      </c>
      <c r="B1380" t="str">
        <f>"061398"</f>
        <v>061398</v>
      </c>
      <c r="C1380" t="str">
        <f>"60618"</f>
        <v>60618</v>
      </c>
      <c r="D1380" t="s">
        <v>647</v>
      </c>
      <c r="E1380" s="3">
        <v>513.79</v>
      </c>
      <c r="F1380">
        <v>20151210</v>
      </c>
      <c r="G1380" t="s">
        <v>331</v>
      </c>
      <c r="H1380" t="s">
        <v>673</v>
      </c>
      <c r="I1380">
        <v>0</v>
      </c>
      <c r="J1380" t="s">
        <v>289</v>
      </c>
      <c r="K1380" t="s">
        <v>290</v>
      </c>
      <c r="L1380" t="s">
        <v>285</v>
      </c>
      <c r="M1380" t="str">
        <f t="shared" si="79"/>
        <v>12</v>
      </c>
      <c r="N1380" t="s">
        <v>12</v>
      </c>
    </row>
    <row r="1381" spans="1:14" x14ac:dyDescent="0.25">
      <c r="A1381">
        <v>20151211</v>
      </c>
      <c r="B1381" t="str">
        <f>"061402"</f>
        <v>061402</v>
      </c>
      <c r="C1381" t="str">
        <f>"28560"</f>
        <v>28560</v>
      </c>
      <c r="D1381" t="s">
        <v>755</v>
      </c>
      <c r="E1381" s="3">
        <v>1871.76</v>
      </c>
      <c r="F1381">
        <v>20151211</v>
      </c>
      <c r="G1381" t="s">
        <v>427</v>
      </c>
      <c r="H1381" t="s">
        <v>756</v>
      </c>
      <c r="I1381">
        <v>0</v>
      </c>
      <c r="J1381" t="s">
        <v>289</v>
      </c>
      <c r="K1381" t="s">
        <v>290</v>
      </c>
      <c r="L1381" t="s">
        <v>285</v>
      </c>
      <c r="M1381" t="str">
        <f t="shared" si="79"/>
        <v>12</v>
      </c>
      <c r="N1381" t="s">
        <v>12</v>
      </c>
    </row>
    <row r="1382" spans="1:14" x14ac:dyDescent="0.25">
      <c r="A1382">
        <v>20151211</v>
      </c>
      <c r="B1382" t="str">
        <f>"061404"</f>
        <v>061404</v>
      </c>
      <c r="C1382" t="str">
        <f>"28811"</f>
        <v>28811</v>
      </c>
      <c r="D1382" t="s">
        <v>757</v>
      </c>
      <c r="E1382" s="3">
        <v>75</v>
      </c>
      <c r="F1382">
        <v>20151210</v>
      </c>
      <c r="G1382" t="s">
        <v>758</v>
      </c>
      <c r="H1382" t="s">
        <v>759</v>
      </c>
      <c r="I1382">
        <v>0</v>
      </c>
      <c r="J1382" t="s">
        <v>289</v>
      </c>
      <c r="K1382" t="s">
        <v>95</v>
      </c>
      <c r="L1382" t="s">
        <v>285</v>
      </c>
      <c r="M1382" t="str">
        <f t="shared" si="79"/>
        <v>12</v>
      </c>
      <c r="N1382" t="s">
        <v>12</v>
      </c>
    </row>
    <row r="1383" spans="1:14" x14ac:dyDescent="0.25">
      <c r="A1383">
        <v>20151211</v>
      </c>
      <c r="B1383" t="str">
        <f>"061406"</f>
        <v>061406</v>
      </c>
      <c r="C1383" t="str">
        <f>"29558"</f>
        <v>29558</v>
      </c>
      <c r="D1383" t="s">
        <v>760</v>
      </c>
      <c r="E1383" s="3">
        <v>289.64999999999998</v>
      </c>
      <c r="F1383">
        <v>20151210</v>
      </c>
      <c r="G1383" t="s">
        <v>599</v>
      </c>
      <c r="H1383" t="s">
        <v>636</v>
      </c>
      <c r="I1383">
        <v>0</v>
      </c>
      <c r="J1383" t="s">
        <v>289</v>
      </c>
      <c r="K1383" t="s">
        <v>290</v>
      </c>
      <c r="L1383" t="s">
        <v>285</v>
      </c>
      <c r="M1383" t="str">
        <f t="shared" si="79"/>
        <v>12</v>
      </c>
      <c r="N1383" t="s">
        <v>12</v>
      </c>
    </row>
    <row r="1384" spans="1:14" x14ac:dyDescent="0.25">
      <c r="A1384">
        <v>20151211</v>
      </c>
      <c r="B1384" t="str">
        <f>"061407"</f>
        <v>061407</v>
      </c>
      <c r="C1384" t="str">
        <f>"29763"</f>
        <v>29763</v>
      </c>
      <c r="D1384" t="s">
        <v>761</v>
      </c>
      <c r="E1384" s="3">
        <v>563</v>
      </c>
      <c r="F1384">
        <v>20151210</v>
      </c>
      <c r="G1384" t="s">
        <v>762</v>
      </c>
      <c r="H1384" t="s">
        <v>763</v>
      </c>
      <c r="I1384">
        <v>0</v>
      </c>
      <c r="J1384" t="s">
        <v>289</v>
      </c>
      <c r="K1384" t="s">
        <v>290</v>
      </c>
      <c r="L1384" t="s">
        <v>285</v>
      </c>
      <c r="M1384" t="str">
        <f t="shared" si="79"/>
        <v>12</v>
      </c>
      <c r="N1384" t="s">
        <v>12</v>
      </c>
    </row>
    <row r="1385" spans="1:14" x14ac:dyDescent="0.25">
      <c r="A1385">
        <v>20151211</v>
      </c>
      <c r="B1385" t="str">
        <f>"061407"</f>
        <v>061407</v>
      </c>
      <c r="C1385" t="str">
        <f>"29763"</f>
        <v>29763</v>
      </c>
      <c r="D1385" t="s">
        <v>761</v>
      </c>
      <c r="E1385" s="3">
        <v>168</v>
      </c>
      <c r="F1385">
        <v>20151210</v>
      </c>
      <c r="G1385" t="s">
        <v>764</v>
      </c>
      <c r="H1385" t="s">
        <v>765</v>
      </c>
      <c r="I1385">
        <v>0</v>
      </c>
      <c r="J1385" t="s">
        <v>289</v>
      </c>
      <c r="K1385" t="s">
        <v>290</v>
      </c>
      <c r="L1385" t="s">
        <v>285</v>
      </c>
      <c r="M1385" t="str">
        <f t="shared" si="79"/>
        <v>12</v>
      </c>
      <c r="N1385" t="s">
        <v>12</v>
      </c>
    </row>
    <row r="1386" spans="1:14" x14ac:dyDescent="0.25">
      <c r="A1386">
        <v>20151211</v>
      </c>
      <c r="B1386" t="str">
        <f>"061409"</f>
        <v>061409</v>
      </c>
      <c r="C1386" t="str">
        <f>"30148"</f>
        <v>30148</v>
      </c>
      <c r="D1386" t="s">
        <v>384</v>
      </c>
      <c r="E1386" s="3">
        <v>250</v>
      </c>
      <c r="F1386">
        <v>20151210</v>
      </c>
      <c r="G1386" t="s">
        <v>697</v>
      </c>
      <c r="H1386" t="s">
        <v>766</v>
      </c>
      <c r="I1386">
        <v>0</v>
      </c>
      <c r="J1386" t="s">
        <v>289</v>
      </c>
      <c r="K1386" t="s">
        <v>95</v>
      </c>
      <c r="L1386" t="s">
        <v>285</v>
      </c>
      <c r="M1386" t="str">
        <f t="shared" si="79"/>
        <v>12</v>
      </c>
      <c r="N1386" t="s">
        <v>12</v>
      </c>
    </row>
    <row r="1387" spans="1:14" x14ac:dyDescent="0.25">
      <c r="A1387">
        <v>20151211</v>
      </c>
      <c r="B1387" t="str">
        <f>"061411"</f>
        <v>061411</v>
      </c>
      <c r="C1387" t="str">
        <f>"30837"</f>
        <v>30837</v>
      </c>
      <c r="D1387" t="s">
        <v>352</v>
      </c>
      <c r="E1387" s="3">
        <v>263</v>
      </c>
      <c r="F1387">
        <v>20151210</v>
      </c>
      <c r="G1387" t="s">
        <v>599</v>
      </c>
      <c r="H1387" t="s">
        <v>767</v>
      </c>
      <c r="I1387">
        <v>0</v>
      </c>
      <c r="J1387" t="s">
        <v>289</v>
      </c>
      <c r="K1387" t="s">
        <v>290</v>
      </c>
      <c r="L1387" t="s">
        <v>285</v>
      </c>
      <c r="M1387" t="str">
        <f t="shared" si="79"/>
        <v>12</v>
      </c>
      <c r="N1387" t="s">
        <v>12</v>
      </c>
    </row>
    <row r="1388" spans="1:14" x14ac:dyDescent="0.25">
      <c r="A1388">
        <v>20151211</v>
      </c>
      <c r="B1388" t="str">
        <f>"061411"</f>
        <v>061411</v>
      </c>
      <c r="C1388" t="str">
        <f>"30837"</f>
        <v>30837</v>
      </c>
      <c r="D1388" t="s">
        <v>352</v>
      </c>
      <c r="E1388" s="3">
        <v>88.11</v>
      </c>
      <c r="F1388">
        <v>20151210</v>
      </c>
      <c r="G1388" t="s">
        <v>618</v>
      </c>
      <c r="H1388" t="s">
        <v>768</v>
      </c>
      <c r="I1388">
        <v>0</v>
      </c>
      <c r="J1388" t="s">
        <v>289</v>
      </c>
      <c r="K1388" t="s">
        <v>290</v>
      </c>
      <c r="L1388" t="s">
        <v>285</v>
      </c>
      <c r="M1388" t="str">
        <f t="shared" si="79"/>
        <v>12</v>
      </c>
      <c r="N1388" t="s">
        <v>12</v>
      </c>
    </row>
    <row r="1389" spans="1:14" x14ac:dyDescent="0.25">
      <c r="A1389">
        <v>20151211</v>
      </c>
      <c r="B1389" t="str">
        <f>"061417"</f>
        <v>061417</v>
      </c>
      <c r="C1389" t="str">
        <f>"33702"</f>
        <v>33702</v>
      </c>
      <c r="D1389" t="s">
        <v>769</v>
      </c>
      <c r="E1389" s="3">
        <v>67.5</v>
      </c>
      <c r="F1389">
        <v>20151210</v>
      </c>
      <c r="G1389" t="s">
        <v>744</v>
      </c>
      <c r="H1389" t="s">
        <v>745</v>
      </c>
      <c r="I1389">
        <v>0</v>
      </c>
      <c r="J1389" t="s">
        <v>289</v>
      </c>
      <c r="K1389" t="s">
        <v>290</v>
      </c>
      <c r="L1389" t="s">
        <v>285</v>
      </c>
      <c r="M1389" t="str">
        <f t="shared" si="79"/>
        <v>12</v>
      </c>
      <c r="N1389" t="s">
        <v>12</v>
      </c>
    </row>
    <row r="1390" spans="1:14" x14ac:dyDescent="0.25">
      <c r="A1390">
        <v>20151211</v>
      </c>
      <c r="B1390" t="str">
        <f>"061417"</f>
        <v>061417</v>
      </c>
      <c r="C1390" t="str">
        <f>"33702"</f>
        <v>33702</v>
      </c>
      <c r="D1390" t="s">
        <v>769</v>
      </c>
      <c r="E1390" s="3">
        <v>-67.5</v>
      </c>
      <c r="F1390">
        <v>20160113</v>
      </c>
      <c r="G1390" t="s">
        <v>744</v>
      </c>
      <c r="H1390" t="s">
        <v>770</v>
      </c>
      <c r="I1390">
        <v>0</v>
      </c>
      <c r="J1390" t="s">
        <v>289</v>
      </c>
      <c r="K1390" t="s">
        <v>290</v>
      </c>
      <c r="L1390" t="s">
        <v>17</v>
      </c>
      <c r="M1390" t="str">
        <f t="shared" si="79"/>
        <v>12</v>
      </c>
      <c r="N1390" t="s">
        <v>12</v>
      </c>
    </row>
    <row r="1391" spans="1:14" x14ac:dyDescent="0.25">
      <c r="A1391">
        <v>20151211</v>
      </c>
      <c r="B1391" t="str">
        <f>"061417"</f>
        <v>061417</v>
      </c>
      <c r="C1391" t="str">
        <f>"33702"</f>
        <v>33702</v>
      </c>
      <c r="D1391" t="s">
        <v>769</v>
      </c>
      <c r="E1391" s="3">
        <v>67.5</v>
      </c>
      <c r="F1391">
        <v>20151210</v>
      </c>
      <c r="G1391" t="s">
        <v>746</v>
      </c>
      <c r="H1391" t="s">
        <v>747</v>
      </c>
      <c r="I1391">
        <v>0</v>
      </c>
      <c r="J1391" t="s">
        <v>289</v>
      </c>
      <c r="K1391" t="s">
        <v>290</v>
      </c>
      <c r="L1391" t="s">
        <v>285</v>
      </c>
      <c r="M1391" t="str">
        <f t="shared" si="79"/>
        <v>12</v>
      </c>
      <c r="N1391" t="s">
        <v>12</v>
      </c>
    </row>
    <row r="1392" spans="1:14" x14ac:dyDescent="0.25">
      <c r="A1392">
        <v>20151211</v>
      </c>
      <c r="B1392" t="str">
        <f>"061417"</f>
        <v>061417</v>
      </c>
      <c r="C1392" t="str">
        <f>"33702"</f>
        <v>33702</v>
      </c>
      <c r="D1392" t="s">
        <v>769</v>
      </c>
      <c r="E1392" s="3">
        <v>-67.5</v>
      </c>
      <c r="F1392">
        <v>20160113</v>
      </c>
      <c r="G1392" t="s">
        <v>746</v>
      </c>
      <c r="H1392" t="s">
        <v>770</v>
      </c>
      <c r="I1392">
        <v>0</v>
      </c>
      <c r="J1392" t="s">
        <v>289</v>
      </c>
      <c r="K1392" t="s">
        <v>290</v>
      </c>
      <c r="L1392" t="s">
        <v>17</v>
      </c>
      <c r="M1392" t="str">
        <f t="shared" si="79"/>
        <v>12</v>
      </c>
      <c r="N1392" t="s">
        <v>12</v>
      </c>
    </row>
    <row r="1393" spans="1:14" x14ac:dyDescent="0.25">
      <c r="A1393">
        <v>20151211</v>
      </c>
      <c r="B1393" t="str">
        <f>"061419"</f>
        <v>061419</v>
      </c>
      <c r="C1393" t="str">
        <f>"34901"</f>
        <v>34901</v>
      </c>
      <c r="D1393" t="s">
        <v>431</v>
      </c>
      <c r="E1393" s="3">
        <v>135</v>
      </c>
      <c r="F1393">
        <v>20151210</v>
      </c>
      <c r="G1393" t="s">
        <v>758</v>
      </c>
      <c r="H1393" t="s">
        <v>771</v>
      </c>
      <c r="I1393">
        <v>0</v>
      </c>
      <c r="J1393" t="s">
        <v>289</v>
      </c>
      <c r="K1393" t="s">
        <v>95</v>
      </c>
      <c r="L1393" t="s">
        <v>285</v>
      </c>
      <c r="M1393" t="str">
        <f t="shared" si="79"/>
        <v>12</v>
      </c>
      <c r="N1393" t="s">
        <v>12</v>
      </c>
    </row>
    <row r="1394" spans="1:14" x14ac:dyDescent="0.25">
      <c r="A1394">
        <v>20151211</v>
      </c>
      <c r="B1394" t="str">
        <f>"061420"</f>
        <v>061420</v>
      </c>
      <c r="C1394" t="str">
        <f>"39112"</f>
        <v>39112</v>
      </c>
      <c r="D1394" t="s">
        <v>772</v>
      </c>
      <c r="E1394" s="3">
        <v>55</v>
      </c>
      <c r="F1394">
        <v>20151210</v>
      </c>
      <c r="G1394" t="s">
        <v>744</v>
      </c>
      <c r="H1394" t="s">
        <v>745</v>
      </c>
      <c r="I1394">
        <v>0</v>
      </c>
      <c r="J1394" t="s">
        <v>289</v>
      </c>
      <c r="K1394" t="s">
        <v>290</v>
      </c>
      <c r="L1394" t="s">
        <v>285</v>
      </c>
      <c r="M1394" t="str">
        <f t="shared" si="79"/>
        <v>12</v>
      </c>
      <c r="N1394" t="s">
        <v>12</v>
      </c>
    </row>
    <row r="1395" spans="1:14" x14ac:dyDescent="0.25">
      <c r="A1395">
        <v>20151211</v>
      </c>
      <c r="B1395" t="str">
        <f>"061423"</f>
        <v>061423</v>
      </c>
      <c r="C1395" t="str">
        <f>"39548"</f>
        <v>39548</v>
      </c>
      <c r="D1395" t="s">
        <v>773</v>
      </c>
      <c r="E1395" s="3">
        <v>75</v>
      </c>
      <c r="F1395">
        <v>20151210</v>
      </c>
      <c r="G1395" t="s">
        <v>758</v>
      </c>
      <c r="H1395" t="s">
        <v>759</v>
      </c>
      <c r="I1395">
        <v>0</v>
      </c>
      <c r="J1395" t="s">
        <v>289</v>
      </c>
      <c r="K1395" t="s">
        <v>95</v>
      </c>
      <c r="L1395" t="s">
        <v>285</v>
      </c>
      <c r="M1395" t="str">
        <f t="shared" si="79"/>
        <v>12</v>
      </c>
      <c r="N1395" t="s">
        <v>12</v>
      </c>
    </row>
    <row r="1396" spans="1:14" x14ac:dyDescent="0.25">
      <c r="A1396">
        <v>20151211</v>
      </c>
      <c r="B1396" t="str">
        <f>"061425"</f>
        <v>061425</v>
      </c>
      <c r="C1396" t="str">
        <f>"50555"</f>
        <v>50555</v>
      </c>
      <c r="D1396" t="s">
        <v>774</v>
      </c>
      <c r="E1396" s="3">
        <v>135</v>
      </c>
      <c r="F1396">
        <v>20151210</v>
      </c>
      <c r="G1396" t="s">
        <v>758</v>
      </c>
      <c r="H1396" t="s">
        <v>775</v>
      </c>
      <c r="I1396">
        <v>0</v>
      </c>
      <c r="J1396" t="s">
        <v>289</v>
      </c>
      <c r="K1396" t="s">
        <v>95</v>
      </c>
      <c r="L1396" t="s">
        <v>285</v>
      </c>
      <c r="M1396" t="str">
        <f t="shared" si="79"/>
        <v>12</v>
      </c>
      <c r="N1396" t="s">
        <v>12</v>
      </c>
    </row>
    <row r="1397" spans="1:14" x14ac:dyDescent="0.25">
      <c r="A1397">
        <v>20151211</v>
      </c>
      <c r="B1397" t="str">
        <f>"061432"</f>
        <v>061432</v>
      </c>
      <c r="C1397" t="str">
        <f>"46226"</f>
        <v>46226</v>
      </c>
      <c r="D1397" t="s">
        <v>776</v>
      </c>
      <c r="E1397" s="3">
        <v>55</v>
      </c>
      <c r="F1397">
        <v>20151210</v>
      </c>
      <c r="G1397" t="s">
        <v>744</v>
      </c>
      <c r="H1397" t="s">
        <v>745</v>
      </c>
      <c r="I1397">
        <v>0</v>
      </c>
      <c r="J1397" t="s">
        <v>289</v>
      </c>
      <c r="K1397" t="s">
        <v>290</v>
      </c>
      <c r="L1397" t="s">
        <v>285</v>
      </c>
      <c r="M1397" t="str">
        <f t="shared" ref="M1397:M1428" si="80">"12"</f>
        <v>12</v>
      </c>
      <c r="N1397" t="s">
        <v>12</v>
      </c>
    </row>
    <row r="1398" spans="1:14" x14ac:dyDescent="0.25">
      <c r="A1398">
        <v>20151211</v>
      </c>
      <c r="B1398" t="str">
        <f>"061438"</f>
        <v>061438</v>
      </c>
      <c r="C1398" t="str">
        <f>"53996"</f>
        <v>53996</v>
      </c>
      <c r="D1398" t="s">
        <v>777</v>
      </c>
      <c r="E1398" s="3">
        <v>67.5</v>
      </c>
      <c r="F1398">
        <v>20151210</v>
      </c>
      <c r="G1398" t="s">
        <v>744</v>
      </c>
      <c r="H1398" t="s">
        <v>745</v>
      </c>
      <c r="I1398">
        <v>0</v>
      </c>
      <c r="J1398" t="s">
        <v>289</v>
      </c>
      <c r="K1398" t="s">
        <v>290</v>
      </c>
      <c r="L1398" t="s">
        <v>285</v>
      </c>
      <c r="M1398" t="str">
        <f t="shared" si="80"/>
        <v>12</v>
      </c>
      <c r="N1398" t="s">
        <v>12</v>
      </c>
    </row>
    <row r="1399" spans="1:14" x14ac:dyDescent="0.25">
      <c r="A1399">
        <v>20151211</v>
      </c>
      <c r="B1399" t="str">
        <f>"061438"</f>
        <v>061438</v>
      </c>
      <c r="C1399" t="str">
        <f>"53996"</f>
        <v>53996</v>
      </c>
      <c r="D1399" t="s">
        <v>777</v>
      </c>
      <c r="E1399" s="3">
        <v>67.5</v>
      </c>
      <c r="F1399">
        <v>20151210</v>
      </c>
      <c r="G1399" t="s">
        <v>746</v>
      </c>
      <c r="H1399" t="s">
        <v>747</v>
      </c>
      <c r="I1399">
        <v>0</v>
      </c>
      <c r="J1399" t="s">
        <v>289</v>
      </c>
      <c r="K1399" t="s">
        <v>290</v>
      </c>
      <c r="L1399" t="s">
        <v>285</v>
      </c>
      <c r="M1399" t="str">
        <f t="shared" si="80"/>
        <v>12</v>
      </c>
      <c r="N1399" t="s">
        <v>12</v>
      </c>
    </row>
    <row r="1400" spans="1:14" x14ac:dyDescent="0.25">
      <c r="A1400">
        <v>20151211</v>
      </c>
      <c r="B1400" t="str">
        <f>"061445"</f>
        <v>061445</v>
      </c>
      <c r="C1400" t="str">
        <f>"57318"</f>
        <v>57318</v>
      </c>
      <c r="D1400" t="s">
        <v>389</v>
      </c>
      <c r="E1400" s="3">
        <v>135</v>
      </c>
      <c r="F1400">
        <v>20151210</v>
      </c>
      <c r="G1400" t="s">
        <v>758</v>
      </c>
      <c r="H1400" t="s">
        <v>771</v>
      </c>
      <c r="I1400">
        <v>0</v>
      </c>
      <c r="J1400" t="s">
        <v>289</v>
      </c>
      <c r="K1400" t="s">
        <v>95</v>
      </c>
      <c r="L1400" t="s">
        <v>285</v>
      </c>
      <c r="M1400" t="str">
        <f t="shared" si="80"/>
        <v>12</v>
      </c>
      <c r="N1400" t="s">
        <v>12</v>
      </c>
    </row>
    <row r="1401" spans="1:14" x14ac:dyDescent="0.25">
      <c r="A1401">
        <v>20151211</v>
      </c>
      <c r="B1401" t="str">
        <f>"061473"</f>
        <v>061473</v>
      </c>
      <c r="C1401" t="str">
        <f>"73998"</f>
        <v>73998</v>
      </c>
      <c r="D1401" t="s">
        <v>778</v>
      </c>
      <c r="E1401" s="3">
        <v>90</v>
      </c>
      <c r="F1401">
        <v>20151211</v>
      </c>
      <c r="G1401" t="s">
        <v>700</v>
      </c>
      <c r="H1401" t="s">
        <v>779</v>
      </c>
      <c r="I1401">
        <v>0</v>
      </c>
      <c r="J1401" t="s">
        <v>289</v>
      </c>
      <c r="K1401" t="s">
        <v>290</v>
      </c>
      <c r="L1401" t="s">
        <v>285</v>
      </c>
      <c r="M1401" t="str">
        <f t="shared" si="80"/>
        <v>12</v>
      </c>
      <c r="N1401" t="s">
        <v>12</v>
      </c>
    </row>
    <row r="1402" spans="1:14" x14ac:dyDescent="0.25">
      <c r="A1402">
        <v>20151211</v>
      </c>
      <c r="B1402" t="str">
        <f>"061473"</f>
        <v>061473</v>
      </c>
      <c r="C1402" t="str">
        <f>"73998"</f>
        <v>73998</v>
      </c>
      <c r="D1402" t="s">
        <v>778</v>
      </c>
      <c r="E1402" s="3">
        <v>84.5</v>
      </c>
      <c r="F1402">
        <v>20151211</v>
      </c>
      <c r="G1402" t="s">
        <v>700</v>
      </c>
      <c r="H1402" t="s">
        <v>780</v>
      </c>
      <c r="I1402">
        <v>0</v>
      </c>
      <c r="J1402" t="s">
        <v>289</v>
      </c>
      <c r="K1402" t="s">
        <v>290</v>
      </c>
      <c r="L1402" t="s">
        <v>285</v>
      </c>
      <c r="M1402" t="str">
        <f t="shared" si="80"/>
        <v>12</v>
      </c>
      <c r="N1402" t="s">
        <v>12</v>
      </c>
    </row>
    <row r="1403" spans="1:14" x14ac:dyDescent="0.25">
      <c r="A1403">
        <v>20151211</v>
      </c>
      <c r="B1403" t="str">
        <f>"061476"</f>
        <v>061476</v>
      </c>
      <c r="C1403" t="str">
        <f>"79680"</f>
        <v>79680</v>
      </c>
      <c r="D1403" t="s">
        <v>781</v>
      </c>
      <c r="E1403" s="3">
        <v>135</v>
      </c>
      <c r="F1403">
        <v>20151211</v>
      </c>
      <c r="G1403" t="s">
        <v>507</v>
      </c>
      <c r="H1403" t="s">
        <v>782</v>
      </c>
      <c r="I1403">
        <v>0</v>
      </c>
      <c r="J1403" t="s">
        <v>289</v>
      </c>
      <c r="K1403" t="s">
        <v>290</v>
      </c>
      <c r="L1403" t="s">
        <v>285</v>
      </c>
      <c r="M1403" t="str">
        <f t="shared" si="80"/>
        <v>12</v>
      </c>
      <c r="N1403" t="s">
        <v>12</v>
      </c>
    </row>
    <row r="1404" spans="1:14" x14ac:dyDescent="0.25">
      <c r="A1404">
        <v>20151211</v>
      </c>
      <c r="B1404" t="str">
        <f>"061477"</f>
        <v>061477</v>
      </c>
      <c r="C1404" t="str">
        <f>"80560"</f>
        <v>80560</v>
      </c>
      <c r="D1404" t="s">
        <v>783</v>
      </c>
      <c r="E1404" s="3">
        <v>135</v>
      </c>
      <c r="F1404">
        <v>20151211</v>
      </c>
      <c r="G1404" t="s">
        <v>703</v>
      </c>
      <c r="H1404" t="s">
        <v>775</v>
      </c>
      <c r="I1404">
        <v>0</v>
      </c>
      <c r="J1404" t="s">
        <v>289</v>
      </c>
      <c r="K1404" t="s">
        <v>95</v>
      </c>
      <c r="L1404" t="s">
        <v>285</v>
      </c>
      <c r="M1404" t="str">
        <f t="shared" si="80"/>
        <v>12</v>
      </c>
      <c r="N1404" t="s">
        <v>12</v>
      </c>
    </row>
    <row r="1405" spans="1:14" x14ac:dyDescent="0.25">
      <c r="A1405">
        <v>20151211</v>
      </c>
      <c r="B1405" t="str">
        <f>"061482"</f>
        <v>061482</v>
      </c>
      <c r="C1405" t="str">
        <f>"78735"</f>
        <v>78735</v>
      </c>
      <c r="D1405" t="s">
        <v>784</v>
      </c>
      <c r="E1405" s="3">
        <v>395</v>
      </c>
      <c r="F1405">
        <v>20151211</v>
      </c>
      <c r="G1405" t="s">
        <v>310</v>
      </c>
      <c r="H1405" t="s">
        <v>785</v>
      </c>
      <c r="I1405">
        <v>0</v>
      </c>
      <c r="J1405" t="s">
        <v>289</v>
      </c>
      <c r="K1405" t="s">
        <v>290</v>
      </c>
      <c r="L1405" t="s">
        <v>285</v>
      </c>
      <c r="M1405" t="str">
        <f t="shared" si="80"/>
        <v>12</v>
      </c>
      <c r="N1405" t="s">
        <v>12</v>
      </c>
    </row>
    <row r="1406" spans="1:14" x14ac:dyDescent="0.25">
      <c r="A1406">
        <v>20151211</v>
      </c>
      <c r="B1406" t="str">
        <f>"061483"</f>
        <v>061483</v>
      </c>
      <c r="C1406" t="str">
        <f>"82511"</f>
        <v>82511</v>
      </c>
      <c r="D1406" t="s">
        <v>547</v>
      </c>
      <c r="E1406" s="3">
        <v>168</v>
      </c>
      <c r="F1406">
        <v>20151211</v>
      </c>
      <c r="G1406" t="s">
        <v>365</v>
      </c>
      <c r="H1406" t="s">
        <v>673</v>
      </c>
      <c r="I1406">
        <v>0</v>
      </c>
      <c r="J1406" t="s">
        <v>289</v>
      </c>
      <c r="K1406" t="s">
        <v>290</v>
      </c>
      <c r="L1406" t="s">
        <v>285</v>
      </c>
      <c r="M1406" t="str">
        <f t="shared" si="80"/>
        <v>12</v>
      </c>
      <c r="N1406" t="s">
        <v>12</v>
      </c>
    </row>
    <row r="1407" spans="1:14" x14ac:dyDescent="0.25">
      <c r="A1407">
        <v>20151211</v>
      </c>
      <c r="B1407" t="str">
        <f>"061483"</f>
        <v>061483</v>
      </c>
      <c r="C1407" t="str">
        <f>"82511"</f>
        <v>82511</v>
      </c>
      <c r="D1407" t="s">
        <v>547</v>
      </c>
      <c r="E1407" s="3">
        <v>100</v>
      </c>
      <c r="F1407">
        <v>20151211</v>
      </c>
      <c r="G1407" t="s">
        <v>485</v>
      </c>
      <c r="H1407" t="s">
        <v>690</v>
      </c>
      <c r="I1407">
        <v>0</v>
      </c>
      <c r="J1407" t="s">
        <v>289</v>
      </c>
      <c r="K1407" t="s">
        <v>290</v>
      </c>
      <c r="L1407" t="s">
        <v>285</v>
      </c>
      <c r="M1407" t="str">
        <f t="shared" si="80"/>
        <v>12</v>
      </c>
      <c r="N1407" t="s">
        <v>12</v>
      </c>
    </row>
    <row r="1408" spans="1:14" x14ac:dyDescent="0.25">
      <c r="A1408">
        <v>20151211</v>
      </c>
      <c r="B1408" t="str">
        <f>"061489"</f>
        <v>061489</v>
      </c>
      <c r="C1408" t="str">
        <f>"84557"</f>
        <v>84557</v>
      </c>
      <c r="D1408" t="s">
        <v>693</v>
      </c>
      <c r="E1408" s="3">
        <v>125</v>
      </c>
      <c r="F1408">
        <v>20151211</v>
      </c>
      <c r="G1408" t="s">
        <v>744</v>
      </c>
      <c r="H1408" t="s">
        <v>745</v>
      </c>
      <c r="I1408">
        <v>0</v>
      </c>
      <c r="J1408" t="s">
        <v>289</v>
      </c>
      <c r="K1408" t="s">
        <v>290</v>
      </c>
      <c r="L1408" t="s">
        <v>285</v>
      </c>
      <c r="M1408" t="str">
        <f t="shared" si="80"/>
        <v>12</v>
      </c>
      <c r="N1408" t="s">
        <v>12</v>
      </c>
    </row>
    <row r="1409" spans="1:14" x14ac:dyDescent="0.25">
      <c r="A1409">
        <v>20151218</v>
      </c>
      <c r="B1409" t="str">
        <f>"061510"</f>
        <v>061510</v>
      </c>
      <c r="C1409" t="str">
        <f>"10490"</f>
        <v>10490</v>
      </c>
      <c r="D1409" t="s">
        <v>786</v>
      </c>
      <c r="E1409" s="3">
        <v>70</v>
      </c>
      <c r="F1409">
        <v>20151217</v>
      </c>
      <c r="G1409" t="s">
        <v>746</v>
      </c>
      <c r="H1409" t="s">
        <v>787</v>
      </c>
      <c r="I1409">
        <v>0</v>
      </c>
      <c r="J1409" t="s">
        <v>289</v>
      </c>
      <c r="K1409" t="s">
        <v>290</v>
      </c>
      <c r="L1409" t="s">
        <v>285</v>
      </c>
      <c r="M1409" t="str">
        <f t="shared" si="80"/>
        <v>12</v>
      </c>
      <c r="N1409" t="s">
        <v>12</v>
      </c>
    </row>
    <row r="1410" spans="1:14" x14ac:dyDescent="0.25">
      <c r="A1410">
        <v>20151218</v>
      </c>
      <c r="B1410" t="str">
        <f>"061519"</f>
        <v>061519</v>
      </c>
      <c r="C1410" t="str">
        <f>"08788"</f>
        <v>08788</v>
      </c>
      <c r="D1410" t="s">
        <v>302</v>
      </c>
      <c r="E1410" s="3">
        <v>1000</v>
      </c>
      <c r="F1410">
        <v>20151216</v>
      </c>
      <c r="G1410" t="s">
        <v>788</v>
      </c>
      <c r="H1410" t="s">
        <v>789</v>
      </c>
      <c r="I1410">
        <v>0</v>
      </c>
      <c r="J1410" t="s">
        <v>289</v>
      </c>
      <c r="K1410" t="s">
        <v>95</v>
      </c>
      <c r="L1410" t="s">
        <v>285</v>
      </c>
      <c r="M1410" t="str">
        <f t="shared" si="80"/>
        <v>12</v>
      </c>
      <c r="N1410" t="s">
        <v>12</v>
      </c>
    </row>
    <row r="1411" spans="1:14" x14ac:dyDescent="0.25">
      <c r="A1411">
        <v>20151218</v>
      </c>
      <c r="B1411" t="str">
        <f>"061519"</f>
        <v>061519</v>
      </c>
      <c r="C1411" t="str">
        <f>"08788"</f>
        <v>08788</v>
      </c>
      <c r="D1411" t="s">
        <v>302</v>
      </c>
      <c r="E1411" s="3">
        <v>178.48</v>
      </c>
      <c r="F1411">
        <v>20151216</v>
      </c>
      <c r="G1411" t="s">
        <v>684</v>
      </c>
      <c r="H1411" t="s">
        <v>790</v>
      </c>
      <c r="I1411">
        <v>0</v>
      </c>
      <c r="J1411" t="s">
        <v>289</v>
      </c>
      <c r="K1411" t="s">
        <v>290</v>
      </c>
      <c r="L1411" t="s">
        <v>285</v>
      </c>
      <c r="M1411" t="str">
        <f t="shared" si="80"/>
        <v>12</v>
      </c>
      <c r="N1411" t="s">
        <v>12</v>
      </c>
    </row>
    <row r="1412" spans="1:14" x14ac:dyDescent="0.25">
      <c r="A1412">
        <v>20151218</v>
      </c>
      <c r="B1412" t="str">
        <f>"061528"</f>
        <v>061528</v>
      </c>
      <c r="C1412" t="str">
        <f>"22120"</f>
        <v>22120</v>
      </c>
      <c r="D1412" t="s">
        <v>484</v>
      </c>
      <c r="E1412" s="3">
        <v>95</v>
      </c>
      <c r="F1412">
        <v>20151216</v>
      </c>
      <c r="G1412" t="s">
        <v>485</v>
      </c>
      <c r="H1412" t="s">
        <v>791</v>
      </c>
      <c r="I1412">
        <v>0</v>
      </c>
      <c r="J1412" t="s">
        <v>289</v>
      </c>
      <c r="K1412" t="s">
        <v>290</v>
      </c>
      <c r="L1412" t="s">
        <v>285</v>
      </c>
      <c r="M1412" t="str">
        <f t="shared" si="80"/>
        <v>12</v>
      </c>
      <c r="N1412" t="s">
        <v>12</v>
      </c>
    </row>
    <row r="1413" spans="1:14" x14ac:dyDescent="0.25">
      <c r="A1413">
        <v>20151218</v>
      </c>
      <c r="B1413" t="str">
        <f>"061532"</f>
        <v>061532</v>
      </c>
      <c r="C1413" t="str">
        <f>"20433"</f>
        <v>20433</v>
      </c>
      <c r="D1413" t="s">
        <v>413</v>
      </c>
      <c r="E1413" s="3">
        <v>45</v>
      </c>
      <c r="F1413">
        <v>20151217</v>
      </c>
      <c r="G1413" t="s">
        <v>336</v>
      </c>
      <c r="H1413" t="s">
        <v>377</v>
      </c>
      <c r="I1413">
        <v>0</v>
      </c>
      <c r="J1413" t="s">
        <v>289</v>
      </c>
      <c r="K1413" t="s">
        <v>290</v>
      </c>
      <c r="L1413" t="s">
        <v>285</v>
      </c>
      <c r="M1413" t="str">
        <f t="shared" si="80"/>
        <v>12</v>
      </c>
      <c r="N1413" t="s">
        <v>12</v>
      </c>
    </row>
    <row r="1414" spans="1:14" x14ac:dyDescent="0.25">
      <c r="A1414">
        <v>20151218</v>
      </c>
      <c r="B1414" t="str">
        <f>"061532"</f>
        <v>061532</v>
      </c>
      <c r="C1414" t="str">
        <f>"20433"</f>
        <v>20433</v>
      </c>
      <c r="D1414" t="s">
        <v>413</v>
      </c>
      <c r="E1414" s="3">
        <v>45</v>
      </c>
      <c r="F1414">
        <v>20151217</v>
      </c>
      <c r="G1414" t="s">
        <v>409</v>
      </c>
      <c r="H1414" t="s">
        <v>585</v>
      </c>
      <c r="I1414">
        <v>0</v>
      </c>
      <c r="J1414" t="s">
        <v>289</v>
      </c>
      <c r="K1414" t="s">
        <v>95</v>
      </c>
      <c r="L1414" t="s">
        <v>285</v>
      </c>
      <c r="M1414" t="str">
        <f t="shared" si="80"/>
        <v>12</v>
      </c>
      <c r="N1414" t="s">
        <v>12</v>
      </c>
    </row>
    <row r="1415" spans="1:14" x14ac:dyDescent="0.25">
      <c r="A1415">
        <v>20151218</v>
      </c>
      <c r="B1415" t="str">
        <f>"061537"</f>
        <v>061537</v>
      </c>
      <c r="C1415" t="str">
        <f>"21295"</f>
        <v>21295</v>
      </c>
      <c r="D1415" t="s">
        <v>792</v>
      </c>
      <c r="E1415" s="3">
        <v>50</v>
      </c>
      <c r="F1415">
        <v>20151217</v>
      </c>
      <c r="G1415" t="s">
        <v>564</v>
      </c>
      <c r="H1415" t="s">
        <v>793</v>
      </c>
      <c r="I1415">
        <v>0</v>
      </c>
      <c r="J1415" t="s">
        <v>289</v>
      </c>
      <c r="K1415" t="s">
        <v>290</v>
      </c>
      <c r="L1415" t="s">
        <v>285</v>
      </c>
      <c r="M1415" t="str">
        <f t="shared" si="80"/>
        <v>12</v>
      </c>
      <c r="N1415" t="s">
        <v>12</v>
      </c>
    </row>
    <row r="1416" spans="1:14" x14ac:dyDescent="0.25">
      <c r="A1416">
        <v>20151218</v>
      </c>
      <c r="B1416" t="str">
        <f>"061542"</f>
        <v>061542</v>
      </c>
      <c r="C1416" t="str">
        <f>"23754"</f>
        <v>23754</v>
      </c>
      <c r="D1416" t="s">
        <v>794</v>
      </c>
      <c r="E1416" s="3">
        <v>200</v>
      </c>
      <c r="F1416">
        <v>20151216</v>
      </c>
      <c r="G1416" t="s">
        <v>764</v>
      </c>
      <c r="H1416" t="s">
        <v>795</v>
      </c>
      <c r="I1416">
        <v>0</v>
      </c>
      <c r="J1416" t="s">
        <v>289</v>
      </c>
      <c r="K1416" t="s">
        <v>290</v>
      </c>
      <c r="L1416" t="s">
        <v>285</v>
      </c>
      <c r="M1416" t="str">
        <f t="shared" si="80"/>
        <v>12</v>
      </c>
      <c r="N1416" t="s">
        <v>12</v>
      </c>
    </row>
    <row r="1417" spans="1:14" x14ac:dyDescent="0.25">
      <c r="A1417">
        <v>20151218</v>
      </c>
      <c r="B1417" t="str">
        <f>"061543"</f>
        <v>061543</v>
      </c>
      <c r="C1417" t="str">
        <f>"24335"</f>
        <v>24335</v>
      </c>
      <c r="D1417" t="s">
        <v>796</v>
      </c>
      <c r="E1417" s="3">
        <v>84</v>
      </c>
      <c r="F1417">
        <v>20151216</v>
      </c>
      <c r="G1417" t="s">
        <v>646</v>
      </c>
      <c r="H1417" t="s">
        <v>797</v>
      </c>
      <c r="I1417">
        <v>0</v>
      </c>
      <c r="J1417" t="s">
        <v>289</v>
      </c>
      <c r="K1417" t="s">
        <v>290</v>
      </c>
      <c r="L1417" t="s">
        <v>285</v>
      </c>
      <c r="M1417" t="str">
        <f t="shared" si="80"/>
        <v>12</v>
      </c>
      <c r="N1417" t="s">
        <v>12</v>
      </c>
    </row>
    <row r="1418" spans="1:14" x14ac:dyDescent="0.25">
      <c r="A1418">
        <v>20151218</v>
      </c>
      <c r="B1418" t="str">
        <f>"061544"</f>
        <v>061544</v>
      </c>
      <c r="C1418" t="str">
        <f>"24349"</f>
        <v>24349</v>
      </c>
      <c r="D1418" t="s">
        <v>798</v>
      </c>
      <c r="E1418" s="3">
        <v>57.69</v>
      </c>
      <c r="F1418">
        <v>20151217</v>
      </c>
      <c r="G1418" t="s">
        <v>727</v>
      </c>
      <c r="H1418" t="s">
        <v>799</v>
      </c>
      <c r="I1418">
        <v>0</v>
      </c>
      <c r="J1418" t="s">
        <v>289</v>
      </c>
      <c r="K1418" t="s">
        <v>95</v>
      </c>
      <c r="L1418" t="s">
        <v>285</v>
      </c>
      <c r="M1418" t="str">
        <f t="shared" si="80"/>
        <v>12</v>
      </c>
      <c r="N1418" t="s">
        <v>12</v>
      </c>
    </row>
    <row r="1419" spans="1:14" x14ac:dyDescent="0.25">
      <c r="A1419">
        <v>20151218</v>
      </c>
      <c r="B1419" t="str">
        <f>"061551"</f>
        <v>061551</v>
      </c>
      <c r="C1419" t="str">
        <f>"28697"</f>
        <v>28697</v>
      </c>
      <c r="D1419" t="s">
        <v>800</v>
      </c>
      <c r="E1419" s="3">
        <v>55</v>
      </c>
      <c r="F1419">
        <v>20151217</v>
      </c>
      <c r="G1419" t="s">
        <v>564</v>
      </c>
      <c r="H1419" t="s">
        <v>801</v>
      </c>
      <c r="I1419">
        <v>0</v>
      </c>
      <c r="J1419" t="s">
        <v>289</v>
      </c>
      <c r="K1419" t="s">
        <v>290</v>
      </c>
      <c r="L1419" t="s">
        <v>285</v>
      </c>
      <c r="M1419" t="str">
        <f t="shared" si="80"/>
        <v>12</v>
      </c>
      <c r="N1419" t="s">
        <v>12</v>
      </c>
    </row>
    <row r="1420" spans="1:14" x14ac:dyDescent="0.25">
      <c r="A1420">
        <v>20151218</v>
      </c>
      <c r="B1420" t="str">
        <f>"061562"</f>
        <v>061562</v>
      </c>
      <c r="C1420" t="str">
        <f>"31389"</f>
        <v>31389</v>
      </c>
      <c r="D1420" t="s">
        <v>802</v>
      </c>
      <c r="E1420" s="3">
        <v>360</v>
      </c>
      <c r="F1420">
        <v>20151216</v>
      </c>
      <c r="G1420" t="s">
        <v>646</v>
      </c>
      <c r="H1420" t="s">
        <v>706</v>
      </c>
      <c r="I1420">
        <v>0</v>
      </c>
      <c r="J1420" t="s">
        <v>289</v>
      </c>
      <c r="K1420" t="s">
        <v>290</v>
      </c>
      <c r="L1420" t="s">
        <v>285</v>
      </c>
      <c r="M1420" t="str">
        <f t="shared" si="80"/>
        <v>12</v>
      </c>
      <c r="N1420" t="s">
        <v>12</v>
      </c>
    </row>
    <row r="1421" spans="1:14" x14ac:dyDescent="0.25">
      <c r="A1421">
        <v>20151218</v>
      </c>
      <c r="B1421" t="str">
        <f>"061566"</f>
        <v>061566</v>
      </c>
      <c r="C1421" t="str">
        <f>"34933"</f>
        <v>34933</v>
      </c>
      <c r="D1421" t="s">
        <v>563</v>
      </c>
      <c r="E1421" s="3">
        <v>70</v>
      </c>
      <c r="F1421">
        <v>20151217</v>
      </c>
      <c r="G1421" t="s">
        <v>564</v>
      </c>
      <c r="H1421" t="s">
        <v>801</v>
      </c>
      <c r="I1421">
        <v>0</v>
      </c>
      <c r="J1421" t="s">
        <v>289</v>
      </c>
      <c r="K1421" t="s">
        <v>290</v>
      </c>
      <c r="L1421" t="s">
        <v>285</v>
      </c>
      <c r="M1421" t="str">
        <f t="shared" si="80"/>
        <v>12</v>
      </c>
      <c r="N1421" t="s">
        <v>12</v>
      </c>
    </row>
    <row r="1422" spans="1:14" x14ac:dyDescent="0.25">
      <c r="A1422">
        <v>20151218</v>
      </c>
      <c r="B1422" t="str">
        <f>"061569"</f>
        <v>061569</v>
      </c>
      <c r="C1422" t="str">
        <f>"37647"</f>
        <v>37647</v>
      </c>
      <c r="D1422" t="s">
        <v>803</v>
      </c>
      <c r="E1422" s="3">
        <v>55</v>
      </c>
      <c r="F1422">
        <v>20151217</v>
      </c>
      <c r="G1422" t="s">
        <v>564</v>
      </c>
      <c r="H1422" t="s">
        <v>801</v>
      </c>
      <c r="I1422">
        <v>0</v>
      </c>
      <c r="J1422" t="s">
        <v>289</v>
      </c>
      <c r="K1422" t="s">
        <v>290</v>
      </c>
      <c r="L1422" t="s">
        <v>285</v>
      </c>
      <c r="M1422" t="str">
        <f t="shared" si="80"/>
        <v>12</v>
      </c>
      <c r="N1422" t="s">
        <v>12</v>
      </c>
    </row>
    <row r="1423" spans="1:14" x14ac:dyDescent="0.25">
      <c r="A1423">
        <v>20151218</v>
      </c>
      <c r="B1423" t="str">
        <f>"061570"</f>
        <v>061570</v>
      </c>
      <c r="C1423" t="str">
        <f>"37783"</f>
        <v>37783</v>
      </c>
      <c r="D1423" t="s">
        <v>804</v>
      </c>
      <c r="E1423" s="3">
        <v>70</v>
      </c>
      <c r="F1423">
        <v>20151217</v>
      </c>
      <c r="G1423" t="s">
        <v>746</v>
      </c>
      <c r="H1423" t="s">
        <v>787</v>
      </c>
      <c r="I1423">
        <v>0</v>
      </c>
      <c r="J1423" t="s">
        <v>289</v>
      </c>
      <c r="K1423" t="s">
        <v>290</v>
      </c>
      <c r="L1423" t="s">
        <v>285</v>
      </c>
      <c r="M1423" t="str">
        <f t="shared" si="80"/>
        <v>12</v>
      </c>
      <c r="N1423" t="s">
        <v>12</v>
      </c>
    </row>
    <row r="1424" spans="1:14" x14ac:dyDescent="0.25">
      <c r="A1424">
        <v>20151218</v>
      </c>
      <c r="B1424" t="str">
        <f>"061571"</f>
        <v>061571</v>
      </c>
      <c r="C1424" t="str">
        <f>"21636"</f>
        <v>21636</v>
      </c>
      <c r="D1424" t="s">
        <v>805</v>
      </c>
      <c r="E1424" s="3">
        <v>35</v>
      </c>
      <c r="F1424">
        <v>20151217</v>
      </c>
      <c r="G1424" t="s">
        <v>564</v>
      </c>
      <c r="H1424" t="s">
        <v>793</v>
      </c>
      <c r="I1424">
        <v>0</v>
      </c>
      <c r="J1424" t="s">
        <v>289</v>
      </c>
      <c r="K1424" t="s">
        <v>290</v>
      </c>
      <c r="L1424" t="s">
        <v>285</v>
      </c>
      <c r="M1424" t="str">
        <f t="shared" si="80"/>
        <v>12</v>
      </c>
      <c r="N1424" t="s">
        <v>12</v>
      </c>
    </row>
    <row r="1425" spans="1:14" x14ac:dyDescent="0.25">
      <c r="A1425">
        <v>20151218</v>
      </c>
      <c r="B1425" t="str">
        <f>"061573"</f>
        <v>061573</v>
      </c>
      <c r="C1425" t="str">
        <f>"39552"</f>
        <v>39552</v>
      </c>
      <c r="D1425" t="s">
        <v>806</v>
      </c>
      <c r="E1425" s="3">
        <v>135</v>
      </c>
      <c r="F1425">
        <v>20151217</v>
      </c>
      <c r="G1425" t="s">
        <v>703</v>
      </c>
      <c r="H1425" t="s">
        <v>807</v>
      </c>
      <c r="I1425">
        <v>0</v>
      </c>
      <c r="J1425" t="s">
        <v>289</v>
      </c>
      <c r="K1425" t="s">
        <v>95</v>
      </c>
      <c r="L1425" t="s">
        <v>285</v>
      </c>
      <c r="M1425" t="str">
        <f t="shared" si="80"/>
        <v>12</v>
      </c>
      <c r="N1425" t="s">
        <v>12</v>
      </c>
    </row>
    <row r="1426" spans="1:14" x14ac:dyDescent="0.25">
      <c r="A1426">
        <v>20151218</v>
      </c>
      <c r="B1426" t="str">
        <f>"061575"</f>
        <v>061575</v>
      </c>
      <c r="C1426" t="str">
        <f>"39908"</f>
        <v>39908</v>
      </c>
      <c r="D1426" t="s">
        <v>808</v>
      </c>
      <c r="E1426" s="3">
        <v>854.28</v>
      </c>
      <c r="F1426">
        <v>20151216</v>
      </c>
      <c r="G1426" t="s">
        <v>310</v>
      </c>
      <c r="H1426" t="s">
        <v>720</v>
      </c>
      <c r="I1426">
        <v>0</v>
      </c>
      <c r="J1426" t="s">
        <v>289</v>
      </c>
      <c r="K1426" t="s">
        <v>290</v>
      </c>
      <c r="L1426" t="s">
        <v>285</v>
      </c>
      <c r="M1426" t="str">
        <f t="shared" si="80"/>
        <v>12</v>
      </c>
      <c r="N1426" t="s">
        <v>12</v>
      </c>
    </row>
    <row r="1427" spans="1:14" x14ac:dyDescent="0.25">
      <c r="A1427">
        <v>20151218</v>
      </c>
      <c r="B1427" t="str">
        <f>"061576"</f>
        <v>061576</v>
      </c>
      <c r="C1427" t="str">
        <f>"40790"</f>
        <v>40790</v>
      </c>
      <c r="D1427" t="s">
        <v>572</v>
      </c>
      <c r="E1427" s="3">
        <v>55</v>
      </c>
      <c r="F1427">
        <v>20151217</v>
      </c>
      <c r="G1427" t="s">
        <v>564</v>
      </c>
      <c r="H1427" t="s">
        <v>801</v>
      </c>
      <c r="I1427">
        <v>0</v>
      </c>
      <c r="J1427" t="s">
        <v>289</v>
      </c>
      <c r="K1427" t="s">
        <v>290</v>
      </c>
      <c r="L1427" t="s">
        <v>285</v>
      </c>
      <c r="M1427" t="str">
        <f t="shared" si="80"/>
        <v>12</v>
      </c>
      <c r="N1427" t="s">
        <v>12</v>
      </c>
    </row>
    <row r="1428" spans="1:14" x14ac:dyDescent="0.25">
      <c r="A1428">
        <v>20151218</v>
      </c>
      <c r="B1428" t="str">
        <f>"061598"</f>
        <v>061598</v>
      </c>
      <c r="C1428" t="str">
        <f>"54112"</f>
        <v>54112</v>
      </c>
      <c r="D1428" t="s">
        <v>809</v>
      </c>
      <c r="E1428" s="3">
        <v>135</v>
      </c>
      <c r="F1428">
        <v>20151217</v>
      </c>
      <c r="G1428" t="s">
        <v>758</v>
      </c>
      <c r="H1428" t="s">
        <v>810</v>
      </c>
      <c r="I1428">
        <v>0</v>
      </c>
      <c r="J1428" t="s">
        <v>289</v>
      </c>
      <c r="K1428" t="s">
        <v>95</v>
      </c>
      <c r="L1428" t="s">
        <v>285</v>
      </c>
      <c r="M1428" t="str">
        <f t="shared" si="80"/>
        <v>12</v>
      </c>
      <c r="N1428" t="s">
        <v>12</v>
      </c>
    </row>
    <row r="1429" spans="1:14" x14ac:dyDescent="0.25">
      <c r="A1429">
        <v>20151218</v>
      </c>
      <c r="B1429" t="str">
        <f>"061599"</f>
        <v>061599</v>
      </c>
      <c r="C1429" t="str">
        <f>"54078"</f>
        <v>54078</v>
      </c>
      <c r="D1429" t="s">
        <v>811</v>
      </c>
      <c r="E1429" s="3">
        <v>135</v>
      </c>
      <c r="F1429">
        <v>20151217</v>
      </c>
      <c r="G1429" t="s">
        <v>703</v>
      </c>
      <c r="H1429" t="s">
        <v>807</v>
      </c>
      <c r="I1429">
        <v>0</v>
      </c>
      <c r="J1429" t="s">
        <v>289</v>
      </c>
      <c r="K1429" t="s">
        <v>95</v>
      </c>
      <c r="L1429" t="s">
        <v>285</v>
      </c>
      <c r="M1429" t="str">
        <f t="shared" ref="M1429:M1457" si="81">"12"</f>
        <v>12</v>
      </c>
      <c r="N1429" t="s">
        <v>12</v>
      </c>
    </row>
    <row r="1430" spans="1:14" x14ac:dyDescent="0.25">
      <c r="A1430">
        <v>20151218</v>
      </c>
      <c r="B1430" t="str">
        <f>"061603"</f>
        <v>061603</v>
      </c>
      <c r="C1430" t="str">
        <f>"54558"</f>
        <v>54558</v>
      </c>
      <c r="D1430" t="s">
        <v>583</v>
      </c>
      <c r="E1430" s="3">
        <v>100</v>
      </c>
      <c r="F1430">
        <v>20151217</v>
      </c>
      <c r="G1430" t="s">
        <v>564</v>
      </c>
      <c r="H1430" t="s">
        <v>801</v>
      </c>
      <c r="I1430">
        <v>0</v>
      </c>
      <c r="J1430" t="s">
        <v>289</v>
      </c>
      <c r="K1430" t="s">
        <v>290</v>
      </c>
      <c r="L1430" t="s">
        <v>285</v>
      </c>
      <c r="M1430" t="str">
        <f t="shared" si="81"/>
        <v>12</v>
      </c>
      <c r="N1430" t="s">
        <v>12</v>
      </c>
    </row>
    <row r="1431" spans="1:14" x14ac:dyDescent="0.25">
      <c r="A1431">
        <v>20151218</v>
      </c>
      <c r="B1431" t="str">
        <f>"061604"</f>
        <v>061604</v>
      </c>
      <c r="C1431" t="str">
        <f>"55503"</f>
        <v>55503</v>
      </c>
      <c r="D1431" t="s">
        <v>812</v>
      </c>
      <c r="E1431" s="3">
        <v>70</v>
      </c>
      <c r="F1431">
        <v>20151217</v>
      </c>
      <c r="G1431" t="s">
        <v>746</v>
      </c>
      <c r="H1431" t="s">
        <v>787</v>
      </c>
      <c r="I1431">
        <v>0</v>
      </c>
      <c r="J1431" t="s">
        <v>289</v>
      </c>
      <c r="K1431" t="s">
        <v>290</v>
      </c>
      <c r="L1431" t="s">
        <v>285</v>
      </c>
      <c r="M1431" t="str">
        <f t="shared" si="81"/>
        <v>12</v>
      </c>
      <c r="N1431" t="s">
        <v>12</v>
      </c>
    </row>
    <row r="1432" spans="1:14" x14ac:dyDescent="0.25">
      <c r="A1432">
        <v>20151218</v>
      </c>
      <c r="B1432" t="str">
        <f>"061607"</f>
        <v>061607</v>
      </c>
      <c r="C1432" t="str">
        <f>"56569"</f>
        <v>56569</v>
      </c>
      <c r="D1432" t="s">
        <v>318</v>
      </c>
      <c r="E1432" s="3">
        <v>95</v>
      </c>
      <c r="F1432">
        <v>20151217</v>
      </c>
      <c r="G1432" t="s">
        <v>746</v>
      </c>
      <c r="H1432" t="s">
        <v>787</v>
      </c>
      <c r="I1432">
        <v>0</v>
      </c>
      <c r="J1432" t="s">
        <v>289</v>
      </c>
      <c r="K1432" t="s">
        <v>290</v>
      </c>
      <c r="L1432" t="s">
        <v>285</v>
      </c>
      <c r="M1432" t="str">
        <f t="shared" si="81"/>
        <v>12</v>
      </c>
      <c r="N1432" t="s">
        <v>12</v>
      </c>
    </row>
    <row r="1433" spans="1:14" x14ac:dyDescent="0.25">
      <c r="A1433">
        <v>20151218</v>
      </c>
      <c r="B1433" t="str">
        <f>"061612"</f>
        <v>061612</v>
      </c>
      <c r="C1433" t="str">
        <f>"57991"</f>
        <v>57991</v>
      </c>
      <c r="D1433" t="s">
        <v>445</v>
      </c>
      <c r="E1433" s="3">
        <v>95</v>
      </c>
      <c r="F1433">
        <v>20151217</v>
      </c>
      <c r="G1433" t="s">
        <v>746</v>
      </c>
      <c r="H1433" t="s">
        <v>787</v>
      </c>
      <c r="I1433">
        <v>0</v>
      </c>
      <c r="J1433" t="s">
        <v>289</v>
      </c>
      <c r="K1433" t="s">
        <v>290</v>
      </c>
      <c r="L1433" t="s">
        <v>285</v>
      </c>
      <c r="M1433" t="str">
        <f t="shared" si="81"/>
        <v>12</v>
      </c>
      <c r="N1433" t="s">
        <v>12</v>
      </c>
    </row>
    <row r="1434" spans="1:14" x14ac:dyDescent="0.25">
      <c r="A1434">
        <v>20151218</v>
      </c>
      <c r="B1434" t="str">
        <f>"061613"</f>
        <v>061613</v>
      </c>
      <c r="C1434" t="str">
        <f>"58150"</f>
        <v>58150</v>
      </c>
      <c r="D1434" t="s">
        <v>813</v>
      </c>
      <c r="E1434" s="3">
        <v>35</v>
      </c>
      <c r="F1434">
        <v>20151217</v>
      </c>
      <c r="G1434" t="s">
        <v>564</v>
      </c>
      <c r="H1434" t="s">
        <v>793</v>
      </c>
      <c r="I1434">
        <v>0</v>
      </c>
      <c r="J1434" t="s">
        <v>289</v>
      </c>
      <c r="K1434" t="s">
        <v>290</v>
      </c>
      <c r="L1434" t="s">
        <v>285</v>
      </c>
      <c r="M1434" t="str">
        <f t="shared" si="81"/>
        <v>12</v>
      </c>
      <c r="N1434" t="s">
        <v>12</v>
      </c>
    </row>
    <row r="1435" spans="1:14" x14ac:dyDescent="0.25">
      <c r="A1435">
        <v>20151218</v>
      </c>
      <c r="B1435" t="str">
        <f>"061614"</f>
        <v>061614</v>
      </c>
      <c r="C1435" t="str">
        <f>"57970"</f>
        <v>57970</v>
      </c>
      <c r="D1435" t="s">
        <v>814</v>
      </c>
      <c r="E1435" s="3">
        <v>35</v>
      </c>
      <c r="F1435">
        <v>20151217</v>
      </c>
      <c r="G1435" t="s">
        <v>564</v>
      </c>
      <c r="H1435" t="s">
        <v>793</v>
      </c>
      <c r="I1435">
        <v>0</v>
      </c>
      <c r="J1435" t="s">
        <v>289</v>
      </c>
      <c r="K1435" t="s">
        <v>290</v>
      </c>
      <c r="L1435" t="s">
        <v>285</v>
      </c>
      <c r="M1435" t="str">
        <f t="shared" si="81"/>
        <v>12</v>
      </c>
      <c r="N1435" t="s">
        <v>12</v>
      </c>
    </row>
    <row r="1436" spans="1:14" x14ac:dyDescent="0.25">
      <c r="A1436">
        <v>20151218</v>
      </c>
      <c r="B1436" t="str">
        <f>"061615"</f>
        <v>061615</v>
      </c>
      <c r="C1436" t="str">
        <f>"58207"</f>
        <v>58207</v>
      </c>
      <c r="D1436" t="s">
        <v>296</v>
      </c>
      <c r="E1436" s="3">
        <v>60.7</v>
      </c>
      <c r="F1436">
        <v>20151216</v>
      </c>
      <c r="G1436" t="s">
        <v>507</v>
      </c>
      <c r="H1436" t="s">
        <v>815</v>
      </c>
      <c r="I1436">
        <v>0</v>
      </c>
      <c r="J1436" t="s">
        <v>289</v>
      </c>
      <c r="K1436" t="s">
        <v>290</v>
      </c>
      <c r="L1436" t="s">
        <v>285</v>
      </c>
      <c r="M1436" t="str">
        <f t="shared" si="81"/>
        <v>12</v>
      </c>
      <c r="N1436" t="s">
        <v>12</v>
      </c>
    </row>
    <row r="1437" spans="1:14" x14ac:dyDescent="0.25">
      <c r="A1437">
        <v>20151218</v>
      </c>
      <c r="B1437" t="str">
        <f>"061615"</f>
        <v>061615</v>
      </c>
      <c r="C1437" t="str">
        <f>"58207"</f>
        <v>58207</v>
      </c>
      <c r="D1437" t="s">
        <v>296</v>
      </c>
      <c r="E1437" s="3">
        <v>74.38</v>
      </c>
      <c r="F1437">
        <v>20151216</v>
      </c>
      <c r="G1437" t="s">
        <v>679</v>
      </c>
      <c r="H1437" t="s">
        <v>816</v>
      </c>
      <c r="I1437">
        <v>0</v>
      </c>
      <c r="J1437" t="s">
        <v>289</v>
      </c>
      <c r="K1437" t="s">
        <v>290</v>
      </c>
      <c r="L1437" t="s">
        <v>285</v>
      </c>
      <c r="M1437" t="str">
        <f t="shared" si="81"/>
        <v>12</v>
      </c>
      <c r="N1437" t="s">
        <v>12</v>
      </c>
    </row>
    <row r="1438" spans="1:14" x14ac:dyDescent="0.25">
      <c r="A1438">
        <v>20151218</v>
      </c>
      <c r="B1438" t="str">
        <f>"061620"</f>
        <v>061620</v>
      </c>
      <c r="C1438" t="str">
        <f>"60853"</f>
        <v>60853</v>
      </c>
      <c r="D1438" t="s">
        <v>676</v>
      </c>
      <c r="E1438" s="3">
        <v>20.85</v>
      </c>
      <c r="F1438">
        <v>20151216</v>
      </c>
      <c r="G1438" t="s">
        <v>602</v>
      </c>
      <c r="H1438" t="s">
        <v>817</v>
      </c>
      <c r="I1438">
        <v>0</v>
      </c>
      <c r="J1438" t="s">
        <v>289</v>
      </c>
      <c r="K1438" t="s">
        <v>290</v>
      </c>
      <c r="L1438" t="s">
        <v>285</v>
      </c>
      <c r="M1438" t="str">
        <f t="shared" si="81"/>
        <v>12</v>
      </c>
      <c r="N1438" t="s">
        <v>12</v>
      </c>
    </row>
    <row r="1439" spans="1:14" x14ac:dyDescent="0.25">
      <c r="A1439">
        <v>20151218</v>
      </c>
      <c r="B1439" t="str">
        <f>"061634"</f>
        <v>061634</v>
      </c>
      <c r="C1439" t="str">
        <f>"78311"</f>
        <v>78311</v>
      </c>
      <c r="D1439" t="s">
        <v>458</v>
      </c>
      <c r="E1439" s="3">
        <v>14.86</v>
      </c>
      <c r="F1439">
        <v>20151217</v>
      </c>
      <c r="G1439" t="s">
        <v>310</v>
      </c>
      <c r="H1439" t="s">
        <v>785</v>
      </c>
      <c r="I1439">
        <v>0</v>
      </c>
      <c r="J1439" t="s">
        <v>289</v>
      </c>
      <c r="K1439" t="s">
        <v>290</v>
      </c>
      <c r="L1439" t="s">
        <v>285</v>
      </c>
      <c r="M1439" t="str">
        <f t="shared" si="81"/>
        <v>12</v>
      </c>
      <c r="N1439" t="s">
        <v>12</v>
      </c>
    </row>
    <row r="1440" spans="1:14" x14ac:dyDescent="0.25">
      <c r="A1440">
        <v>20151218</v>
      </c>
      <c r="B1440" t="str">
        <f>"061637"</f>
        <v>061637</v>
      </c>
      <c r="C1440" t="str">
        <f>"80425"</f>
        <v>80425</v>
      </c>
      <c r="D1440" t="s">
        <v>818</v>
      </c>
      <c r="E1440" s="3">
        <v>1615</v>
      </c>
      <c r="F1440">
        <v>20151217</v>
      </c>
      <c r="G1440" t="s">
        <v>819</v>
      </c>
      <c r="H1440" t="s">
        <v>820</v>
      </c>
      <c r="I1440">
        <v>0</v>
      </c>
      <c r="J1440" t="s">
        <v>289</v>
      </c>
      <c r="K1440" t="s">
        <v>290</v>
      </c>
      <c r="L1440" t="s">
        <v>285</v>
      </c>
      <c r="M1440" t="str">
        <f t="shared" si="81"/>
        <v>12</v>
      </c>
      <c r="N1440" t="s">
        <v>12</v>
      </c>
    </row>
    <row r="1441" spans="1:14" x14ac:dyDescent="0.25">
      <c r="A1441">
        <v>20151218</v>
      </c>
      <c r="B1441" t="str">
        <f>"061639"</f>
        <v>061639</v>
      </c>
      <c r="C1441" t="str">
        <f>"80755"</f>
        <v>80755</v>
      </c>
      <c r="D1441" t="s">
        <v>723</v>
      </c>
      <c r="E1441" s="3">
        <v>72.25</v>
      </c>
      <c r="F1441">
        <v>20151217</v>
      </c>
      <c r="G1441" t="s">
        <v>821</v>
      </c>
      <c r="H1441" t="s">
        <v>822</v>
      </c>
      <c r="I1441">
        <v>0</v>
      </c>
      <c r="J1441" t="s">
        <v>289</v>
      </c>
      <c r="K1441" t="s">
        <v>95</v>
      </c>
      <c r="L1441" t="s">
        <v>285</v>
      </c>
      <c r="M1441" t="str">
        <f t="shared" si="81"/>
        <v>12</v>
      </c>
      <c r="N1441" t="s">
        <v>12</v>
      </c>
    </row>
    <row r="1442" spans="1:14" x14ac:dyDescent="0.25">
      <c r="A1442">
        <v>20151218</v>
      </c>
      <c r="B1442" t="str">
        <f>"061639"</f>
        <v>061639</v>
      </c>
      <c r="C1442" t="str">
        <f>"80755"</f>
        <v>80755</v>
      </c>
      <c r="D1442" t="s">
        <v>723</v>
      </c>
      <c r="E1442" s="3">
        <v>105.65</v>
      </c>
      <c r="F1442">
        <v>20151217</v>
      </c>
      <c r="G1442" t="s">
        <v>821</v>
      </c>
      <c r="H1442" t="s">
        <v>823</v>
      </c>
      <c r="I1442">
        <v>0</v>
      </c>
      <c r="J1442" t="s">
        <v>289</v>
      </c>
      <c r="K1442" t="s">
        <v>95</v>
      </c>
      <c r="L1442" t="s">
        <v>285</v>
      </c>
      <c r="M1442" t="str">
        <f t="shared" si="81"/>
        <v>12</v>
      </c>
      <c r="N1442" t="s">
        <v>12</v>
      </c>
    </row>
    <row r="1443" spans="1:14" x14ac:dyDescent="0.25">
      <c r="A1443">
        <v>20151218</v>
      </c>
      <c r="B1443" t="str">
        <f>"061639"</f>
        <v>061639</v>
      </c>
      <c r="C1443" t="str">
        <f>"80755"</f>
        <v>80755</v>
      </c>
      <c r="D1443" t="s">
        <v>723</v>
      </c>
      <c r="E1443" s="3">
        <v>739.55</v>
      </c>
      <c r="F1443">
        <v>20151217</v>
      </c>
      <c r="G1443" t="s">
        <v>824</v>
      </c>
      <c r="H1443" t="s">
        <v>823</v>
      </c>
      <c r="I1443">
        <v>0</v>
      </c>
      <c r="J1443" t="s">
        <v>289</v>
      </c>
      <c r="K1443" t="s">
        <v>95</v>
      </c>
      <c r="L1443" t="s">
        <v>285</v>
      </c>
      <c r="M1443" t="str">
        <f t="shared" si="81"/>
        <v>12</v>
      </c>
      <c r="N1443" t="s">
        <v>12</v>
      </c>
    </row>
    <row r="1444" spans="1:14" x14ac:dyDescent="0.25">
      <c r="A1444">
        <v>20151218</v>
      </c>
      <c r="B1444" t="str">
        <f>"061641"</f>
        <v>061641</v>
      </c>
      <c r="C1444" t="str">
        <f>"83026"</f>
        <v>83026</v>
      </c>
      <c r="D1444" t="s">
        <v>593</v>
      </c>
      <c r="E1444" s="3">
        <v>55</v>
      </c>
      <c r="F1444">
        <v>20151217</v>
      </c>
      <c r="G1444" t="s">
        <v>564</v>
      </c>
      <c r="H1444" t="s">
        <v>801</v>
      </c>
      <c r="I1444">
        <v>0</v>
      </c>
      <c r="J1444" t="s">
        <v>289</v>
      </c>
      <c r="K1444" t="s">
        <v>290</v>
      </c>
      <c r="L1444" t="s">
        <v>285</v>
      </c>
      <c r="M1444" t="str">
        <f t="shared" si="81"/>
        <v>12</v>
      </c>
      <c r="N1444" t="s">
        <v>12</v>
      </c>
    </row>
    <row r="1445" spans="1:14" x14ac:dyDescent="0.25">
      <c r="A1445">
        <v>20151218</v>
      </c>
      <c r="B1445" t="str">
        <f>"061643"</f>
        <v>061643</v>
      </c>
      <c r="C1445" t="str">
        <f>"83076"</f>
        <v>83076</v>
      </c>
      <c r="D1445" t="s">
        <v>825</v>
      </c>
      <c r="E1445" s="3">
        <v>35</v>
      </c>
      <c r="F1445">
        <v>20151217</v>
      </c>
      <c r="G1445" t="s">
        <v>564</v>
      </c>
      <c r="H1445" t="s">
        <v>793</v>
      </c>
      <c r="I1445">
        <v>0</v>
      </c>
      <c r="J1445" t="s">
        <v>289</v>
      </c>
      <c r="K1445" t="s">
        <v>290</v>
      </c>
      <c r="L1445" t="s">
        <v>285</v>
      </c>
      <c r="M1445" t="str">
        <f t="shared" si="81"/>
        <v>12</v>
      </c>
      <c r="N1445" t="s">
        <v>12</v>
      </c>
    </row>
    <row r="1446" spans="1:14" x14ac:dyDescent="0.25">
      <c r="A1446">
        <v>20151218</v>
      </c>
      <c r="B1446" t="str">
        <f>"061644"</f>
        <v>061644</v>
      </c>
      <c r="C1446" t="str">
        <f>"84367"</f>
        <v>84367</v>
      </c>
      <c r="D1446" t="s">
        <v>607</v>
      </c>
      <c r="E1446" s="3">
        <v>177.41</v>
      </c>
      <c r="F1446">
        <v>20151217</v>
      </c>
      <c r="G1446" t="s">
        <v>646</v>
      </c>
      <c r="H1446" t="s">
        <v>826</v>
      </c>
      <c r="I1446">
        <v>0</v>
      </c>
      <c r="J1446" t="s">
        <v>289</v>
      </c>
      <c r="K1446" t="s">
        <v>290</v>
      </c>
      <c r="L1446" t="s">
        <v>285</v>
      </c>
      <c r="M1446" t="str">
        <f t="shared" si="81"/>
        <v>12</v>
      </c>
      <c r="N1446" t="s">
        <v>12</v>
      </c>
    </row>
    <row r="1447" spans="1:14" x14ac:dyDescent="0.25">
      <c r="A1447">
        <v>20151218</v>
      </c>
      <c r="B1447" t="str">
        <f>"061644"</f>
        <v>061644</v>
      </c>
      <c r="C1447" t="str">
        <f>"84367"</f>
        <v>84367</v>
      </c>
      <c r="D1447" t="s">
        <v>607</v>
      </c>
      <c r="E1447" s="3">
        <v>97.48</v>
      </c>
      <c r="F1447">
        <v>20151217</v>
      </c>
      <c r="G1447" t="s">
        <v>727</v>
      </c>
      <c r="H1447" t="s">
        <v>827</v>
      </c>
      <c r="I1447">
        <v>0</v>
      </c>
      <c r="J1447" t="s">
        <v>289</v>
      </c>
      <c r="K1447" t="s">
        <v>95</v>
      </c>
      <c r="L1447" t="s">
        <v>285</v>
      </c>
      <c r="M1447" t="str">
        <f t="shared" si="81"/>
        <v>12</v>
      </c>
      <c r="N1447" t="s">
        <v>12</v>
      </c>
    </row>
    <row r="1448" spans="1:14" x14ac:dyDescent="0.25">
      <c r="A1448">
        <v>20151218</v>
      </c>
      <c r="B1448" t="str">
        <f t="shared" ref="B1448:B1456" si="82">"061645"</f>
        <v>061645</v>
      </c>
      <c r="C1448" t="str">
        <f t="shared" ref="C1448:C1456" si="83">"84370"</f>
        <v>84370</v>
      </c>
      <c r="D1448" t="s">
        <v>329</v>
      </c>
      <c r="E1448" s="3">
        <v>90.38</v>
      </c>
      <c r="F1448">
        <v>20151217</v>
      </c>
      <c r="G1448" t="s">
        <v>646</v>
      </c>
      <c r="H1448" t="s">
        <v>828</v>
      </c>
      <c r="I1448">
        <v>0</v>
      </c>
      <c r="J1448" t="s">
        <v>289</v>
      </c>
      <c r="K1448" t="s">
        <v>290</v>
      </c>
      <c r="L1448" t="s">
        <v>285</v>
      </c>
      <c r="M1448" t="str">
        <f t="shared" si="81"/>
        <v>12</v>
      </c>
      <c r="N1448" t="s">
        <v>12</v>
      </c>
    </row>
    <row r="1449" spans="1:14" x14ac:dyDescent="0.25">
      <c r="A1449">
        <v>20151218</v>
      </c>
      <c r="B1449" t="str">
        <f t="shared" si="82"/>
        <v>061645</v>
      </c>
      <c r="C1449" t="str">
        <f t="shared" si="83"/>
        <v>84370</v>
      </c>
      <c r="D1449" t="s">
        <v>329</v>
      </c>
      <c r="E1449" s="3">
        <v>146</v>
      </c>
      <c r="F1449">
        <v>20151217</v>
      </c>
      <c r="G1449" t="s">
        <v>829</v>
      </c>
      <c r="H1449" t="s">
        <v>830</v>
      </c>
      <c r="I1449">
        <v>0</v>
      </c>
      <c r="J1449" t="s">
        <v>289</v>
      </c>
      <c r="K1449" t="s">
        <v>95</v>
      </c>
      <c r="L1449" t="s">
        <v>285</v>
      </c>
      <c r="M1449" t="str">
        <f t="shared" si="81"/>
        <v>12</v>
      </c>
      <c r="N1449" t="s">
        <v>12</v>
      </c>
    </row>
    <row r="1450" spans="1:14" x14ac:dyDescent="0.25">
      <c r="A1450">
        <v>20151218</v>
      </c>
      <c r="B1450" t="str">
        <f t="shared" si="82"/>
        <v>061645</v>
      </c>
      <c r="C1450" t="str">
        <f t="shared" si="83"/>
        <v>84370</v>
      </c>
      <c r="D1450" t="s">
        <v>329</v>
      </c>
      <c r="E1450" s="3">
        <v>148.15</v>
      </c>
      <c r="F1450">
        <v>20151217</v>
      </c>
      <c r="G1450" t="s">
        <v>829</v>
      </c>
      <c r="H1450" t="s">
        <v>831</v>
      </c>
      <c r="I1450">
        <v>0</v>
      </c>
      <c r="J1450" t="s">
        <v>289</v>
      </c>
      <c r="K1450" t="s">
        <v>95</v>
      </c>
      <c r="L1450" t="s">
        <v>285</v>
      </c>
      <c r="M1450" t="str">
        <f t="shared" si="81"/>
        <v>12</v>
      </c>
      <c r="N1450" t="s">
        <v>12</v>
      </c>
    </row>
    <row r="1451" spans="1:14" x14ac:dyDescent="0.25">
      <c r="A1451">
        <v>20151218</v>
      </c>
      <c r="B1451" t="str">
        <f t="shared" si="82"/>
        <v>061645</v>
      </c>
      <c r="C1451" t="str">
        <f t="shared" si="83"/>
        <v>84370</v>
      </c>
      <c r="D1451" t="s">
        <v>329</v>
      </c>
      <c r="E1451" s="3">
        <v>197.62</v>
      </c>
      <c r="F1451">
        <v>20151217</v>
      </c>
      <c r="G1451" t="s">
        <v>727</v>
      </c>
      <c r="H1451" t="s">
        <v>832</v>
      </c>
      <c r="I1451">
        <v>0</v>
      </c>
      <c r="J1451" t="s">
        <v>289</v>
      </c>
      <c r="K1451" t="s">
        <v>95</v>
      </c>
      <c r="L1451" t="s">
        <v>285</v>
      </c>
      <c r="M1451" t="str">
        <f t="shared" si="81"/>
        <v>12</v>
      </c>
      <c r="N1451" t="s">
        <v>12</v>
      </c>
    </row>
    <row r="1452" spans="1:14" x14ac:dyDescent="0.25">
      <c r="A1452">
        <v>20151218</v>
      </c>
      <c r="B1452" t="str">
        <f t="shared" si="82"/>
        <v>061645</v>
      </c>
      <c r="C1452" t="str">
        <f t="shared" si="83"/>
        <v>84370</v>
      </c>
      <c r="D1452" t="s">
        <v>329</v>
      </c>
      <c r="E1452" s="3">
        <v>119.4</v>
      </c>
      <c r="F1452">
        <v>20151217</v>
      </c>
      <c r="G1452" t="s">
        <v>727</v>
      </c>
      <c r="H1452" t="s">
        <v>833</v>
      </c>
      <c r="I1452">
        <v>0</v>
      </c>
      <c r="J1452" t="s">
        <v>289</v>
      </c>
      <c r="K1452" t="s">
        <v>95</v>
      </c>
      <c r="L1452" t="s">
        <v>285</v>
      </c>
      <c r="M1452" t="str">
        <f t="shared" si="81"/>
        <v>12</v>
      </c>
      <c r="N1452" t="s">
        <v>12</v>
      </c>
    </row>
    <row r="1453" spans="1:14" x14ac:dyDescent="0.25">
      <c r="A1453">
        <v>20151218</v>
      </c>
      <c r="B1453" t="str">
        <f t="shared" si="82"/>
        <v>061645</v>
      </c>
      <c r="C1453" t="str">
        <f t="shared" si="83"/>
        <v>84370</v>
      </c>
      <c r="D1453" t="s">
        <v>329</v>
      </c>
      <c r="E1453" s="3">
        <v>148.54</v>
      </c>
      <c r="F1453">
        <v>20151217</v>
      </c>
      <c r="G1453" t="s">
        <v>727</v>
      </c>
      <c r="H1453" t="s">
        <v>834</v>
      </c>
      <c r="I1453">
        <v>0</v>
      </c>
      <c r="J1453" t="s">
        <v>289</v>
      </c>
      <c r="K1453" t="s">
        <v>95</v>
      </c>
      <c r="L1453" t="s">
        <v>285</v>
      </c>
      <c r="M1453" t="str">
        <f t="shared" si="81"/>
        <v>12</v>
      </c>
      <c r="N1453" t="s">
        <v>12</v>
      </c>
    </row>
    <row r="1454" spans="1:14" x14ac:dyDescent="0.25">
      <c r="A1454">
        <v>20151218</v>
      </c>
      <c r="B1454" t="str">
        <f t="shared" si="82"/>
        <v>061645</v>
      </c>
      <c r="C1454" t="str">
        <f t="shared" si="83"/>
        <v>84370</v>
      </c>
      <c r="D1454" t="s">
        <v>329</v>
      </c>
      <c r="E1454" s="3">
        <v>38.72</v>
      </c>
      <c r="F1454">
        <v>20151217</v>
      </c>
      <c r="G1454" t="s">
        <v>618</v>
      </c>
      <c r="H1454" t="s">
        <v>835</v>
      </c>
      <c r="I1454">
        <v>0</v>
      </c>
      <c r="J1454" t="s">
        <v>289</v>
      </c>
      <c r="K1454" t="s">
        <v>290</v>
      </c>
      <c r="L1454" t="s">
        <v>285</v>
      </c>
      <c r="M1454" t="str">
        <f t="shared" si="81"/>
        <v>12</v>
      </c>
      <c r="N1454" t="s">
        <v>12</v>
      </c>
    </row>
    <row r="1455" spans="1:14" x14ac:dyDescent="0.25">
      <c r="A1455">
        <v>20151218</v>
      </c>
      <c r="B1455" t="str">
        <f t="shared" si="82"/>
        <v>061645</v>
      </c>
      <c r="C1455" t="str">
        <f t="shared" si="83"/>
        <v>84370</v>
      </c>
      <c r="D1455" t="s">
        <v>329</v>
      </c>
      <c r="E1455" s="3">
        <v>64.84</v>
      </c>
      <c r="F1455">
        <v>20151217</v>
      </c>
      <c r="G1455" t="s">
        <v>467</v>
      </c>
      <c r="H1455" t="s">
        <v>836</v>
      </c>
      <c r="I1455">
        <v>0</v>
      </c>
      <c r="J1455" t="s">
        <v>289</v>
      </c>
      <c r="K1455" t="s">
        <v>290</v>
      </c>
      <c r="L1455" t="s">
        <v>285</v>
      </c>
      <c r="M1455" t="str">
        <f t="shared" si="81"/>
        <v>12</v>
      </c>
      <c r="N1455" t="s">
        <v>12</v>
      </c>
    </row>
    <row r="1456" spans="1:14" x14ac:dyDescent="0.25">
      <c r="A1456">
        <v>20151218</v>
      </c>
      <c r="B1456" t="str">
        <f t="shared" si="82"/>
        <v>061645</v>
      </c>
      <c r="C1456" t="str">
        <f t="shared" si="83"/>
        <v>84370</v>
      </c>
      <c r="D1456" t="s">
        <v>329</v>
      </c>
      <c r="E1456" s="3">
        <v>5.84</v>
      </c>
      <c r="F1456">
        <v>20151217</v>
      </c>
      <c r="G1456" t="s">
        <v>467</v>
      </c>
      <c r="H1456" t="s">
        <v>836</v>
      </c>
      <c r="I1456">
        <v>0</v>
      </c>
      <c r="J1456" t="s">
        <v>289</v>
      </c>
      <c r="K1456" t="s">
        <v>290</v>
      </c>
      <c r="L1456" t="s">
        <v>285</v>
      </c>
      <c r="M1456" t="str">
        <f t="shared" si="81"/>
        <v>12</v>
      </c>
      <c r="N1456" t="s">
        <v>12</v>
      </c>
    </row>
    <row r="1457" spans="1:14" x14ac:dyDescent="0.25">
      <c r="A1457">
        <v>20151218</v>
      </c>
      <c r="B1457" t="str">
        <f>"061648"</f>
        <v>061648</v>
      </c>
      <c r="C1457" t="str">
        <f>"87100"</f>
        <v>87100</v>
      </c>
      <c r="D1457" t="s">
        <v>837</v>
      </c>
      <c r="E1457" s="3">
        <v>96</v>
      </c>
      <c r="F1457">
        <v>20151217</v>
      </c>
      <c r="G1457" t="s">
        <v>746</v>
      </c>
      <c r="H1457" t="s">
        <v>787</v>
      </c>
      <c r="I1457">
        <v>0</v>
      </c>
      <c r="J1457" t="s">
        <v>289</v>
      </c>
      <c r="K1457" t="s">
        <v>290</v>
      </c>
      <c r="L1457" t="s">
        <v>285</v>
      </c>
      <c r="M1457" t="str">
        <f t="shared" si="81"/>
        <v>12</v>
      </c>
      <c r="N1457" t="s">
        <v>12</v>
      </c>
    </row>
    <row r="1458" spans="1:14" x14ac:dyDescent="0.25">
      <c r="A1458">
        <v>20160111</v>
      </c>
      <c r="B1458" t="str">
        <f>"061679"</f>
        <v>061679</v>
      </c>
      <c r="C1458" t="str">
        <f>"08788"</f>
        <v>08788</v>
      </c>
      <c r="D1458" t="s">
        <v>302</v>
      </c>
      <c r="E1458" s="3">
        <v>513.6</v>
      </c>
      <c r="F1458">
        <v>20160108</v>
      </c>
      <c r="G1458" t="s">
        <v>507</v>
      </c>
      <c r="H1458" t="s">
        <v>838</v>
      </c>
      <c r="I1458">
        <v>0</v>
      </c>
      <c r="J1458" t="s">
        <v>289</v>
      </c>
      <c r="K1458" t="s">
        <v>290</v>
      </c>
      <c r="L1458" t="s">
        <v>285</v>
      </c>
      <c r="M1458" t="str">
        <f t="shared" ref="M1458:M1489" si="84">"01"</f>
        <v>01</v>
      </c>
      <c r="N1458" t="s">
        <v>12</v>
      </c>
    </row>
    <row r="1459" spans="1:14" x14ac:dyDescent="0.25">
      <c r="A1459">
        <v>20160111</v>
      </c>
      <c r="B1459" t="str">
        <f>"061679"</f>
        <v>061679</v>
      </c>
      <c r="C1459" t="str">
        <f>"08788"</f>
        <v>08788</v>
      </c>
      <c r="D1459" t="s">
        <v>302</v>
      </c>
      <c r="E1459" s="3">
        <v>558.70000000000005</v>
      </c>
      <c r="F1459">
        <v>20160108</v>
      </c>
      <c r="G1459" t="s">
        <v>481</v>
      </c>
      <c r="H1459" t="s">
        <v>839</v>
      </c>
      <c r="I1459">
        <v>0</v>
      </c>
      <c r="J1459" t="s">
        <v>289</v>
      </c>
      <c r="K1459" t="s">
        <v>290</v>
      </c>
      <c r="L1459" t="s">
        <v>285</v>
      </c>
      <c r="M1459" t="str">
        <f t="shared" si="84"/>
        <v>01</v>
      </c>
      <c r="N1459" t="s">
        <v>12</v>
      </c>
    </row>
    <row r="1460" spans="1:14" x14ac:dyDescent="0.25">
      <c r="A1460">
        <v>20160111</v>
      </c>
      <c r="B1460" t="str">
        <f>"061682"</f>
        <v>061682</v>
      </c>
      <c r="C1460" t="str">
        <f>"22120"</f>
        <v>22120</v>
      </c>
      <c r="D1460" t="s">
        <v>484</v>
      </c>
      <c r="E1460" s="3">
        <v>115</v>
      </c>
      <c r="F1460">
        <v>20160108</v>
      </c>
      <c r="G1460" t="s">
        <v>485</v>
      </c>
      <c r="H1460" t="s">
        <v>840</v>
      </c>
      <c r="I1460">
        <v>0</v>
      </c>
      <c r="J1460" t="s">
        <v>289</v>
      </c>
      <c r="K1460" t="s">
        <v>290</v>
      </c>
      <c r="L1460" t="s">
        <v>285</v>
      </c>
      <c r="M1460" t="str">
        <f t="shared" si="84"/>
        <v>01</v>
      </c>
      <c r="N1460" t="s">
        <v>12</v>
      </c>
    </row>
    <row r="1461" spans="1:14" x14ac:dyDescent="0.25">
      <c r="A1461">
        <v>20160111</v>
      </c>
      <c r="B1461" t="str">
        <f>"061686"</f>
        <v>061686</v>
      </c>
      <c r="C1461" t="str">
        <f>"21082"</f>
        <v>21082</v>
      </c>
      <c r="D1461" t="s">
        <v>489</v>
      </c>
      <c r="E1461" s="3">
        <v>672</v>
      </c>
      <c r="F1461">
        <v>20160108</v>
      </c>
      <c r="G1461" t="s">
        <v>310</v>
      </c>
      <c r="H1461" t="s">
        <v>841</v>
      </c>
      <c r="I1461">
        <v>0</v>
      </c>
      <c r="J1461" t="s">
        <v>289</v>
      </c>
      <c r="K1461" t="s">
        <v>290</v>
      </c>
      <c r="L1461" t="s">
        <v>285</v>
      </c>
      <c r="M1461" t="str">
        <f t="shared" si="84"/>
        <v>01</v>
      </c>
      <c r="N1461" t="s">
        <v>12</v>
      </c>
    </row>
    <row r="1462" spans="1:14" x14ac:dyDescent="0.25">
      <c r="A1462">
        <v>20160111</v>
      </c>
      <c r="B1462" t="str">
        <f>"061692"</f>
        <v>061692</v>
      </c>
      <c r="C1462" t="str">
        <f>"27135"</f>
        <v>27135</v>
      </c>
      <c r="D1462" t="s">
        <v>842</v>
      </c>
      <c r="E1462" s="3">
        <v>993.85</v>
      </c>
      <c r="F1462">
        <v>20160108</v>
      </c>
      <c r="G1462" t="s">
        <v>843</v>
      </c>
      <c r="H1462" t="s">
        <v>844</v>
      </c>
      <c r="I1462">
        <v>0</v>
      </c>
      <c r="J1462" t="s">
        <v>289</v>
      </c>
      <c r="K1462" t="s">
        <v>290</v>
      </c>
      <c r="L1462" t="s">
        <v>285</v>
      </c>
      <c r="M1462" t="str">
        <f t="shared" si="84"/>
        <v>01</v>
      </c>
      <c r="N1462" t="s">
        <v>12</v>
      </c>
    </row>
    <row r="1463" spans="1:14" x14ac:dyDescent="0.25">
      <c r="A1463">
        <v>20160111</v>
      </c>
      <c r="B1463" t="str">
        <f>"061692"</f>
        <v>061692</v>
      </c>
      <c r="C1463" t="str">
        <f>"27135"</f>
        <v>27135</v>
      </c>
      <c r="D1463" t="s">
        <v>842</v>
      </c>
      <c r="E1463" s="3">
        <v>190.14</v>
      </c>
      <c r="F1463">
        <v>20160108</v>
      </c>
      <c r="G1463" t="s">
        <v>764</v>
      </c>
      <c r="H1463" t="s">
        <v>845</v>
      </c>
      <c r="I1463">
        <v>0</v>
      </c>
      <c r="J1463" t="s">
        <v>289</v>
      </c>
      <c r="K1463" t="s">
        <v>290</v>
      </c>
      <c r="L1463" t="s">
        <v>285</v>
      </c>
      <c r="M1463" t="str">
        <f t="shared" si="84"/>
        <v>01</v>
      </c>
      <c r="N1463" t="s">
        <v>12</v>
      </c>
    </row>
    <row r="1464" spans="1:14" x14ac:dyDescent="0.25">
      <c r="A1464">
        <v>20160111</v>
      </c>
      <c r="B1464" t="str">
        <f>"061695"</f>
        <v>061695</v>
      </c>
      <c r="C1464" t="str">
        <f>"28680"</f>
        <v>28680</v>
      </c>
      <c r="D1464" t="s">
        <v>422</v>
      </c>
      <c r="E1464" s="3">
        <v>148</v>
      </c>
      <c r="F1464">
        <v>20160108</v>
      </c>
      <c r="G1464" t="s">
        <v>310</v>
      </c>
      <c r="H1464" t="s">
        <v>846</v>
      </c>
      <c r="I1464">
        <v>0</v>
      </c>
      <c r="J1464" t="s">
        <v>289</v>
      </c>
      <c r="K1464" t="s">
        <v>290</v>
      </c>
      <c r="L1464" t="s">
        <v>285</v>
      </c>
      <c r="M1464" t="str">
        <f t="shared" si="84"/>
        <v>01</v>
      </c>
      <c r="N1464" t="s">
        <v>12</v>
      </c>
    </row>
    <row r="1465" spans="1:14" x14ac:dyDescent="0.25">
      <c r="A1465">
        <v>20160111</v>
      </c>
      <c r="B1465" t="str">
        <f>"061695"</f>
        <v>061695</v>
      </c>
      <c r="C1465" t="str">
        <f>"28680"</f>
        <v>28680</v>
      </c>
      <c r="D1465" t="s">
        <v>422</v>
      </c>
      <c r="E1465" s="3">
        <v>104</v>
      </c>
      <c r="F1465">
        <v>20160108</v>
      </c>
      <c r="G1465" t="s">
        <v>847</v>
      </c>
      <c r="H1465" t="s">
        <v>848</v>
      </c>
      <c r="I1465">
        <v>0</v>
      </c>
      <c r="J1465" t="s">
        <v>289</v>
      </c>
      <c r="K1465" t="s">
        <v>290</v>
      </c>
      <c r="L1465" t="s">
        <v>285</v>
      </c>
      <c r="M1465" t="str">
        <f t="shared" si="84"/>
        <v>01</v>
      </c>
      <c r="N1465" t="s">
        <v>12</v>
      </c>
    </row>
    <row r="1466" spans="1:14" x14ac:dyDescent="0.25">
      <c r="A1466">
        <v>20160111</v>
      </c>
      <c r="B1466" t="str">
        <f>"061699"</f>
        <v>061699</v>
      </c>
      <c r="C1466" t="str">
        <f>"29763"</f>
        <v>29763</v>
      </c>
      <c r="D1466" t="s">
        <v>761</v>
      </c>
      <c r="E1466" s="3">
        <v>395</v>
      </c>
      <c r="F1466">
        <v>20160108</v>
      </c>
      <c r="G1466" t="s">
        <v>764</v>
      </c>
      <c r="H1466" t="s">
        <v>849</v>
      </c>
      <c r="I1466">
        <v>0</v>
      </c>
      <c r="J1466" t="s">
        <v>289</v>
      </c>
      <c r="K1466" t="s">
        <v>290</v>
      </c>
      <c r="L1466" t="s">
        <v>285</v>
      </c>
      <c r="M1466" t="str">
        <f t="shared" si="84"/>
        <v>01</v>
      </c>
      <c r="N1466" t="s">
        <v>12</v>
      </c>
    </row>
    <row r="1467" spans="1:14" x14ac:dyDescent="0.25">
      <c r="A1467">
        <v>20160111</v>
      </c>
      <c r="B1467" t="str">
        <f>"061702"</f>
        <v>061702</v>
      </c>
      <c r="C1467" t="str">
        <f>"34902"</f>
        <v>34902</v>
      </c>
      <c r="D1467" t="s">
        <v>850</v>
      </c>
      <c r="E1467" s="3">
        <v>203.8</v>
      </c>
      <c r="F1467">
        <v>20160108</v>
      </c>
      <c r="G1467" t="s">
        <v>310</v>
      </c>
      <c r="H1467" t="s">
        <v>851</v>
      </c>
      <c r="I1467">
        <v>0</v>
      </c>
      <c r="J1467" t="s">
        <v>289</v>
      </c>
      <c r="K1467" t="s">
        <v>290</v>
      </c>
      <c r="L1467" t="s">
        <v>285</v>
      </c>
      <c r="M1467" t="str">
        <f t="shared" si="84"/>
        <v>01</v>
      </c>
      <c r="N1467" t="s">
        <v>12</v>
      </c>
    </row>
    <row r="1468" spans="1:14" x14ac:dyDescent="0.25">
      <c r="A1468">
        <v>20160111</v>
      </c>
      <c r="B1468" t="str">
        <f>"061708"</f>
        <v>061708</v>
      </c>
      <c r="C1468" t="str">
        <f>"43853"</f>
        <v>43853</v>
      </c>
      <c r="D1468" t="s">
        <v>535</v>
      </c>
      <c r="E1468" s="3">
        <v>417.01</v>
      </c>
      <c r="F1468">
        <v>20160108</v>
      </c>
      <c r="G1468" t="s">
        <v>852</v>
      </c>
      <c r="H1468" t="s">
        <v>853</v>
      </c>
      <c r="I1468">
        <v>0</v>
      </c>
      <c r="J1468" t="s">
        <v>289</v>
      </c>
      <c r="K1468" t="s">
        <v>290</v>
      </c>
      <c r="L1468" t="s">
        <v>285</v>
      </c>
      <c r="M1468" t="str">
        <f t="shared" si="84"/>
        <v>01</v>
      </c>
      <c r="N1468" t="s">
        <v>12</v>
      </c>
    </row>
    <row r="1469" spans="1:14" x14ac:dyDescent="0.25">
      <c r="A1469">
        <v>20160111</v>
      </c>
      <c r="B1469" t="str">
        <f>"061720"</f>
        <v>061720</v>
      </c>
      <c r="C1469" t="str">
        <f>"51420"</f>
        <v>51420</v>
      </c>
      <c r="D1469" t="s">
        <v>366</v>
      </c>
      <c r="E1469" s="3">
        <v>193.11</v>
      </c>
      <c r="F1469">
        <v>20160108</v>
      </c>
      <c r="G1469" t="s">
        <v>507</v>
      </c>
      <c r="H1469" t="s">
        <v>854</v>
      </c>
      <c r="I1469">
        <v>0</v>
      </c>
      <c r="J1469" t="s">
        <v>289</v>
      </c>
      <c r="K1469" t="s">
        <v>290</v>
      </c>
      <c r="L1469" t="s">
        <v>285</v>
      </c>
      <c r="M1469" t="str">
        <f t="shared" si="84"/>
        <v>01</v>
      </c>
      <c r="N1469" t="s">
        <v>12</v>
      </c>
    </row>
    <row r="1470" spans="1:14" x14ac:dyDescent="0.25">
      <c r="A1470">
        <v>20160111</v>
      </c>
      <c r="B1470" t="str">
        <f>"061727"</f>
        <v>061727</v>
      </c>
      <c r="C1470" t="str">
        <f>"65380"</f>
        <v>65380</v>
      </c>
      <c r="D1470" t="s">
        <v>855</v>
      </c>
      <c r="E1470" s="3">
        <v>580</v>
      </c>
      <c r="F1470">
        <v>20160108</v>
      </c>
      <c r="G1470" t="s">
        <v>856</v>
      </c>
      <c r="H1470" t="s">
        <v>857</v>
      </c>
      <c r="I1470">
        <v>0</v>
      </c>
      <c r="J1470" t="s">
        <v>289</v>
      </c>
      <c r="K1470" t="s">
        <v>290</v>
      </c>
      <c r="L1470" t="s">
        <v>285</v>
      </c>
      <c r="M1470" t="str">
        <f t="shared" si="84"/>
        <v>01</v>
      </c>
      <c r="N1470" t="s">
        <v>12</v>
      </c>
    </row>
    <row r="1471" spans="1:14" x14ac:dyDescent="0.25">
      <c r="A1471">
        <v>20160111</v>
      </c>
      <c r="B1471" t="str">
        <f>"061746"</f>
        <v>061746</v>
      </c>
      <c r="C1471" t="str">
        <f>"83022"</f>
        <v>83022</v>
      </c>
      <c r="D1471" t="s">
        <v>394</v>
      </c>
      <c r="E1471" s="3">
        <v>157.62</v>
      </c>
      <c r="F1471">
        <v>20160108</v>
      </c>
      <c r="G1471" t="s">
        <v>507</v>
      </c>
      <c r="H1471" t="s">
        <v>858</v>
      </c>
      <c r="I1471">
        <v>0</v>
      </c>
      <c r="J1471" t="s">
        <v>289</v>
      </c>
      <c r="K1471" t="s">
        <v>290</v>
      </c>
      <c r="L1471" t="s">
        <v>285</v>
      </c>
      <c r="M1471" t="str">
        <f t="shared" si="84"/>
        <v>01</v>
      </c>
      <c r="N1471" t="s">
        <v>12</v>
      </c>
    </row>
    <row r="1472" spans="1:14" x14ac:dyDescent="0.25">
      <c r="A1472">
        <v>20160113</v>
      </c>
      <c r="B1472" t="str">
        <f>"061749"</f>
        <v>061749</v>
      </c>
      <c r="C1472" t="str">
        <f>"46928"</f>
        <v>46928</v>
      </c>
      <c r="D1472" t="s">
        <v>859</v>
      </c>
      <c r="E1472" s="3">
        <v>62.5</v>
      </c>
      <c r="F1472">
        <v>20160113</v>
      </c>
      <c r="G1472" t="s">
        <v>744</v>
      </c>
      <c r="H1472" t="s">
        <v>860</v>
      </c>
      <c r="I1472">
        <v>0</v>
      </c>
      <c r="J1472" t="s">
        <v>289</v>
      </c>
      <c r="K1472" t="s">
        <v>290</v>
      </c>
      <c r="L1472" t="s">
        <v>285</v>
      </c>
      <c r="M1472" t="str">
        <f t="shared" si="84"/>
        <v>01</v>
      </c>
      <c r="N1472" t="s">
        <v>12</v>
      </c>
    </row>
    <row r="1473" spans="1:14" x14ac:dyDescent="0.25">
      <c r="A1473">
        <v>20160113</v>
      </c>
      <c r="B1473" t="str">
        <f>"061749"</f>
        <v>061749</v>
      </c>
      <c r="C1473" t="str">
        <f>"46928"</f>
        <v>46928</v>
      </c>
      <c r="D1473" t="s">
        <v>859</v>
      </c>
      <c r="E1473" s="3">
        <v>62.5</v>
      </c>
      <c r="F1473">
        <v>20160113</v>
      </c>
      <c r="G1473" t="s">
        <v>746</v>
      </c>
      <c r="H1473" t="s">
        <v>861</v>
      </c>
      <c r="I1473">
        <v>0</v>
      </c>
      <c r="J1473" t="s">
        <v>289</v>
      </c>
      <c r="K1473" t="s">
        <v>290</v>
      </c>
      <c r="L1473" t="s">
        <v>285</v>
      </c>
      <c r="M1473" t="str">
        <f t="shared" si="84"/>
        <v>01</v>
      </c>
      <c r="N1473" t="s">
        <v>12</v>
      </c>
    </row>
    <row r="1474" spans="1:14" x14ac:dyDescent="0.25">
      <c r="A1474">
        <v>20160113</v>
      </c>
      <c r="B1474" t="str">
        <f>"061750"</f>
        <v>061750</v>
      </c>
      <c r="C1474" t="str">
        <f>"03694"</f>
        <v>03694</v>
      </c>
      <c r="D1474" t="s">
        <v>550</v>
      </c>
      <c r="E1474" s="3">
        <v>570</v>
      </c>
      <c r="F1474">
        <v>20160113</v>
      </c>
      <c r="G1474" t="s">
        <v>856</v>
      </c>
      <c r="H1474" t="s">
        <v>862</v>
      </c>
      <c r="I1474">
        <v>0</v>
      </c>
      <c r="J1474" t="s">
        <v>289</v>
      </c>
      <c r="K1474" t="s">
        <v>290</v>
      </c>
      <c r="L1474" t="s">
        <v>285</v>
      </c>
      <c r="M1474" t="str">
        <f t="shared" si="84"/>
        <v>01</v>
      </c>
      <c r="N1474" t="s">
        <v>12</v>
      </c>
    </row>
    <row r="1475" spans="1:14" x14ac:dyDescent="0.25">
      <c r="A1475">
        <v>20160113</v>
      </c>
      <c r="B1475" t="str">
        <f>"061751"</f>
        <v>061751</v>
      </c>
      <c r="C1475" t="str">
        <f>"10403"</f>
        <v>10403</v>
      </c>
      <c r="D1475" t="s">
        <v>337</v>
      </c>
      <c r="E1475" s="3">
        <v>55</v>
      </c>
      <c r="F1475">
        <v>20160113</v>
      </c>
      <c r="G1475" t="s">
        <v>744</v>
      </c>
      <c r="H1475" t="s">
        <v>863</v>
      </c>
      <c r="I1475">
        <v>0</v>
      </c>
      <c r="J1475" t="s">
        <v>289</v>
      </c>
      <c r="K1475" t="s">
        <v>290</v>
      </c>
      <c r="L1475" t="s">
        <v>285</v>
      </c>
      <c r="M1475" t="str">
        <f t="shared" si="84"/>
        <v>01</v>
      </c>
      <c r="N1475" t="s">
        <v>12</v>
      </c>
    </row>
    <row r="1476" spans="1:14" x14ac:dyDescent="0.25">
      <c r="A1476">
        <v>20160113</v>
      </c>
      <c r="B1476" t="str">
        <f>"061752"</f>
        <v>061752</v>
      </c>
      <c r="C1476" t="str">
        <f>"19056"</f>
        <v>19056</v>
      </c>
      <c r="D1476" t="s">
        <v>864</v>
      </c>
      <c r="E1476" s="3">
        <v>67.5</v>
      </c>
      <c r="F1476">
        <v>20160113</v>
      </c>
      <c r="G1476" t="s">
        <v>744</v>
      </c>
      <c r="H1476" t="s">
        <v>860</v>
      </c>
      <c r="I1476">
        <v>0</v>
      </c>
      <c r="J1476" t="s">
        <v>289</v>
      </c>
      <c r="K1476" t="s">
        <v>290</v>
      </c>
      <c r="L1476" t="s">
        <v>285</v>
      </c>
      <c r="M1476" t="str">
        <f t="shared" si="84"/>
        <v>01</v>
      </c>
      <c r="N1476" t="s">
        <v>12</v>
      </c>
    </row>
    <row r="1477" spans="1:14" x14ac:dyDescent="0.25">
      <c r="A1477">
        <v>20160113</v>
      </c>
      <c r="B1477" t="str">
        <f>"061752"</f>
        <v>061752</v>
      </c>
      <c r="C1477" t="str">
        <f>"19056"</f>
        <v>19056</v>
      </c>
      <c r="D1477" t="s">
        <v>864</v>
      </c>
      <c r="E1477" s="3">
        <v>67.5</v>
      </c>
      <c r="F1477">
        <v>20160113</v>
      </c>
      <c r="G1477" t="s">
        <v>746</v>
      </c>
      <c r="H1477" t="s">
        <v>861</v>
      </c>
      <c r="I1477">
        <v>0</v>
      </c>
      <c r="J1477" t="s">
        <v>289</v>
      </c>
      <c r="K1477" t="s">
        <v>290</v>
      </c>
      <c r="L1477" t="s">
        <v>285</v>
      </c>
      <c r="M1477" t="str">
        <f t="shared" si="84"/>
        <v>01</v>
      </c>
      <c r="N1477" t="s">
        <v>12</v>
      </c>
    </row>
    <row r="1478" spans="1:14" x14ac:dyDescent="0.25">
      <c r="A1478">
        <v>20160113</v>
      </c>
      <c r="B1478" t="str">
        <f>"061753"</f>
        <v>061753</v>
      </c>
      <c r="C1478" t="str">
        <f>"19079"</f>
        <v>19079</v>
      </c>
      <c r="D1478" t="s">
        <v>341</v>
      </c>
      <c r="E1478" s="3">
        <v>48</v>
      </c>
      <c r="F1478">
        <v>20160113</v>
      </c>
      <c r="G1478" t="s">
        <v>744</v>
      </c>
      <c r="H1478" t="s">
        <v>860</v>
      </c>
      <c r="I1478">
        <v>0</v>
      </c>
      <c r="J1478" t="s">
        <v>289</v>
      </c>
      <c r="K1478" t="s">
        <v>290</v>
      </c>
      <c r="L1478" t="s">
        <v>285</v>
      </c>
      <c r="M1478" t="str">
        <f t="shared" si="84"/>
        <v>01</v>
      </c>
      <c r="N1478" t="s">
        <v>12</v>
      </c>
    </row>
    <row r="1479" spans="1:14" x14ac:dyDescent="0.25">
      <c r="A1479">
        <v>20160113</v>
      </c>
      <c r="B1479" t="str">
        <f>"061753"</f>
        <v>061753</v>
      </c>
      <c r="C1479" t="str">
        <f>"19079"</f>
        <v>19079</v>
      </c>
      <c r="D1479" t="s">
        <v>341</v>
      </c>
      <c r="E1479" s="3">
        <v>48</v>
      </c>
      <c r="F1479">
        <v>20160113</v>
      </c>
      <c r="G1479" t="s">
        <v>746</v>
      </c>
      <c r="H1479" t="s">
        <v>865</v>
      </c>
      <c r="I1479">
        <v>0</v>
      </c>
      <c r="J1479" t="s">
        <v>289</v>
      </c>
      <c r="K1479" t="s">
        <v>290</v>
      </c>
      <c r="L1479" t="s">
        <v>285</v>
      </c>
      <c r="M1479" t="str">
        <f t="shared" si="84"/>
        <v>01</v>
      </c>
      <c r="N1479" t="s">
        <v>12</v>
      </c>
    </row>
    <row r="1480" spans="1:14" x14ac:dyDescent="0.25">
      <c r="A1480">
        <v>20160113</v>
      </c>
      <c r="B1480" t="str">
        <f>"061758"</f>
        <v>061758</v>
      </c>
      <c r="C1480" t="str">
        <f>"25230"</f>
        <v>25230</v>
      </c>
      <c r="D1480" t="s">
        <v>866</v>
      </c>
      <c r="E1480" s="3">
        <v>62.5</v>
      </c>
      <c r="F1480">
        <v>20160113</v>
      </c>
      <c r="G1480" t="s">
        <v>744</v>
      </c>
      <c r="H1480" t="s">
        <v>867</v>
      </c>
      <c r="I1480">
        <v>0</v>
      </c>
      <c r="J1480" t="s">
        <v>289</v>
      </c>
      <c r="K1480" t="s">
        <v>290</v>
      </c>
      <c r="L1480" t="s">
        <v>285</v>
      </c>
      <c r="M1480" t="str">
        <f t="shared" si="84"/>
        <v>01</v>
      </c>
      <c r="N1480" t="s">
        <v>12</v>
      </c>
    </row>
    <row r="1481" spans="1:14" x14ac:dyDescent="0.25">
      <c r="A1481">
        <v>20160113</v>
      </c>
      <c r="B1481" t="str">
        <f>"061758"</f>
        <v>061758</v>
      </c>
      <c r="C1481" t="str">
        <f>"25230"</f>
        <v>25230</v>
      </c>
      <c r="D1481" t="s">
        <v>866</v>
      </c>
      <c r="E1481" s="3">
        <v>62.5</v>
      </c>
      <c r="F1481">
        <v>20160113</v>
      </c>
      <c r="G1481" t="s">
        <v>746</v>
      </c>
      <c r="H1481" t="s">
        <v>868</v>
      </c>
      <c r="I1481">
        <v>0</v>
      </c>
      <c r="J1481" t="s">
        <v>289</v>
      </c>
      <c r="K1481" t="s">
        <v>290</v>
      </c>
      <c r="L1481" t="s">
        <v>285</v>
      </c>
      <c r="M1481" t="str">
        <f t="shared" si="84"/>
        <v>01</v>
      </c>
      <c r="N1481" t="s">
        <v>12</v>
      </c>
    </row>
    <row r="1482" spans="1:14" x14ac:dyDescent="0.25">
      <c r="A1482">
        <v>20160113</v>
      </c>
      <c r="B1482" t="str">
        <f>"061763"</f>
        <v>061763</v>
      </c>
      <c r="C1482" t="str">
        <f>"31310"</f>
        <v>31310</v>
      </c>
      <c r="D1482" t="s">
        <v>425</v>
      </c>
      <c r="E1482" s="3">
        <v>62.5</v>
      </c>
      <c r="F1482">
        <v>20160113</v>
      </c>
      <c r="G1482" t="s">
        <v>744</v>
      </c>
      <c r="H1482" t="s">
        <v>860</v>
      </c>
      <c r="I1482">
        <v>0</v>
      </c>
      <c r="J1482" t="s">
        <v>289</v>
      </c>
      <c r="K1482" t="s">
        <v>290</v>
      </c>
      <c r="L1482" t="s">
        <v>285</v>
      </c>
      <c r="M1482" t="str">
        <f t="shared" si="84"/>
        <v>01</v>
      </c>
      <c r="N1482" t="s">
        <v>12</v>
      </c>
    </row>
    <row r="1483" spans="1:14" x14ac:dyDescent="0.25">
      <c r="A1483">
        <v>20160113</v>
      </c>
      <c r="B1483" t="str">
        <f>"061763"</f>
        <v>061763</v>
      </c>
      <c r="C1483" t="str">
        <f>"31310"</f>
        <v>31310</v>
      </c>
      <c r="D1483" t="s">
        <v>425</v>
      </c>
      <c r="E1483" s="3">
        <v>62.5</v>
      </c>
      <c r="F1483">
        <v>20160113</v>
      </c>
      <c r="G1483" t="s">
        <v>746</v>
      </c>
      <c r="H1483" t="s">
        <v>861</v>
      </c>
      <c r="I1483">
        <v>0</v>
      </c>
      <c r="J1483" t="s">
        <v>289</v>
      </c>
      <c r="K1483" t="s">
        <v>290</v>
      </c>
      <c r="L1483" t="s">
        <v>285</v>
      </c>
      <c r="M1483" t="str">
        <f t="shared" si="84"/>
        <v>01</v>
      </c>
      <c r="N1483" t="s">
        <v>12</v>
      </c>
    </row>
    <row r="1484" spans="1:14" x14ac:dyDescent="0.25">
      <c r="A1484">
        <v>20160113</v>
      </c>
      <c r="B1484" t="str">
        <f>"061764"</f>
        <v>061764</v>
      </c>
      <c r="C1484" t="str">
        <f>"33702"</f>
        <v>33702</v>
      </c>
      <c r="D1484" t="s">
        <v>769</v>
      </c>
      <c r="E1484" s="3">
        <v>67.5</v>
      </c>
      <c r="F1484">
        <v>20160113</v>
      </c>
      <c r="G1484" t="s">
        <v>744</v>
      </c>
      <c r="H1484" t="s">
        <v>745</v>
      </c>
      <c r="I1484">
        <v>0</v>
      </c>
      <c r="J1484" t="s">
        <v>289</v>
      </c>
      <c r="K1484" t="s">
        <v>290</v>
      </c>
      <c r="L1484" t="s">
        <v>285</v>
      </c>
      <c r="M1484" t="str">
        <f t="shared" si="84"/>
        <v>01</v>
      </c>
      <c r="N1484" t="s">
        <v>12</v>
      </c>
    </row>
    <row r="1485" spans="1:14" x14ac:dyDescent="0.25">
      <c r="A1485">
        <v>20160113</v>
      </c>
      <c r="B1485" t="str">
        <f>"061764"</f>
        <v>061764</v>
      </c>
      <c r="C1485" t="str">
        <f>"33702"</f>
        <v>33702</v>
      </c>
      <c r="D1485" t="s">
        <v>769</v>
      </c>
      <c r="E1485" s="3">
        <v>67.5</v>
      </c>
      <c r="F1485">
        <v>20160113</v>
      </c>
      <c r="G1485" t="s">
        <v>746</v>
      </c>
      <c r="H1485" t="s">
        <v>747</v>
      </c>
      <c r="I1485">
        <v>0</v>
      </c>
      <c r="J1485" t="s">
        <v>289</v>
      </c>
      <c r="K1485" t="s">
        <v>290</v>
      </c>
      <c r="L1485" t="s">
        <v>285</v>
      </c>
      <c r="M1485" t="str">
        <f t="shared" si="84"/>
        <v>01</v>
      </c>
      <c r="N1485" t="s">
        <v>12</v>
      </c>
    </row>
    <row r="1486" spans="1:14" x14ac:dyDescent="0.25">
      <c r="A1486">
        <v>20160113</v>
      </c>
      <c r="B1486" t="str">
        <f>"061765"</f>
        <v>061765</v>
      </c>
      <c r="C1486" t="str">
        <f>"34901"</f>
        <v>34901</v>
      </c>
      <c r="D1486" t="s">
        <v>431</v>
      </c>
      <c r="E1486" s="3">
        <v>62.5</v>
      </c>
      <c r="F1486">
        <v>20160113</v>
      </c>
      <c r="G1486" t="s">
        <v>744</v>
      </c>
      <c r="H1486" t="s">
        <v>867</v>
      </c>
      <c r="I1486">
        <v>0</v>
      </c>
      <c r="J1486" t="s">
        <v>289</v>
      </c>
      <c r="K1486" t="s">
        <v>290</v>
      </c>
      <c r="L1486" t="s">
        <v>285</v>
      </c>
      <c r="M1486" t="str">
        <f t="shared" si="84"/>
        <v>01</v>
      </c>
      <c r="N1486" t="s">
        <v>12</v>
      </c>
    </row>
    <row r="1487" spans="1:14" x14ac:dyDescent="0.25">
      <c r="A1487">
        <v>20160113</v>
      </c>
      <c r="B1487" t="str">
        <f>"061765"</f>
        <v>061765</v>
      </c>
      <c r="C1487" t="str">
        <f>"34901"</f>
        <v>34901</v>
      </c>
      <c r="D1487" t="s">
        <v>431</v>
      </c>
      <c r="E1487" s="3">
        <v>62.5</v>
      </c>
      <c r="F1487">
        <v>20160113</v>
      </c>
      <c r="G1487" t="s">
        <v>746</v>
      </c>
      <c r="H1487" t="s">
        <v>868</v>
      </c>
      <c r="I1487">
        <v>0</v>
      </c>
      <c r="J1487" t="s">
        <v>289</v>
      </c>
      <c r="K1487" t="s">
        <v>290</v>
      </c>
      <c r="L1487" t="s">
        <v>285</v>
      </c>
      <c r="M1487" t="str">
        <f t="shared" si="84"/>
        <v>01</v>
      </c>
      <c r="N1487" t="s">
        <v>12</v>
      </c>
    </row>
    <row r="1488" spans="1:14" x14ac:dyDescent="0.25">
      <c r="A1488">
        <v>20160113</v>
      </c>
      <c r="B1488" t="str">
        <f>"061766"</f>
        <v>061766</v>
      </c>
      <c r="C1488" t="str">
        <f>"37578"</f>
        <v>37578</v>
      </c>
      <c r="D1488" t="s">
        <v>869</v>
      </c>
      <c r="E1488" s="3">
        <v>55</v>
      </c>
      <c r="F1488">
        <v>20160113</v>
      </c>
      <c r="G1488" t="s">
        <v>744</v>
      </c>
      <c r="H1488" t="s">
        <v>865</v>
      </c>
      <c r="I1488">
        <v>0</v>
      </c>
      <c r="J1488" t="s">
        <v>289</v>
      </c>
      <c r="K1488" t="s">
        <v>290</v>
      </c>
      <c r="L1488" t="s">
        <v>285</v>
      </c>
      <c r="M1488" t="str">
        <f t="shared" si="84"/>
        <v>01</v>
      </c>
      <c r="N1488" t="s">
        <v>12</v>
      </c>
    </row>
    <row r="1489" spans="1:14" x14ac:dyDescent="0.25">
      <c r="A1489">
        <v>20160113</v>
      </c>
      <c r="B1489" t="str">
        <f>"061767"</f>
        <v>061767</v>
      </c>
      <c r="C1489" t="str">
        <f>"39112"</f>
        <v>39112</v>
      </c>
      <c r="D1489" t="s">
        <v>772</v>
      </c>
      <c r="E1489" s="3">
        <v>67.5</v>
      </c>
      <c r="F1489">
        <v>20160113</v>
      </c>
      <c r="G1489" t="s">
        <v>744</v>
      </c>
      <c r="H1489" t="s">
        <v>867</v>
      </c>
      <c r="I1489">
        <v>0</v>
      </c>
      <c r="J1489" t="s">
        <v>289</v>
      </c>
      <c r="K1489" t="s">
        <v>290</v>
      </c>
      <c r="L1489" t="s">
        <v>285</v>
      </c>
      <c r="M1489" t="str">
        <f t="shared" si="84"/>
        <v>01</v>
      </c>
      <c r="N1489" t="s">
        <v>12</v>
      </c>
    </row>
    <row r="1490" spans="1:14" x14ac:dyDescent="0.25">
      <c r="A1490">
        <v>20160113</v>
      </c>
      <c r="B1490" t="str">
        <f>"061767"</f>
        <v>061767</v>
      </c>
      <c r="C1490" t="str">
        <f>"39112"</f>
        <v>39112</v>
      </c>
      <c r="D1490" t="s">
        <v>772</v>
      </c>
      <c r="E1490" s="3">
        <v>67.5</v>
      </c>
      <c r="F1490">
        <v>20160113</v>
      </c>
      <c r="G1490" t="s">
        <v>746</v>
      </c>
      <c r="H1490" t="s">
        <v>868</v>
      </c>
      <c r="I1490">
        <v>0</v>
      </c>
      <c r="J1490" t="s">
        <v>289</v>
      </c>
      <c r="K1490" t="s">
        <v>290</v>
      </c>
      <c r="L1490" t="s">
        <v>285</v>
      </c>
      <c r="M1490" t="str">
        <f t="shared" ref="M1490:M1521" si="85">"01"</f>
        <v>01</v>
      </c>
      <c r="N1490" t="s">
        <v>12</v>
      </c>
    </row>
    <row r="1491" spans="1:14" x14ac:dyDescent="0.25">
      <c r="A1491">
        <v>20160113</v>
      </c>
      <c r="B1491" t="str">
        <f>"061768"</f>
        <v>061768</v>
      </c>
      <c r="C1491" t="str">
        <f>"39268"</f>
        <v>39268</v>
      </c>
      <c r="D1491" t="s">
        <v>870</v>
      </c>
      <c r="E1491" s="3">
        <v>62.5</v>
      </c>
      <c r="F1491">
        <v>20160113</v>
      </c>
      <c r="G1491" t="s">
        <v>744</v>
      </c>
      <c r="H1491" t="s">
        <v>867</v>
      </c>
      <c r="I1491">
        <v>0</v>
      </c>
      <c r="J1491" t="s">
        <v>289</v>
      </c>
      <c r="K1491" t="s">
        <v>290</v>
      </c>
      <c r="L1491" t="s">
        <v>285</v>
      </c>
      <c r="M1491" t="str">
        <f t="shared" si="85"/>
        <v>01</v>
      </c>
      <c r="N1491" t="s">
        <v>12</v>
      </c>
    </row>
    <row r="1492" spans="1:14" x14ac:dyDescent="0.25">
      <c r="A1492">
        <v>20160113</v>
      </c>
      <c r="B1492" t="str">
        <f>"061768"</f>
        <v>061768</v>
      </c>
      <c r="C1492" t="str">
        <f>"39268"</f>
        <v>39268</v>
      </c>
      <c r="D1492" t="s">
        <v>870</v>
      </c>
      <c r="E1492" s="3">
        <v>62.5</v>
      </c>
      <c r="F1492">
        <v>20160113</v>
      </c>
      <c r="G1492" t="s">
        <v>746</v>
      </c>
      <c r="H1492" t="s">
        <v>868</v>
      </c>
      <c r="I1492">
        <v>0</v>
      </c>
      <c r="J1492" t="s">
        <v>289</v>
      </c>
      <c r="K1492" t="s">
        <v>290</v>
      </c>
      <c r="L1492" t="s">
        <v>285</v>
      </c>
      <c r="M1492" t="str">
        <f t="shared" si="85"/>
        <v>01</v>
      </c>
      <c r="N1492" t="s">
        <v>12</v>
      </c>
    </row>
    <row r="1493" spans="1:14" x14ac:dyDescent="0.25">
      <c r="A1493">
        <v>20160113</v>
      </c>
      <c r="B1493" t="str">
        <f>"061769"</f>
        <v>061769</v>
      </c>
      <c r="C1493" t="str">
        <f>"47153"</f>
        <v>47153</v>
      </c>
      <c r="D1493" t="s">
        <v>667</v>
      </c>
      <c r="E1493" s="3">
        <v>55</v>
      </c>
      <c r="F1493">
        <v>20160113</v>
      </c>
      <c r="G1493" t="s">
        <v>744</v>
      </c>
      <c r="H1493" t="s">
        <v>867</v>
      </c>
      <c r="I1493">
        <v>0</v>
      </c>
      <c r="J1493" t="s">
        <v>289</v>
      </c>
      <c r="K1493" t="s">
        <v>290</v>
      </c>
      <c r="L1493" t="s">
        <v>285</v>
      </c>
      <c r="M1493" t="str">
        <f t="shared" si="85"/>
        <v>01</v>
      </c>
      <c r="N1493" t="s">
        <v>12</v>
      </c>
    </row>
    <row r="1494" spans="1:14" x14ac:dyDescent="0.25">
      <c r="A1494">
        <v>20160113</v>
      </c>
      <c r="B1494" t="str">
        <f>"061770"</f>
        <v>061770</v>
      </c>
      <c r="C1494" t="str">
        <f>"49950"</f>
        <v>49950</v>
      </c>
      <c r="D1494" t="s">
        <v>871</v>
      </c>
      <c r="E1494" s="3">
        <v>62.5</v>
      </c>
      <c r="F1494">
        <v>20160113</v>
      </c>
      <c r="G1494" t="s">
        <v>744</v>
      </c>
      <c r="H1494" t="s">
        <v>863</v>
      </c>
      <c r="I1494">
        <v>0</v>
      </c>
      <c r="J1494" t="s">
        <v>289</v>
      </c>
      <c r="K1494" t="s">
        <v>290</v>
      </c>
      <c r="L1494" t="s">
        <v>285</v>
      </c>
      <c r="M1494" t="str">
        <f t="shared" si="85"/>
        <v>01</v>
      </c>
      <c r="N1494" t="s">
        <v>12</v>
      </c>
    </row>
    <row r="1495" spans="1:14" x14ac:dyDescent="0.25">
      <c r="A1495">
        <v>20160113</v>
      </c>
      <c r="B1495" t="str">
        <f>"061770"</f>
        <v>061770</v>
      </c>
      <c r="C1495" t="str">
        <f>"49950"</f>
        <v>49950</v>
      </c>
      <c r="D1495" t="s">
        <v>871</v>
      </c>
      <c r="E1495" s="3">
        <v>62.5</v>
      </c>
      <c r="F1495">
        <v>20160113</v>
      </c>
      <c r="G1495" t="s">
        <v>746</v>
      </c>
      <c r="H1495" t="s">
        <v>865</v>
      </c>
      <c r="I1495">
        <v>0</v>
      </c>
      <c r="J1495" t="s">
        <v>289</v>
      </c>
      <c r="K1495" t="s">
        <v>290</v>
      </c>
      <c r="L1495" t="s">
        <v>285</v>
      </c>
      <c r="M1495" t="str">
        <f t="shared" si="85"/>
        <v>01</v>
      </c>
      <c r="N1495" t="s">
        <v>12</v>
      </c>
    </row>
    <row r="1496" spans="1:14" x14ac:dyDescent="0.25">
      <c r="A1496">
        <v>20160113</v>
      </c>
      <c r="B1496" t="str">
        <f>"061771"</f>
        <v>061771</v>
      </c>
      <c r="C1496" t="str">
        <f>"56569"</f>
        <v>56569</v>
      </c>
      <c r="D1496" t="s">
        <v>318</v>
      </c>
      <c r="E1496" s="3">
        <v>135</v>
      </c>
      <c r="F1496">
        <v>20160113</v>
      </c>
      <c r="G1496" t="s">
        <v>703</v>
      </c>
      <c r="H1496" t="s">
        <v>872</v>
      </c>
      <c r="I1496">
        <v>0</v>
      </c>
      <c r="J1496" t="s">
        <v>289</v>
      </c>
      <c r="K1496" t="s">
        <v>95</v>
      </c>
      <c r="L1496" t="s">
        <v>285</v>
      </c>
      <c r="M1496" t="str">
        <f t="shared" si="85"/>
        <v>01</v>
      </c>
      <c r="N1496" t="s">
        <v>12</v>
      </c>
    </row>
    <row r="1497" spans="1:14" x14ac:dyDescent="0.25">
      <c r="A1497">
        <v>20160113</v>
      </c>
      <c r="B1497" t="str">
        <f>"061772"</f>
        <v>061772</v>
      </c>
      <c r="C1497" t="str">
        <f>"57318"</f>
        <v>57318</v>
      </c>
      <c r="D1497" t="s">
        <v>389</v>
      </c>
      <c r="E1497" s="3">
        <v>67.5</v>
      </c>
      <c r="F1497">
        <v>20160113</v>
      </c>
      <c r="G1497" t="s">
        <v>744</v>
      </c>
      <c r="H1497" t="s">
        <v>867</v>
      </c>
      <c r="I1497">
        <v>0</v>
      </c>
      <c r="J1497" t="s">
        <v>289</v>
      </c>
      <c r="K1497" t="s">
        <v>290</v>
      </c>
      <c r="L1497" t="s">
        <v>285</v>
      </c>
      <c r="M1497" t="str">
        <f t="shared" si="85"/>
        <v>01</v>
      </c>
      <c r="N1497" t="s">
        <v>12</v>
      </c>
    </row>
    <row r="1498" spans="1:14" x14ac:dyDescent="0.25">
      <c r="A1498">
        <v>20160113</v>
      </c>
      <c r="B1498" t="str">
        <f>"061772"</f>
        <v>061772</v>
      </c>
      <c r="C1498" t="str">
        <f>"57318"</f>
        <v>57318</v>
      </c>
      <c r="D1498" t="s">
        <v>389</v>
      </c>
      <c r="E1498" s="3">
        <v>67.5</v>
      </c>
      <c r="F1498">
        <v>20160113</v>
      </c>
      <c r="G1498" t="s">
        <v>746</v>
      </c>
      <c r="H1498" t="s">
        <v>868</v>
      </c>
      <c r="I1498">
        <v>0</v>
      </c>
      <c r="J1498" t="s">
        <v>289</v>
      </c>
      <c r="K1498" t="s">
        <v>290</v>
      </c>
      <c r="L1498" t="s">
        <v>285</v>
      </c>
      <c r="M1498" t="str">
        <f t="shared" si="85"/>
        <v>01</v>
      </c>
      <c r="N1498" t="s">
        <v>12</v>
      </c>
    </row>
    <row r="1499" spans="1:14" x14ac:dyDescent="0.25">
      <c r="A1499">
        <v>20160113</v>
      </c>
      <c r="B1499" t="str">
        <f>"061773"</f>
        <v>061773</v>
      </c>
      <c r="C1499" t="str">
        <f>"57299"</f>
        <v>57299</v>
      </c>
      <c r="D1499" t="s">
        <v>873</v>
      </c>
      <c r="E1499" s="3">
        <v>67.5</v>
      </c>
      <c r="F1499">
        <v>20160113</v>
      </c>
      <c r="G1499" t="s">
        <v>744</v>
      </c>
      <c r="H1499" t="s">
        <v>860</v>
      </c>
      <c r="I1499">
        <v>0</v>
      </c>
      <c r="J1499" t="s">
        <v>289</v>
      </c>
      <c r="K1499" t="s">
        <v>290</v>
      </c>
      <c r="L1499" t="s">
        <v>285</v>
      </c>
      <c r="M1499" t="str">
        <f t="shared" si="85"/>
        <v>01</v>
      </c>
      <c r="N1499" t="s">
        <v>12</v>
      </c>
    </row>
    <row r="1500" spans="1:14" x14ac:dyDescent="0.25">
      <c r="A1500">
        <v>20160113</v>
      </c>
      <c r="B1500" t="str">
        <f>"061773"</f>
        <v>061773</v>
      </c>
      <c r="C1500" t="str">
        <f>"57299"</f>
        <v>57299</v>
      </c>
      <c r="D1500" t="s">
        <v>873</v>
      </c>
      <c r="E1500" s="3">
        <v>67.5</v>
      </c>
      <c r="F1500">
        <v>20160113</v>
      </c>
      <c r="G1500" t="s">
        <v>746</v>
      </c>
      <c r="H1500" t="s">
        <v>861</v>
      </c>
      <c r="I1500">
        <v>0</v>
      </c>
      <c r="J1500" t="s">
        <v>289</v>
      </c>
      <c r="K1500" t="s">
        <v>290</v>
      </c>
      <c r="L1500" t="s">
        <v>285</v>
      </c>
      <c r="M1500" t="str">
        <f t="shared" si="85"/>
        <v>01</v>
      </c>
      <c r="N1500" t="s">
        <v>12</v>
      </c>
    </row>
    <row r="1501" spans="1:14" x14ac:dyDescent="0.25">
      <c r="A1501">
        <v>20160113</v>
      </c>
      <c r="B1501" t="str">
        <f>"061774"</f>
        <v>061774</v>
      </c>
      <c r="C1501" t="str">
        <f>"61219"</f>
        <v>61219</v>
      </c>
      <c r="D1501" t="s">
        <v>874</v>
      </c>
      <c r="E1501" s="3">
        <v>135</v>
      </c>
      <c r="F1501">
        <v>20160113</v>
      </c>
      <c r="G1501" t="s">
        <v>703</v>
      </c>
      <c r="H1501" t="s">
        <v>872</v>
      </c>
      <c r="I1501">
        <v>0</v>
      </c>
      <c r="J1501" t="s">
        <v>289</v>
      </c>
      <c r="K1501" t="s">
        <v>95</v>
      </c>
      <c r="L1501" t="s">
        <v>285</v>
      </c>
      <c r="M1501" t="str">
        <f t="shared" si="85"/>
        <v>01</v>
      </c>
      <c r="N1501" t="s">
        <v>12</v>
      </c>
    </row>
    <row r="1502" spans="1:14" x14ac:dyDescent="0.25">
      <c r="A1502">
        <v>20160113</v>
      </c>
      <c r="B1502" t="str">
        <f>"061775"</f>
        <v>061775</v>
      </c>
      <c r="C1502" t="str">
        <f>"62271"</f>
        <v>62271</v>
      </c>
      <c r="D1502" t="s">
        <v>446</v>
      </c>
      <c r="E1502" s="3">
        <v>69</v>
      </c>
      <c r="F1502">
        <v>20160113</v>
      </c>
      <c r="G1502" t="s">
        <v>744</v>
      </c>
      <c r="H1502" t="s">
        <v>863</v>
      </c>
      <c r="I1502">
        <v>0</v>
      </c>
      <c r="J1502" t="s">
        <v>289</v>
      </c>
      <c r="K1502" t="s">
        <v>290</v>
      </c>
      <c r="L1502" t="s">
        <v>285</v>
      </c>
      <c r="M1502" t="str">
        <f t="shared" si="85"/>
        <v>01</v>
      </c>
      <c r="N1502" t="s">
        <v>12</v>
      </c>
    </row>
    <row r="1503" spans="1:14" x14ac:dyDescent="0.25">
      <c r="A1503">
        <v>20160113</v>
      </c>
      <c r="B1503" t="str">
        <f>"061775"</f>
        <v>061775</v>
      </c>
      <c r="C1503" t="str">
        <f>"62271"</f>
        <v>62271</v>
      </c>
      <c r="D1503" t="s">
        <v>446</v>
      </c>
      <c r="E1503" s="3">
        <v>69</v>
      </c>
      <c r="F1503">
        <v>20160113</v>
      </c>
      <c r="G1503" t="s">
        <v>746</v>
      </c>
      <c r="H1503" t="s">
        <v>865</v>
      </c>
      <c r="I1503">
        <v>0</v>
      </c>
      <c r="J1503" t="s">
        <v>289</v>
      </c>
      <c r="K1503" t="s">
        <v>290</v>
      </c>
      <c r="L1503" t="s">
        <v>285</v>
      </c>
      <c r="M1503" t="str">
        <f t="shared" si="85"/>
        <v>01</v>
      </c>
      <c r="N1503" t="s">
        <v>12</v>
      </c>
    </row>
    <row r="1504" spans="1:14" x14ac:dyDescent="0.25">
      <c r="A1504">
        <v>20160113</v>
      </c>
      <c r="B1504" t="str">
        <f>"061776"</f>
        <v>061776</v>
      </c>
      <c r="C1504" t="str">
        <f>"64024"</f>
        <v>64024</v>
      </c>
      <c r="D1504" t="s">
        <v>875</v>
      </c>
      <c r="E1504" s="3">
        <v>15</v>
      </c>
      <c r="F1504">
        <v>20160113</v>
      </c>
      <c r="G1504" t="s">
        <v>744</v>
      </c>
      <c r="H1504" t="s">
        <v>867</v>
      </c>
      <c r="I1504">
        <v>0</v>
      </c>
      <c r="J1504" t="s">
        <v>289</v>
      </c>
      <c r="K1504" t="s">
        <v>290</v>
      </c>
      <c r="L1504" t="s">
        <v>285</v>
      </c>
      <c r="M1504" t="str">
        <f t="shared" si="85"/>
        <v>01</v>
      </c>
      <c r="N1504" t="s">
        <v>12</v>
      </c>
    </row>
    <row r="1505" spans="1:14" x14ac:dyDescent="0.25">
      <c r="A1505">
        <v>20160113</v>
      </c>
      <c r="B1505" t="str">
        <f>"061776"</f>
        <v>061776</v>
      </c>
      <c r="C1505" t="str">
        <f>"64024"</f>
        <v>64024</v>
      </c>
      <c r="D1505" t="s">
        <v>875</v>
      </c>
      <c r="E1505" s="3">
        <v>15</v>
      </c>
      <c r="F1505">
        <v>20160113</v>
      </c>
      <c r="G1505" t="s">
        <v>746</v>
      </c>
      <c r="H1505" t="s">
        <v>868</v>
      </c>
      <c r="I1505">
        <v>0</v>
      </c>
      <c r="J1505" t="s">
        <v>289</v>
      </c>
      <c r="K1505" t="s">
        <v>290</v>
      </c>
      <c r="L1505" t="s">
        <v>285</v>
      </c>
      <c r="M1505" t="str">
        <f t="shared" si="85"/>
        <v>01</v>
      </c>
      <c r="N1505" t="s">
        <v>12</v>
      </c>
    </row>
    <row r="1506" spans="1:14" x14ac:dyDescent="0.25">
      <c r="A1506">
        <v>20160113</v>
      </c>
      <c r="B1506" t="str">
        <f>"061777"</f>
        <v>061777</v>
      </c>
      <c r="C1506" t="str">
        <f>"65220"</f>
        <v>65220</v>
      </c>
      <c r="D1506" t="s">
        <v>876</v>
      </c>
      <c r="E1506" s="3">
        <v>67.5</v>
      </c>
      <c r="F1506">
        <v>20160113</v>
      </c>
      <c r="G1506" t="s">
        <v>744</v>
      </c>
      <c r="H1506" t="s">
        <v>863</v>
      </c>
      <c r="I1506">
        <v>0</v>
      </c>
      <c r="J1506" t="s">
        <v>289</v>
      </c>
      <c r="K1506" t="s">
        <v>290</v>
      </c>
      <c r="L1506" t="s">
        <v>285</v>
      </c>
      <c r="M1506" t="str">
        <f t="shared" si="85"/>
        <v>01</v>
      </c>
      <c r="N1506" t="s">
        <v>12</v>
      </c>
    </row>
    <row r="1507" spans="1:14" x14ac:dyDescent="0.25">
      <c r="A1507">
        <v>20160113</v>
      </c>
      <c r="B1507" t="str">
        <f>"061777"</f>
        <v>061777</v>
      </c>
      <c r="C1507" t="str">
        <f>"65220"</f>
        <v>65220</v>
      </c>
      <c r="D1507" t="s">
        <v>876</v>
      </c>
      <c r="E1507" s="3">
        <v>67.5</v>
      </c>
      <c r="F1507">
        <v>20160113</v>
      </c>
      <c r="G1507" t="s">
        <v>746</v>
      </c>
      <c r="H1507" t="s">
        <v>865</v>
      </c>
      <c r="I1507">
        <v>0</v>
      </c>
      <c r="J1507" t="s">
        <v>289</v>
      </c>
      <c r="K1507" t="s">
        <v>290</v>
      </c>
      <c r="L1507" t="s">
        <v>285</v>
      </c>
      <c r="M1507" t="str">
        <f t="shared" si="85"/>
        <v>01</v>
      </c>
      <c r="N1507" t="s">
        <v>12</v>
      </c>
    </row>
    <row r="1508" spans="1:14" x14ac:dyDescent="0.25">
      <c r="A1508">
        <v>20160113</v>
      </c>
      <c r="B1508" t="str">
        <f>"061778"</f>
        <v>061778</v>
      </c>
      <c r="C1508" t="str">
        <f>"73646"</f>
        <v>73646</v>
      </c>
      <c r="D1508" t="s">
        <v>452</v>
      </c>
      <c r="E1508" s="3">
        <v>82.5</v>
      </c>
      <c r="F1508">
        <v>20160113</v>
      </c>
      <c r="G1508" t="s">
        <v>744</v>
      </c>
      <c r="H1508" t="s">
        <v>860</v>
      </c>
      <c r="I1508">
        <v>0</v>
      </c>
      <c r="J1508" t="s">
        <v>289</v>
      </c>
      <c r="K1508" t="s">
        <v>290</v>
      </c>
      <c r="L1508" t="s">
        <v>285</v>
      </c>
      <c r="M1508" t="str">
        <f t="shared" si="85"/>
        <v>01</v>
      </c>
      <c r="N1508" t="s">
        <v>12</v>
      </c>
    </row>
    <row r="1509" spans="1:14" x14ac:dyDescent="0.25">
      <c r="A1509">
        <v>20160113</v>
      </c>
      <c r="B1509" t="str">
        <f>"061778"</f>
        <v>061778</v>
      </c>
      <c r="C1509" t="str">
        <f>"73646"</f>
        <v>73646</v>
      </c>
      <c r="D1509" t="s">
        <v>452</v>
      </c>
      <c r="E1509" s="3">
        <v>82.5</v>
      </c>
      <c r="F1509">
        <v>20160113</v>
      </c>
      <c r="G1509" t="s">
        <v>746</v>
      </c>
      <c r="H1509" t="s">
        <v>861</v>
      </c>
      <c r="I1509">
        <v>0</v>
      </c>
      <c r="J1509" t="s">
        <v>289</v>
      </c>
      <c r="K1509" t="s">
        <v>290</v>
      </c>
      <c r="L1509" t="s">
        <v>285</v>
      </c>
      <c r="M1509" t="str">
        <f t="shared" si="85"/>
        <v>01</v>
      </c>
      <c r="N1509" t="s">
        <v>12</v>
      </c>
    </row>
    <row r="1510" spans="1:14" x14ac:dyDescent="0.25">
      <c r="A1510">
        <v>20160113</v>
      </c>
      <c r="B1510" t="str">
        <f>"061779"</f>
        <v>061779</v>
      </c>
      <c r="C1510" t="str">
        <f>"80560"</f>
        <v>80560</v>
      </c>
      <c r="D1510" t="s">
        <v>783</v>
      </c>
      <c r="E1510" s="3">
        <v>55</v>
      </c>
      <c r="F1510">
        <v>20160113</v>
      </c>
      <c r="G1510" t="s">
        <v>744</v>
      </c>
      <c r="H1510" t="s">
        <v>860</v>
      </c>
      <c r="I1510">
        <v>0</v>
      </c>
      <c r="J1510" t="s">
        <v>289</v>
      </c>
      <c r="K1510" t="s">
        <v>290</v>
      </c>
      <c r="L1510" t="s">
        <v>285</v>
      </c>
      <c r="M1510" t="str">
        <f t="shared" si="85"/>
        <v>01</v>
      </c>
      <c r="N1510" t="s">
        <v>12</v>
      </c>
    </row>
    <row r="1511" spans="1:14" x14ac:dyDescent="0.25">
      <c r="A1511">
        <v>20160113</v>
      </c>
      <c r="B1511" t="str">
        <f>"061780"</f>
        <v>061780</v>
      </c>
      <c r="C1511" t="str">
        <f>"80527"</f>
        <v>80527</v>
      </c>
      <c r="D1511" t="s">
        <v>877</v>
      </c>
      <c r="E1511" s="3">
        <v>62.5</v>
      </c>
      <c r="F1511">
        <v>20160113</v>
      </c>
      <c r="G1511" t="s">
        <v>744</v>
      </c>
      <c r="H1511" t="s">
        <v>863</v>
      </c>
      <c r="I1511">
        <v>0</v>
      </c>
      <c r="J1511" t="s">
        <v>289</v>
      </c>
      <c r="K1511" t="s">
        <v>290</v>
      </c>
      <c r="L1511" t="s">
        <v>285</v>
      </c>
      <c r="M1511" t="str">
        <f t="shared" si="85"/>
        <v>01</v>
      </c>
      <c r="N1511" t="s">
        <v>12</v>
      </c>
    </row>
    <row r="1512" spans="1:14" x14ac:dyDescent="0.25">
      <c r="A1512">
        <v>20160113</v>
      </c>
      <c r="B1512" t="str">
        <f>"061780"</f>
        <v>061780</v>
      </c>
      <c r="C1512" t="str">
        <f>"80527"</f>
        <v>80527</v>
      </c>
      <c r="D1512" t="s">
        <v>877</v>
      </c>
      <c r="E1512" s="3">
        <v>62.5</v>
      </c>
      <c r="F1512">
        <v>20160113</v>
      </c>
      <c r="G1512" t="s">
        <v>746</v>
      </c>
      <c r="H1512" t="s">
        <v>865</v>
      </c>
      <c r="I1512">
        <v>0</v>
      </c>
      <c r="J1512" t="s">
        <v>289</v>
      </c>
      <c r="K1512" t="s">
        <v>290</v>
      </c>
      <c r="L1512" t="s">
        <v>285</v>
      </c>
      <c r="M1512" t="str">
        <f t="shared" si="85"/>
        <v>01</v>
      </c>
      <c r="N1512" t="s">
        <v>12</v>
      </c>
    </row>
    <row r="1513" spans="1:14" x14ac:dyDescent="0.25">
      <c r="A1513">
        <v>20160113</v>
      </c>
      <c r="B1513" t="str">
        <f>"061781"</f>
        <v>061781</v>
      </c>
      <c r="C1513" t="str">
        <f>"84068"</f>
        <v>84068</v>
      </c>
      <c r="D1513" t="s">
        <v>878</v>
      </c>
      <c r="E1513" s="3">
        <v>570</v>
      </c>
      <c r="F1513">
        <v>20160113</v>
      </c>
      <c r="G1513" t="s">
        <v>856</v>
      </c>
      <c r="H1513" t="s">
        <v>879</v>
      </c>
      <c r="I1513">
        <v>0</v>
      </c>
      <c r="J1513" t="s">
        <v>289</v>
      </c>
      <c r="K1513" t="s">
        <v>290</v>
      </c>
      <c r="L1513" t="s">
        <v>285</v>
      </c>
      <c r="M1513" t="str">
        <f t="shared" si="85"/>
        <v>01</v>
      </c>
      <c r="N1513" t="s">
        <v>12</v>
      </c>
    </row>
    <row r="1514" spans="1:14" x14ac:dyDescent="0.25">
      <c r="A1514">
        <v>20160113</v>
      </c>
      <c r="B1514" t="str">
        <f>"061782"</f>
        <v>061782</v>
      </c>
      <c r="C1514" t="str">
        <f>"84559"</f>
        <v>84559</v>
      </c>
      <c r="D1514" t="s">
        <v>524</v>
      </c>
      <c r="E1514" s="3">
        <v>62.5</v>
      </c>
      <c r="F1514">
        <v>20160113</v>
      </c>
      <c r="G1514" t="s">
        <v>744</v>
      </c>
      <c r="H1514" t="s">
        <v>863</v>
      </c>
      <c r="I1514">
        <v>0</v>
      </c>
      <c r="J1514" t="s">
        <v>289</v>
      </c>
      <c r="K1514" t="s">
        <v>290</v>
      </c>
      <c r="L1514" t="s">
        <v>285</v>
      </c>
      <c r="M1514" t="str">
        <f t="shared" si="85"/>
        <v>01</v>
      </c>
      <c r="N1514" t="s">
        <v>12</v>
      </c>
    </row>
    <row r="1515" spans="1:14" x14ac:dyDescent="0.25">
      <c r="A1515">
        <v>20160113</v>
      </c>
      <c r="B1515" t="str">
        <f>"061782"</f>
        <v>061782</v>
      </c>
      <c r="C1515" t="str">
        <f>"84559"</f>
        <v>84559</v>
      </c>
      <c r="D1515" t="s">
        <v>524</v>
      </c>
      <c r="E1515" s="3">
        <v>62.5</v>
      </c>
      <c r="F1515">
        <v>20160113</v>
      </c>
      <c r="G1515" t="s">
        <v>746</v>
      </c>
      <c r="H1515" t="s">
        <v>865</v>
      </c>
      <c r="I1515">
        <v>0</v>
      </c>
      <c r="J1515" t="s">
        <v>289</v>
      </c>
      <c r="K1515" t="s">
        <v>290</v>
      </c>
      <c r="L1515" t="s">
        <v>285</v>
      </c>
      <c r="M1515" t="str">
        <f t="shared" si="85"/>
        <v>01</v>
      </c>
      <c r="N1515" t="s">
        <v>12</v>
      </c>
    </row>
    <row r="1516" spans="1:14" x14ac:dyDescent="0.25">
      <c r="A1516">
        <v>20160122</v>
      </c>
      <c r="B1516" t="str">
        <f>"061788"</f>
        <v>061788</v>
      </c>
      <c r="C1516" t="str">
        <f>"05530"</f>
        <v>05530</v>
      </c>
      <c r="D1516" t="s">
        <v>631</v>
      </c>
      <c r="E1516" s="3">
        <v>1325</v>
      </c>
      <c r="F1516">
        <v>20160121</v>
      </c>
      <c r="G1516" t="s">
        <v>632</v>
      </c>
      <c r="H1516" t="s">
        <v>880</v>
      </c>
      <c r="I1516">
        <v>0</v>
      </c>
      <c r="J1516" t="s">
        <v>289</v>
      </c>
      <c r="K1516" t="s">
        <v>290</v>
      </c>
      <c r="L1516" t="s">
        <v>285</v>
      </c>
      <c r="M1516" t="str">
        <f t="shared" si="85"/>
        <v>01</v>
      </c>
      <c r="N1516" t="s">
        <v>12</v>
      </c>
    </row>
    <row r="1517" spans="1:14" x14ac:dyDescent="0.25">
      <c r="A1517">
        <v>20160122</v>
      </c>
      <c r="B1517" t="str">
        <f>"061809"</f>
        <v>061809</v>
      </c>
      <c r="C1517" t="str">
        <f>"51346"</f>
        <v>51346</v>
      </c>
      <c r="D1517" t="s">
        <v>379</v>
      </c>
      <c r="E1517" s="3">
        <v>140</v>
      </c>
      <c r="F1517">
        <v>20160121</v>
      </c>
      <c r="G1517" t="s">
        <v>881</v>
      </c>
      <c r="H1517" t="s">
        <v>882</v>
      </c>
      <c r="I1517">
        <v>0</v>
      </c>
      <c r="J1517" t="s">
        <v>289</v>
      </c>
      <c r="K1517" t="s">
        <v>290</v>
      </c>
      <c r="L1517" t="s">
        <v>285</v>
      </c>
      <c r="M1517" t="str">
        <f t="shared" si="85"/>
        <v>01</v>
      </c>
      <c r="N1517" t="s">
        <v>12</v>
      </c>
    </row>
    <row r="1518" spans="1:14" x14ac:dyDescent="0.25">
      <c r="A1518">
        <v>20160122</v>
      </c>
      <c r="B1518" t="str">
        <f>"061809"</f>
        <v>061809</v>
      </c>
      <c r="C1518" t="str">
        <f>"51346"</f>
        <v>51346</v>
      </c>
      <c r="D1518" t="s">
        <v>379</v>
      </c>
      <c r="E1518" s="3">
        <v>154</v>
      </c>
      <c r="F1518">
        <v>20160121</v>
      </c>
      <c r="G1518" t="s">
        <v>883</v>
      </c>
      <c r="H1518" t="s">
        <v>884</v>
      </c>
      <c r="I1518">
        <v>0</v>
      </c>
      <c r="J1518" t="s">
        <v>289</v>
      </c>
      <c r="K1518" t="s">
        <v>290</v>
      </c>
      <c r="L1518" t="s">
        <v>285</v>
      </c>
      <c r="M1518" t="str">
        <f t="shared" si="85"/>
        <v>01</v>
      </c>
      <c r="N1518" t="s">
        <v>12</v>
      </c>
    </row>
    <row r="1519" spans="1:14" x14ac:dyDescent="0.25">
      <c r="A1519">
        <v>20160122</v>
      </c>
      <c r="B1519" t="str">
        <f>"061810"</f>
        <v>061810</v>
      </c>
      <c r="C1519" t="str">
        <f>"51349"</f>
        <v>51349</v>
      </c>
      <c r="D1519" t="s">
        <v>640</v>
      </c>
      <c r="E1519" s="3">
        <v>96</v>
      </c>
      <c r="F1519">
        <v>20160121</v>
      </c>
      <c r="G1519" t="s">
        <v>618</v>
      </c>
      <c r="H1519" t="s">
        <v>885</v>
      </c>
      <c r="I1519">
        <v>0</v>
      </c>
      <c r="J1519" t="s">
        <v>289</v>
      </c>
      <c r="K1519" t="s">
        <v>290</v>
      </c>
      <c r="L1519" t="s">
        <v>285</v>
      </c>
      <c r="M1519" t="str">
        <f t="shared" si="85"/>
        <v>01</v>
      </c>
      <c r="N1519" t="s">
        <v>12</v>
      </c>
    </row>
    <row r="1520" spans="1:14" x14ac:dyDescent="0.25">
      <c r="A1520">
        <v>20160122</v>
      </c>
      <c r="B1520" t="str">
        <f>"061810"</f>
        <v>061810</v>
      </c>
      <c r="C1520" t="str">
        <f>"51349"</f>
        <v>51349</v>
      </c>
      <c r="D1520" t="s">
        <v>640</v>
      </c>
      <c r="E1520" s="3">
        <v>96</v>
      </c>
      <c r="F1520">
        <v>20160123</v>
      </c>
      <c r="G1520" t="s">
        <v>618</v>
      </c>
      <c r="H1520" t="s">
        <v>791</v>
      </c>
      <c r="I1520">
        <v>0</v>
      </c>
      <c r="J1520" t="s">
        <v>289</v>
      </c>
      <c r="K1520" t="s">
        <v>290</v>
      </c>
      <c r="L1520" t="s">
        <v>285</v>
      </c>
      <c r="M1520" t="str">
        <f t="shared" si="85"/>
        <v>01</v>
      </c>
      <c r="N1520" t="s">
        <v>12</v>
      </c>
    </row>
    <row r="1521" spans="1:14" x14ac:dyDescent="0.25">
      <c r="A1521">
        <v>20160122</v>
      </c>
      <c r="B1521" t="str">
        <f>"061815"</f>
        <v>061815</v>
      </c>
      <c r="C1521" t="str">
        <f>"21945"</f>
        <v>21945</v>
      </c>
      <c r="D1521" t="s">
        <v>886</v>
      </c>
      <c r="E1521" s="3">
        <v>184.45</v>
      </c>
      <c r="F1521">
        <v>20160121</v>
      </c>
      <c r="G1521" t="s">
        <v>367</v>
      </c>
      <c r="H1521" t="s">
        <v>887</v>
      </c>
      <c r="I1521">
        <v>0</v>
      </c>
      <c r="J1521" t="s">
        <v>289</v>
      </c>
      <c r="K1521" t="s">
        <v>290</v>
      </c>
      <c r="L1521" t="s">
        <v>285</v>
      </c>
      <c r="M1521" t="str">
        <f t="shared" si="85"/>
        <v>01</v>
      </c>
      <c r="N1521" t="s">
        <v>12</v>
      </c>
    </row>
    <row r="1522" spans="1:14" x14ac:dyDescent="0.25">
      <c r="A1522">
        <v>20160122</v>
      </c>
      <c r="B1522" t="str">
        <f>"061819"</f>
        <v>061819</v>
      </c>
      <c r="C1522" t="str">
        <f>"24335"</f>
        <v>24335</v>
      </c>
      <c r="D1522" t="s">
        <v>796</v>
      </c>
      <c r="E1522" s="3">
        <v>115.5</v>
      </c>
      <c r="F1522">
        <v>20160121</v>
      </c>
      <c r="G1522" t="s">
        <v>700</v>
      </c>
      <c r="H1522" t="s">
        <v>888</v>
      </c>
      <c r="I1522">
        <v>0</v>
      </c>
      <c r="J1522" t="s">
        <v>289</v>
      </c>
      <c r="K1522" t="s">
        <v>290</v>
      </c>
      <c r="L1522" t="s">
        <v>285</v>
      </c>
      <c r="M1522" t="str">
        <f t="shared" ref="M1522:M1553" si="86">"01"</f>
        <v>01</v>
      </c>
      <c r="N1522" t="s">
        <v>12</v>
      </c>
    </row>
    <row r="1523" spans="1:14" x14ac:dyDescent="0.25">
      <c r="A1523">
        <v>20160122</v>
      </c>
      <c r="B1523" t="str">
        <f>"061850"</f>
        <v>061850</v>
      </c>
      <c r="C1523" t="str">
        <f>"45093"</f>
        <v>45093</v>
      </c>
      <c r="D1523" t="s">
        <v>538</v>
      </c>
      <c r="E1523" s="3">
        <v>75.27</v>
      </c>
      <c r="F1523">
        <v>20160122</v>
      </c>
      <c r="G1523" t="s">
        <v>618</v>
      </c>
      <c r="H1523" t="s">
        <v>889</v>
      </c>
      <c r="I1523">
        <v>0</v>
      </c>
      <c r="J1523" t="s">
        <v>289</v>
      </c>
      <c r="K1523" t="s">
        <v>290</v>
      </c>
      <c r="L1523" t="s">
        <v>285</v>
      </c>
      <c r="M1523" t="str">
        <f t="shared" si="86"/>
        <v>01</v>
      </c>
      <c r="N1523" t="s">
        <v>12</v>
      </c>
    </row>
    <row r="1524" spans="1:14" x14ac:dyDescent="0.25">
      <c r="A1524">
        <v>20160122</v>
      </c>
      <c r="B1524" t="str">
        <f>"061850"</f>
        <v>061850</v>
      </c>
      <c r="C1524" t="str">
        <f>"45093"</f>
        <v>45093</v>
      </c>
      <c r="D1524" t="s">
        <v>538</v>
      </c>
      <c r="E1524" s="3">
        <v>69.09</v>
      </c>
      <c r="F1524">
        <v>20160122</v>
      </c>
      <c r="G1524" t="s">
        <v>471</v>
      </c>
      <c r="H1524" t="s">
        <v>890</v>
      </c>
      <c r="I1524">
        <v>0</v>
      </c>
      <c r="J1524" t="s">
        <v>289</v>
      </c>
      <c r="K1524" t="s">
        <v>95</v>
      </c>
      <c r="L1524" t="s">
        <v>285</v>
      </c>
      <c r="M1524" t="str">
        <f t="shared" si="86"/>
        <v>01</v>
      </c>
      <c r="N1524" t="s">
        <v>12</v>
      </c>
    </row>
    <row r="1525" spans="1:14" x14ac:dyDescent="0.25">
      <c r="A1525">
        <v>20160122</v>
      </c>
      <c r="B1525" t="str">
        <f>"061850"</f>
        <v>061850</v>
      </c>
      <c r="C1525" t="str">
        <f>"45093"</f>
        <v>45093</v>
      </c>
      <c r="D1525" t="s">
        <v>538</v>
      </c>
      <c r="E1525" s="3">
        <v>54.09</v>
      </c>
      <c r="F1525">
        <v>20160122</v>
      </c>
      <c r="G1525" t="s">
        <v>471</v>
      </c>
      <c r="H1525" t="s">
        <v>890</v>
      </c>
      <c r="I1525">
        <v>0</v>
      </c>
      <c r="J1525" t="s">
        <v>289</v>
      </c>
      <c r="K1525" t="s">
        <v>95</v>
      </c>
      <c r="L1525" t="s">
        <v>285</v>
      </c>
      <c r="M1525" t="str">
        <f t="shared" si="86"/>
        <v>01</v>
      </c>
      <c r="N1525" t="s">
        <v>12</v>
      </c>
    </row>
    <row r="1526" spans="1:14" x14ac:dyDescent="0.25">
      <c r="A1526">
        <v>20160122</v>
      </c>
      <c r="B1526" t="str">
        <f>"061850"</f>
        <v>061850</v>
      </c>
      <c r="C1526" t="str">
        <f>"45093"</f>
        <v>45093</v>
      </c>
      <c r="D1526" t="s">
        <v>538</v>
      </c>
      <c r="E1526" s="3">
        <v>30</v>
      </c>
      <c r="F1526">
        <v>20160122</v>
      </c>
      <c r="G1526" t="s">
        <v>471</v>
      </c>
      <c r="H1526" t="s">
        <v>890</v>
      </c>
      <c r="I1526">
        <v>0</v>
      </c>
      <c r="J1526" t="s">
        <v>289</v>
      </c>
      <c r="K1526" t="s">
        <v>95</v>
      </c>
      <c r="L1526" t="s">
        <v>285</v>
      </c>
      <c r="M1526" t="str">
        <f t="shared" si="86"/>
        <v>01</v>
      </c>
      <c r="N1526" t="s">
        <v>12</v>
      </c>
    </row>
    <row r="1527" spans="1:14" x14ac:dyDescent="0.25">
      <c r="A1527">
        <v>20160122</v>
      </c>
      <c r="B1527" t="str">
        <f>"061903"</f>
        <v>061903</v>
      </c>
      <c r="C1527" t="str">
        <f>"82510"</f>
        <v>82510</v>
      </c>
      <c r="D1527" t="s">
        <v>891</v>
      </c>
      <c r="E1527" s="3">
        <v>450</v>
      </c>
      <c r="F1527">
        <v>20160122</v>
      </c>
      <c r="G1527" t="s">
        <v>385</v>
      </c>
      <c r="H1527" t="s">
        <v>892</v>
      </c>
      <c r="I1527">
        <v>0</v>
      </c>
      <c r="J1527" t="s">
        <v>289</v>
      </c>
      <c r="K1527" t="s">
        <v>290</v>
      </c>
      <c r="L1527" t="s">
        <v>285</v>
      </c>
      <c r="M1527" t="str">
        <f t="shared" si="86"/>
        <v>01</v>
      </c>
      <c r="N1527" t="s">
        <v>12</v>
      </c>
    </row>
    <row r="1528" spans="1:14" x14ac:dyDescent="0.25">
      <c r="A1528">
        <v>20160122</v>
      </c>
      <c r="B1528" t="str">
        <f>"061904"</f>
        <v>061904</v>
      </c>
      <c r="C1528" t="str">
        <f>"82511"</f>
        <v>82511</v>
      </c>
      <c r="D1528" t="s">
        <v>547</v>
      </c>
      <c r="E1528" s="3">
        <v>100</v>
      </c>
      <c r="F1528">
        <v>20160122</v>
      </c>
      <c r="G1528" t="s">
        <v>893</v>
      </c>
      <c r="H1528" t="s">
        <v>894</v>
      </c>
      <c r="I1528">
        <v>0</v>
      </c>
      <c r="J1528" t="s">
        <v>289</v>
      </c>
      <c r="K1528" t="s">
        <v>290</v>
      </c>
      <c r="L1528" t="s">
        <v>285</v>
      </c>
      <c r="M1528" t="str">
        <f t="shared" si="86"/>
        <v>01</v>
      </c>
      <c r="N1528" t="s">
        <v>12</v>
      </c>
    </row>
    <row r="1529" spans="1:14" x14ac:dyDescent="0.25">
      <c r="A1529">
        <v>20160122</v>
      </c>
      <c r="B1529" t="str">
        <f t="shared" ref="B1529:B1537" si="87">"061908"</f>
        <v>061908</v>
      </c>
      <c r="C1529" t="str">
        <f t="shared" ref="C1529:C1537" si="88">"84370"</f>
        <v>84370</v>
      </c>
      <c r="D1529" t="s">
        <v>329</v>
      </c>
      <c r="E1529" s="3">
        <v>120.46</v>
      </c>
      <c r="F1529">
        <v>20160122</v>
      </c>
      <c r="G1529" t="s">
        <v>646</v>
      </c>
      <c r="H1529" t="s">
        <v>895</v>
      </c>
      <c r="I1529">
        <v>0</v>
      </c>
      <c r="J1529" t="s">
        <v>289</v>
      </c>
      <c r="K1529" t="s">
        <v>290</v>
      </c>
      <c r="L1529" t="s">
        <v>285</v>
      </c>
      <c r="M1529" t="str">
        <f t="shared" si="86"/>
        <v>01</v>
      </c>
      <c r="N1529" t="s">
        <v>12</v>
      </c>
    </row>
    <row r="1530" spans="1:14" x14ac:dyDescent="0.25">
      <c r="A1530">
        <v>20160122</v>
      </c>
      <c r="B1530" t="str">
        <f t="shared" si="87"/>
        <v>061908</v>
      </c>
      <c r="C1530" t="str">
        <f t="shared" si="88"/>
        <v>84370</v>
      </c>
      <c r="D1530" t="s">
        <v>329</v>
      </c>
      <c r="E1530" s="3">
        <v>60</v>
      </c>
      <c r="F1530">
        <v>20160122</v>
      </c>
      <c r="G1530" t="s">
        <v>646</v>
      </c>
      <c r="H1530" t="s">
        <v>896</v>
      </c>
      <c r="I1530">
        <v>0</v>
      </c>
      <c r="J1530" t="s">
        <v>289</v>
      </c>
      <c r="K1530" t="s">
        <v>290</v>
      </c>
      <c r="L1530" t="s">
        <v>285</v>
      </c>
      <c r="M1530" t="str">
        <f t="shared" si="86"/>
        <v>01</v>
      </c>
      <c r="N1530" t="s">
        <v>12</v>
      </c>
    </row>
    <row r="1531" spans="1:14" x14ac:dyDescent="0.25">
      <c r="A1531">
        <v>20160122</v>
      </c>
      <c r="B1531" t="str">
        <f t="shared" si="87"/>
        <v>061908</v>
      </c>
      <c r="C1531" t="str">
        <f t="shared" si="88"/>
        <v>84370</v>
      </c>
      <c r="D1531" t="s">
        <v>329</v>
      </c>
      <c r="E1531" s="3">
        <v>127.61</v>
      </c>
      <c r="F1531">
        <v>20160122</v>
      </c>
      <c r="G1531" t="s">
        <v>646</v>
      </c>
      <c r="H1531" t="s">
        <v>897</v>
      </c>
      <c r="I1531">
        <v>0</v>
      </c>
      <c r="J1531" t="s">
        <v>289</v>
      </c>
      <c r="K1531" t="s">
        <v>290</v>
      </c>
      <c r="L1531" t="s">
        <v>285</v>
      </c>
      <c r="M1531" t="str">
        <f t="shared" si="86"/>
        <v>01</v>
      </c>
      <c r="N1531" t="s">
        <v>12</v>
      </c>
    </row>
    <row r="1532" spans="1:14" x14ac:dyDescent="0.25">
      <c r="A1532">
        <v>20160122</v>
      </c>
      <c r="B1532" t="str">
        <f t="shared" si="87"/>
        <v>061908</v>
      </c>
      <c r="C1532" t="str">
        <f t="shared" si="88"/>
        <v>84370</v>
      </c>
      <c r="D1532" t="s">
        <v>329</v>
      </c>
      <c r="E1532" s="3">
        <v>68.209999999999994</v>
      </c>
      <c r="F1532">
        <v>20160122</v>
      </c>
      <c r="G1532" t="s">
        <v>646</v>
      </c>
      <c r="H1532" t="s">
        <v>898</v>
      </c>
      <c r="I1532">
        <v>0</v>
      </c>
      <c r="J1532" t="s">
        <v>289</v>
      </c>
      <c r="K1532" t="s">
        <v>290</v>
      </c>
      <c r="L1532" t="s">
        <v>285</v>
      </c>
      <c r="M1532" t="str">
        <f t="shared" si="86"/>
        <v>01</v>
      </c>
      <c r="N1532" t="s">
        <v>12</v>
      </c>
    </row>
    <row r="1533" spans="1:14" x14ac:dyDescent="0.25">
      <c r="A1533">
        <v>20160122</v>
      </c>
      <c r="B1533" t="str">
        <f t="shared" si="87"/>
        <v>061908</v>
      </c>
      <c r="C1533" t="str">
        <f t="shared" si="88"/>
        <v>84370</v>
      </c>
      <c r="D1533" t="s">
        <v>329</v>
      </c>
      <c r="E1533" s="3">
        <v>120.46</v>
      </c>
      <c r="F1533">
        <v>20160122</v>
      </c>
      <c r="G1533" t="s">
        <v>646</v>
      </c>
      <c r="H1533" t="s">
        <v>899</v>
      </c>
      <c r="I1533">
        <v>0</v>
      </c>
      <c r="J1533" t="s">
        <v>289</v>
      </c>
      <c r="K1533" t="s">
        <v>290</v>
      </c>
      <c r="L1533" t="s">
        <v>285</v>
      </c>
      <c r="M1533" t="str">
        <f t="shared" si="86"/>
        <v>01</v>
      </c>
      <c r="N1533" t="s">
        <v>12</v>
      </c>
    </row>
    <row r="1534" spans="1:14" x14ac:dyDescent="0.25">
      <c r="A1534">
        <v>20160122</v>
      </c>
      <c r="B1534" t="str">
        <f t="shared" si="87"/>
        <v>061908</v>
      </c>
      <c r="C1534" t="str">
        <f t="shared" si="88"/>
        <v>84370</v>
      </c>
      <c r="D1534" t="s">
        <v>329</v>
      </c>
      <c r="E1534" s="3">
        <v>151.84</v>
      </c>
      <c r="F1534">
        <v>20160122</v>
      </c>
      <c r="G1534" t="s">
        <v>829</v>
      </c>
      <c r="H1534" t="s">
        <v>900</v>
      </c>
      <c r="I1534">
        <v>0</v>
      </c>
      <c r="J1534" t="s">
        <v>289</v>
      </c>
      <c r="K1534" t="s">
        <v>95</v>
      </c>
      <c r="L1534" t="s">
        <v>285</v>
      </c>
      <c r="M1534" t="str">
        <f t="shared" si="86"/>
        <v>01</v>
      </c>
      <c r="N1534" t="s">
        <v>12</v>
      </c>
    </row>
    <row r="1535" spans="1:14" x14ac:dyDescent="0.25">
      <c r="A1535">
        <v>20160122</v>
      </c>
      <c r="B1535" t="str">
        <f t="shared" si="87"/>
        <v>061908</v>
      </c>
      <c r="C1535" t="str">
        <f t="shared" si="88"/>
        <v>84370</v>
      </c>
      <c r="D1535" t="s">
        <v>329</v>
      </c>
      <c r="E1535" s="3">
        <v>162.29</v>
      </c>
      <c r="F1535">
        <v>20160122</v>
      </c>
      <c r="G1535" t="s">
        <v>700</v>
      </c>
      <c r="H1535" t="s">
        <v>901</v>
      </c>
      <c r="I1535">
        <v>0</v>
      </c>
      <c r="J1535" t="s">
        <v>289</v>
      </c>
      <c r="K1535" t="s">
        <v>290</v>
      </c>
      <c r="L1535" t="s">
        <v>285</v>
      </c>
      <c r="M1535" t="str">
        <f t="shared" si="86"/>
        <v>01</v>
      </c>
      <c r="N1535" t="s">
        <v>12</v>
      </c>
    </row>
    <row r="1536" spans="1:14" x14ac:dyDescent="0.25">
      <c r="A1536">
        <v>20160122</v>
      </c>
      <c r="B1536" t="str">
        <f t="shared" si="87"/>
        <v>061908</v>
      </c>
      <c r="C1536" t="str">
        <f t="shared" si="88"/>
        <v>84370</v>
      </c>
      <c r="D1536" t="s">
        <v>329</v>
      </c>
      <c r="E1536" s="3">
        <v>73.73</v>
      </c>
      <c r="F1536">
        <v>20160122</v>
      </c>
      <c r="G1536" t="s">
        <v>700</v>
      </c>
      <c r="H1536" t="s">
        <v>902</v>
      </c>
      <c r="I1536">
        <v>0</v>
      </c>
      <c r="J1536" t="s">
        <v>289</v>
      </c>
      <c r="K1536" t="s">
        <v>290</v>
      </c>
      <c r="L1536" t="s">
        <v>285</v>
      </c>
      <c r="M1536" t="str">
        <f t="shared" si="86"/>
        <v>01</v>
      </c>
      <c r="N1536" t="s">
        <v>12</v>
      </c>
    </row>
    <row r="1537" spans="1:14" x14ac:dyDescent="0.25">
      <c r="A1537">
        <v>20160122</v>
      </c>
      <c r="B1537" t="str">
        <f t="shared" si="87"/>
        <v>061908</v>
      </c>
      <c r="C1537" t="str">
        <f t="shared" si="88"/>
        <v>84370</v>
      </c>
      <c r="D1537" t="s">
        <v>329</v>
      </c>
      <c r="E1537" s="3">
        <v>161.84</v>
      </c>
      <c r="F1537">
        <v>20160122</v>
      </c>
      <c r="G1537" t="s">
        <v>700</v>
      </c>
      <c r="H1537" t="s">
        <v>903</v>
      </c>
      <c r="I1537">
        <v>0</v>
      </c>
      <c r="J1537" t="s">
        <v>289</v>
      </c>
      <c r="K1537" t="s">
        <v>290</v>
      </c>
      <c r="L1537" t="s">
        <v>285</v>
      </c>
      <c r="M1537" t="str">
        <f t="shared" si="86"/>
        <v>01</v>
      </c>
      <c r="N1537" t="s">
        <v>12</v>
      </c>
    </row>
    <row r="1538" spans="1:14" x14ac:dyDescent="0.25">
      <c r="A1538">
        <v>20160129</v>
      </c>
      <c r="B1538" t="str">
        <f>"061918"</f>
        <v>061918</v>
      </c>
      <c r="C1538" t="str">
        <f>"08440"</f>
        <v>08440</v>
      </c>
      <c r="D1538" t="s">
        <v>904</v>
      </c>
      <c r="E1538" s="3">
        <v>59.96</v>
      </c>
      <c r="F1538">
        <v>20160128</v>
      </c>
      <c r="G1538" t="s">
        <v>310</v>
      </c>
      <c r="H1538" t="s">
        <v>720</v>
      </c>
      <c r="I1538">
        <v>0</v>
      </c>
      <c r="J1538" t="s">
        <v>289</v>
      </c>
      <c r="K1538" t="s">
        <v>290</v>
      </c>
      <c r="L1538" t="s">
        <v>285</v>
      </c>
      <c r="M1538" t="str">
        <f t="shared" si="86"/>
        <v>01</v>
      </c>
      <c r="N1538" t="s">
        <v>12</v>
      </c>
    </row>
    <row r="1539" spans="1:14" x14ac:dyDescent="0.25">
      <c r="A1539">
        <v>20160129</v>
      </c>
      <c r="B1539" t="str">
        <f>"061924"</f>
        <v>061924</v>
      </c>
      <c r="C1539" t="str">
        <f>"11385"</f>
        <v>11385</v>
      </c>
      <c r="D1539" t="s">
        <v>296</v>
      </c>
      <c r="E1539" s="3">
        <v>475.19</v>
      </c>
      <c r="F1539">
        <v>20160127</v>
      </c>
      <c r="G1539" t="s">
        <v>905</v>
      </c>
      <c r="H1539" t="s">
        <v>906</v>
      </c>
      <c r="I1539">
        <v>0</v>
      </c>
      <c r="J1539" t="s">
        <v>289</v>
      </c>
      <c r="K1539" t="s">
        <v>290</v>
      </c>
      <c r="L1539" t="s">
        <v>285</v>
      </c>
      <c r="M1539" t="str">
        <f t="shared" si="86"/>
        <v>01</v>
      </c>
      <c r="N1539" t="s">
        <v>12</v>
      </c>
    </row>
    <row r="1540" spans="1:14" x14ac:dyDescent="0.25">
      <c r="A1540">
        <v>20160129</v>
      </c>
      <c r="B1540" t="str">
        <f>"061933"</f>
        <v>061933</v>
      </c>
      <c r="C1540" t="str">
        <f>"21295"</f>
        <v>21295</v>
      </c>
      <c r="D1540" t="s">
        <v>792</v>
      </c>
      <c r="E1540" s="3">
        <v>60</v>
      </c>
      <c r="F1540">
        <v>20160127</v>
      </c>
      <c r="G1540" t="s">
        <v>564</v>
      </c>
      <c r="H1540" t="s">
        <v>907</v>
      </c>
      <c r="I1540">
        <v>0</v>
      </c>
      <c r="J1540" t="s">
        <v>289</v>
      </c>
      <c r="K1540" t="s">
        <v>290</v>
      </c>
      <c r="L1540" t="s">
        <v>285</v>
      </c>
      <c r="M1540" t="str">
        <f t="shared" si="86"/>
        <v>01</v>
      </c>
      <c r="N1540" t="s">
        <v>12</v>
      </c>
    </row>
    <row r="1541" spans="1:14" x14ac:dyDescent="0.25">
      <c r="A1541">
        <v>20160129</v>
      </c>
      <c r="B1541" t="str">
        <f>"061935"</f>
        <v>061935</v>
      </c>
      <c r="C1541" t="str">
        <f>"24120"</f>
        <v>24120</v>
      </c>
      <c r="D1541" t="s">
        <v>908</v>
      </c>
      <c r="E1541" s="3">
        <v>47.37</v>
      </c>
      <c r="F1541">
        <v>20160128</v>
      </c>
      <c r="G1541" t="s">
        <v>310</v>
      </c>
      <c r="H1541" t="s">
        <v>720</v>
      </c>
      <c r="I1541">
        <v>0</v>
      </c>
      <c r="J1541" t="s">
        <v>289</v>
      </c>
      <c r="K1541" t="s">
        <v>290</v>
      </c>
      <c r="L1541" t="s">
        <v>285</v>
      </c>
      <c r="M1541" t="str">
        <f t="shared" si="86"/>
        <v>01</v>
      </c>
      <c r="N1541" t="s">
        <v>12</v>
      </c>
    </row>
    <row r="1542" spans="1:14" x14ac:dyDescent="0.25">
      <c r="A1542">
        <v>20160129</v>
      </c>
      <c r="B1542" t="str">
        <f>"061940"</f>
        <v>061940</v>
      </c>
      <c r="C1542" t="str">
        <f>"27022"</f>
        <v>27022</v>
      </c>
      <c r="D1542" t="s">
        <v>909</v>
      </c>
      <c r="E1542" s="3">
        <v>130</v>
      </c>
      <c r="F1542">
        <v>20160127</v>
      </c>
      <c r="G1542" t="s">
        <v>564</v>
      </c>
      <c r="H1542" t="s">
        <v>907</v>
      </c>
      <c r="I1542">
        <v>0</v>
      </c>
      <c r="J1542" t="s">
        <v>289</v>
      </c>
      <c r="K1542" t="s">
        <v>290</v>
      </c>
      <c r="L1542" t="s">
        <v>285</v>
      </c>
      <c r="M1542" t="str">
        <f t="shared" si="86"/>
        <v>01</v>
      </c>
      <c r="N1542" t="s">
        <v>12</v>
      </c>
    </row>
    <row r="1543" spans="1:14" x14ac:dyDescent="0.25">
      <c r="A1543">
        <v>20160129</v>
      </c>
      <c r="B1543" t="str">
        <f>"061941"</f>
        <v>061941</v>
      </c>
      <c r="C1543" t="str">
        <f>"28697"</f>
        <v>28697</v>
      </c>
      <c r="D1543" t="s">
        <v>800</v>
      </c>
      <c r="E1543" s="3">
        <v>55</v>
      </c>
      <c r="F1543">
        <v>20160127</v>
      </c>
      <c r="G1543" t="s">
        <v>564</v>
      </c>
      <c r="H1543" t="s">
        <v>907</v>
      </c>
      <c r="I1543">
        <v>0</v>
      </c>
      <c r="J1543" t="s">
        <v>289</v>
      </c>
      <c r="K1543" t="s">
        <v>290</v>
      </c>
      <c r="L1543" t="s">
        <v>285</v>
      </c>
      <c r="M1543" t="str">
        <f t="shared" si="86"/>
        <v>01</v>
      </c>
      <c r="N1543" t="s">
        <v>12</v>
      </c>
    </row>
    <row r="1544" spans="1:14" x14ac:dyDescent="0.25">
      <c r="A1544">
        <v>20160129</v>
      </c>
      <c r="B1544" t="str">
        <f>"061948"</f>
        <v>061948</v>
      </c>
      <c r="C1544" t="str">
        <f>"33712"</f>
        <v>33712</v>
      </c>
      <c r="D1544" t="s">
        <v>910</v>
      </c>
      <c r="E1544" s="3">
        <v>135</v>
      </c>
      <c r="F1544">
        <v>20160127</v>
      </c>
      <c r="G1544" t="s">
        <v>758</v>
      </c>
      <c r="H1544" t="s">
        <v>911</v>
      </c>
      <c r="I1544">
        <v>0</v>
      </c>
      <c r="J1544" t="s">
        <v>289</v>
      </c>
      <c r="K1544" t="s">
        <v>95</v>
      </c>
      <c r="L1544" t="s">
        <v>285</v>
      </c>
      <c r="M1544" t="str">
        <f t="shared" si="86"/>
        <v>01</v>
      </c>
      <c r="N1544" t="s">
        <v>12</v>
      </c>
    </row>
    <row r="1545" spans="1:14" x14ac:dyDescent="0.25">
      <c r="A1545">
        <v>20160129</v>
      </c>
      <c r="B1545" t="str">
        <f>"061952"</f>
        <v>061952</v>
      </c>
      <c r="C1545" t="str">
        <f>"34933"</f>
        <v>34933</v>
      </c>
      <c r="D1545" t="s">
        <v>563</v>
      </c>
      <c r="E1545" s="3">
        <v>200</v>
      </c>
      <c r="F1545">
        <v>20160127</v>
      </c>
      <c r="G1545" t="s">
        <v>564</v>
      </c>
      <c r="H1545" t="s">
        <v>907</v>
      </c>
      <c r="I1545">
        <v>0</v>
      </c>
      <c r="J1545" t="s">
        <v>289</v>
      </c>
      <c r="K1545" t="s">
        <v>290</v>
      </c>
      <c r="L1545" t="s">
        <v>285</v>
      </c>
      <c r="M1545" t="str">
        <f t="shared" si="86"/>
        <v>01</v>
      </c>
      <c r="N1545" t="s">
        <v>12</v>
      </c>
    </row>
    <row r="1546" spans="1:14" x14ac:dyDescent="0.25">
      <c r="A1546">
        <v>20160129</v>
      </c>
      <c r="B1546" t="str">
        <f>"061953"</f>
        <v>061953</v>
      </c>
      <c r="C1546" t="str">
        <f>"34949"</f>
        <v>34949</v>
      </c>
      <c r="D1546" t="s">
        <v>396</v>
      </c>
      <c r="E1546" s="3">
        <v>840</v>
      </c>
      <c r="F1546">
        <v>20160128</v>
      </c>
      <c r="G1546" t="s">
        <v>856</v>
      </c>
      <c r="H1546" t="s">
        <v>912</v>
      </c>
      <c r="I1546">
        <v>0</v>
      </c>
      <c r="J1546" t="s">
        <v>289</v>
      </c>
      <c r="K1546" t="s">
        <v>290</v>
      </c>
      <c r="L1546" t="s">
        <v>285</v>
      </c>
      <c r="M1546" t="str">
        <f t="shared" si="86"/>
        <v>01</v>
      </c>
      <c r="N1546" t="s">
        <v>12</v>
      </c>
    </row>
    <row r="1547" spans="1:14" x14ac:dyDescent="0.25">
      <c r="A1547">
        <v>20160129</v>
      </c>
      <c r="B1547" t="str">
        <f>"061956"</f>
        <v>061956</v>
      </c>
      <c r="C1547" t="str">
        <f>"37647"</f>
        <v>37647</v>
      </c>
      <c r="D1547" t="s">
        <v>803</v>
      </c>
      <c r="E1547" s="3">
        <v>130</v>
      </c>
      <c r="F1547">
        <v>20160127</v>
      </c>
      <c r="G1547" t="s">
        <v>564</v>
      </c>
      <c r="H1547" t="s">
        <v>907</v>
      </c>
      <c r="I1547">
        <v>0</v>
      </c>
      <c r="J1547" t="s">
        <v>289</v>
      </c>
      <c r="K1547" t="s">
        <v>290</v>
      </c>
      <c r="L1547" t="s">
        <v>285</v>
      </c>
      <c r="M1547" t="str">
        <f t="shared" si="86"/>
        <v>01</v>
      </c>
      <c r="N1547" t="s">
        <v>12</v>
      </c>
    </row>
    <row r="1548" spans="1:14" x14ac:dyDescent="0.25">
      <c r="A1548">
        <v>20160129</v>
      </c>
      <c r="B1548" t="str">
        <f>"061957"</f>
        <v>061957</v>
      </c>
      <c r="C1548" t="str">
        <f>"39108"</f>
        <v>39108</v>
      </c>
      <c r="D1548" t="s">
        <v>913</v>
      </c>
      <c r="E1548" s="3">
        <v>55</v>
      </c>
      <c r="F1548">
        <v>20160127</v>
      </c>
      <c r="G1548" t="s">
        <v>564</v>
      </c>
      <c r="H1548" t="s">
        <v>907</v>
      </c>
      <c r="I1548">
        <v>0</v>
      </c>
      <c r="J1548" t="s">
        <v>289</v>
      </c>
      <c r="K1548" t="s">
        <v>290</v>
      </c>
      <c r="L1548" t="s">
        <v>285</v>
      </c>
      <c r="M1548" t="str">
        <f t="shared" si="86"/>
        <v>01</v>
      </c>
      <c r="N1548" t="s">
        <v>12</v>
      </c>
    </row>
    <row r="1549" spans="1:14" x14ac:dyDescent="0.25">
      <c r="A1549">
        <v>20160129</v>
      </c>
      <c r="B1549" t="str">
        <f>"061958"</f>
        <v>061958</v>
      </c>
      <c r="C1549" t="str">
        <f>"39110"</f>
        <v>39110</v>
      </c>
      <c r="D1549" t="s">
        <v>914</v>
      </c>
      <c r="E1549" s="3">
        <v>130</v>
      </c>
      <c r="F1549">
        <v>20160127</v>
      </c>
      <c r="G1549" t="s">
        <v>564</v>
      </c>
      <c r="H1549" t="s">
        <v>907</v>
      </c>
      <c r="I1549">
        <v>0</v>
      </c>
      <c r="J1549" t="s">
        <v>289</v>
      </c>
      <c r="K1549" t="s">
        <v>290</v>
      </c>
      <c r="L1549" t="s">
        <v>285</v>
      </c>
      <c r="M1549" t="str">
        <f t="shared" si="86"/>
        <v>01</v>
      </c>
      <c r="N1549" t="s">
        <v>12</v>
      </c>
    </row>
    <row r="1550" spans="1:14" x14ac:dyDescent="0.25">
      <c r="A1550">
        <v>20160129</v>
      </c>
      <c r="B1550" t="str">
        <f>"061961"</f>
        <v>061961</v>
      </c>
      <c r="C1550" t="str">
        <f>"40570"</f>
        <v>40570</v>
      </c>
      <c r="D1550" t="s">
        <v>915</v>
      </c>
      <c r="E1550" s="3">
        <v>40</v>
      </c>
      <c r="F1550">
        <v>20160128</v>
      </c>
      <c r="G1550" t="s">
        <v>564</v>
      </c>
      <c r="H1550" t="s">
        <v>907</v>
      </c>
      <c r="I1550">
        <v>0</v>
      </c>
      <c r="J1550" t="s">
        <v>289</v>
      </c>
      <c r="K1550" t="s">
        <v>290</v>
      </c>
      <c r="L1550" t="s">
        <v>285</v>
      </c>
      <c r="M1550" t="str">
        <f t="shared" si="86"/>
        <v>01</v>
      </c>
      <c r="N1550" t="s">
        <v>12</v>
      </c>
    </row>
    <row r="1551" spans="1:14" x14ac:dyDescent="0.25">
      <c r="A1551">
        <v>20160129</v>
      </c>
      <c r="B1551" t="str">
        <f>"061962"</f>
        <v>061962</v>
      </c>
      <c r="C1551" t="str">
        <f>"40790"</f>
        <v>40790</v>
      </c>
      <c r="D1551" t="s">
        <v>572</v>
      </c>
      <c r="E1551" s="3">
        <v>130</v>
      </c>
      <c r="F1551">
        <v>20160128</v>
      </c>
      <c r="G1551" t="s">
        <v>564</v>
      </c>
      <c r="H1551" t="s">
        <v>907</v>
      </c>
      <c r="I1551">
        <v>0</v>
      </c>
      <c r="J1551" t="s">
        <v>289</v>
      </c>
      <c r="K1551" t="s">
        <v>290</v>
      </c>
      <c r="L1551" t="s">
        <v>285</v>
      </c>
      <c r="M1551" t="str">
        <f t="shared" si="86"/>
        <v>01</v>
      </c>
      <c r="N1551" t="s">
        <v>12</v>
      </c>
    </row>
    <row r="1552" spans="1:14" x14ac:dyDescent="0.25">
      <c r="A1552">
        <v>20160129</v>
      </c>
      <c r="B1552" t="str">
        <f>"061962"</f>
        <v>061962</v>
      </c>
      <c r="C1552" t="str">
        <f>"40790"</f>
        <v>40790</v>
      </c>
      <c r="D1552" t="s">
        <v>572</v>
      </c>
      <c r="E1552" s="3">
        <v>45</v>
      </c>
      <c r="F1552">
        <v>20160128</v>
      </c>
      <c r="G1552" t="s">
        <v>564</v>
      </c>
      <c r="H1552" t="s">
        <v>916</v>
      </c>
      <c r="I1552">
        <v>0</v>
      </c>
      <c r="J1552" t="s">
        <v>289</v>
      </c>
      <c r="K1552" t="s">
        <v>290</v>
      </c>
      <c r="L1552" t="s">
        <v>285</v>
      </c>
      <c r="M1552" t="str">
        <f t="shared" si="86"/>
        <v>01</v>
      </c>
      <c r="N1552" t="s">
        <v>12</v>
      </c>
    </row>
    <row r="1553" spans="1:14" x14ac:dyDescent="0.25">
      <c r="A1553">
        <v>20160129</v>
      </c>
      <c r="B1553" t="str">
        <f>"061967"</f>
        <v>061967</v>
      </c>
      <c r="C1553" t="str">
        <f>"45020"</f>
        <v>45020</v>
      </c>
      <c r="D1553" t="s">
        <v>917</v>
      </c>
      <c r="E1553" s="3">
        <v>135</v>
      </c>
      <c r="F1553">
        <v>20160128</v>
      </c>
      <c r="G1553" t="s">
        <v>758</v>
      </c>
      <c r="H1553" t="s">
        <v>911</v>
      </c>
      <c r="I1553">
        <v>0</v>
      </c>
      <c r="J1553" t="s">
        <v>289</v>
      </c>
      <c r="K1553" t="s">
        <v>95</v>
      </c>
      <c r="L1553" t="s">
        <v>285</v>
      </c>
      <c r="M1553" t="str">
        <f t="shared" si="86"/>
        <v>01</v>
      </c>
      <c r="N1553" t="s">
        <v>12</v>
      </c>
    </row>
    <row r="1554" spans="1:14" x14ac:dyDescent="0.25">
      <c r="A1554">
        <v>20160129</v>
      </c>
      <c r="B1554" t="str">
        <f>"061973"</f>
        <v>061973</v>
      </c>
      <c r="C1554" t="str">
        <f>"49955"</f>
        <v>49955</v>
      </c>
      <c r="D1554" t="s">
        <v>918</v>
      </c>
      <c r="E1554" s="3">
        <v>108.84</v>
      </c>
      <c r="F1554">
        <v>20160128</v>
      </c>
      <c r="G1554" t="s">
        <v>310</v>
      </c>
      <c r="H1554" t="s">
        <v>720</v>
      </c>
      <c r="I1554">
        <v>0</v>
      </c>
      <c r="J1554" t="s">
        <v>289</v>
      </c>
      <c r="K1554" t="s">
        <v>290</v>
      </c>
      <c r="L1554" t="s">
        <v>285</v>
      </c>
      <c r="M1554" t="str">
        <f t="shared" ref="M1554:M1570" si="89">"01"</f>
        <v>01</v>
      </c>
      <c r="N1554" t="s">
        <v>12</v>
      </c>
    </row>
    <row r="1555" spans="1:14" x14ac:dyDescent="0.25">
      <c r="A1555">
        <v>20160129</v>
      </c>
      <c r="B1555" t="str">
        <f>"061979"</f>
        <v>061979</v>
      </c>
      <c r="C1555" t="str">
        <f>"51489"</f>
        <v>51489</v>
      </c>
      <c r="D1555" t="s">
        <v>919</v>
      </c>
      <c r="E1555" s="3">
        <v>40</v>
      </c>
      <c r="F1555">
        <v>20160128</v>
      </c>
      <c r="G1555" t="s">
        <v>564</v>
      </c>
      <c r="H1555" t="s">
        <v>907</v>
      </c>
      <c r="I1555">
        <v>0</v>
      </c>
      <c r="J1555" t="s">
        <v>289</v>
      </c>
      <c r="K1555" t="s">
        <v>290</v>
      </c>
      <c r="L1555" t="s">
        <v>285</v>
      </c>
      <c r="M1555" t="str">
        <f t="shared" si="89"/>
        <v>01</v>
      </c>
      <c r="N1555" t="s">
        <v>12</v>
      </c>
    </row>
    <row r="1556" spans="1:14" x14ac:dyDescent="0.25">
      <c r="A1556">
        <v>20160129</v>
      </c>
      <c r="B1556" t="str">
        <f>"061980"</f>
        <v>061980</v>
      </c>
      <c r="C1556" t="str">
        <f>"51920"</f>
        <v>51920</v>
      </c>
      <c r="D1556" t="s">
        <v>920</v>
      </c>
      <c r="E1556" s="3">
        <v>135</v>
      </c>
      <c r="F1556">
        <v>20160128</v>
      </c>
      <c r="G1556" t="s">
        <v>758</v>
      </c>
      <c r="H1556" t="s">
        <v>810</v>
      </c>
      <c r="I1556">
        <v>0</v>
      </c>
      <c r="J1556" t="s">
        <v>289</v>
      </c>
      <c r="K1556" t="s">
        <v>95</v>
      </c>
      <c r="L1556" t="s">
        <v>285</v>
      </c>
      <c r="M1556" t="str">
        <f t="shared" si="89"/>
        <v>01</v>
      </c>
      <c r="N1556" t="s">
        <v>12</v>
      </c>
    </row>
    <row r="1557" spans="1:14" x14ac:dyDescent="0.25">
      <c r="A1557">
        <v>20160129</v>
      </c>
      <c r="B1557" t="str">
        <f>"061982"</f>
        <v>061982</v>
      </c>
      <c r="C1557" t="str">
        <f>"54112"</f>
        <v>54112</v>
      </c>
      <c r="D1557" t="s">
        <v>809</v>
      </c>
      <c r="E1557" s="3">
        <v>135</v>
      </c>
      <c r="F1557">
        <v>20160128</v>
      </c>
      <c r="G1557" t="s">
        <v>758</v>
      </c>
      <c r="H1557" t="s">
        <v>921</v>
      </c>
      <c r="I1557">
        <v>0</v>
      </c>
      <c r="J1557" t="s">
        <v>289</v>
      </c>
      <c r="K1557" t="s">
        <v>95</v>
      </c>
      <c r="L1557" t="s">
        <v>285</v>
      </c>
      <c r="M1557" t="str">
        <f t="shared" si="89"/>
        <v>01</v>
      </c>
      <c r="N1557" t="s">
        <v>12</v>
      </c>
    </row>
    <row r="1558" spans="1:14" x14ac:dyDescent="0.25">
      <c r="A1558">
        <v>20160129</v>
      </c>
      <c r="B1558" t="str">
        <f>"061985"</f>
        <v>061985</v>
      </c>
      <c r="C1558" t="str">
        <f>"54558"</f>
        <v>54558</v>
      </c>
      <c r="D1558" t="s">
        <v>583</v>
      </c>
      <c r="E1558" s="3">
        <v>150</v>
      </c>
      <c r="F1558">
        <v>20160128</v>
      </c>
      <c r="G1558" t="s">
        <v>564</v>
      </c>
      <c r="H1558" t="s">
        <v>907</v>
      </c>
      <c r="I1558">
        <v>0</v>
      </c>
      <c r="J1558" t="s">
        <v>289</v>
      </c>
      <c r="K1558" t="s">
        <v>290</v>
      </c>
      <c r="L1558" t="s">
        <v>285</v>
      </c>
      <c r="M1558" t="str">
        <f t="shared" si="89"/>
        <v>01</v>
      </c>
      <c r="N1558" t="s">
        <v>12</v>
      </c>
    </row>
    <row r="1559" spans="1:14" x14ac:dyDescent="0.25">
      <c r="A1559">
        <v>20160129</v>
      </c>
      <c r="B1559" t="str">
        <f>"061985"</f>
        <v>061985</v>
      </c>
      <c r="C1559" t="str">
        <f>"54558"</f>
        <v>54558</v>
      </c>
      <c r="D1559" t="s">
        <v>583</v>
      </c>
      <c r="E1559" s="3">
        <v>60</v>
      </c>
      <c r="F1559">
        <v>20160128</v>
      </c>
      <c r="G1559" t="s">
        <v>564</v>
      </c>
      <c r="H1559" t="s">
        <v>916</v>
      </c>
      <c r="I1559">
        <v>0</v>
      </c>
      <c r="J1559" t="s">
        <v>289</v>
      </c>
      <c r="K1559" t="s">
        <v>290</v>
      </c>
      <c r="L1559" t="s">
        <v>285</v>
      </c>
      <c r="M1559" t="str">
        <f t="shared" si="89"/>
        <v>01</v>
      </c>
      <c r="N1559" t="s">
        <v>12</v>
      </c>
    </row>
    <row r="1560" spans="1:14" x14ac:dyDescent="0.25">
      <c r="A1560">
        <v>20160129</v>
      </c>
      <c r="B1560" t="str">
        <f>"061986"</f>
        <v>061986</v>
      </c>
      <c r="C1560" t="str">
        <f>"73600"</f>
        <v>73600</v>
      </c>
      <c r="D1560" t="s">
        <v>387</v>
      </c>
      <c r="E1560" s="3">
        <v>300</v>
      </c>
      <c r="F1560">
        <v>20160128</v>
      </c>
      <c r="G1560" t="s">
        <v>385</v>
      </c>
      <c r="H1560" t="s">
        <v>922</v>
      </c>
      <c r="I1560">
        <v>0</v>
      </c>
      <c r="J1560" t="s">
        <v>289</v>
      </c>
      <c r="K1560" t="s">
        <v>290</v>
      </c>
      <c r="L1560" t="s">
        <v>285</v>
      </c>
      <c r="M1560" t="str">
        <f t="shared" si="89"/>
        <v>01</v>
      </c>
      <c r="N1560" t="s">
        <v>12</v>
      </c>
    </row>
    <row r="1561" spans="1:14" x14ac:dyDescent="0.25">
      <c r="A1561">
        <v>20160129</v>
      </c>
      <c r="B1561" t="str">
        <f>"061991"</f>
        <v>061991</v>
      </c>
      <c r="C1561" t="str">
        <f>"58150"</f>
        <v>58150</v>
      </c>
      <c r="D1561" t="s">
        <v>813</v>
      </c>
      <c r="E1561" s="3">
        <v>40</v>
      </c>
      <c r="F1561">
        <v>20160128</v>
      </c>
      <c r="G1561" t="s">
        <v>564</v>
      </c>
      <c r="H1561" t="s">
        <v>907</v>
      </c>
      <c r="I1561">
        <v>0</v>
      </c>
      <c r="J1561" t="s">
        <v>289</v>
      </c>
      <c r="K1561" t="s">
        <v>290</v>
      </c>
      <c r="L1561" t="s">
        <v>285</v>
      </c>
      <c r="M1561" t="str">
        <f t="shared" si="89"/>
        <v>01</v>
      </c>
      <c r="N1561" t="s">
        <v>12</v>
      </c>
    </row>
    <row r="1562" spans="1:14" x14ac:dyDescent="0.25">
      <c r="A1562">
        <v>20160129</v>
      </c>
      <c r="B1562" t="str">
        <f>"061992"</f>
        <v>061992</v>
      </c>
      <c r="C1562" t="str">
        <f>"57971"</f>
        <v>57971</v>
      </c>
      <c r="D1562" t="s">
        <v>923</v>
      </c>
      <c r="E1562" s="3">
        <v>40</v>
      </c>
      <c r="F1562">
        <v>20160128</v>
      </c>
      <c r="G1562" t="s">
        <v>564</v>
      </c>
      <c r="H1562" t="s">
        <v>907</v>
      </c>
      <c r="I1562">
        <v>0</v>
      </c>
      <c r="J1562" t="s">
        <v>289</v>
      </c>
      <c r="K1562" t="s">
        <v>290</v>
      </c>
      <c r="L1562" t="s">
        <v>285</v>
      </c>
      <c r="M1562" t="str">
        <f t="shared" si="89"/>
        <v>01</v>
      </c>
      <c r="N1562" t="s">
        <v>12</v>
      </c>
    </row>
    <row r="1563" spans="1:14" x14ac:dyDescent="0.25">
      <c r="A1563">
        <v>20160129</v>
      </c>
      <c r="B1563" t="str">
        <f>"062013"</f>
        <v>062013</v>
      </c>
      <c r="C1563" t="str">
        <f>"67631"</f>
        <v>67631</v>
      </c>
      <c r="D1563" t="s">
        <v>924</v>
      </c>
      <c r="E1563" s="3">
        <v>135</v>
      </c>
      <c r="F1563">
        <v>20160128</v>
      </c>
      <c r="G1563" t="s">
        <v>703</v>
      </c>
      <c r="H1563" t="s">
        <v>925</v>
      </c>
      <c r="I1563">
        <v>0</v>
      </c>
      <c r="J1563" t="s">
        <v>289</v>
      </c>
      <c r="K1563" t="s">
        <v>95</v>
      </c>
      <c r="L1563" t="s">
        <v>285</v>
      </c>
      <c r="M1563" t="str">
        <f t="shared" si="89"/>
        <v>01</v>
      </c>
      <c r="N1563" t="s">
        <v>12</v>
      </c>
    </row>
    <row r="1564" spans="1:14" x14ac:dyDescent="0.25">
      <c r="A1564">
        <v>20160129</v>
      </c>
      <c r="B1564" t="str">
        <f>"062015"</f>
        <v>062015</v>
      </c>
      <c r="C1564" t="str">
        <f>"68107"</f>
        <v>68107</v>
      </c>
      <c r="D1564" t="s">
        <v>716</v>
      </c>
      <c r="E1564" s="3">
        <v>32.89</v>
      </c>
      <c r="F1564">
        <v>20160128</v>
      </c>
      <c r="G1564" t="s">
        <v>310</v>
      </c>
      <c r="H1564" t="s">
        <v>785</v>
      </c>
      <c r="I1564">
        <v>0</v>
      </c>
      <c r="J1564" t="s">
        <v>289</v>
      </c>
      <c r="K1564" t="s">
        <v>290</v>
      </c>
      <c r="L1564" t="s">
        <v>285</v>
      </c>
      <c r="M1564" t="str">
        <f t="shared" si="89"/>
        <v>01</v>
      </c>
      <c r="N1564" t="s">
        <v>12</v>
      </c>
    </row>
    <row r="1565" spans="1:14" x14ac:dyDescent="0.25">
      <c r="A1565">
        <v>20160129</v>
      </c>
      <c r="B1565" t="str">
        <f>"062023"</f>
        <v>062023</v>
      </c>
      <c r="C1565" t="str">
        <f>"80755"</f>
        <v>80755</v>
      </c>
      <c r="D1565" t="s">
        <v>723</v>
      </c>
      <c r="E1565" s="3">
        <v>685</v>
      </c>
      <c r="F1565">
        <v>20160128</v>
      </c>
      <c r="G1565" t="s">
        <v>708</v>
      </c>
      <c r="H1565" t="s">
        <v>926</v>
      </c>
      <c r="I1565">
        <v>0</v>
      </c>
      <c r="J1565" t="s">
        <v>289</v>
      </c>
      <c r="K1565" t="s">
        <v>290</v>
      </c>
      <c r="L1565" t="s">
        <v>285</v>
      </c>
      <c r="M1565" t="str">
        <f t="shared" si="89"/>
        <v>01</v>
      </c>
      <c r="N1565" t="s">
        <v>12</v>
      </c>
    </row>
    <row r="1566" spans="1:14" x14ac:dyDescent="0.25">
      <c r="A1566">
        <v>20160129</v>
      </c>
      <c r="B1566" t="str">
        <f>"062023"</f>
        <v>062023</v>
      </c>
      <c r="C1566" t="str">
        <f>"80755"</f>
        <v>80755</v>
      </c>
      <c r="D1566" t="s">
        <v>723</v>
      </c>
      <c r="E1566" s="3">
        <v>160</v>
      </c>
      <c r="F1566">
        <v>20160128</v>
      </c>
      <c r="G1566" t="s">
        <v>852</v>
      </c>
      <c r="H1566" t="s">
        <v>927</v>
      </c>
      <c r="I1566">
        <v>0</v>
      </c>
      <c r="J1566" t="s">
        <v>289</v>
      </c>
      <c r="K1566" t="s">
        <v>290</v>
      </c>
      <c r="L1566" t="s">
        <v>285</v>
      </c>
      <c r="M1566" t="str">
        <f t="shared" si="89"/>
        <v>01</v>
      </c>
      <c r="N1566" t="s">
        <v>12</v>
      </c>
    </row>
    <row r="1567" spans="1:14" x14ac:dyDescent="0.25">
      <c r="A1567">
        <v>20160129</v>
      </c>
      <c r="B1567" t="str">
        <f>"062025"</f>
        <v>062025</v>
      </c>
      <c r="C1567" t="str">
        <f>"83202"</f>
        <v>83202</v>
      </c>
      <c r="D1567" t="s">
        <v>928</v>
      </c>
      <c r="E1567" s="3">
        <v>135</v>
      </c>
      <c r="F1567">
        <v>20160128</v>
      </c>
      <c r="G1567" t="s">
        <v>758</v>
      </c>
      <c r="H1567" t="s">
        <v>921</v>
      </c>
      <c r="I1567">
        <v>0</v>
      </c>
      <c r="J1567" t="s">
        <v>289</v>
      </c>
      <c r="K1567" t="s">
        <v>95</v>
      </c>
      <c r="L1567" t="s">
        <v>285</v>
      </c>
      <c r="M1567" t="str">
        <f t="shared" si="89"/>
        <v>01</v>
      </c>
      <c r="N1567" t="s">
        <v>12</v>
      </c>
    </row>
    <row r="1568" spans="1:14" x14ac:dyDescent="0.25">
      <c r="A1568">
        <v>20160129</v>
      </c>
      <c r="B1568" t="str">
        <f>"062027"</f>
        <v>062027</v>
      </c>
      <c r="C1568" t="str">
        <f>"84559"</f>
        <v>84559</v>
      </c>
      <c r="D1568" t="s">
        <v>524</v>
      </c>
      <c r="E1568" s="3">
        <v>135</v>
      </c>
      <c r="F1568">
        <v>20160128</v>
      </c>
      <c r="G1568" t="s">
        <v>703</v>
      </c>
      <c r="H1568" t="s">
        <v>925</v>
      </c>
      <c r="I1568">
        <v>0</v>
      </c>
      <c r="J1568" t="s">
        <v>289</v>
      </c>
      <c r="K1568" t="s">
        <v>95</v>
      </c>
      <c r="L1568" t="s">
        <v>285</v>
      </c>
      <c r="M1568" t="str">
        <f t="shared" si="89"/>
        <v>01</v>
      </c>
      <c r="N1568" t="s">
        <v>12</v>
      </c>
    </row>
    <row r="1569" spans="1:14" x14ac:dyDescent="0.25">
      <c r="A1569">
        <v>20160129</v>
      </c>
      <c r="B1569" t="str">
        <f>"062028"</f>
        <v>062028</v>
      </c>
      <c r="C1569" t="str">
        <f>"84654"</f>
        <v>84654</v>
      </c>
      <c r="D1569" t="s">
        <v>525</v>
      </c>
      <c r="E1569" s="3">
        <v>43.78</v>
      </c>
      <c r="F1569">
        <v>20160128</v>
      </c>
      <c r="G1569" t="s">
        <v>310</v>
      </c>
      <c r="H1569" t="s">
        <v>720</v>
      </c>
      <c r="I1569">
        <v>0</v>
      </c>
      <c r="J1569" t="s">
        <v>289</v>
      </c>
      <c r="K1569" t="s">
        <v>290</v>
      </c>
      <c r="L1569" t="s">
        <v>285</v>
      </c>
      <c r="M1569" t="str">
        <f t="shared" si="89"/>
        <v>01</v>
      </c>
      <c r="N1569" t="s">
        <v>12</v>
      </c>
    </row>
    <row r="1570" spans="1:14" x14ac:dyDescent="0.25">
      <c r="A1570">
        <v>20160129</v>
      </c>
      <c r="B1570" t="str">
        <f>"062028"</f>
        <v>062028</v>
      </c>
      <c r="C1570" t="str">
        <f>"84654"</f>
        <v>84654</v>
      </c>
      <c r="D1570" t="s">
        <v>525</v>
      </c>
      <c r="E1570" s="3">
        <v>-43.78</v>
      </c>
      <c r="F1570">
        <v>20160129</v>
      </c>
      <c r="G1570" t="s">
        <v>310</v>
      </c>
      <c r="H1570" t="s">
        <v>228</v>
      </c>
      <c r="I1570">
        <v>0</v>
      </c>
      <c r="J1570" t="s">
        <v>289</v>
      </c>
      <c r="K1570" t="s">
        <v>290</v>
      </c>
      <c r="L1570" t="s">
        <v>17</v>
      </c>
      <c r="M1570" t="str">
        <f t="shared" si="89"/>
        <v>01</v>
      </c>
      <c r="N1570" t="s">
        <v>12</v>
      </c>
    </row>
    <row r="1571" spans="1:14" x14ac:dyDescent="0.25">
      <c r="A1571">
        <v>20160203</v>
      </c>
      <c r="B1571" t="str">
        <f>"062029"</f>
        <v>062029</v>
      </c>
      <c r="C1571" t="str">
        <f>"03332"</f>
        <v>03332</v>
      </c>
      <c r="D1571" t="s">
        <v>403</v>
      </c>
      <c r="E1571" s="3">
        <v>576</v>
      </c>
      <c r="F1571">
        <v>20160203</v>
      </c>
      <c r="G1571" t="s">
        <v>599</v>
      </c>
      <c r="H1571" t="s">
        <v>929</v>
      </c>
      <c r="I1571">
        <v>0</v>
      </c>
      <c r="J1571" t="s">
        <v>289</v>
      </c>
      <c r="K1571" t="s">
        <v>290</v>
      </c>
      <c r="L1571" t="s">
        <v>17</v>
      </c>
      <c r="M1571" t="str">
        <f t="shared" ref="M1571:M1602" si="90">"02"</f>
        <v>02</v>
      </c>
      <c r="N1571" t="s">
        <v>12</v>
      </c>
    </row>
    <row r="1572" spans="1:14" x14ac:dyDescent="0.25">
      <c r="A1572">
        <v>20160203</v>
      </c>
      <c r="B1572" t="str">
        <f>"062030"</f>
        <v>062030</v>
      </c>
      <c r="C1572" t="str">
        <f>"22120"</f>
        <v>22120</v>
      </c>
      <c r="D1572" t="s">
        <v>484</v>
      </c>
      <c r="E1572" s="3">
        <v>480</v>
      </c>
      <c r="F1572">
        <v>20160203</v>
      </c>
      <c r="G1572" t="s">
        <v>599</v>
      </c>
      <c r="H1572" t="s">
        <v>930</v>
      </c>
      <c r="I1572">
        <v>0</v>
      </c>
      <c r="J1572" t="s">
        <v>289</v>
      </c>
      <c r="K1572" t="s">
        <v>290</v>
      </c>
      <c r="L1572" t="s">
        <v>17</v>
      </c>
      <c r="M1572" t="str">
        <f t="shared" si="90"/>
        <v>02</v>
      </c>
      <c r="N1572" t="s">
        <v>12</v>
      </c>
    </row>
    <row r="1573" spans="1:14" x14ac:dyDescent="0.25">
      <c r="A1573">
        <v>20160203</v>
      </c>
      <c r="B1573" t="str">
        <f>"062030"</f>
        <v>062030</v>
      </c>
      <c r="C1573" t="str">
        <f>"22120"</f>
        <v>22120</v>
      </c>
      <c r="D1573" t="s">
        <v>484</v>
      </c>
      <c r="E1573" s="3">
        <v>-480</v>
      </c>
      <c r="F1573">
        <v>20160215</v>
      </c>
      <c r="G1573" t="s">
        <v>599</v>
      </c>
      <c r="H1573" t="s">
        <v>214</v>
      </c>
      <c r="I1573">
        <v>0</v>
      </c>
      <c r="J1573" t="s">
        <v>289</v>
      </c>
      <c r="K1573" t="s">
        <v>290</v>
      </c>
      <c r="L1573" t="s">
        <v>17</v>
      </c>
      <c r="M1573" t="str">
        <f t="shared" si="90"/>
        <v>02</v>
      </c>
      <c r="N1573" t="s">
        <v>12</v>
      </c>
    </row>
    <row r="1574" spans="1:14" x14ac:dyDescent="0.25">
      <c r="A1574">
        <v>20160205</v>
      </c>
      <c r="B1574" t="str">
        <f>"062180"</f>
        <v>062180</v>
      </c>
      <c r="C1574" t="str">
        <f>"46928"</f>
        <v>46928</v>
      </c>
      <c r="D1574" t="s">
        <v>859</v>
      </c>
      <c r="E1574" s="3">
        <v>62.5</v>
      </c>
      <c r="F1574">
        <v>20160203</v>
      </c>
      <c r="G1574" t="s">
        <v>744</v>
      </c>
      <c r="H1574" t="s">
        <v>931</v>
      </c>
      <c r="I1574">
        <v>0</v>
      </c>
      <c r="J1574" t="s">
        <v>289</v>
      </c>
      <c r="K1574" t="s">
        <v>290</v>
      </c>
      <c r="L1574" t="s">
        <v>285</v>
      </c>
      <c r="M1574" t="str">
        <f t="shared" si="90"/>
        <v>02</v>
      </c>
      <c r="N1574" t="s">
        <v>12</v>
      </c>
    </row>
    <row r="1575" spans="1:14" x14ac:dyDescent="0.25">
      <c r="A1575">
        <v>20160205</v>
      </c>
      <c r="B1575" t="str">
        <f>"062180"</f>
        <v>062180</v>
      </c>
      <c r="C1575" t="str">
        <f>"46928"</f>
        <v>46928</v>
      </c>
      <c r="D1575" t="s">
        <v>859</v>
      </c>
      <c r="E1575" s="3">
        <v>62.5</v>
      </c>
      <c r="F1575">
        <v>20160203</v>
      </c>
      <c r="G1575" t="s">
        <v>746</v>
      </c>
      <c r="H1575" t="s">
        <v>932</v>
      </c>
      <c r="I1575">
        <v>0</v>
      </c>
      <c r="J1575" t="s">
        <v>289</v>
      </c>
      <c r="K1575" t="s">
        <v>290</v>
      </c>
      <c r="L1575" t="s">
        <v>285</v>
      </c>
      <c r="M1575" t="str">
        <f t="shared" si="90"/>
        <v>02</v>
      </c>
      <c r="N1575" t="s">
        <v>12</v>
      </c>
    </row>
    <row r="1576" spans="1:14" x14ac:dyDescent="0.25">
      <c r="A1576">
        <v>20160205</v>
      </c>
      <c r="B1576" t="str">
        <f>"062182"</f>
        <v>062182</v>
      </c>
      <c r="C1576" t="str">
        <f>"08199"</f>
        <v>08199</v>
      </c>
      <c r="D1576" t="s">
        <v>933</v>
      </c>
      <c r="E1576" s="3">
        <v>95</v>
      </c>
      <c r="F1576">
        <v>20160203</v>
      </c>
      <c r="G1576" t="s">
        <v>934</v>
      </c>
      <c r="H1576" t="s">
        <v>935</v>
      </c>
      <c r="I1576">
        <v>0</v>
      </c>
      <c r="J1576" t="s">
        <v>289</v>
      </c>
      <c r="K1576" t="s">
        <v>290</v>
      </c>
      <c r="L1576" t="s">
        <v>285</v>
      </c>
      <c r="M1576" t="str">
        <f t="shared" si="90"/>
        <v>02</v>
      </c>
      <c r="N1576" t="s">
        <v>12</v>
      </c>
    </row>
    <row r="1577" spans="1:14" x14ac:dyDescent="0.25">
      <c r="A1577">
        <v>20160205</v>
      </c>
      <c r="B1577" t="str">
        <f>"062186"</f>
        <v>062186</v>
      </c>
      <c r="C1577" t="str">
        <f>"18251"</f>
        <v>18251</v>
      </c>
      <c r="D1577" t="s">
        <v>696</v>
      </c>
      <c r="E1577" s="3">
        <v>196</v>
      </c>
      <c r="F1577">
        <v>20160203</v>
      </c>
      <c r="G1577" t="s">
        <v>936</v>
      </c>
      <c r="H1577" t="s">
        <v>937</v>
      </c>
      <c r="I1577">
        <v>0</v>
      </c>
      <c r="J1577" t="s">
        <v>289</v>
      </c>
      <c r="K1577" t="s">
        <v>95</v>
      </c>
      <c r="L1577" t="s">
        <v>285</v>
      </c>
      <c r="M1577" t="str">
        <f t="shared" si="90"/>
        <v>02</v>
      </c>
      <c r="N1577" t="s">
        <v>12</v>
      </c>
    </row>
    <row r="1578" spans="1:14" x14ac:dyDescent="0.25">
      <c r="A1578">
        <v>20160205</v>
      </c>
      <c r="B1578" t="str">
        <f>"062188"</f>
        <v>062188</v>
      </c>
      <c r="C1578" t="str">
        <f>"21841"</f>
        <v>21841</v>
      </c>
      <c r="D1578" t="s">
        <v>938</v>
      </c>
      <c r="E1578" s="3">
        <v>100</v>
      </c>
      <c r="F1578">
        <v>20160203</v>
      </c>
      <c r="G1578" t="s">
        <v>744</v>
      </c>
      <c r="H1578" t="s">
        <v>939</v>
      </c>
      <c r="I1578">
        <v>0</v>
      </c>
      <c r="J1578" t="s">
        <v>289</v>
      </c>
      <c r="K1578" t="s">
        <v>290</v>
      </c>
      <c r="L1578" t="s">
        <v>285</v>
      </c>
      <c r="M1578" t="str">
        <f t="shared" si="90"/>
        <v>02</v>
      </c>
      <c r="N1578" t="s">
        <v>12</v>
      </c>
    </row>
    <row r="1579" spans="1:14" x14ac:dyDescent="0.25">
      <c r="A1579">
        <v>20160205</v>
      </c>
      <c r="B1579" t="str">
        <f>"062190"</f>
        <v>062190</v>
      </c>
      <c r="C1579" t="str">
        <f>"51346"</f>
        <v>51346</v>
      </c>
      <c r="D1579" t="s">
        <v>379</v>
      </c>
      <c r="E1579" s="3">
        <v>126</v>
      </c>
      <c r="F1579">
        <v>20160203</v>
      </c>
      <c r="G1579" t="s">
        <v>940</v>
      </c>
      <c r="H1579" t="s">
        <v>941</v>
      </c>
      <c r="I1579">
        <v>0</v>
      </c>
      <c r="J1579" t="s">
        <v>289</v>
      </c>
      <c r="K1579" t="s">
        <v>290</v>
      </c>
      <c r="L1579" t="s">
        <v>285</v>
      </c>
      <c r="M1579" t="str">
        <f t="shared" si="90"/>
        <v>02</v>
      </c>
      <c r="N1579" t="s">
        <v>12</v>
      </c>
    </row>
    <row r="1580" spans="1:14" x14ac:dyDescent="0.25">
      <c r="A1580">
        <v>20160205</v>
      </c>
      <c r="B1580" t="str">
        <f>"062190"</f>
        <v>062190</v>
      </c>
      <c r="C1580" t="str">
        <f>"51346"</f>
        <v>51346</v>
      </c>
      <c r="D1580" t="s">
        <v>379</v>
      </c>
      <c r="E1580" s="3">
        <v>138</v>
      </c>
      <c r="F1580">
        <v>20160203</v>
      </c>
      <c r="G1580" t="s">
        <v>940</v>
      </c>
      <c r="H1580" t="s">
        <v>862</v>
      </c>
      <c r="I1580">
        <v>0</v>
      </c>
      <c r="J1580" t="s">
        <v>289</v>
      </c>
      <c r="K1580" t="s">
        <v>290</v>
      </c>
      <c r="L1580" t="s">
        <v>285</v>
      </c>
      <c r="M1580" t="str">
        <f t="shared" si="90"/>
        <v>02</v>
      </c>
      <c r="N1580" t="s">
        <v>12</v>
      </c>
    </row>
    <row r="1581" spans="1:14" x14ac:dyDescent="0.25">
      <c r="A1581">
        <v>20160205</v>
      </c>
      <c r="B1581" t="str">
        <f>"062190"</f>
        <v>062190</v>
      </c>
      <c r="C1581" t="str">
        <f>"51346"</f>
        <v>51346</v>
      </c>
      <c r="D1581" t="s">
        <v>379</v>
      </c>
      <c r="E1581" s="3">
        <v>144</v>
      </c>
      <c r="F1581">
        <v>20160203</v>
      </c>
      <c r="G1581" t="s">
        <v>940</v>
      </c>
      <c r="H1581" t="s">
        <v>879</v>
      </c>
      <c r="I1581">
        <v>0</v>
      </c>
      <c r="J1581" t="s">
        <v>289</v>
      </c>
      <c r="K1581" t="s">
        <v>290</v>
      </c>
      <c r="L1581" t="s">
        <v>285</v>
      </c>
      <c r="M1581" t="str">
        <f t="shared" si="90"/>
        <v>02</v>
      </c>
      <c r="N1581" t="s">
        <v>12</v>
      </c>
    </row>
    <row r="1582" spans="1:14" x14ac:dyDescent="0.25">
      <c r="A1582">
        <v>20160205</v>
      </c>
      <c r="B1582" t="str">
        <f>"062196"</f>
        <v>062196</v>
      </c>
      <c r="C1582" t="str">
        <f>"24351"</f>
        <v>24351</v>
      </c>
      <c r="D1582" t="s">
        <v>798</v>
      </c>
      <c r="E1582" s="3">
        <v>208.95</v>
      </c>
      <c r="F1582">
        <v>20160203</v>
      </c>
      <c r="G1582" t="s">
        <v>727</v>
      </c>
      <c r="H1582" t="s">
        <v>942</v>
      </c>
      <c r="I1582">
        <v>0</v>
      </c>
      <c r="J1582" t="s">
        <v>289</v>
      </c>
      <c r="K1582" t="s">
        <v>95</v>
      </c>
      <c r="L1582" t="s">
        <v>285</v>
      </c>
      <c r="M1582" t="str">
        <f t="shared" si="90"/>
        <v>02</v>
      </c>
      <c r="N1582" t="s">
        <v>12</v>
      </c>
    </row>
    <row r="1583" spans="1:14" x14ac:dyDescent="0.25">
      <c r="A1583">
        <v>20160205</v>
      </c>
      <c r="B1583" t="str">
        <f>"062198"</f>
        <v>062198</v>
      </c>
      <c r="C1583" t="str">
        <f>"28612"</f>
        <v>28612</v>
      </c>
      <c r="D1583" t="s">
        <v>943</v>
      </c>
      <c r="E1583" s="3">
        <v>67.5</v>
      </c>
      <c r="F1583">
        <v>20160204</v>
      </c>
      <c r="G1583" t="s">
        <v>744</v>
      </c>
      <c r="H1583" t="s">
        <v>931</v>
      </c>
      <c r="I1583">
        <v>0</v>
      </c>
      <c r="J1583" t="s">
        <v>289</v>
      </c>
      <c r="K1583" t="s">
        <v>290</v>
      </c>
      <c r="L1583" t="s">
        <v>285</v>
      </c>
      <c r="M1583" t="str">
        <f t="shared" si="90"/>
        <v>02</v>
      </c>
      <c r="N1583" t="s">
        <v>12</v>
      </c>
    </row>
    <row r="1584" spans="1:14" x14ac:dyDescent="0.25">
      <c r="A1584">
        <v>20160205</v>
      </c>
      <c r="B1584" t="str">
        <f>"062198"</f>
        <v>062198</v>
      </c>
      <c r="C1584" t="str">
        <f>"28612"</f>
        <v>28612</v>
      </c>
      <c r="D1584" t="s">
        <v>943</v>
      </c>
      <c r="E1584" s="3">
        <v>67.5</v>
      </c>
      <c r="F1584">
        <v>20160204</v>
      </c>
      <c r="G1584" t="s">
        <v>746</v>
      </c>
      <c r="H1584" t="s">
        <v>932</v>
      </c>
      <c r="I1584">
        <v>0</v>
      </c>
      <c r="J1584" t="s">
        <v>289</v>
      </c>
      <c r="K1584" t="s">
        <v>290</v>
      </c>
      <c r="L1584" t="s">
        <v>285</v>
      </c>
      <c r="M1584" t="str">
        <f t="shared" si="90"/>
        <v>02</v>
      </c>
      <c r="N1584" t="s">
        <v>12</v>
      </c>
    </row>
    <row r="1585" spans="1:14" x14ac:dyDescent="0.25">
      <c r="A1585">
        <v>20160205</v>
      </c>
      <c r="B1585" t="str">
        <f>"062202"</f>
        <v>062202</v>
      </c>
      <c r="C1585" t="str">
        <f>"30155"</f>
        <v>30155</v>
      </c>
      <c r="D1585" t="s">
        <v>944</v>
      </c>
      <c r="E1585" s="3">
        <v>125</v>
      </c>
      <c r="F1585">
        <v>20160204</v>
      </c>
      <c r="G1585" t="s">
        <v>893</v>
      </c>
      <c r="H1585" t="s">
        <v>945</v>
      </c>
      <c r="I1585">
        <v>0</v>
      </c>
      <c r="J1585" t="s">
        <v>289</v>
      </c>
      <c r="K1585" t="s">
        <v>290</v>
      </c>
      <c r="L1585" t="s">
        <v>285</v>
      </c>
      <c r="M1585" t="str">
        <f t="shared" si="90"/>
        <v>02</v>
      </c>
      <c r="N1585" t="s">
        <v>12</v>
      </c>
    </row>
    <row r="1586" spans="1:14" x14ac:dyDescent="0.25">
      <c r="A1586">
        <v>20160205</v>
      </c>
      <c r="B1586" t="str">
        <f>"062205"</f>
        <v>062205</v>
      </c>
      <c r="C1586" t="str">
        <f>"31399"</f>
        <v>31399</v>
      </c>
      <c r="D1586" t="s">
        <v>946</v>
      </c>
      <c r="E1586" s="3">
        <v>80</v>
      </c>
      <c r="F1586">
        <v>20160204</v>
      </c>
      <c r="G1586" t="s">
        <v>934</v>
      </c>
      <c r="H1586" t="s">
        <v>935</v>
      </c>
      <c r="I1586">
        <v>0</v>
      </c>
      <c r="J1586" t="s">
        <v>289</v>
      </c>
      <c r="K1586" t="s">
        <v>290</v>
      </c>
      <c r="L1586" t="s">
        <v>285</v>
      </c>
      <c r="M1586" t="str">
        <f t="shared" si="90"/>
        <v>02</v>
      </c>
      <c r="N1586" t="s">
        <v>12</v>
      </c>
    </row>
    <row r="1587" spans="1:14" x14ac:dyDescent="0.25">
      <c r="A1587">
        <v>20160205</v>
      </c>
      <c r="B1587" t="str">
        <f>"062207"</f>
        <v>062207</v>
      </c>
      <c r="C1587" t="str">
        <f>"33769"</f>
        <v>33769</v>
      </c>
      <c r="D1587" t="s">
        <v>947</v>
      </c>
      <c r="E1587" s="3">
        <v>113</v>
      </c>
      <c r="F1587">
        <v>20160204</v>
      </c>
      <c r="G1587" t="s">
        <v>948</v>
      </c>
      <c r="H1587" t="s">
        <v>949</v>
      </c>
      <c r="I1587">
        <v>0</v>
      </c>
      <c r="J1587" t="s">
        <v>289</v>
      </c>
      <c r="K1587" t="s">
        <v>290</v>
      </c>
      <c r="L1587" t="s">
        <v>285</v>
      </c>
      <c r="M1587" t="str">
        <f t="shared" si="90"/>
        <v>02</v>
      </c>
      <c r="N1587" t="s">
        <v>12</v>
      </c>
    </row>
    <row r="1588" spans="1:14" x14ac:dyDescent="0.25">
      <c r="A1588">
        <v>20160205</v>
      </c>
      <c r="B1588" t="str">
        <f>"062209"</f>
        <v>062209</v>
      </c>
      <c r="C1588" t="str">
        <f>"34901"</f>
        <v>34901</v>
      </c>
      <c r="D1588" t="s">
        <v>431</v>
      </c>
      <c r="E1588" s="3">
        <v>82.5</v>
      </c>
      <c r="F1588">
        <v>20160204</v>
      </c>
      <c r="G1588" t="s">
        <v>744</v>
      </c>
      <c r="H1588" t="s">
        <v>931</v>
      </c>
      <c r="I1588">
        <v>0</v>
      </c>
      <c r="J1588" t="s">
        <v>289</v>
      </c>
      <c r="K1588" t="s">
        <v>290</v>
      </c>
      <c r="L1588" t="s">
        <v>285</v>
      </c>
      <c r="M1588" t="str">
        <f t="shared" si="90"/>
        <v>02</v>
      </c>
      <c r="N1588" t="s">
        <v>12</v>
      </c>
    </row>
    <row r="1589" spans="1:14" x14ac:dyDescent="0.25">
      <c r="A1589">
        <v>20160205</v>
      </c>
      <c r="B1589" t="str">
        <f>"062209"</f>
        <v>062209</v>
      </c>
      <c r="C1589" t="str">
        <f>"34901"</f>
        <v>34901</v>
      </c>
      <c r="D1589" t="s">
        <v>431</v>
      </c>
      <c r="E1589" s="3">
        <v>82.5</v>
      </c>
      <c r="F1589">
        <v>20160204</v>
      </c>
      <c r="G1589" t="s">
        <v>746</v>
      </c>
      <c r="H1589" t="s">
        <v>932</v>
      </c>
      <c r="I1589">
        <v>0</v>
      </c>
      <c r="J1589" t="s">
        <v>289</v>
      </c>
      <c r="K1589" t="s">
        <v>290</v>
      </c>
      <c r="L1589" t="s">
        <v>285</v>
      </c>
      <c r="M1589" t="str">
        <f t="shared" si="90"/>
        <v>02</v>
      </c>
      <c r="N1589" t="s">
        <v>12</v>
      </c>
    </row>
    <row r="1590" spans="1:14" x14ac:dyDescent="0.25">
      <c r="A1590">
        <v>20160205</v>
      </c>
      <c r="B1590" t="str">
        <f>"062210"</f>
        <v>062210</v>
      </c>
      <c r="C1590" t="str">
        <f>"30947"</f>
        <v>30947</v>
      </c>
      <c r="D1590" t="s">
        <v>950</v>
      </c>
      <c r="E1590" s="3">
        <v>300</v>
      </c>
      <c r="F1590">
        <v>20160204</v>
      </c>
      <c r="G1590" t="s">
        <v>454</v>
      </c>
      <c r="H1590" t="s">
        <v>951</v>
      </c>
      <c r="I1590">
        <v>0</v>
      </c>
      <c r="J1590" t="s">
        <v>289</v>
      </c>
      <c r="K1590" t="s">
        <v>290</v>
      </c>
      <c r="L1590" t="s">
        <v>285</v>
      </c>
      <c r="M1590" t="str">
        <f t="shared" si="90"/>
        <v>02</v>
      </c>
      <c r="N1590" t="s">
        <v>12</v>
      </c>
    </row>
    <row r="1591" spans="1:14" x14ac:dyDescent="0.25">
      <c r="A1591">
        <v>20160205</v>
      </c>
      <c r="B1591" t="str">
        <f>"062210"</f>
        <v>062210</v>
      </c>
      <c r="C1591" t="str">
        <f>"30947"</f>
        <v>30947</v>
      </c>
      <c r="D1591" t="s">
        <v>950</v>
      </c>
      <c r="E1591" s="3">
        <v>1275</v>
      </c>
      <c r="F1591">
        <v>20160204</v>
      </c>
      <c r="G1591" t="s">
        <v>454</v>
      </c>
      <c r="H1591" t="s">
        <v>952</v>
      </c>
      <c r="I1591">
        <v>0</v>
      </c>
      <c r="J1591" t="s">
        <v>289</v>
      </c>
      <c r="K1591" t="s">
        <v>290</v>
      </c>
      <c r="L1591" t="s">
        <v>285</v>
      </c>
      <c r="M1591" t="str">
        <f t="shared" si="90"/>
        <v>02</v>
      </c>
      <c r="N1591" t="s">
        <v>12</v>
      </c>
    </row>
    <row r="1592" spans="1:14" x14ac:dyDescent="0.25">
      <c r="A1592">
        <v>20160205</v>
      </c>
      <c r="B1592" t="str">
        <f>"062210"</f>
        <v>062210</v>
      </c>
      <c r="C1592" t="str">
        <f>"30947"</f>
        <v>30947</v>
      </c>
      <c r="D1592" t="s">
        <v>950</v>
      </c>
      <c r="E1592" s="3">
        <v>24</v>
      </c>
      <c r="F1592">
        <v>20160204</v>
      </c>
      <c r="G1592" t="s">
        <v>454</v>
      </c>
      <c r="H1592" t="s">
        <v>952</v>
      </c>
      <c r="I1592">
        <v>0</v>
      </c>
      <c r="J1592" t="s">
        <v>289</v>
      </c>
      <c r="K1592" t="s">
        <v>290</v>
      </c>
      <c r="L1592" t="s">
        <v>285</v>
      </c>
      <c r="M1592" t="str">
        <f t="shared" si="90"/>
        <v>02</v>
      </c>
      <c r="N1592" t="s">
        <v>12</v>
      </c>
    </row>
    <row r="1593" spans="1:14" x14ac:dyDescent="0.25">
      <c r="A1593">
        <v>20160205</v>
      </c>
      <c r="B1593" t="str">
        <f>"062214"</f>
        <v>062214</v>
      </c>
      <c r="C1593" t="str">
        <f>"39319"</f>
        <v>39319</v>
      </c>
      <c r="D1593" t="s">
        <v>953</v>
      </c>
      <c r="E1593" s="3">
        <v>82.5</v>
      </c>
      <c r="F1593">
        <v>20160204</v>
      </c>
      <c r="G1593" t="s">
        <v>744</v>
      </c>
      <c r="H1593" t="s">
        <v>931</v>
      </c>
      <c r="I1593">
        <v>0</v>
      </c>
      <c r="J1593" t="s">
        <v>289</v>
      </c>
      <c r="K1593" t="s">
        <v>290</v>
      </c>
      <c r="L1593" t="s">
        <v>285</v>
      </c>
      <c r="M1593" t="str">
        <f t="shared" si="90"/>
        <v>02</v>
      </c>
      <c r="N1593" t="s">
        <v>12</v>
      </c>
    </row>
    <row r="1594" spans="1:14" x14ac:dyDescent="0.25">
      <c r="A1594">
        <v>20160205</v>
      </c>
      <c r="B1594" t="str">
        <f>"062214"</f>
        <v>062214</v>
      </c>
      <c r="C1594" t="str">
        <f>"39319"</f>
        <v>39319</v>
      </c>
      <c r="D1594" t="s">
        <v>953</v>
      </c>
      <c r="E1594" s="3">
        <v>82.5</v>
      </c>
      <c r="F1594">
        <v>20160204</v>
      </c>
      <c r="G1594" t="s">
        <v>746</v>
      </c>
      <c r="H1594" t="s">
        <v>932</v>
      </c>
      <c r="I1594">
        <v>0</v>
      </c>
      <c r="J1594" t="s">
        <v>289</v>
      </c>
      <c r="K1594" t="s">
        <v>290</v>
      </c>
      <c r="L1594" t="s">
        <v>285</v>
      </c>
      <c r="M1594" t="str">
        <f t="shared" si="90"/>
        <v>02</v>
      </c>
      <c r="N1594" t="s">
        <v>12</v>
      </c>
    </row>
    <row r="1595" spans="1:14" x14ac:dyDescent="0.25">
      <c r="A1595">
        <v>20160205</v>
      </c>
      <c r="B1595" t="str">
        <f>"062223"</f>
        <v>062223</v>
      </c>
      <c r="C1595" t="str">
        <f>"48076"</f>
        <v>48076</v>
      </c>
      <c r="D1595" t="s">
        <v>954</v>
      </c>
      <c r="E1595" s="3">
        <v>67.5</v>
      </c>
      <c r="F1595">
        <v>20160204</v>
      </c>
      <c r="G1595" t="s">
        <v>744</v>
      </c>
      <c r="H1595" t="s">
        <v>931</v>
      </c>
      <c r="I1595">
        <v>0</v>
      </c>
      <c r="J1595" t="s">
        <v>289</v>
      </c>
      <c r="K1595" t="s">
        <v>290</v>
      </c>
      <c r="L1595" t="s">
        <v>285</v>
      </c>
      <c r="M1595" t="str">
        <f t="shared" si="90"/>
        <v>02</v>
      </c>
      <c r="N1595" t="s">
        <v>12</v>
      </c>
    </row>
    <row r="1596" spans="1:14" x14ac:dyDescent="0.25">
      <c r="A1596">
        <v>20160205</v>
      </c>
      <c r="B1596" t="str">
        <f>"062223"</f>
        <v>062223</v>
      </c>
      <c r="C1596" t="str">
        <f>"48076"</f>
        <v>48076</v>
      </c>
      <c r="D1596" t="s">
        <v>954</v>
      </c>
      <c r="E1596" s="3">
        <v>67.5</v>
      </c>
      <c r="F1596">
        <v>20160204</v>
      </c>
      <c r="G1596" t="s">
        <v>746</v>
      </c>
      <c r="H1596" t="s">
        <v>932</v>
      </c>
      <c r="I1596">
        <v>0</v>
      </c>
      <c r="J1596" t="s">
        <v>289</v>
      </c>
      <c r="K1596" t="s">
        <v>290</v>
      </c>
      <c r="L1596" t="s">
        <v>285</v>
      </c>
      <c r="M1596" t="str">
        <f t="shared" si="90"/>
        <v>02</v>
      </c>
      <c r="N1596" t="s">
        <v>12</v>
      </c>
    </row>
    <row r="1597" spans="1:14" x14ac:dyDescent="0.25">
      <c r="A1597">
        <v>20160205</v>
      </c>
      <c r="B1597" t="str">
        <f>"062225"</f>
        <v>062225</v>
      </c>
      <c r="C1597" t="str">
        <f>"53464"</f>
        <v>53464</v>
      </c>
      <c r="D1597" t="s">
        <v>955</v>
      </c>
      <c r="E1597" s="3">
        <v>95</v>
      </c>
      <c r="F1597">
        <v>20160204</v>
      </c>
      <c r="G1597" t="s">
        <v>934</v>
      </c>
      <c r="H1597" t="s">
        <v>935</v>
      </c>
      <c r="I1597">
        <v>0</v>
      </c>
      <c r="J1597" t="s">
        <v>289</v>
      </c>
      <c r="K1597" t="s">
        <v>290</v>
      </c>
      <c r="L1597" t="s">
        <v>285</v>
      </c>
      <c r="M1597" t="str">
        <f t="shared" si="90"/>
        <v>02</v>
      </c>
      <c r="N1597" t="s">
        <v>12</v>
      </c>
    </row>
    <row r="1598" spans="1:14" x14ac:dyDescent="0.25">
      <c r="A1598">
        <v>20160205</v>
      </c>
      <c r="B1598" t="str">
        <f>"062227"</f>
        <v>062227</v>
      </c>
      <c r="C1598" t="str">
        <f>"56340"</f>
        <v>56340</v>
      </c>
      <c r="D1598" t="s">
        <v>956</v>
      </c>
      <c r="E1598" s="3">
        <v>110</v>
      </c>
      <c r="F1598">
        <v>20160204</v>
      </c>
      <c r="G1598" t="s">
        <v>948</v>
      </c>
      <c r="H1598" t="s">
        <v>949</v>
      </c>
      <c r="I1598">
        <v>0</v>
      </c>
      <c r="J1598" t="s">
        <v>289</v>
      </c>
      <c r="K1598" t="s">
        <v>290</v>
      </c>
      <c r="L1598" t="s">
        <v>285</v>
      </c>
      <c r="M1598" t="str">
        <f t="shared" si="90"/>
        <v>02</v>
      </c>
      <c r="N1598" t="s">
        <v>12</v>
      </c>
    </row>
    <row r="1599" spans="1:14" x14ac:dyDescent="0.25">
      <c r="A1599">
        <v>20160205</v>
      </c>
      <c r="B1599" t="str">
        <f>"062228"</f>
        <v>062228</v>
      </c>
      <c r="C1599" t="str">
        <f>"57322"</f>
        <v>57322</v>
      </c>
      <c r="D1599" t="s">
        <v>957</v>
      </c>
      <c r="E1599" s="3">
        <v>96</v>
      </c>
      <c r="F1599">
        <v>20160204</v>
      </c>
      <c r="G1599" t="s">
        <v>420</v>
      </c>
      <c r="H1599" t="s">
        <v>958</v>
      </c>
      <c r="I1599">
        <v>0</v>
      </c>
      <c r="J1599" t="s">
        <v>289</v>
      </c>
      <c r="K1599" t="s">
        <v>290</v>
      </c>
      <c r="L1599" t="s">
        <v>285</v>
      </c>
      <c r="M1599" t="str">
        <f t="shared" si="90"/>
        <v>02</v>
      </c>
      <c r="N1599" t="s">
        <v>12</v>
      </c>
    </row>
    <row r="1600" spans="1:14" x14ac:dyDescent="0.25">
      <c r="A1600">
        <v>20160205</v>
      </c>
      <c r="B1600" t="str">
        <f>"062250"</f>
        <v>062250</v>
      </c>
      <c r="C1600" t="str">
        <f>"82309"</f>
        <v>82309</v>
      </c>
      <c r="D1600" t="s">
        <v>959</v>
      </c>
      <c r="E1600" s="3">
        <v>100</v>
      </c>
      <c r="F1600">
        <v>20160204</v>
      </c>
      <c r="G1600" t="s">
        <v>934</v>
      </c>
      <c r="H1600" t="s">
        <v>960</v>
      </c>
      <c r="I1600">
        <v>0</v>
      </c>
      <c r="J1600" t="s">
        <v>289</v>
      </c>
      <c r="K1600" t="s">
        <v>290</v>
      </c>
      <c r="L1600" t="s">
        <v>285</v>
      </c>
      <c r="M1600" t="str">
        <f t="shared" si="90"/>
        <v>02</v>
      </c>
      <c r="N1600" t="s">
        <v>12</v>
      </c>
    </row>
    <row r="1601" spans="1:14" x14ac:dyDescent="0.25">
      <c r="A1601">
        <v>20160205</v>
      </c>
      <c r="B1601" t="str">
        <f>"062251"</f>
        <v>062251</v>
      </c>
      <c r="C1601" t="str">
        <f>"82308"</f>
        <v>82308</v>
      </c>
      <c r="D1601" t="s">
        <v>961</v>
      </c>
      <c r="E1601" s="3">
        <v>100</v>
      </c>
      <c r="F1601">
        <v>20160204</v>
      </c>
      <c r="G1601" t="s">
        <v>934</v>
      </c>
      <c r="H1601" t="s">
        <v>960</v>
      </c>
      <c r="I1601">
        <v>0</v>
      </c>
      <c r="J1601" t="s">
        <v>289</v>
      </c>
      <c r="K1601" t="s">
        <v>290</v>
      </c>
      <c r="L1601" t="s">
        <v>285</v>
      </c>
      <c r="M1601" t="str">
        <f t="shared" si="90"/>
        <v>02</v>
      </c>
      <c r="N1601" t="s">
        <v>12</v>
      </c>
    </row>
    <row r="1602" spans="1:14" x14ac:dyDescent="0.25">
      <c r="A1602">
        <v>20160205</v>
      </c>
      <c r="B1602" t="str">
        <f>"062252"</f>
        <v>062252</v>
      </c>
      <c r="C1602" t="str">
        <f>"82315"</f>
        <v>82315</v>
      </c>
      <c r="D1602" t="s">
        <v>962</v>
      </c>
      <c r="E1602" s="3">
        <v>85</v>
      </c>
      <c r="F1602">
        <v>20160204</v>
      </c>
      <c r="G1602" t="s">
        <v>934</v>
      </c>
      <c r="H1602" t="s">
        <v>960</v>
      </c>
      <c r="I1602">
        <v>0</v>
      </c>
      <c r="J1602" t="s">
        <v>289</v>
      </c>
      <c r="K1602" t="s">
        <v>290</v>
      </c>
      <c r="L1602" t="s">
        <v>285</v>
      </c>
      <c r="M1602" t="str">
        <f t="shared" si="90"/>
        <v>02</v>
      </c>
      <c r="N1602" t="s">
        <v>12</v>
      </c>
    </row>
    <row r="1603" spans="1:14" x14ac:dyDescent="0.25">
      <c r="A1603">
        <v>20160205</v>
      </c>
      <c r="B1603" t="str">
        <f>"062253"</f>
        <v>062253</v>
      </c>
      <c r="C1603" t="str">
        <f>"84654"</f>
        <v>84654</v>
      </c>
      <c r="D1603" t="s">
        <v>525</v>
      </c>
      <c r="E1603" s="3">
        <v>135</v>
      </c>
      <c r="F1603">
        <v>20160204</v>
      </c>
      <c r="G1603" t="s">
        <v>310</v>
      </c>
      <c r="H1603" t="s">
        <v>720</v>
      </c>
      <c r="I1603">
        <v>0</v>
      </c>
      <c r="J1603" t="s">
        <v>289</v>
      </c>
      <c r="K1603" t="s">
        <v>290</v>
      </c>
      <c r="L1603" t="s">
        <v>285</v>
      </c>
      <c r="M1603" t="str">
        <f t="shared" ref="M1603:M1634" si="91">"02"</f>
        <v>02</v>
      </c>
      <c r="N1603" t="s">
        <v>12</v>
      </c>
    </row>
    <row r="1604" spans="1:14" x14ac:dyDescent="0.25">
      <c r="A1604">
        <v>20160212</v>
      </c>
      <c r="B1604" t="str">
        <f>"062255"</f>
        <v>062255</v>
      </c>
      <c r="C1604" t="str">
        <f>"46928"</f>
        <v>46928</v>
      </c>
      <c r="D1604" t="s">
        <v>859</v>
      </c>
      <c r="E1604" s="3">
        <v>62.5</v>
      </c>
      <c r="F1604">
        <v>20160211</v>
      </c>
      <c r="G1604" t="s">
        <v>744</v>
      </c>
      <c r="H1604" t="s">
        <v>963</v>
      </c>
      <c r="I1604">
        <v>0</v>
      </c>
      <c r="J1604" t="s">
        <v>289</v>
      </c>
      <c r="K1604" t="s">
        <v>290</v>
      </c>
      <c r="L1604" t="s">
        <v>285</v>
      </c>
      <c r="M1604" t="str">
        <f t="shared" si="91"/>
        <v>02</v>
      </c>
      <c r="N1604" t="s">
        <v>12</v>
      </c>
    </row>
    <row r="1605" spans="1:14" x14ac:dyDescent="0.25">
      <c r="A1605">
        <v>20160212</v>
      </c>
      <c r="B1605" t="str">
        <f>"062255"</f>
        <v>062255</v>
      </c>
      <c r="C1605" t="str">
        <f>"46928"</f>
        <v>46928</v>
      </c>
      <c r="D1605" t="s">
        <v>859</v>
      </c>
      <c r="E1605" s="3">
        <v>62.5</v>
      </c>
      <c r="F1605">
        <v>20160211</v>
      </c>
      <c r="G1605" t="s">
        <v>746</v>
      </c>
      <c r="H1605" t="s">
        <v>964</v>
      </c>
      <c r="I1605">
        <v>0</v>
      </c>
      <c r="J1605" t="s">
        <v>289</v>
      </c>
      <c r="K1605" t="s">
        <v>290</v>
      </c>
      <c r="L1605" t="s">
        <v>285</v>
      </c>
      <c r="M1605" t="str">
        <f t="shared" si="91"/>
        <v>02</v>
      </c>
      <c r="N1605" t="s">
        <v>12</v>
      </c>
    </row>
    <row r="1606" spans="1:14" x14ac:dyDescent="0.25">
      <c r="A1606">
        <v>20160212</v>
      </c>
      <c r="B1606" t="str">
        <f>"062264"</f>
        <v>062264</v>
      </c>
      <c r="C1606" t="str">
        <f>"08911"</f>
        <v>08911</v>
      </c>
      <c r="D1606" t="s">
        <v>965</v>
      </c>
      <c r="E1606" s="3">
        <v>42.5</v>
      </c>
      <c r="F1606">
        <v>20160211</v>
      </c>
      <c r="G1606" t="s">
        <v>948</v>
      </c>
      <c r="H1606" t="s">
        <v>966</v>
      </c>
      <c r="I1606">
        <v>0</v>
      </c>
      <c r="J1606" t="s">
        <v>289</v>
      </c>
      <c r="K1606" t="s">
        <v>290</v>
      </c>
      <c r="L1606" t="s">
        <v>285</v>
      </c>
      <c r="M1606" t="str">
        <f t="shared" si="91"/>
        <v>02</v>
      </c>
      <c r="N1606" t="s">
        <v>12</v>
      </c>
    </row>
    <row r="1607" spans="1:14" x14ac:dyDescent="0.25">
      <c r="A1607">
        <v>20160212</v>
      </c>
      <c r="B1607" t="str">
        <f>"062264"</f>
        <v>062264</v>
      </c>
      <c r="C1607" t="str">
        <f>"08911"</f>
        <v>08911</v>
      </c>
      <c r="D1607" t="s">
        <v>965</v>
      </c>
      <c r="E1607" s="3">
        <v>52.5</v>
      </c>
      <c r="F1607">
        <v>20160211</v>
      </c>
      <c r="G1607" t="s">
        <v>948</v>
      </c>
      <c r="H1607" t="s">
        <v>967</v>
      </c>
      <c r="I1607">
        <v>0</v>
      </c>
      <c r="J1607" t="s">
        <v>289</v>
      </c>
      <c r="K1607" t="s">
        <v>290</v>
      </c>
      <c r="L1607" t="s">
        <v>285</v>
      </c>
      <c r="M1607" t="str">
        <f t="shared" si="91"/>
        <v>02</v>
      </c>
      <c r="N1607" t="s">
        <v>12</v>
      </c>
    </row>
    <row r="1608" spans="1:14" x14ac:dyDescent="0.25">
      <c r="A1608">
        <v>20160212</v>
      </c>
      <c r="B1608" t="str">
        <f>"062264"</f>
        <v>062264</v>
      </c>
      <c r="C1608" t="str">
        <f>"08911"</f>
        <v>08911</v>
      </c>
      <c r="D1608" t="s">
        <v>965</v>
      </c>
      <c r="E1608" s="3">
        <v>42.5</v>
      </c>
      <c r="F1608">
        <v>20160211</v>
      </c>
      <c r="G1608" t="s">
        <v>934</v>
      </c>
      <c r="H1608" t="s">
        <v>968</v>
      </c>
      <c r="I1608">
        <v>0</v>
      </c>
      <c r="J1608" t="s">
        <v>289</v>
      </c>
      <c r="K1608" t="s">
        <v>290</v>
      </c>
      <c r="L1608" t="s">
        <v>285</v>
      </c>
      <c r="M1608" t="str">
        <f t="shared" si="91"/>
        <v>02</v>
      </c>
      <c r="N1608" t="s">
        <v>12</v>
      </c>
    </row>
    <row r="1609" spans="1:14" x14ac:dyDescent="0.25">
      <c r="A1609">
        <v>20160212</v>
      </c>
      <c r="B1609" t="str">
        <f>"062264"</f>
        <v>062264</v>
      </c>
      <c r="C1609" t="str">
        <f>"08911"</f>
        <v>08911</v>
      </c>
      <c r="D1609" t="s">
        <v>965</v>
      </c>
      <c r="E1609" s="3">
        <v>52.5</v>
      </c>
      <c r="F1609">
        <v>20160211</v>
      </c>
      <c r="G1609" t="s">
        <v>934</v>
      </c>
      <c r="H1609" t="s">
        <v>969</v>
      </c>
      <c r="I1609">
        <v>0</v>
      </c>
      <c r="J1609" t="s">
        <v>289</v>
      </c>
      <c r="K1609" t="s">
        <v>290</v>
      </c>
      <c r="L1609" t="s">
        <v>285</v>
      </c>
      <c r="M1609" t="str">
        <f t="shared" si="91"/>
        <v>02</v>
      </c>
      <c r="N1609" t="s">
        <v>12</v>
      </c>
    </row>
    <row r="1610" spans="1:14" x14ac:dyDescent="0.25">
      <c r="A1610">
        <v>20160212</v>
      </c>
      <c r="B1610" t="str">
        <f>"062266"</f>
        <v>062266</v>
      </c>
      <c r="C1610" t="str">
        <f>"10403"</f>
        <v>10403</v>
      </c>
      <c r="D1610" t="s">
        <v>337</v>
      </c>
      <c r="E1610" s="3">
        <v>62.5</v>
      </c>
      <c r="F1610">
        <v>20160211</v>
      </c>
      <c r="G1610" t="s">
        <v>744</v>
      </c>
      <c r="H1610" t="s">
        <v>970</v>
      </c>
      <c r="I1610">
        <v>0</v>
      </c>
      <c r="J1610" t="s">
        <v>289</v>
      </c>
      <c r="K1610" t="s">
        <v>290</v>
      </c>
      <c r="L1610" t="s">
        <v>285</v>
      </c>
      <c r="M1610" t="str">
        <f t="shared" si="91"/>
        <v>02</v>
      </c>
      <c r="N1610" t="s">
        <v>12</v>
      </c>
    </row>
    <row r="1611" spans="1:14" x14ac:dyDescent="0.25">
      <c r="A1611">
        <v>20160212</v>
      </c>
      <c r="B1611" t="str">
        <f>"062266"</f>
        <v>062266</v>
      </c>
      <c r="C1611" t="str">
        <f>"10403"</f>
        <v>10403</v>
      </c>
      <c r="D1611" t="s">
        <v>337</v>
      </c>
      <c r="E1611" s="3">
        <v>62.5</v>
      </c>
      <c r="F1611">
        <v>20160211</v>
      </c>
      <c r="G1611" t="s">
        <v>746</v>
      </c>
      <c r="H1611" t="s">
        <v>971</v>
      </c>
      <c r="I1611">
        <v>0</v>
      </c>
      <c r="J1611" t="s">
        <v>289</v>
      </c>
      <c r="K1611" t="s">
        <v>290</v>
      </c>
      <c r="L1611" t="s">
        <v>285</v>
      </c>
      <c r="M1611" t="str">
        <f t="shared" si="91"/>
        <v>02</v>
      </c>
      <c r="N1611" t="s">
        <v>12</v>
      </c>
    </row>
    <row r="1612" spans="1:14" x14ac:dyDescent="0.25">
      <c r="A1612">
        <v>20160212</v>
      </c>
      <c r="B1612" t="str">
        <f>"062267"</f>
        <v>062267</v>
      </c>
      <c r="C1612" t="str">
        <f>"13259"</f>
        <v>13259</v>
      </c>
      <c r="D1612" t="s">
        <v>972</v>
      </c>
      <c r="E1612" s="3">
        <v>52.5</v>
      </c>
      <c r="F1612">
        <v>20160211</v>
      </c>
      <c r="G1612" t="s">
        <v>948</v>
      </c>
      <c r="H1612" t="s">
        <v>973</v>
      </c>
      <c r="I1612">
        <v>0</v>
      </c>
      <c r="J1612" t="s">
        <v>289</v>
      </c>
      <c r="K1612" t="s">
        <v>290</v>
      </c>
      <c r="L1612" t="s">
        <v>285</v>
      </c>
      <c r="M1612" t="str">
        <f t="shared" si="91"/>
        <v>02</v>
      </c>
      <c r="N1612" t="s">
        <v>12</v>
      </c>
    </row>
    <row r="1613" spans="1:14" x14ac:dyDescent="0.25">
      <c r="A1613">
        <v>20160212</v>
      </c>
      <c r="B1613" t="str">
        <f>"062267"</f>
        <v>062267</v>
      </c>
      <c r="C1613" t="str">
        <f>"13259"</f>
        <v>13259</v>
      </c>
      <c r="D1613" t="s">
        <v>972</v>
      </c>
      <c r="E1613" s="3">
        <v>52.5</v>
      </c>
      <c r="F1613">
        <v>20160211</v>
      </c>
      <c r="G1613" t="s">
        <v>934</v>
      </c>
      <c r="H1613" t="s">
        <v>974</v>
      </c>
      <c r="I1613">
        <v>0</v>
      </c>
      <c r="J1613" t="s">
        <v>289</v>
      </c>
      <c r="K1613" t="s">
        <v>290</v>
      </c>
      <c r="L1613" t="s">
        <v>285</v>
      </c>
      <c r="M1613" t="str">
        <f t="shared" si="91"/>
        <v>02</v>
      </c>
      <c r="N1613" t="s">
        <v>12</v>
      </c>
    </row>
    <row r="1614" spans="1:14" x14ac:dyDescent="0.25">
      <c r="A1614">
        <v>20160212</v>
      </c>
      <c r="B1614" t="str">
        <f t="shared" ref="B1614:B1621" si="92">"062268"</f>
        <v>062268</v>
      </c>
      <c r="C1614" t="str">
        <f t="shared" ref="C1614:C1621" si="93">"08788"</f>
        <v>08788</v>
      </c>
      <c r="D1614" t="s">
        <v>302</v>
      </c>
      <c r="E1614" s="3">
        <v>3680</v>
      </c>
      <c r="F1614">
        <v>20160211</v>
      </c>
      <c r="G1614" t="s">
        <v>975</v>
      </c>
      <c r="H1614" t="s">
        <v>976</v>
      </c>
      <c r="I1614">
        <v>0</v>
      </c>
      <c r="J1614" t="s">
        <v>289</v>
      </c>
      <c r="K1614" t="s">
        <v>290</v>
      </c>
      <c r="L1614" t="s">
        <v>285</v>
      </c>
      <c r="M1614" t="str">
        <f t="shared" si="91"/>
        <v>02</v>
      </c>
      <c r="N1614" t="s">
        <v>12</v>
      </c>
    </row>
    <row r="1615" spans="1:14" x14ac:dyDescent="0.25">
      <c r="A1615">
        <v>20160212</v>
      </c>
      <c r="B1615" t="str">
        <f t="shared" si="92"/>
        <v>062268</v>
      </c>
      <c r="C1615" t="str">
        <f t="shared" si="93"/>
        <v>08788</v>
      </c>
      <c r="D1615" t="s">
        <v>302</v>
      </c>
      <c r="E1615" s="3">
        <v>101.9</v>
      </c>
      <c r="F1615">
        <v>20160211</v>
      </c>
      <c r="G1615" t="s">
        <v>481</v>
      </c>
      <c r="H1615" t="s">
        <v>977</v>
      </c>
      <c r="I1615">
        <v>0</v>
      </c>
      <c r="J1615" t="s">
        <v>289</v>
      </c>
      <c r="K1615" t="s">
        <v>290</v>
      </c>
      <c r="L1615" t="s">
        <v>285</v>
      </c>
      <c r="M1615" t="str">
        <f t="shared" si="91"/>
        <v>02</v>
      </c>
      <c r="N1615" t="s">
        <v>12</v>
      </c>
    </row>
    <row r="1616" spans="1:14" x14ac:dyDescent="0.25">
      <c r="A1616">
        <v>20160212</v>
      </c>
      <c r="B1616" t="str">
        <f t="shared" si="92"/>
        <v>062268</v>
      </c>
      <c r="C1616" t="str">
        <f t="shared" si="93"/>
        <v>08788</v>
      </c>
      <c r="D1616" t="s">
        <v>302</v>
      </c>
      <c r="E1616" s="3">
        <v>2031.57</v>
      </c>
      <c r="F1616">
        <v>20160211</v>
      </c>
      <c r="G1616" t="s">
        <v>517</v>
      </c>
      <c r="H1616" t="s">
        <v>978</v>
      </c>
      <c r="I1616">
        <v>0</v>
      </c>
      <c r="J1616" t="s">
        <v>289</v>
      </c>
      <c r="K1616" t="s">
        <v>95</v>
      </c>
      <c r="L1616" t="s">
        <v>285</v>
      </c>
      <c r="M1616" t="str">
        <f t="shared" si="91"/>
        <v>02</v>
      </c>
      <c r="N1616" t="s">
        <v>12</v>
      </c>
    </row>
    <row r="1617" spans="1:14" x14ac:dyDescent="0.25">
      <c r="A1617">
        <v>20160212</v>
      </c>
      <c r="B1617" t="str">
        <f t="shared" si="92"/>
        <v>062268</v>
      </c>
      <c r="C1617" t="str">
        <f t="shared" si="93"/>
        <v>08788</v>
      </c>
      <c r="D1617" t="s">
        <v>302</v>
      </c>
      <c r="E1617" s="3">
        <v>461.38</v>
      </c>
      <c r="F1617">
        <v>20160211</v>
      </c>
      <c r="G1617" t="s">
        <v>517</v>
      </c>
      <c r="H1617" t="s">
        <v>979</v>
      </c>
      <c r="I1617">
        <v>0</v>
      </c>
      <c r="J1617" t="s">
        <v>289</v>
      </c>
      <c r="K1617" t="s">
        <v>95</v>
      </c>
      <c r="L1617" t="s">
        <v>285</v>
      </c>
      <c r="M1617" t="str">
        <f t="shared" si="91"/>
        <v>02</v>
      </c>
      <c r="N1617" t="s">
        <v>12</v>
      </c>
    </row>
    <row r="1618" spans="1:14" x14ac:dyDescent="0.25">
      <c r="A1618">
        <v>20160212</v>
      </c>
      <c r="B1618" t="str">
        <f t="shared" si="92"/>
        <v>062268</v>
      </c>
      <c r="C1618" t="str">
        <f t="shared" si="93"/>
        <v>08788</v>
      </c>
      <c r="D1618" t="s">
        <v>302</v>
      </c>
      <c r="E1618" s="3">
        <v>471.94</v>
      </c>
      <c r="F1618">
        <v>20160211</v>
      </c>
      <c r="G1618" t="s">
        <v>517</v>
      </c>
      <c r="H1618" t="s">
        <v>980</v>
      </c>
      <c r="I1618">
        <v>0</v>
      </c>
      <c r="J1618" t="s">
        <v>289</v>
      </c>
      <c r="K1618" t="s">
        <v>95</v>
      </c>
      <c r="L1618" t="s">
        <v>285</v>
      </c>
      <c r="M1618" t="str">
        <f t="shared" si="91"/>
        <v>02</v>
      </c>
      <c r="N1618" t="s">
        <v>12</v>
      </c>
    </row>
    <row r="1619" spans="1:14" x14ac:dyDescent="0.25">
      <c r="A1619">
        <v>20160212</v>
      </c>
      <c r="B1619" t="str">
        <f t="shared" si="92"/>
        <v>062268</v>
      </c>
      <c r="C1619" t="str">
        <f t="shared" si="93"/>
        <v>08788</v>
      </c>
      <c r="D1619" t="s">
        <v>302</v>
      </c>
      <c r="E1619" s="3">
        <v>127.5</v>
      </c>
      <c r="F1619">
        <v>20160211</v>
      </c>
      <c r="G1619" t="s">
        <v>517</v>
      </c>
      <c r="H1619" t="s">
        <v>981</v>
      </c>
      <c r="I1619">
        <v>0</v>
      </c>
      <c r="J1619" t="s">
        <v>289</v>
      </c>
      <c r="K1619" t="s">
        <v>95</v>
      </c>
      <c r="L1619" t="s">
        <v>285</v>
      </c>
      <c r="M1619" t="str">
        <f t="shared" si="91"/>
        <v>02</v>
      </c>
      <c r="N1619" t="s">
        <v>12</v>
      </c>
    </row>
    <row r="1620" spans="1:14" x14ac:dyDescent="0.25">
      <c r="A1620">
        <v>20160212</v>
      </c>
      <c r="B1620" t="str">
        <f t="shared" si="92"/>
        <v>062268</v>
      </c>
      <c r="C1620" t="str">
        <f t="shared" si="93"/>
        <v>08788</v>
      </c>
      <c r="D1620" t="s">
        <v>302</v>
      </c>
      <c r="E1620" s="3">
        <v>1165</v>
      </c>
      <c r="F1620">
        <v>20160211</v>
      </c>
      <c r="G1620" t="s">
        <v>684</v>
      </c>
      <c r="H1620" t="s">
        <v>982</v>
      </c>
      <c r="I1620">
        <v>0</v>
      </c>
      <c r="J1620" t="s">
        <v>289</v>
      </c>
      <c r="K1620" t="s">
        <v>290</v>
      </c>
      <c r="L1620" t="s">
        <v>285</v>
      </c>
      <c r="M1620" t="str">
        <f t="shared" si="91"/>
        <v>02</v>
      </c>
      <c r="N1620" t="s">
        <v>12</v>
      </c>
    </row>
    <row r="1621" spans="1:14" x14ac:dyDescent="0.25">
      <c r="A1621">
        <v>20160212</v>
      </c>
      <c r="B1621" t="str">
        <f t="shared" si="92"/>
        <v>062268</v>
      </c>
      <c r="C1621" t="str">
        <f t="shared" si="93"/>
        <v>08788</v>
      </c>
      <c r="D1621" t="s">
        <v>302</v>
      </c>
      <c r="E1621" s="3">
        <v>807.91</v>
      </c>
      <c r="F1621">
        <v>20160211</v>
      </c>
      <c r="G1621" t="s">
        <v>983</v>
      </c>
      <c r="H1621" t="s">
        <v>984</v>
      </c>
      <c r="I1621">
        <v>0</v>
      </c>
      <c r="J1621" t="s">
        <v>289</v>
      </c>
      <c r="K1621" t="s">
        <v>95</v>
      </c>
      <c r="L1621" t="s">
        <v>285</v>
      </c>
      <c r="M1621" t="str">
        <f t="shared" si="91"/>
        <v>02</v>
      </c>
      <c r="N1621" t="s">
        <v>12</v>
      </c>
    </row>
    <row r="1622" spans="1:14" x14ac:dyDescent="0.25">
      <c r="A1622">
        <v>20160212</v>
      </c>
      <c r="B1622" t="str">
        <f>"062269"</f>
        <v>062269</v>
      </c>
      <c r="C1622" t="str">
        <f>"18251"</f>
        <v>18251</v>
      </c>
      <c r="D1622" t="s">
        <v>696</v>
      </c>
      <c r="E1622" s="3">
        <v>510</v>
      </c>
      <c r="F1622">
        <v>20160211</v>
      </c>
      <c r="G1622" t="s">
        <v>856</v>
      </c>
      <c r="H1622" t="s">
        <v>985</v>
      </c>
      <c r="I1622">
        <v>0</v>
      </c>
      <c r="J1622" t="s">
        <v>289</v>
      </c>
      <c r="K1622" t="s">
        <v>290</v>
      </c>
      <c r="L1622" t="s">
        <v>285</v>
      </c>
      <c r="M1622" t="str">
        <f t="shared" si="91"/>
        <v>02</v>
      </c>
      <c r="N1622" t="s">
        <v>12</v>
      </c>
    </row>
    <row r="1623" spans="1:14" x14ac:dyDescent="0.25">
      <c r="A1623">
        <v>20160212</v>
      </c>
      <c r="B1623" t="str">
        <f>"062271"</f>
        <v>062271</v>
      </c>
      <c r="C1623" t="str">
        <f>"19073"</f>
        <v>19073</v>
      </c>
      <c r="D1623" t="s">
        <v>748</v>
      </c>
      <c r="E1623" s="3">
        <v>62.5</v>
      </c>
      <c r="F1623">
        <v>20160211</v>
      </c>
      <c r="G1623" t="s">
        <v>744</v>
      </c>
      <c r="H1623" t="s">
        <v>963</v>
      </c>
      <c r="I1623">
        <v>0</v>
      </c>
      <c r="J1623" t="s">
        <v>289</v>
      </c>
      <c r="K1623" t="s">
        <v>290</v>
      </c>
      <c r="L1623" t="s">
        <v>285</v>
      </c>
      <c r="M1623" t="str">
        <f t="shared" si="91"/>
        <v>02</v>
      </c>
      <c r="N1623" t="s">
        <v>12</v>
      </c>
    </row>
    <row r="1624" spans="1:14" x14ac:dyDescent="0.25">
      <c r="A1624">
        <v>20160212</v>
      </c>
      <c r="B1624" t="str">
        <f>"062271"</f>
        <v>062271</v>
      </c>
      <c r="C1624" t="str">
        <f>"19073"</f>
        <v>19073</v>
      </c>
      <c r="D1624" t="s">
        <v>748</v>
      </c>
      <c r="E1624" s="3">
        <v>62.5</v>
      </c>
      <c r="F1624">
        <v>20160211</v>
      </c>
      <c r="G1624" t="s">
        <v>746</v>
      </c>
      <c r="H1624" t="s">
        <v>964</v>
      </c>
      <c r="I1624">
        <v>0</v>
      </c>
      <c r="J1624" t="s">
        <v>289</v>
      </c>
      <c r="K1624" t="s">
        <v>290</v>
      </c>
      <c r="L1624" t="s">
        <v>285</v>
      </c>
      <c r="M1624" t="str">
        <f t="shared" si="91"/>
        <v>02</v>
      </c>
      <c r="N1624" t="s">
        <v>12</v>
      </c>
    </row>
    <row r="1625" spans="1:14" x14ac:dyDescent="0.25">
      <c r="A1625">
        <v>20160212</v>
      </c>
      <c r="B1625" t="str">
        <f>"062274"</f>
        <v>062274</v>
      </c>
      <c r="C1625" t="str">
        <f>"19232"</f>
        <v>19232</v>
      </c>
      <c r="D1625" t="s">
        <v>986</v>
      </c>
      <c r="E1625" s="3">
        <v>67.5</v>
      </c>
      <c r="F1625">
        <v>20160211</v>
      </c>
      <c r="G1625" t="s">
        <v>744</v>
      </c>
      <c r="H1625" t="s">
        <v>970</v>
      </c>
      <c r="I1625">
        <v>0</v>
      </c>
      <c r="J1625" t="s">
        <v>289</v>
      </c>
      <c r="K1625" t="s">
        <v>290</v>
      </c>
      <c r="L1625" t="s">
        <v>285</v>
      </c>
      <c r="M1625" t="str">
        <f t="shared" si="91"/>
        <v>02</v>
      </c>
      <c r="N1625" t="s">
        <v>12</v>
      </c>
    </row>
    <row r="1626" spans="1:14" x14ac:dyDescent="0.25">
      <c r="A1626">
        <v>20160212</v>
      </c>
      <c r="B1626" t="str">
        <f>"062274"</f>
        <v>062274</v>
      </c>
      <c r="C1626" t="str">
        <f>"19232"</f>
        <v>19232</v>
      </c>
      <c r="D1626" t="s">
        <v>986</v>
      </c>
      <c r="E1626" s="3">
        <v>67.5</v>
      </c>
      <c r="F1626">
        <v>20160211</v>
      </c>
      <c r="G1626" t="s">
        <v>746</v>
      </c>
      <c r="H1626" t="s">
        <v>971</v>
      </c>
      <c r="I1626">
        <v>0</v>
      </c>
      <c r="J1626" t="s">
        <v>289</v>
      </c>
      <c r="K1626" t="s">
        <v>290</v>
      </c>
      <c r="L1626" t="s">
        <v>285</v>
      </c>
      <c r="M1626" t="str">
        <f t="shared" si="91"/>
        <v>02</v>
      </c>
      <c r="N1626" t="s">
        <v>12</v>
      </c>
    </row>
    <row r="1627" spans="1:14" x14ac:dyDescent="0.25">
      <c r="A1627">
        <v>20160212</v>
      </c>
      <c r="B1627" t="str">
        <f>"062282"</f>
        <v>062282</v>
      </c>
      <c r="C1627" t="str">
        <f>"22340"</f>
        <v>22340</v>
      </c>
      <c r="D1627" t="s">
        <v>987</v>
      </c>
      <c r="E1627" s="3">
        <v>54</v>
      </c>
      <c r="F1627">
        <v>20160211</v>
      </c>
      <c r="G1627" t="s">
        <v>948</v>
      </c>
      <c r="H1627" t="s">
        <v>973</v>
      </c>
      <c r="I1627">
        <v>0</v>
      </c>
      <c r="J1627" t="s">
        <v>289</v>
      </c>
      <c r="K1627" t="s">
        <v>290</v>
      </c>
      <c r="L1627" t="s">
        <v>285</v>
      </c>
      <c r="M1627" t="str">
        <f t="shared" si="91"/>
        <v>02</v>
      </c>
      <c r="N1627" t="s">
        <v>12</v>
      </c>
    </row>
    <row r="1628" spans="1:14" x14ac:dyDescent="0.25">
      <c r="A1628">
        <v>20160212</v>
      </c>
      <c r="B1628" t="str">
        <f>"062282"</f>
        <v>062282</v>
      </c>
      <c r="C1628" t="str">
        <f>"22340"</f>
        <v>22340</v>
      </c>
      <c r="D1628" t="s">
        <v>987</v>
      </c>
      <c r="E1628" s="3">
        <v>54</v>
      </c>
      <c r="F1628">
        <v>20160211</v>
      </c>
      <c r="G1628" t="s">
        <v>934</v>
      </c>
      <c r="H1628" t="s">
        <v>974</v>
      </c>
      <c r="I1628">
        <v>0</v>
      </c>
      <c r="J1628" t="s">
        <v>289</v>
      </c>
      <c r="K1628" t="s">
        <v>290</v>
      </c>
      <c r="L1628" t="s">
        <v>285</v>
      </c>
      <c r="M1628" t="str">
        <f t="shared" si="91"/>
        <v>02</v>
      </c>
      <c r="N1628" t="s">
        <v>12</v>
      </c>
    </row>
    <row r="1629" spans="1:14" x14ac:dyDescent="0.25">
      <c r="A1629">
        <v>20160212</v>
      </c>
      <c r="B1629" t="str">
        <f>"062284"</f>
        <v>062284</v>
      </c>
      <c r="C1629" t="str">
        <f>"24344"</f>
        <v>24344</v>
      </c>
      <c r="D1629" t="s">
        <v>988</v>
      </c>
      <c r="E1629" s="3">
        <v>140</v>
      </c>
      <c r="F1629">
        <v>20160211</v>
      </c>
      <c r="G1629" t="s">
        <v>881</v>
      </c>
      <c r="H1629" t="s">
        <v>989</v>
      </c>
      <c r="I1629">
        <v>0</v>
      </c>
      <c r="J1629" t="s">
        <v>289</v>
      </c>
      <c r="K1629" t="s">
        <v>290</v>
      </c>
      <c r="L1629" t="s">
        <v>285</v>
      </c>
      <c r="M1629" t="str">
        <f t="shared" si="91"/>
        <v>02</v>
      </c>
      <c r="N1629" t="s">
        <v>12</v>
      </c>
    </row>
    <row r="1630" spans="1:14" x14ac:dyDescent="0.25">
      <c r="A1630">
        <v>20160212</v>
      </c>
      <c r="B1630" t="str">
        <f>"062289"</f>
        <v>062289</v>
      </c>
      <c r="C1630" t="str">
        <f>"28680"</f>
        <v>28680</v>
      </c>
      <c r="D1630" t="s">
        <v>422</v>
      </c>
      <c r="E1630" s="3">
        <v>200.16</v>
      </c>
      <c r="F1630">
        <v>20160211</v>
      </c>
      <c r="G1630" t="s">
        <v>310</v>
      </c>
      <c r="H1630" t="s">
        <v>990</v>
      </c>
      <c r="I1630">
        <v>0</v>
      </c>
      <c r="J1630" t="s">
        <v>289</v>
      </c>
      <c r="K1630" t="s">
        <v>290</v>
      </c>
      <c r="L1630" t="s">
        <v>285</v>
      </c>
      <c r="M1630" t="str">
        <f t="shared" si="91"/>
        <v>02</v>
      </c>
      <c r="N1630" t="s">
        <v>12</v>
      </c>
    </row>
    <row r="1631" spans="1:14" x14ac:dyDescent="0.25">
      <c r="A1631">
        <v>20160212</v>
      </c>
      <c r="B1631" t="str">
        <f>"062292"</f>
        <v>062292</v>
      </c>
      <c r="C1631" t="str">
        <f>"28776"</f>
        <v>28776</v>
      </c>
      <c r="D1631" t="s">
        <v>707</v>
      </c>
      <c r="E1631" s="3">
        <v>147.53</v>
      </c>
      <c r="F1631">
        <v>20160211</v>
      </c>
      <c r="G1631" t="s">
        <v>708</v>
      </c>
      <c r="H1631" t="s">
        <v>991</v>
      </c>
      <c r="I1631">
        <v>0</v>
      </c>
      <c r="J1631" t="s">
        <v>289</v>
      </c>
      <c r="K1631" t="s">
        <v>290</v>
      </c>
      <c r="L1631" t="s">
        <v>285</v>
      </c>
      <c r="M1631" t="str">
        <f t="shared" si="91"/>
        <v>02</v>
      </c>
      <c r="N1631" t="s">
        <v>12</v>
      </c>
    </row>
    <row r="1632" spans="1:14" x14ac:dyDescent="0.25">
      <c r="A1632">
        <v>20160212</v>
      </c>
      <c r="B1632" t="str">
        <f>"062292"</f>
        <v>062292</v>
      </c>
      <c r="C1632" t="str">
        <f>"28776"</f>
        <v>28776</v>
      </c>
      <c r="D1632" t="s">
        <v>707</v>
      </c>
      <c r="E1632" s="3">
        <v>30.97</v>
      </c>
      <c r="F1632">
        <v>20160211</v>
      </c>
      <c r="G1632" t="s">
        <v>708</v>
      </c>
      <c r="H1632" t="s">
        <v>992</v>
      </c>
      <c r="I1632">
        <v>0</v>
      </c>
      <c r="J1632" t="s">
        <v>289</v>
      </c>
      <c r="K1632" t="s">
        <v>290</v>
      </c>
      <c r="L1632" t="s">
        <v>285</v>
      </c>
      <c r="M1632" t="str">
        <f t="shared" si="91"/>
        <v>02</v>
      </c>
      <c r="N1632" t="s">
        <v>12</v>
      </c>
    </row>
    <row r="1633" spans="1:14" x14ac:dyDescent="0.25">
      <c r="A1633">
        <v>20160212</v>
      </c>
      <c r="B1633" t="str">
        <f>"062292"</f>
        <v>062292</v>
      </c>
      <c r="C1633" t="str">
        <f>"28776"</f>
        <v>28776</v>
      </c>
      <c r="D1633" t="s">
        <v>707</v>
      </c>
      <c r="E1633" s="3">
        <v>9.89</v>
      </c>
      <c r="F1633">
        <v>20160211</v>
      </c>
      <c r="G1633" t="s">
        <v>708</v>
      </c>
      <c r="H1633" t="s">
        <v>993</v>
      </c>
      <c r="I1633">
        <v>0</v>
      </c>
      <c r="J1633" t="s">
        <v>289</v>
      </c>
      <c r="K1633" t="s">
        <v>290</v>
      </c>
      <c r="L1633" t="s">
        <v>285</v>
      </c>
      <c r="M1633" t="str">
        <f t="shared" si="91"/>
        <v>02</v>
      </c>
      <c r="N1633" t="s">
        <v>12</v>
      </c>
    </row>
    <row r="1634" spans="1:14" x14ac:dyDescent="0.25">
      <c r="A1634">
        <v>20160212</v>
      </c>
      <c r="B1634" t="str">
        <f>"062294"</f>
        <v>062294</v>
      </c>
      <c r="C1634" t="str">
        <f>"29763"</f>
        <v>29763</v>
      </c>
      <c r="D1634" t="s">
        <v>761</v>
      </c>
      <c r="E1634" s="3">
        <v>361</v>
      </c>
      <c r="F1634">
        <v>20160211</v>
      </c>
      <c r="G1634" t="s">
        <v>762</v>
      </c>
      <c r="H1634" t="s">
        <v>994</v>
      </c>
      <c r="I1634">
        <v>0</v>
      </c>
      <c r="J1634" t="s">
        <v>289</v>
      </c>
      <c r="K1634" t="s">
        <v>290</v>
      </c>
      <c r="L1634" t="s">
        <v>285</v>
      </c>
      <c r="M1634" t="str">
        <f t="shared" si="91"/>
        <v>02</v>
      </c>
      <c r="N1634" t="s">
        <v>12</v>
      </c>
    </row>
    <row r="1635" spans="1:14" x14ac:dyDescent="0.25">
      <c r="A1635">
        <v>20160212</v>
      </c>
      <c r="B1635" t="str">
        <f>"062295"</f>
        <v>062295</v>
      </c>
      <c r="C1635" t="str">
        <f>"30134"</f>
        <v>30134</v>
      </c>
      <c r="D1635" t="s">
        <v>995</v>
      </c>
      <c r="E1635" s="3">
        <v>45</v>
      </c>
      <c r="F1635">
        <v>20160211</v>
      </c>
      <c r="G1635" t="s">
        <v>758</v>
      </c>
      <c r="H1635" t="s">
        <v>996</v>
      </c>
      <c r="I1635">
        <v>0</v>
      </c>
      <c r="J1635" t="s">
        <v>289</v>
      </c>
      <c r="K1635" t="s">
        <v>95</v>
      </c>
      <c r="L1635" t="s">
        <v>285</v>
      </c>
      <c r="M1635" t="str">
        <f t="shared" ref="M1635:M1666" si="94">"02"</f>
        <v>02</v>
      </c>
      <c r="N1635" t="s">
        <v>12</v>
      </c>
    </row>
    <row r="1636" spans="1:14" x14ac:dyDescent="0.25">
      <c r="A1636">
        <v>20160212</v>
      </c>
      <c r="B1636" t="str">
        <f>"062296"</f>
        <v>062296</v>
      </c>
      <c r="C1636" t="str">
        <f>"30837"</f>
        <v>30837</v>
      </c>
      <c r="D1636" t="s">
        <v>352</v>
      </c>
      <c r="E1636" s="3">
        <v>252</v>
      </c>
      <c r="F1636">
        <v>20160211</v>
      </c>
      <c r="G1636" t="s">
        <v>646</v>
      </c>
      <c r="H1636" t="s">
        <v>997</v>
      </c>
      <c r="I1636">
        <v>0</v>
      </c>
      <c r="J1636" t="s">
        <v>289</v>
      </c>
      <c r="K1636" t="s">
        <v>290</v>
      </c>
      <c r="L1636" t="s">
        <v>285</v>
      </c>
      <c r="M1636" t="str">
        <f t="shared" si="94"/>
        <v>02</v>
      </c>
      <c r="N1636" t="s">
        <v>12</v>
      </c>
    </row>
    <row r="1637" spans="1:14" x14ac:dyDescent="0.25">
      <c r="A1637">
        <v>20160212</v>
      </c>
      <c r="B1637" t="str">
        <f>"062296"</f>
        <v>062296</v>
      </c>
      <c r="C1637" t="str">
        <f>"30837"</f>
        <v>30837</v>
      </c>
      <c r="D1637" t="s">
        <v>352</v>
      </c>
      <c r="E1637" s="3">
        <v>223</v>
      </c>
      <c r="F1637">
        <v>20160211</v>
      </c>
      <c r="G1637" t="s">
        <v>618</v>
      </c>
      <c r="H1637" t="s">
        <v>998</v>
      </c>
      <c r="I1637">
        <v>0</v>
      </c>
      <c r="J1637" t="s">
        <v>289</v>
      </c>
      <c r="K1637" t="s">
        <v>290</v>
      </c>
      <c r="L1637" t="s">
        <v>285</v>
      </c>
      <c r="M1637" t="str">
        <f t="shared" si="94"/>
        <v>02</v>
      </c>
      <c r="N1637" t="s">
        <v>12</v>
      </c>
    </row>
    <row r="1638" spans="1:14" x14ac:dyDescent="0.25">
      <c r="A1638">
        <v>20160212</v>
      </c>
      <c r="B1638" t="str">
        <f>"062299"</f>
        <v>062299</v>
      </c>
      <c r="C1638" t="str">
        <f>"33769"</f>
        <v>33769</v>
      </c>
      <c r="D1638" t="s">
        <v>947</v>
      </c>
      <c r="E1638" s="3">
        <v>51.5</v>
      </c>
      <c r="F1638">
        <v>20160211</v>
      </c>
      <c r="G1638" t="s">
        <v>948</v>
      </c>
      <c r="H1638" t="s">
        <v>966</v>
      </c>
      <c r="I1638">
        <v>0</v>
      </c>
      <c r="J1638" t="s">
        <v>289</v>
      </c>
      <c r="K1638" t="s">
        <v>290</v>
      </c>
      <c r="L1638" t="s">
        <v>285</v>
      </c>
      <c r="M1638" t="str">
        <f t="shared" si="94"/>
        <v>02</v>
      </c>
      <c r="N1638" t="s">
        <v>12</v>
      </c>
    </row>
    <row r="1639" spans="1:14" x14ac:dyDescent="0.25">
      <c r="A1639">
        <v>20160212</v>
      </c>
      <c r="B1639" t="str">
        <f>"062299"</f>
        <v>062299</v>
      </c>
      <c r="C1639" t="str">
        <f>"33769"</f>
        <v>33769</v>
      </c>
      <c r="D1639" t="s">
        <v>947</v>
      </c>
      <c r="E1639" s="3">
        <v>51.5</v>
      </c>
      <c r="F1639">
        <v>20160212</v>
      </c>
      <c r="G1639" t="s">
        <v>934</v>
      </c>
      <c r="H1639" t="s">
        <v>968</v>
      </c>
      <c r="I1639">
        <v>0</v>
      </c>
      <c r="J1639" t="s">
        <v>289</v>
      </c>
      <c r="K1639" t="s">
        <v>290</v>
      </c>
      <c r="L1639" t="s">
        <v>285</v>
      </c>
      <c r="M1639" t="str">
        <f t="shared" si="94"/>
        <v>02</v>
      </c>
      <c r="N1639" t="s">
        <v>12</v>
      </c>
    </row>
    <row r="1640" spans="1:14" x14ac:dyDescent="0.25">
      <c r="A1640">
        <v>20160212</v>
      </c>
      <c r="B1640" t="str">
        <f>"062301"</f>
        <v>062301</v>
      </c>
      <c r="C1640" t="str">
        <f>"34903"</f>
        <v>34903</v>
      </c>
      <c r="D1640" t="s">
        <v>999</v>
      </c>
      <c r="E1640" s="3">
        <v>54</v>
      </c>
      <c r="F1640">
        <v>20160211</v>
      </c>
      <c r="G1640" t="s">
        <v>948</v>
      </c>
      <c r="H1640" t="s">
        <v>1000</v>
      </c>
      <c r="I1640">
        <v>0</v>
      </c>
      <c r="J1640" t="s">
        <v>289</v>
      </c>
      <c r="K1640" t="s">
        <v>290</v>
      </c>
      <c r="L1640" t="s">
        <v>285</v>
      </c>
      <c r="M1640" t="str">
        <f t="shared" si="94"/>
        <v>02</v>
      </c>
      <c r="N1640" t="s">
        <v>12</v>
      </c>
    </row>
    <row r="1641" spans="1:14" x14ac:dyDescent="0.25">
      <c r="A1641">
        <v>20160212</v>
      </c>
      <c r="B1641" t="str">
        <f>"062301"</f>
        <v>062301</v>
      </c>
      <c r="C1641" t="str">
        <f>"34903"</f>
        <v>34903</v>
      </c>
      <c r="D1641" t="s">
        <v>999</v>
      </c>
      <c r="E1641" s="3">
        <v>54</v>
      </c>
      <c r="F1641">
        <v>20160211</v>
      </c>
      <c r="G1641" t="s">
        <v>934</v>
      </c>
      <c r="H1641" t="s">
        <v>1001</v>
      </c>
      <c r="I1641">
        <v>0</v>
      </c>
      <c r="J1641" t="s">
        <v>289</v>
      </c>
      <c r="K1641" t="s">
        <v>290</v>
      </c>
      <c r="L1641" t="s">
        <v>285</v>
      </c>
      <c r="M1641" t="str">
        <f t="shared" si="94"/>
        <v>02</v>
      </c>
      <c r="N1641" t="s">
        <v>12</v>
      </c>
    </row>
    <row r="1642" spans="1:14" x14ac:dyDescent="0.25">
      <c r="A1642">
        <v>20160212</v>
      </c>
      <c r="B1642" t="str">
        <f>"062307"</f>
        <v>062307</v>
      </c>
      <c r="C1642" t="str">
        <f>"39319"</f>
        <v>39319</v>
      </c>
      <c r="D1642" t="s">
        <v>953</v>
      </c>
      <c r="E1642" s="3">
        <v>135</v>
      </c>
      <c r="F1642">
        <v>20160211</v>
      </c>
      <c r="G1642" t="s">
        <v>746</v>
      </c>
      <c r="H1642" t="s">
        <v>861</v>
      </c>
      <c r="I1642">
        <v>0</v>
      </c>
      <c r="J1642" t="s">
        <v>289</v>
      </c>
      <c r="K1642" t="s">
        <v>290</v>
      </c>
      <c r="L1642" t="s">
        <v>285</v>
      </c>
      <c r="M1642" t="str">
        <f t="shared" si="94"/>
        <v>02</v>
      </c>
      <c r="N1642" t="s">
        <v>12</v>
      </c>
    </row>
    <row r="1643" spans="1:14" x14ac:dyDescent="0.25">
      <c r="A1643">
        <v>20160212</v>
      </c>
      <c r="B1643" t="str">
        <f>"062309"</f>
        <v>062309</v>
      </c>
      <c r="C1643" t="str">
        <f>"39405"</f>
        <v>39405</v>
      </c>
      <c r="D1643" t="s">
        <v>662</v>
      </c>
      <c r="E1643" s="3">
        <v>67.5</v>
      </c>
      <c r="F1643">
        <v>20160211</v>
      </c>
      <c r="G1643" t="s">
        <v>744</v>
      </c>
      <c r="H1643" t="s">
        <v>963</v>
      </c>
      <c r="I1643">
        <v>0</v>
      </c>
      <c r="J1643" t="s">
        <v>289</v>
      </c>
      <c r="K1643" t="s">
        <v>290</v>
      </c>
      <c r="L1643" t="s">
        <v>285</v>
      </c>
      <c r="M1643" t="str">
        <f t="shared" si="94"/>
        <v>02</v>
      </c>
      <c r="N1643" t="s">
        <v>12</v>
      </c>
    </row>
    <row r="1644" spans="1:14" x14ac:dyDescent="0.25">
      <c r="A1644">
        <v>20160212</v>
      </c>
      <c r="B1644" t="str">
        <f>"062309"</f>
        <v>062309</v>
      </c>
      <c r="C1644" t="str">
        <f>"39405"</f>
        <v>39405</v>
      </c>
      <c r="D1644" t="s">
        <v>662</v>
      </c>
      <c r="E1644" s="3">
        <v>67.5</v>
      </c>
      <c r="F1644">
        <v>20160211</v>
      </c>
      <c r="G1644" t="s">
        <v>746</v>
      </c>
      <c r="H1644" t="s">
        <v>964</v>
      </c>
      <c r="I1644">
        <v>0</v>
      </c>
      <c r="J1644" t="s">
        <v>289</v>
      </c>
      <c r="K1644" t="s">
        <v>290</v>
      </c>
      <c r="L1644" t="s">
        <v>285</v>
      </c>
      <c r="M1644" t="str">
        <f t="shared" si="94"/>
        <v>02</v>
      </c>
      <c r="N1644" t="s">
        <v>12</v>
      </c>
    </row>
    <row r="1645" spans="1:14" x14ac:dyDescent="0.25">
      <c r="A1645">
        <v>20160212</v>
      </c>
      <c r="B1645" t="str">
        <f>"062310"</f>
        <v>062310</v>
      </c>
      <c r="C1645" t="str">
        <f>"39551"</f>
        <v>39551</v>
      </c>
      <c r="D1645" t="s">
        <v>1002</v>
      </c>
      <c r="E1645" s="3">
        <v>67.5</v>
      </c>
      <c r="F1645">
        <v>20160211</v>
      </c>
      <c r="G1645" t="s">
        <v>744</v>
      </c>
      <c r="H1645" t="s">
        <v>963</v>
      </c>
      <c r="I1645">
        <v>0</v>
      </c>
      <c r="J1645" t="s">
        <v>289</v>
      </c>
      <c r="K1645" t="s">
        <v>290</v>
      </c>
      <c r="L1645" t="s">
        <v>285</v>
      </c>
      <c r="M1645" t="str">
        <f t="shared" si="94"/>
        <v>02</v>
      </c>
      <c r="N1645" t="s">
        <v>12</v>
      </c>
    </row>
    <row r="1646" spans="1:14" x14ac:dyDescent="0.25">
      <c r="A1646">
        <v>20160212</v>
      </c>
      <c r="B1646" t="str">
        <f>"062310"</f>
        <v>062310</v>
      </c>
      <c r="C1646" t="str">
        <f>"39551"</f>
        <v>39551</v>
      </c>
      <c r="D1646" t="s">
        <v>1002</v>
      </c>
      <c r="E1646" s="3">
        <v>67.5</v>
      </c>
      <c r="F1646">
        <v>20160211</v>
      </c>
      <c r="G1646" t="s">
        <v>746</v>
      </c>
      <c r="H1646" t="s">
        <v>964</v>
      </c>
      <c r="I1646">
        <v>0</v>
      </c>
      <c r="J1646" t="s">
        <v>289</v>
      </c>
      <c r="K1646" t="s">
        <v>290</v>
      </c>
      <c r="L1646" t="s">
        <v>285</v>
      </c>
      <c r="M1646" t="str">
        <f t="shared" si="94"/>
        <v>02</v>
      </c>
      <c r="N1646" t="s">
        <v>12</v>
      </c>
    </row>
    <row r="1647" spans="1:14" x14ac:dyDescent="0.25">
      <c r="A1647">
        <v>20160212</v>
      </c>
      <c r="B1647" t="str">
        <f>"062311"</f>
        <v>062311</v>
      </c>
      <c r="C1647" t="str">
        <f>"39548"</f>
        <v>39548</v>
      </c>
      <c r="D1647" t="s">
        <v>773</v>
      </c>
      <c r="E1647" s="3">
        <v>55</v>
      </c>
      <c r="F1647">
        <v>20160212</v>
      </c>
      <c r="G1647" t="s">
        <v>744</v>
      </c>
      <c r="H1647" t="s">
        <v>970</v>
      </c>
      <c r="I1647">
        <v>0</v>
      </c>
      <c r="J1647" t="s">
        <v>289</v>
      </c>
      <c r="K1647" t="s">
        <v>290</v>
      </c>
      <c r="L1647" t="s">
        <v>285</v>
      </c>
      <c r="M1647" t="str">
        <f t="shared" si="94"/>
        <v>02</v>
      </c>
      <c r="N1647" t="s">
        <v>12</v>
      </c>
    </row>
    <row r="1648" spans="1:14" x14ac:dyDescent="0.25">
      <c r="A1648">
        <v>20160212</v>
      </c>
      <c r="B1648" t="str">
        <f>"062316"</f>
        <v>062316</v>
      </c>
      <c r="C1648" t="str">
        <f>"55929"</f>
        <v>55929</v>
      </c>
      <c r="D1648" t="s">
        <v>1003</v>
      </c>
      <c r="E1648" s="3">
        <v>3166.8</v>
      </c>
      <c r="F1648">
        <v>20160212</v>
      </c>
      <c r="G1648" t="s">
        <v>401</v>
      </c>
      <c r="H1648" t="s">
        <v>1004</v>
      </c>
      <c r="I1648">
        <v>0</v>
      </c>
      <c r="J1648" t="s">
        <v>289</v>
      </c>
      <c r="K1648" t="s">
        <v>290</v>
      </c>
      <c r="L1648" t="s">
        <v>285</v>
      </c>
      <c r="M1648" t="str">
        <f t="shared" si="94"/>
        <v>02</v>
      </c>
      <c r="N1648" t="s">
        <v>12</v>
      </c>
    </row>
    <row r="1649" spans="1:14" x14ac:dyDescent="0.25">
      <c r="A1649">
        <v>20160212</v>
      </c>
      <c r="B1649" t="str">
        <f>"062317"</f>
        <v>062317</v>
      </c>
      <c r="C1649" t="str">
        <f>"45085"</f>
        <v>45085</v>
      </c>
      <c r="D1649" t="s">
        <v>917</v>
      </c>
      <c r="E1649" s="3">
        <v>55</v>
      </c>
      <c r="F1649">
        <v>20160212</v>
      </c>
      <c r="G1649" t="s">
        <v>744</v>
      </c>
      <c r="H1649" t="s">
        <v>970</v>
      </c>
      <c r="I1649">
        <v>0</v>
      </c>
      <c r="J1649" t="s">
        <v>289</v>
      </c>
      <c r="K1649" t="s">
        <v>290</v>
      </c>
      <c r="L1649" t="s">
        <v>285</v>
      </c>
      <c r="M1649" t="str">
        <f t="shared" si="94"/>
        <v>02</v>
      </c>
      <c r="N1649" t="s">
        <v>12</v>
      </c>
    </row>
    <row r="1650" spans="1:14" x14ac:dyDescent="0.25">
      <c r="A1650">
        <v>20160212</v>
      </c>
      <c r="B1650" t="str">
        <f>"062319"</f>
        <v>062319</v>
      </c>
      <c r="C1650" t="str">
        <f>"46224"</f>
        <v>46224</v>
      </c>
      <c r="D1650" t="s">
        <v>1005</v>
      </c>
      <c r="E1650" s="3">
        <v>67.5</v>
      </c>
      <c r="F1650">
        <v>20160212</v>
      </c>
      <c r="G1650" t="s">
        <v>744</v>
      </c>
      <c r="H1650" t="s">
        <v>970</v>
      </c>
      <c r="I1650">
        <v>0</v>
      </c>
      <c r="J1650" t="s">
        <v>289</v>
      </c>
      <c r="K1650" t="s">
        <v>290</v>
      </c>
      <c r="L1650" t="s">
        <v>285</v>
      </c>
      <c r="M1650" t="str">
        <f t="shared" si="94"/>
        <v>02</v>
      </c>
      <c r="N1650" t="s">
        <v>12</v>
      </c>
    </row>
    <row r="1651" spans="1:14" x14ac:dyDescent="0.25">
      <c r="A1651">
        <v>20160212</v>
      </c>
      <c r="B1651" t="str">
        <f>"062319"</f>
        <v>062319</v>
      </c>
      <c r="C1651" t="str">
        <f>"46224"</f>
        <v>46224</v>
      </c>
      <c r="D1651" t="s">
        <v>1005</v>
      </c>
      <c r="E1651" s="3">
        <v>67.5</v>
      </c>
      <c r="F1651">
        <v>20160212</v>
      </c>
      <c r="G1651" t="s">
        <v>746</v>
      </c>
      <c r="H1651" t="s">
        <v>971</v>
      </c>
      <c r="I1651">
        <v>0</v>
      </c>
      <c r="J1651" t="s">
        <v>289</v>
      </c>
      <c r="K1651" t="s">
        <v>290</v>
      </c>
      <c r="L1651" t="s">
        <v>285</v>
      </c>
      <c r="M1651" t="str">
        <f t="shared" si="94"/>
        <v>02</v>
      </c>
      <c r="N1651" t="s">
        <v>12</v>
      </c>
    </row>
    <row r="1652" spans="1:14" x14ac:dyDescent="0.25">
      <c r="A1652">
        <v>20160212</v>
      </c>
      <c r="B1652" t="str">
        <f>"062335"</f>
        <v>062335</v>
      </c>
      <c r="C1652" t="str">
        <f>"56340"</f>
        <v>56340</v>
      </c>
      <c r="D1652" t="s">
        <v>956</v>
      </c>
      <c r="E1652" s="3">
        <v>51.5</v>
      </c>
      <c r="F1652">
        <v>20160212</v>
      </c>
      <c r="G1652" t="s">
        <v>948</v>
      </c>
      <c r="H1652" t="s">
        <v>966</v>
      </c>
      <c r="I1652">
        <v>0</v>
      </c>
      <c r="J1652" t="s">
        <v>289</v>
      </c>
      <c r="K1652" t="s">
        <v>290</v>
      </c>
      <c r="L1652" t="s">
        <v>285</v>
      </c>
      <c r="M1652" t="str">
        <f t="shared" si="94"/>
        <v>02</v>
      </c>
      <c r="N1652" t="s">
        <v>12</v>
      </c>
    </row>
    <row r="1653" spans="1:14" x14ac:dyDescent="0.25">
      <c r="A1653">
        <v>20160212</v>
      </c>
      <c r="B1653" t="str">
        <f>"062335"</f>
        <v>062335</v>
      </c>
      <c r="C1653" t="str">
        <f>"56340"</f>
        <v>56340</v>
      </c>
      <c r="D1653" t="s">
        <v>956</v>
      </c>
      <c r="E1653" s="3">
        <v>51.5</v>
      </c>
      <c r="F1653">
        <v>20160212</v>
      </c>
      <c r="G1653" t="s">
        <v>934</v>
      </c>
      <c r="H1653" t="s">
        <v>968</v>
      </c>
      <c r="I1653">
        <v>0</v>
      </c>
      <c r="J1653" t="s">
        <v>289</v>
      </c>
      <c r="K1653" t="s">
        <v>290</v>
      </c>
      <c r="L1653" t="s">
        <v>285</v>
      </c>
      <c r="M1653" t="str">
        <f t="shared" si="94"/>
        <v>02</v>
      </c>
      <c r="N1653" t="s">
        <v>12</v>
      </c>
    </row>
    <row r="1654" spans="1:14" x14ac:dyDescent="0.25">
      <c r="A1654">
        <v>20160212</v>
      </c>
      <c r="B1654" t="str">
        <f>"062336"</f>
        <v>062336</v>
      </c>
      <c r="C1654" t="str">
        <f>"56385"</f>
        <v>56385</v>
      </c>
      <c r="D1654" t="s">
        <v>1006</v>
      </c>
      <c r="E1654" s="3">
        <v>45</v>
      </c>
      <c r="F1654">
        <v>20160212</v>
      </c>
      <c r="G1654" t="s">
        <v>758</v>
      </c>
      <c r="H1654" t="s">
        <v>996</v>
      </c>
      <c r="I1654">
        <v>0</v>
      </c>
      <c r="J1654" t="s">
        <v>289</v>
      </c>
      <c r="K1654" t="s">
        <v>95</v>
      </c>
      <c r="L1654" t="s">
        <v>285</v>
      </c>
      <c r="M1654" t="str">
        <f t="shared" si="94"/>
        <v>02</v>
      </c>
      <c r="N1654" t="s">
        <v>12</v>
      </c>
    </row>
    <row r="1655" spans="1:14" x14ac:dyDescent="0.25">
      <c r="A1655">
        <v>20160212</v>
      </c>
      <c r="B1655" t="str">
        <f>"062338"</f>
        <v>062338</v>
      </c>
      <c r="C1655" t="str">
        <f>"57299"</f>
        <v>57299</v>
      </c>
      <c r="D1655" t="s">
        <v>873</v>
      </c>
      <c r="E1655" s="3">
        <v>55</v>
      </c>
      <c r="F1655">
        <v>20160212</v>
      </c>
      <c r="G1655" t="s">
        <v>744</v>
      </c>
      <c r="H1655" t="s">
        <v>963</v>
      </c>
      <c r="I1655">
        <v>0</v>
      </c>
      <c r="J1655" t="s">
        <v>289</v>
      </c>
      <c r="K1655" t="s">
        <v>290</v>
      </c>
      <c r="L1655" t="s">
        <v>285</v>
      </c>
      <c r="M1655" t="str">
        <f t="shared" si="94"/>
        <v>02</v>
      </c>
      <c r="N1655" t="s">
        <v>12</v>
      </c>
    </row>
    <row r="1656" spans="1:14" x14ac:dyDescent="0.25">
      <c r="A1656">
        <v>20160212</v>
      </c>
      <c r="B1656" t="str">
        <f>"062340"</f>
        <v>062340</v>
      </c>
      <c r="C1656" t="str">
        <f>"58184"</f>
        <v>58184</v>
      </c>
      <c r="D1656" t="s">
        <v>1007</v>
      </c>
      <c r="E1656" s="3">
        <v>94.25</v>
      </c>
      <c r="F1656">
        <v>20160212</v>
      </c>
      <c r="G1656" t="s">
        <v>883</v>
      </c>
      <c r="H1656" t="s">
        <v>1008</v>
      </c>
      <c r="I1656">
        <v>0</v>
      </c>
      <c r="J1656" t="s">
        <v>289</v>
      </c>
      <c r="K1656" t="s">
        <v>290</v>
      </c>
      <c r="L1656" t="s">
        <v>285</v>
      </c>
      <c r="M1656" t="str">
        <f t="shared" si="94"/>
        <v>02</v>
      </c>
      <c r="N1656" t="s">
        <v>12</v>
      </c>
    </row>
    <row r="1657" spans="1:14" x14ac:dyDescent="0.25">
      <c r="A1657">
        <v>20160212</v>
      </c>
      <c r="B1657" t="str">
        <f>"062355"</f>
        <v>062355</v>
      </c>
      <c r="C1657" t="str">
        <f>"70090"</f>
        <v>70090</v>
      </c>
      <c r="D1657" t="s">
        <v>1009</v>
      </c>
      <c r="E1657" s="3">
        <v>62.5</v>
      </c>
      <c r="F1657">
        <v>20160212</v>
      </c>
      <c r="G1657" t="s">
        <v>744</v>
      </c>
      <c r="H1657" t="s">
        <v>970</v>
      </c>
      <c r="I1657">
        <v>0</v>
      </c>
      <c r="J1657" t="s">
        <v>289</v>
      </c>
      <c r="K1657" t="s">
        <v>290</v>
      </c>
      <c r="L1657" t="s">
        <v>285</v>
      </c>
      <c r="M1657" t="str">
        <f t="shared" si="94"/>
        <v>02</v>
      </c>
      <c r="N1657" t="s">
        <v>12</v>
      </c>
    </row>
    <row r="1658" spans="1:14" x14ac:dyDescent="0.25">
      <c r="A1658">
        <v>20160212</v>
      </c>
      <c r="B1658" t="str">
        <f>"062355"</f>
        <v>062355</v>
      </c>
      <c r="C1658" t="str">
        <f>"70090"</f>
        <v>70090</v>
      </c>
      <c r="D1658" t="s">
        <v>1009</v>
      </c>
      <c r="E1658" s="3">
        <v>62.5</v>
      </c>
      <c r="F1658">
        <v>20160212</v>
      </c>
      <c r="G1658" t="s">
        <v>746</v>
      </c>
      <c r="H1658" t="s">
        <v>971</v>
      </c>
      <c r="I1658">
        <v>0</v>
      </c>
      <c r="J1658" t="s">
        <v>289</v>
      </c>
      <c r="K1658" t="s">
        <v>290</v>
      </c>
      <c r="L1658" t="s">
        <v>285</v>
      </c>
      <c r="M1658" t="str">
        <f t="shared" si="94"/>
        <v>02</v>
      </c>
      <c r="N1658" t="s">
        <v>12</v>
      </c>
    </row>
    <row r="1659" spans="1:14" x14ac:dyDescent="0.25">
      <c r="A1659">
        <v>20160212</v>
      </c>
      <c r="B1659" t="str">
        <f>"062358"</f>
        <v>062358</v>
      </c>
      <c r="C1659" t="str">
        <f>"73646"</f>
        <v>73646</v>
      </c>
      <c r="D1659" t="s">
        <v>452</v>
      </c>
      <c r="E1659" s="3">
        <v>67.5</v>
      </c>
      <c r="F1659">
        <v>20160212</v>
      </c>
      <c r="G1659" t="s">
        <v>744</v>
      </c>
      <c r="H1659" t="s">
        <v>970</v>
      </c>
      <c r="I1659">
        <v>0</v>
      </c>
      <c r="J1659" t="s">
        <v>289</v>
      </c>
      <c r="K1659" t="s">
        <v>290</v>
      </c>
      <c r="L1659" t="s">
        <v>285</v>
      </c>
      <c r="M1659" t="str">
        <f t="shared" si="94"/>
        <v>02</v>
      </c>
      <c r="N1659" t="s">
        <v>12</v>
      </c>
    </row>
    <row r="1660" spans="1:14" x14ac:dyDescent="0.25">
      <c r="A1660">
        <v>20160212</v>
      </c>
      <c r="B1660" t="str">
        <f>"062358"</f>
        <v>062358</v>
      </c>
      <c r="C1660" t="str">
        <f>"73646"</f>
        <v>73646</v>
      </c>
      <c r="D1660" t="s">
        <v>452</v>
      </c>
      <c r="E1660" s="3">
        <v>67.5</v>
      </c>
      <c r="F1660">
        <v>20160212</v>
      </c>
      <c r="G1660" t="s">
        <v>746</v>
      </c>
      <c r="H1660" t="s">
        <v>971</v>
      </c>
      <c r="I1660">
        <v>0</v>
      </c>
      <c r="J1660" t="s">
        <v>289</v>
      </c>
      <c r="K1660" t="s">
        <v>290</v>
      </c>
      <c r="L1660" t="s">
        <v>285</v>
      </c>
      <c r="M1660" t="str">
        <f t="shared" si="94"/>
        <v>02</v>
      </c>
      <c r="N1660" t="s">
        <v>12</v>
      </c>
    </row>
    <row r="1661" spans="1:14" x14ac:dyDescent="0.25">
      <c r="A1661">
        <v>20160212</v>
      </c>
      <c r="B1661" t="str">
        <f>"062363"</f>
        <v>062363</v>
      </c>
      <c r="C1661" t="str">
        <f>"80527"</f>
        <v>80527</v>
      </c>
      <c r="D1661" t="s">
        <v>877</v>
      </c>
      <c r="E1661" s="3">
        <v>62.5</v>
      </c>
      <c r="F1661">
        <v>20160212</v>
      </c>
      <c r="G1661" t="s">
        <v>744</v>
      </c>
      <c r="H1661" t="s">
        <v>963</v>
      </c>
      <c r="I1661">
        <v>0</v>
      </c>
      <c r="J1661" t="s">
        <v>289</v>
      </c>
      <c r="K1661" t="s">
        <v>290</v>
      </c>
      <c r="L1661" t="s">
        <v>285</v>
      </c>
      <c r="M1661" t="str">
        <f t="shared" si="94"/>
        <v>02</v>
      </c>
      <c r="N1661" t="s">
        <v>12</v>
      </c>
    </row>
    <row r="1662" spans="1:14" x14ac:dyDescent="0.25">
      <c r="A1662">
        <v>20160212</v>
      </c>
      <c r="B1662" t="str">
        <f>"062363"</f>
        <v>062363</v>
      </c>
      <c r="C1662" t="str">
        <f>"80527"</f>
        <v>80527</v>
      </c>
      <c r="D1662" t="s">
        <v>877</v>
      </c>
      <c r="E1662" s="3">
        <v>62.5</v>
      </c>
      <c r="F1662">
        <v>20160212</v>
      </c>
      <c r="G1662" t="s">
        <v>746</v>
      </c>
      <c r="H1662" t="s">
        <v>964</v>
      </c>
      <c r="I1662">
        <v>0</v>
      </c>
      <c r="J1662" t="s">
        <v>289</v>
      </c>
      <c r="K1662" t="s">
        <v>290</v>
      </c>
      <c r="L1662" t="s">
        <v>285</v>
      </c>
      <c r="M1662" t="str">
        <f t="shared" si="94"/>
        <v>02</v>
      </c>
      <c r="N1662" t="s">
        <v>12</v>
      </c>
    </row>
    <row r="1663" spans="1:14" x14ac:dyDescent="0.25">
      <c r="A1663">
        <v>20160219</v>
      </c>
      <c r="B1663" t="str">
        <f>"062372"</f>
        <v>062372</v>
      </c>
      <c r="C1663" t="str">
        <f>"03450"</f>
        <v>03450</v>
      </c>
      <c r="D1663" t="s">
        <v>375</v>
      </c>
      <c r="E1663" s="3">
        <v>1148.2</v>
      </c>
      <c r="F1663">
        <v>20160217</v>
      </c>
      <c r="G1663" t="s">
        <v>367</v>
      </c>
      <c r="H1663" t="s">
        <v>395</v>
      </c>
      <c r="I1663">
        <v>0</v>
      </c>
      <c r="J1663" t="s">
        <v>289</v>
      </c>
      <c r="K1663" t="s">
        <v>290</v>
      </c>
      <c r="L1663" t="s">
        <v>285</v>
      </c>
      <c r="M1663" t="str">
        <f t="shared" si="94"/>
        <v>02</v>
      </c>
      <c r="N1663" t="s">
        <v>12</v>
      </c>
    </row>
    <row r="1664" spans="1:14" x14ac:dyDescent="0.25">
      <c r="A1664">
        <v>20160219</v>
      </c>
      <c r="B1664" t="str">
        <f>"062372"</f>
        <v>062372</v>
      </c>
      <c r="C1664" t="str">
        <f>"03450"</f>
        <v>03450</v>
      </c>
      <c r="D1664" t="s">
        <v>375</v>
      </c>
      <c r="E1664" s="3">
        <v>294</v>
      </c>
      <c r="F1664">
        <v>20160217</v>
      </c>
      <c r="G1664" t="s">
        <v>367</v>
      </c>
      <c r="H1664" t="s">
        <v>1010</v>
      </c>
      <c r="I1664">
        <v>0</v>
      </c>
      <c r="J1664" t="s">
        <v>289</v>
      </c>
      <c r="K1664" t="s">
        <v>290</v>
      </c>
      <c r="L1664" t="s">
        <v>285</v>
      </c>
      <c r="M1664" t="str">
        <f t="shared" si="94"/>
        <v>02</v>
      </c>
      <c r="N1664" t="s">
        <v>12</v>
      </c>
    </row>
    <row r="1665" spans="1:14" x14ac:dyDescent="0.25">
      <c r="A1665">
        <v>20160219</v>
      </c>
      <c r="B1665" t="str">
        <f>"062374"</f>
        <v>062374</v>
      </c>
      <c r="C1665" t="str">
        <f>"06463"</f>
        <v>06463</v>
      </c>
      <c r="D1665" t="s">
        <v>1011</v>
      </c>
      <c r="E1665" s="3">
        <v>67.5</v>
      </c>
      <c r="F1665">
        <v>20160217</v>
      </c>
      <c r="G1665" t="s">
        <v>744</v>
      </c>
      <c r="H1665" t="s">
        <v>1012</v>
      </c>
      <c r="I1665">
        <v>0</v>
      </c>
      <c r="J1665" t="s">
        <v>289</v>
      </c>
      <c r="K1665" t="s">
        <v>290</v>
      </c>
      <c r="L1665" t="s">
        <v>285</v>
      </c>
      <c r="M1665" t="str">
        <f t="shared" si="94"/>
        <v>02</v>
      </c>
      <c r="N1665" t="s">
        <v>12</v>
      </c>
    </row>
    <row r="1666" spans="1:14" x14ac:dyDescent="0.25">
      <c r="A1666">
        <v>20160219</v>
      </c>
      <c r="B1666" t="str">
        <f>"062374"</f>
        <v>062374</v>
      </c>
      <c r="C1666" t="str">
        <f>"06463"</f>
        <v>06463</v>
      </c>
      <c r="D1666" t="s">
        <v>1011</v>
      </c>
      <c r="E1666" s="3">
        <v>67.5</v>
      </c>
      <c r="F1666">
        <v>20160217</v>
      </c>
      <c r="G1666" t="s">
        <v>746</v>
      </c>
      <c r="H1666" t="s">
        <v>1013</v>
      </c>
      <c r="I1666">
        <v>0</v>
      </c>
      <c r="J1666" t="s">
        <v>289</v>
      </c>
      <c r="K1666" t="s">
        <v>290</v>
      </c>
      <c r="L1666" t="s">
        <v>285</v>
      </c>
      <c r="M1666" t="str">
        <f t="shared" si="94"/>
        <v>02</v>
      </c>
      <c r="N1666" t="s">
        <v>12</v>
      </c>
    </row>
    <row r="1667" spans="1:14" x14ac:dyDescent="0.25">
      <c r="A1667">
        <v>20160219</v>
      </c>
      <c r="B1667" t="str">
        <f>"062379"</f>
        <v>062379</v>
      </c>
      <c r="C1667" t="str">
        <f>"72089"</f>
        <v>72089</v>
      </c>
      <c r="D1667" t="s">
        <v>743</v>
      </c>
      <c r="E1667" s="3">
        <v>55</v>
      </c>
      <c r="F1667">
        <v>20160217</v>
      </c>
      <c r="G1667" t="s">
        <v>744</v>
      </c>
      <c r="H1667" t="s">
        <v>1014</v>
      </c>
      <c r="I1667">
        <v>0</v>
      </c>
      <c r="J1667" t="s">
        <v>289</v>
      </c>
      <c r="K1667" t="s">
        <v>290</v>
      </c>
      <c r="L1667" t="s">
        <v>285</v>
      </c>
      <c r="M1667" t="str">
        <f t="shared" ref="M1667:M1698" si="95">"02"</f>
        <v>02</v>
      </c>
      <c r="N1667" t="s">
        <v>12</v>
      </c>
    </row>
    <row r="1668" spans="1:14" x14ac:dyDescent="0.25">
      <c r="A1668">
        <v>20160219</v>
      </c>
      <c r="B1668" t="str">
        <f>"062379"</f>
        <v>062379</v>
      </c>
      <c r="C1668" t="str">
        <f>"72089"</f>
        <v>72089</v>
      </c>
      <c r="D1668" t="s">
        <v>743</v>
      </c>
      <c r="E1668" s="3">
        <v>55</v>
      </c>
      <c r="F1668">
        <v>20160217</v>
      </c>
      <c r="G1668" t="s">
        <v>746</v>
      </c>
      <c r="H1668" t="s">
        <v>1015</v>
      </c>
      <c r="I1668">
        <v>0</v>
      </c>
      <c r="J1668" t="s">
        <v>289</v>
      </c>
      <c r="K1668" t="s">
        <v>290</v>
      </c>
      <c r="L1668" t="s">
        <v>285</v>
      </c>
      <c r="M1668" t="str">
        <f t="shared" si="95"/>
        <v>02</v>
      </c>
      <c r="N1668" t="s">
        <v>12</v>
      </c>
    </row>
    <row r="1669" spans="1:14" x14ac:dyDescent="0.25">
      <c r="A1669">
        <v>20160219</v>
      </c>
      <c r="B1669" t="str">
        <f>"062380"</f>
        <v>062380</v>
      </c>
      <c r="C1669" t="str">
        <f>"08911"</f>
        <v>08911</v>
      </c>
      <c r="D1669" t="s">
        <v>965</v>
      </c>
      <c r="E1669" s="3">
        <v>52.5</v>
      </c>
      <c r="F1669">
        <v>20160217</v>
      </c>
      <c r="G1669" t="s">
        <v>948</v>
      </c>
      <c r="H1669" t="s">
        <v>1016</v>
      </c>
      <c r="I1669">
        <v>0</v>
      </c>
      <c r="J1669" t="s">
        <v>289</v>
      </c>
      <c r="K1669" t="s">
        <v>290</v>
      </c>
      <c r="L1669" t="s">
        <v>285</v>
      </c>
      <c r="M1669" t="str">
        <f t="shared" si="95"/>
        <v>02</v>
      </c>
      <c r="N1669" t="s">
        <v>12</v>
      </c>
    </row>
    <row r="1670" spans="1:14" x14ac:dyDescent="0.25">
      <c r="A1670">
        <v>20160219</v>
      </c>
      <c r="B1670" t="str">
        <f>"062380"</f>
        <v>062380</v>
      </c>
      <c r="C1670" t="str">
        <f>"08911"</f>
        <v>08911</v>
      </c>
      <c r="D1670" t="s">
        <v>965</v>
      </c>
      <c r="E1670" s="3">
        <v>52.5</v>
      </c>
      <c r="F1670">
        <v>20160217</v>
      </c>
      <c r="G1670" t="s">
        <v>934</v>
      </c>
      <c r="H1670" t="s">
        <v>1017</v>
      </c>
      <c r="I1670">
        <v>0</v>
      </c>
      <c r="J1670" t="s">
        <v>289</v>
      </c>
      <c r="K1670" t="s">
        <v>290</v>
      </c>
      <c r="L1670" t="s">
        <v>285</v>
      </c>
      <c r="M1670" t="str">
        <f t="shared" si="95"/>
        <v>02</v>
      </c>
      <c r="N1670" t="s">
        <v>12</v>
      </c>
    </row>
    <row r="1671" spans="1:14" x14ac:dyDescent="0.25">
      <c r="A1671">
        <v>20160219</v>
      </c>
      <c r="B1671" t="str">
        <f>"062381"</f>
        <v>062381</v>
      </c>
      <c r="C1671" t="str">
        <f>"10020"</f>
        <v>10020</v>
      </c>
      <c r="D1671" t="s">
        <v>1018</v>
      </c>
      <c r="E1671" s="3">
        <v>3110.6</v>
      </c>
      <c r="F1671">
        <v>20160217</v>
      </c>
      <c r="G1671" t="s">
        <v>578</v>
      </c>
      <c r="H1671" t="s">
        <v>1019</v>
      </c>
      <c r="I1671">
        <v>0</v>
      </c>
      <c r="J1671" t="s">
        <v>289</v>
      </c>
      <c r="K1671" t="s">
        <v>290</v>
      </c>
      <c r="L1671" t="s">
        <v>285</v>
      </c>
      <c r="M1671" t="str">
        <f t="shared" si="95"/>
        <v>02</v>
      </c>
      <c r="N1671" t="s">
        <v>12</v>
      </c>
    </row>
    <row r="1672" spans="1:14" x14ac:dyDescent="0.25">
      <c r="A1672">
        <v>20160219</v>
      </c>
      <c r="B1672" t="str">
        <f>"062388"</f>
        <v>062388</v>
      </c>
      <c r="C1672" t="str">
        <f>"08788"</f>
        <v>08788</v>
      </c>
      <c r="D1672" t="s">
        <v>302</v>
      </c>
      <c r="E1672" s="3">
        <v>2129.4</v>
      </c>
      <c r="F1672">
        <v>20160217</v>
      </c>
      <c r="G1672" t="s">
        <v>507</v>
      </c>
      <c r="H1672" t="s">
        <v>1020</v>
      </c>
      <c r="I1672">
        <v>0</v>
      </c>
      <c r="J1672" t="s">
        <v>289</v>
      </c>
      <c r="K1672" t="s">
        <v>290</v>
      </c>
      <c r="L1672" t="s">
        <v>285</v>
      </c>
      <c r="M1672" t="str">
        <f t="shared" si="95"/>
        <v>02</v>
      </c>
      <c r="N1672" t="s">
        <v>12</v>
      </c>
    </row>
    <row r="1673" spans="1:14" x14ac:dyDescent="0.25">
      <c r="A1673">
        <v>20160219</v>
      </c>
      <c r="B1673" t="str">
        <f>"062388"</f>
        <v>062388</v>
      </c>
      <c r="C1673" t="str">
        <f>"08788"</f>
        <v>08788</v>
      </c>
      <c r="D1673" t="s">
        <v>302</v>
      </c>
      <c r="E1673" s="3">
        <v>935</v>
      </c>
      <c r="F1673">
        <v>20160217</v>
      </c>
      <c r="G1673" t="s">
        <v>507</v>
      </c>
      <c r="H1673" t="s">
        <v>1021</v>
      </c>
      <c r="I1673">
        <v>0</v>
      </c>
      <c r="J1673" t="s">
        <v>289</v>
      </c>
      <c r="K1673" t="s">
        <v>290</v>
      </c>
      <c r="L1673" t="s">
        <v>285</v>
      </c>
      <c r="M1673" t="str">
        <f t="shared" si="95"/>
        <v>02</v>
      </c>
      <c r="N1673" t="s">
        <v>12</v>
      </c>
    </row>
    <row r="1674" spans="1:14" x14ac:dyDescent="0.25">
      <c r="A1674">
        <v>20160219</v>
      </c>
      <c r="B1674" t="str">
        <f>"062393"</f>
        <v>062393</v>
      </c>
      <c r="C1674" t="str">
        <f>"22120"</f>
        <v>22120</v>
      </c>
      <c r="D1674" t="s">
        <v>484</v>
      </c>
      <c r="E1674" s="3">
        <v>230</v>
      </c>
      <c r="F1674">
        <v>20160217</v>
      </c>
      <c r="G1674" t="s">
        <v>599</v>
      </c>
      <c r="H1674" t="s">
        <v>930</v>
      </c>
      <c r="I1674">
        <v>0</v>
      </c>
      <c r="J1674" t="s">
        <v>289</v>
      </c>
      <c r="K1674" t="s">
        <v>290</v>
      </c>
      <c r="L1674" t="s">
        <v>285</v>
      </c>
      <c r="M1674" t="str">
        <f t="shared" si="95"/>
        <v>02</v>
      </c>
      <c r="N1674" t="s">
        <v>12</v>
      </c>
    </row>
    <row r="1675" spans="1:14" x14ac:dyDescent="0.25">
      <c r="A1675">
        <v>20160219</v>
      </c>
      <c r="B1675" t="str">
        <f>"062395"</f>
        <v>062395</v>
      </c>
      <c r="C1675" t="str">
        <f>"51345"</f>
        <v>51345</v>
      </c>
      <c r="D1675" t="s">
        <v>419</v>
      </c>
      <c r="E1675" s="3">
        <v>108</v>
      </c>
      <c r="F1675">
        <v>20160217</v>
      </c>
      <c r="G1675" t="s">
        <v>700</v>
      </c>
      <c r="H1675" t="s">
        <v>1022</v>
      </c>
      <c r="I1675">
        <v>0</v>
      </c>
      <c r="J1675" t="s">
        <v>289</v>
      </c>
      <c r="K1675" t="s">
        <v>290</v>
      </c>
      <c r="L1675" t="s">
        <v>285</v>
      </c>
      <c r="M1675" t="str">
        <f t="shared" si="95"/>
        <v>02</v>
      </c>
      <c r="N1675" t="s">
        <v>12</v>
      </c>
    </row>
    <row r="1676" spans="1:14" x14ac:dyDescent="0.25">
      <c r="A1676">
        <v>20160219</v>
      </c>
      <c r="B1676" t="str">
        <f>"062395"</f>
        <v>062395</v>
      </c>
      <c r="C1676" t="str">
        <f>"51345"</f>
        <v>51345</v>
      </c>
      <c r="D1676" t="s">
        <v>419</v>
      </c>
      <c r="E1676" s="3">
        <v>282</v>
      </c>
      <c r="F1676">
        <v>20160217</v>
      </c>
      <c r="G1676" t="s">
        <v>727</v>
      </c>
      <c r="H1676" t="s">
        <v>1023</v>
      </c>
      <c r="I1676">
        <v>0</v>
      </c>
      <c r="J1676" t="s">
        <v>289</v>
      </c>
      <c r="K1676" t="s">
        <v>95</v>
      </c>
      <c r="L1676" t="s">
        <v>285</v>
      </c>
      <c r="M1676" t="str">
        <f t="shared" si="95"/>
        <v>02</v>
      </c>
      <c r="N1676" t="s">
        <v>12</v>
      </c>
    </row>
    <row r="1677" spans="1:14" x14ac:dyDescent="0.25">
      <c r="A1677">
        <v>20160219</v>
      </c>
      <c r="B1677" t="str">
        <f>"062395"</f>
        <v>062395</v>
      </c>
      <c r="C1677" t="str">
        <f>"51345"</f>
        <v>51345</v>
      </c>
      <c r="D1677" t="s">
        <v>419</v>
      </c>
      <c r="E1677" s="3">
        <v>54</v>
      </c>
      <c r="F1677">
        <v>20160217</v>
      </c>
      <c r="G1677" t="s">
        <v>1024</v>
      </c>
      <c r="H1677" t="s">
        <v>945</v>
      </c>
      <c r="I1677">
        <v>0</v>
      </c>
      <c r="J1677" t="s">
        <v>289</v>
      </c>
      <c r="K1677" t="s">
        <v>290</v>
      </c>
      <c r="L1677" t="s">
        <v>285</v>
      </c>
      <c r="M1677" t="str">
        <f t="shared" si="95"/>
        <v>02</v>
      </c>
      <c r="N1677" t="s">
        <v>12</v>
      </c>
    </row>
    <row r="1678" spans="1:14" x14ac:dyDescent="0.25">
      <c r="A1678">
        <v>20160219</v>
      </c>
      <c r="B1678" t="str">
        <f>"062409"</f>
        <v>062409</v>
      </c>
      <c r="C1678" t="str">
        <f>"48954"</f>
        <v>48954</v>
      </c>
      <c r="D1678" t="s">
        <v>1025</v>
      </c>
      <c r="E1678" s="3">
        <v>55</v>
      </c>
      <c r="F1678">
        <v>20160218</v>
      </c>
      <c r="G1678" t="s">
        <v>1026</v>
      </c>
      <c r="H1678" t="s">
        <v>1027</v>
      </c>
      <c r="I1678">
        <v>0</v>
      </c>
      <c r="J1678" t="s">
        <v>289</v>
      </c>
      <c r="K1678" t="s">
        <v>290</v>
      </c>
      <c r="L1678" t="s">
        <v>285</v>
      </c>
      <c r="M1678" t="str">
        <f t="shared" si="95"/>
        <v>02</v>
      </c>
      <c r="N1678" t="s">
        <v>12</v>
      </c>
    </row>
    <row r="1679" spans="1:14" x14ac:dyDescent="0.25">
      <c r="A1679">
        <v>20160219</v>
      </c>
      <c r="B1679" t="str">
        <f>"062410"</f>
        <v>062410</v>
      </c>
      <c r="C1679" t="str">
        <f>"25230"</f>
        <v>25230</v>
      </c>
      <c r="D1679" t="s">
        <v>866</v>
      </c>
      <c r="E1679" s="3">
        <v>62.5</v>
      </c>
      <c r="F1679">
        <v>20160217</v>
      </c>
      <c r="G1679" t="s">
        <v>744</v>
      </c>
      <c r="H1679" t="s">
        <v>1012</v>
      </c>
      <c r="I1679">
        <v>0</v>
      </c>
      <c r="J1679" t="s">
        <v>289</v>
      </c>
      <c r="K1679" t="s">
        <v>290</v>
      </c>
      <c r="L1679" t="s">
        <v>285</v>
      </c>
      <c r="M1679" t="str">
        <f t="shared" si="95"/>
        <v>02</v>
      </c>
      <c r="N1679" t="s">
        <v>12</v>
      </c>
    </row>
    <row r="1680" spans="1:14" x14ac:dyDescent="0.25">
      <c r="A1680">
        <v>20160219</v>
      </c>
      <c r="B1680" t="str">
        <f>"062410"</f>
        <v>062410</v>
      </c>
      <c r="C1680" t="str">
        <f>"25230"</f>
        <v>25230</v>
      </c>
      <c r="D1680" t="s">
        <v>866</v>
      </c>
      <c r="E1680" s="3">
        <v>62.5</v>
      </c>
      <c r="F1680">
        <v>20160217</v>
      </c>
      <c r="G1680" t="s">
        <v>746</v>
      </c>
      <c r="H1680" t="s">
        <v>1013</v>
      </c>
      <c r="I1680">
        <v>0</v>
      </c>
      <c r="J1680" t="s">
        <v>289</v>
      </c>
      <c r="K1680" t="s">
        <v>290</v>
      </c>
      <c r="L1680" t="s">
        <v>285</v>
      </c>
      <c r="M1680" t="str">
        <f t="shared" si="95"/>
        <v>02</v>
      </c>
      <c r="N1680" t="s">
        <v>12</v>
      </c>
    </row>
    <row r="1681" spans="1:14" x14ac:dyDescent="0.25">
      <c r="A1681">
        <v>20160219</v>
      </c>
      <c r="B1681" t="str">
        <f>"062413"</f>
        <v>062413</v>
      </c>
      <c r="C1681" t="str">
        <f>"28573"</f>
        <v>28573</v>
      </c>
      <c r="D1681" t="s">
        <v>1028</v>
      </c>
      <c r="E1681" s="3">
        <v>566.24</v>
      </c>
      <c r="F1681">
        <v>20160217</v>
      </c>
      <c r="G1681" t="s">
        <v>310</v>
      </c>
      <c r="H1681" t="s">
        <v>1029</v>
      </c>
      <c r="I1681">
        <v>0</v>
      </c>
      <c r="J1681" t="s">
        <v>289</v>
      </c>
      <c r="K1681" t="s">
        <v>290</v>
      </c>
      <c r="L1681" t="s">
        <v>285</v>
      </c>
      <c r="M1681" t="str">
        <f t="shared" si="95"/>
        <v>02</v>
      </c>
      <c r="N1681" t="s">
        <v>12</v>
      </c>
    </row>
    <row r="1682" spans="1:14" x14ac:dyDescent="0.25">
      <c r="A1682">
        <v>20160219</v>
      </c>
      <c r="B1682" t="str">
        <f>"062414"</f>
        <v>062414</v>
      </c>
      <c r="C1682" t="str">
        <f>"28612"</f>
        <v>28612</v>
      </c>
      <c r="D1682" t="s">
        <v>943</v>
      </c>
      <c r="E1682" s="3">
        <v>67.5</v>
      </c>
      <c r="F1682">
        <v>20160217</v>
      </c>
      <c r="G1682" t="s">
        <v>744</v>
      </c>
      <c r="H1682" t="s">
        <v>1014</v>
      </c>
      <c r="I1682">
        <v>0</v>
      </c>
      <c r="J1682" t="s">
        <v>289</v>
      </c>
      <c r="K1682" t="s">
        <v>290</v>
      </c>
      <c r="L1682" t="s">
        <v>285</v>
      </c>
      <c r="M1682" t="str">
        <f t="shared" si="95"/>
        <v>02</v>
      </c>
      <c r="N1682" t="s">
        <v>12</v>
      </c>
    </row>
    <row r="1683" spans="1:14" x14ac:dyDescent="0.25">
      <c r="A1683">
        <v>20160219</v>
      </c>
      <c r="B1683" t="str">
        <f>"062414"</f>
        <v>062414</v>
      </c>
      <c r="C1683" t="str">
        <f>"28612"</f>
        <v>28612</v>
      </c>
      <c r="D1683" t="s">
        <v>943</v>
      </c>
      <c r="E1683" s="3">
        <v>67.5</v>
      </c>
      <c r="F1683">
        <v>20160217</v>
      </c>
      <c r="G1683" t="s">
        <v>746</v>
      </c>
      <c r="H1683" t="s">
        <v>1015</v>
      </c>
      <c r="I1683">
        <v>0</v>
      </c>
      <c r="J1683" t="s">
        <v>289</v>
      </c>
      <c r="K1683" t="s">
        <v>290</v>
      </c>
      <c r="L1683" t="s">
        <v>285</v>
      </c>
      <c r="M1683" t="str">
        <f t="shared" si="95"/>
        <v>02</v>
      </c>
      <c r="N1683" t="s">
        <v>12</v>
      </c>
    </row>
    <row r="1684" spans="1:14" x14ac:dyDescent="0.25">
      <c r="A1684">
        <v>20160219</v>
      </c>
      <c r="B1684" t="str">
        <f>"062418"</f>
        <v>062418</v>
      </c>
      <c r="C1684" t="str">
        <f>"30118"</f>
        <v>30118</v>
      </c>
      <c r="D1684" t="s">
        <v>351</v>
      </c>
      <c r="E1684" s="3">
        <v>56</v>
      </c>
      <c r="F1684">
        <v>20160217</v>
      </c>
      <c r="G1684" t="s">
        <v>744</v>
      </c>
      <c r="H1684" t="s">
        <v>1012</v>
      </c>
      <c r="I1684">
        <v>0</v>
      </c>
      <c r="J1684" t="s">
        <v>289</v>
      </c>
      <c r="K1684" t="s">
        <v>290</v>
      </c>
      <c r="L1684" t="s">
        <v>285</v>
      </c>
      <c r="M1684" t="str">
        <f t="shared" si="95"/>
        <v>02</v>
      </c>
      <c r="N1684" t="s">
        <v>12</v>
      </c>
    </row>
    <row r="1685" spans="1:14" x14ac:dyDescent="0.25">
      <c r="A1685">
        <v>20160219</v>
      </c>
      <c r="B1685" t="str">
        <f>"062418"</f>
        <v>062418</v>
      </c>
      <c r="C1685" t="str">
        <f>"30118"</f>
        <v>30118</v>
      </c>
      <c r="D1685" t="s">
        <v>351</v>
      </c>
      <c r="E1685" s="3">
        <v>64</v>
      </c>
      <c r="F1685">
        <v>20160217</v>
      </c>
      <c r="G1685" t="s">
        <v>744</v>
      </c>
      <c r="H1685" t="s">
        <v>1014</v>
      </c>
      <c r="I1685">
        <v>0</v>
      </c>
      <c r="J1685" t="s">
        <v>289</v>
      </c>
      <c r="K1685" t="s">
        <v>290</v>
      </c>
      <c r="L1685" t="s">
        <v>285</v>
      </c>
      <c r="M1685" t="str">
        <f t="shared" si="95"/>
        <v>02</v>
      </c>
      <c r="N1685" t="s">
        <v>12</v>
      </c>
    </row>
    <row r="1686" spans="1:14" x14ac:dyDescent="0.25">
      <c r="A1686">
        <v>20160219</v>
      </c>
      <c r="B1686" t="str">
        <f>"062418"</f>
        <v>062418</v>
      </c>
      <c r="C1686" t="str">
        <f>"30118"</f>
        <v>30118</v>
      </c>
      <c r="D1686" t="s">
        <v>351</v>
      </c>
      <c r="E1686" s="3">
        <v>56</v>
      </c>
      <c r="F1686">
        <v>20160217</v>
      </c>
      <c r="G1686" t="s">
        <v>746</v>
      </c>
      <c r="H1686" t="s">
        <v>1013</v>
      </c>
      <c r="I1686">
        <v>0</v>
      </c>
      <c r="J1686" t="s">
        <v>289</v>
      </c>
      <c r="K1686" t="s">
        <v>290</v>
      </c>
      <c r="L1686" t="s">
        <v>285</v>
      </c>
      <c r="M1686" t="str">
        <f t="shared" si="95"/>
        <v>02</v>
      </c>
      <c r="N1686" t="s">
        <v>12</v>
      </c>
    </row>
    <row r="1687" spans="1:14" x14ac:dyDescent="0.25">
      <c r="A1687">
        <v>20160219</v>
      </c>
      <c r="B1687" t="str">
        <f>"062418"</f>
        <v>062418</v>
      </c>
      <c r="C1687" t="str">
        <f>"30118"</f>
        <v>30118</v>
      </c>
      <c r="D1687" t="s">
        <v>351</v>
      </c>
      <c r="E1687" s="3">
        <v>64</v>
      </c>
      <c r="F1687">
        <v>20160217</v>
      </c>
      <c r="G1687" t="s">
        <v>746</v>
      </c>
      <c r="H1687" t="s">
        <v>1015</v>
      </c>
      <c r="I1687">
        <v>0</v>
      </c>
      <c r="J1687" t="s">
        <v>289</v>
      </c>
      <c r="K1687" t="s">
        <v>290</v>
      </c>
      <c r="L1687" t="s">
        <v>285</v>
      </c>
      <c r="M1687" t="str">
        <f t="shared" si="95"/>
        <v>02</v>
      </c>
      <c r="N1687" t="s">
        <v>12</v>
      </c>
    </row>
    <row r="1688" spans="1:14" x14ac:dyDescent="0.25">
      <c r="A1688">
        <v>20160219</v>
      </c>
      <c r="B1688" t="str">
        <f>"062422"</f>
        <v>062422</v>
      </c>
      <c r="C1688" t="str">
        <f>"31310"</f>
        <v>31310</v>
      </c>
      <c r="D1688" t="s">
        <v>425</v>
      </c>
      <c r="E1688" s="3">
        <v>62.5</v>
      </c>
      <c r="F1688">
        <v>20160217</v>
      </c>
      <c r="G1688" t="s">
        <v>744</v>
      </c>
      <c r="H1688" t="s">
        <v>1014</v>
      </c>
      <c r="I1688">
        <v>0</v>
      </c>
      <c r="J1688" t="s">
        <v>289</v>
      </c>
      <c r="K1688" t="s">
        <v>290</v>
      </c>
      <c r="L1688" t="s">
        <v>285</v>
      </c>
      <c r="M1688" t="str">
        <f t="shared" si="95"/>
        <v>02</v>
      </c>
      <c r="N1688" t="s">
        <v>12</v>
      </c>
    </row>
    <row r="1689" spans="1:14" x14ac:dyDescent="0.25">
      <c r="A1689">
        <v>20160219</v>
      </c>
      <c r="B1689" t="str">
        <f>"062422"</f>
        <v>062422</v>
      </c>
      <c r="C1689" t="str">
        <f>"31310"</f>
        <v>31310</v>
      </c>
      <c r="D1689" t="s">
        <v>425</v>
      </c>
      <c r="E1689" s="3">
        <v>62.5</v>
      </c>
      <c r="F1689">
        <v>20160217</v>
      </c>
      <c r="G1689" t="s">
        <v>746</v>
      </c>
      <c r="H1689" t="s">
        <v>1015</v>
      </c>
      <c r="I1689">
        <v>0</v>
      </c>
      <c r="J1689" t="s">
        <v>289</v>
      </c>
      <c r="K1689" t="s">
        <v>290</v>
      </c>
      <c r="L1689" t="s">
        <v>285</v>
      </c>
      <c r="M1689" t="str">
        <f t="shared" si="95"/>
        <v>02</v>
      </c>
      <c r="N1689" t="s">
        <v>12</v>
      </c>
    </row>
    <row r="1690" spans="1:14" x14ac:dyDescent="0.25">
      <c r="A1690">
        <v>20160219</v>
      </c>
      <c r="B1690" t="str">
        <f>"062424"</f>
        <v>062424</v>
      </c>
      <c r="C1690" t="str">
        <f>"33712"</f>
        <v>33712</v>
      </c>
      <c r="D1690" t="s">
        <v>910</v>
      </c>
      <c r="E1690" s="3">
        <v>62.5</v>
      </c>
      <c r="F1690">
        <v>20160217</v>
      </c>
      <c r="G1690" t="s">
        <v>744</v>
      </c>
      <c r="H1690" t="s">
        <v>1012</v>
      </c>
      <c r="I1690">
        <v>0</v>
      </c>
      <c r="J1690" t="s">
        <v>289</v>
      </c>
      <c r="K1690" t="s">
        <v>290</v>
      </c>
      <c r="L1690" t="s">
        <v>285</v>
      </c>
      <c r="M1690" t="str">
        <f t="shared" si="95"/>
        <v>02</v>
      </c>
      <c r="N1690" t="s">
        <v>12</v>
      </c>
    </row>
    <row r="1691" spans="1:14" x14ac:dyDescent="0.25">
      <c r="A1691">
        <v>20160219</v>
      </c>
      <c r="B1691" t="str">
        <f>"062424"</f>
        <v>062424</v>
      </c>
      <c r="C1691" t="str">
        <f>"33712"</f>
        <v>33712</v>
      </c>
      <c r="D1691" t="s">
        <v>910</v>
      </c>
      <c r="E1691" s="3">
        <v>62.5</v>
      </c>
      <c r="F1691">
        <v>20160217</v>
      </c>
      <c r="G1691" t="s">
        <v>746</v>
      </c>
      <c r="H1691" t="s">
        <v>1013</v>
      </c>
      <c r="I1691">
        <v>0</v>
      </c>
      <c r="J1691" t="s">
        <v>289</v>
      </c>
      <c r="K1691" t="s">
        <v>290</v>
      </c>
      <c r="L1691" t="s">
        <v>285</v>
      </c>
      <c r="M1691" t="str">
        <f t="shared" si="95"/>
        <v>02</v>
      </c>
      <c r="N1691" t="s">
        <v>12</v>
      </c>
    </row>
    <row r="1692" spans="1:14" x14ac:dyDescent="0.25">
      <c r="A1692">
        <v>20160219</v>
      </c>
      <c r="B1692" t="str">
        <f>"062426"</f>
        <v>062426</v>
      </c>
      <c r="C1692" t="str">
        <f>"34949"</f>
        <v>34949</v>
      </c>
      <c r="D1692" t="s">
        <v>396</v>
      </c>
      <c r="E1692" s="3">
        <v>210</v>
      </c>
      <c r="F1692">
        <v>20160217</v>
      </c>
      <c r="G1692" t="s">
        <v>385</v>
      </c>
      <c r="H1692" t="s">
        <v>1030</v>
      </c>
      <c r="I1692">
        <v>0</v>
      </c>
      <c r="J1692" t="s">
        <v>289</v>
      </c>
      <c r="K1692" t="s">
        <v>290</v>
      </c>
      <c r="L1692" t="s">
        <v>285</v>
      </c>
      <c r="M1692" t="str">
        <f t="shared" si="95"/>
        <v>02</v>
      </c>
      <c r="N1692" t="s">
        <v>12</v>
      </c>
    </row>
    <row r="1693" spans="1:14" x14ac:dyDescent="0.25">
      <c r="A1693">
        <v>20160219</v>
      </c>
      <c r="B1693" t="str">
        <f>"062443"</f>
        <v>062443</v>
      </c>
      <c r="C1693" t="str">
        <f>"46392"</f>
        <v>46392</v>
      </c>
      <c r="D1693" t="s">
        <v>1031</v>
      </c>
      <c r="E1693" s="3">
        <v>52.5</v>
      </c>
      <c r="F1693">
        <v>20160217</v>
      </c>
      <c r="G1693" t="s">
        <v>948</v>
      </c>
      <c r="H1693" t="s">
        <v>1016</v>
      </c>
      <c r="I1693">
        <v>0</v>
      </c>
      <c r="J1693" t="s">
        <v>289</v>
      </c>
      <c r="K1693" t="s">
        <v>290</v>
      </c>
      <c r="L1693" t="s">
        <v>285</v>
      </c>
      <c r="M1693" t="str">
        <f t="shared" si="95"/>
        <v>02</v>
      </c>
      <c r="N1693" t="s">
        <v>12</v>
      </c>
    </row>
    <row r="1694" spans="1:14" x14ac:dyDescent="0.25">
      <c r="A1694">
        <v>20160219</v>
      </c>
      <c r="B1694" t="str">
        <f>"062443"</f>
        <v>062443</v>
      </c>
      <c r="C1694" t="str">
        <f>"46392"</f>
        <v>46392</v>
      </c>
      <c r="D1694" t="s">
        <v>1031</v>
      </c>
      <c r="E1694" s="3">
        <v>52.5</v>
      </c>
      <c r="F1694">
        <v>20160217</v>
      </c>
      <c r="G1694" t="s">
        <v>934</v>
      </c>
      <c r="H1694" t="s">
        <v>1017</v>
      </c>
      <c r="I1694">
        <v>0</v>
      </c>
      <c r="J1694" t="s">
        <v>289</v>
      </c>
      <c r="K1694" t="s">
        <v>290</v>
      </c>
      <c r="L1694" t="s">
        <v>285</v>
      </c>
      <c r="M1694" t="str">
        <f t="shared" si="95"/>
        <v>02</v>
      </c>
      <c r="N1694" t="s">
        <v>12</v>
      </c>
    </row>
    <row r="1695" spans="1:14" x14ac:dyDescent="0.25">
      <c r="A1695">
        <v>20160219</v>
      </c>
      <c r="B1695" t="str">
        <f>"062448"</f>
        <v>062448</v>
      </c>
      <c r="C1695" t="str">
        <f>"49955"</f>
        <v>49955</v>
      </c>
      <c r="D1695" t="s">
        <v>918</v>
      </c>
      <c r="E1695" s="3">
        <v>102</v>
      </c>
      <c r="F1695">
        <v>20160218</v>
      </c>
      <c r="G1695" t="s">
        <v>1032</v>
      </c>
      <c r="H1695" t="s">
        <v>1033</v>
      </c>
      <c r="I1695">
        <v>0</v>
      </c>
      <c r="J1695" t="s">
        <v>289</v>
      </c>
      <c r="K1695" t="s">
        <v>290</v>
      </c>
      <c r="L1695" t="s">
        <v>285</v>
      </c>
      <c r="M1695" t="str">
        <f t="shared" si="95"/>
        <v>02</v>
      </c>
      <c r="N1695" t="s">
        <v>12</v>
      </c>
    </row>
    <row r="1696" spans="1:14" x14ac:dyDescent="0.25">
      <c r="A1696">
        <v>20160219</v>
      </c>
      <c r="B1696" t="str">
        <f>"062449"</f>
        <v>062449</v>
      </c>
      <c r="C1696" t="str">
        <f>"49959"</f>
        <v>49959</v>
      </c>
      <c r="D1696" t="s">
        <v>361</v>
      </c>
      <c r="E1696" s="3">
        <v>48</v>
      </c>
      <c r="F1696">
        <v>20160218</v>
      </c>
      <c r="G1696" t="s">
        <v>744</v>
      </c>
      <c r="H1696" t="s">
        <v>1014</v>
      </c>
      <c r="I1696">
        <v>0</v>
      </c>
      <c r="J1696" t="s">
        <v>289</v>
      </c>
      <c r="K1696" t="s">
        <v>290</v>
      </c>
      <c r="L1696" t="s">
        <v>285</v>
      </c>
      <c r="M1696" t="str">
        <f t="shared" si="95"/>
        <v>02</v>
      </c>
      <c r="N1696" t="s">
        <v>12</v>
      </c>
    </row>
    <row r="1697" spans="1:14" x14ac:dyDescent="0.25">
      <c r="A1697">
        <v>20160219</v>
      </c>
      <c r="B1697" t="str">
        <f>"062454"</f>
        <v>062454</v>
      </c>
      <c r="C1697" t="str">
        <f>"53201"</f>
        <v>53201</v>
      </c>
      <c r="D1697" t="s">
        <v>1034</v>
      </c>
      <c r="E1697" s="3">
        <v>150</v>
      </c>
      <c r="F1697">
        <v>20160217</v>
      </c>
      <c r="G1697" t="s">
        <v>1035</v>
      </c>
      <c r="H1697" t="s">
        <v>1036</v>
      </c>
      <c r="I1697">
        <v>0</v>
      </c>
      <c r="J1697" t="s">
        <v>289</v>
      </c>
      <c r="K1697" t="s">
        <v>290</v>
      </c>
      <c r="L1697" t="s">
        <v>285</v>
      </c>
      <c r="M1697" t="str">
        <f t="shared" si="95"/>
        <v>02</v>
      </c>
      <c r="N1697" t="s">
        <v>12</v>
      </c>
    </row>
    <row r="1698" spans="1:14" x14ac:dyDescent="0.25">
      <c r="A1698">
        <v>20160219</v>
      </c>
      <c r="B1698" t="str">
        <f>"062455"</f>
        <v>062455</v>
      </c>
      <c r="C1698" t="str">
        <f>"53289"</f>
        <v>53289</v>
      </c>
      <c r="D1698" t="s">
        <v>1037</v>
      </c>
      <c r="E1698" s="3">
        <v>67.5</v>
      </c>
      <c r="F1698">
        <v>20160217</v>
      </c>
      <c r="G1698" t="s">
        <v>744</v>
      </c>
      <c r="H1698" t="s">
        <v>1012</v>
      </c>
      <c r="I1698">
        <v>0</v>
      </c>
      <c r="J1698" t="s">
        <v>289</v>
      </c>
      <c r="K1698" t="s">
        <v>290</v>
      </c>
      <c r="L1698" t="s">
        <v>285</v>
      </c>
      <c r="M1698" t="str">
        <f t="shared" si="95"/>
        <v>02</v>
      </c>
      <c r="N1698" t="s">
        <v>12</v>
      </c>
    </row>
    <row r="1699" spans="1:14" x14ac:dyDescent="0.25">
      <c r="A1699">
        <v>20160219</v>
      </c>
      <c r="B1699" t="str">
        <f>"062455"</f>
        <v>062455</v>
      </c>
      <c r="C1699" t="str">
        <f>"53289"</f>
        <v>53289</v>
      </c>
      <c r="D1699" t="s">
        <v>1037</v>
      </c>
      <c r="E1699" s="3">
        <v>67.5</v>
      </c>
      <c r="F1699">
        <v>20160217</v>
      </c>
      <c r="G1699" t="s">
        <v>746</v>
      </c>
      <c r="H1699" t="s">
        <v>1013</v>
      </c>
      <c r="I1699">
        <v>0</v>
      </c>
      <c r="J1699" t="s">
        <v>289</v>
      </c>
      <c r="K1699" t="s">
        <v>290</v>
      </c>
      <c r="L1699" t="s">
        <v>285</v>
      </c>
      <c r="M1699" t="str">
        <f t="shared" ref="M1699:M1722" si="96">"02"</f>
        <v>02</v>
      </c>
      <c r="N1699" t="s">
        <v>12</v>
      </c>
    </row>
    <row r="1700" spans="1:14" x14ac:dyDescent="0.25">
      <c r="A1700">
        <v>20160219</v>
      </c>
      <c r="B1700" t="str">
        <f>"062458"</f>
        <v>062458</v>
      </c>
      <c r="C1700" t="str">
        <f>"56555"</f>
        <v>56555</v>
      </c>
      <c r="D1700" t="s">
        <v>1038</v>
      </c>
      <c r="E1700" s="3">
        <v>320</v>
      </c>
      <c r="F1700">
        <v>20160217</v>
      </c>
      <c r="G1700" t="s">
        <v>856</v>
      </c>
      <c r="H1700" t="s">
        <v>1039</v>
      </c>
      <c r="I1700">
        <v>0</v>
      </c>
      <c r="J1700" t="s">
        <v>289</v>
      </c>
      <c r="K1700" t="s">
        <v>290</v>
      </c>
      <c r="L1700" t="s">
        <v>285</v>
      </c>
      <c r="M1700" t="str">
        <f t="shared" si="96"/>
        <v>02</v>
      </c>
      <c r="N1700" t="s">
        <v>12</v>
      </c>
    </row>
    <row r="1701" spans="1:14" x14ac:dyDescent="0.25">
      <c r="A1701">
        <v>20160219</v>
      </c>
      <c r="B1701" t="str">
        <f>"062461"</f>
        <v>062461</v>
      </c>
      <c r="C1701" t="str">
        <f>"57299"</f>
        <v>57299</v>
      </c>
      <c r="D1701" t="s">
        <v>873</v>
      </c>
      <c r="E1701" s="3">
        <v>55</v>
      </c>
      <c r="F1701">
        <v>20160218</v>
      </c>
      <c r="G1701" t="s">
        <v>744</v>
      </c>
      <c r="H1701" t="s">
        <v>1014</v>
      </c>
      <c r="I1701">
        <v>0</v>
      </c>
      <c r="J1701" t="s">
        <v>289</v>
      </c>
      <c r="K1701" t="s">
        <v>290</v>
      </c>
      <c r="L1701" t="s">
        <v>285</v>
      </c>
      <c r="M1701" t="str">
        <f t="shared" si="96"/>
        <v>02</v>
      </c>
      <c r="N1701" t="s">
        <v>12</v>
      </c>
    </row>
    <row r="1702" spans="1:14" x14ac:dyDescent="0.25">
      <c r="A1702">
        <v>20160219</v>
      </c>
      <c r="B1702" t="str">
        <f>"062462"</f>
        <v>062462</v>
      </c>
      <c r="C1702" t="str">
        <f>"57322"</f>
        <v>57322</v>
      </c>
      <c r="D1702" t="s">
        <v>957</v>
      </c>
      <c r="E1702" s="3">
        <v>39</v>
      </c>
      <c r="F1702">
        <v>20160218</v>
      </c>
      <c r="G1702" t="s">
        <v>847</v>
      </c>
      <c r="H1702" t="s">
        <v>892</v>
      </c>
      <c r="I1702">
        <v>0</v>
      </c>
      <c r="J1702" t="s">
        <v>289</v>
      </c>
      <c r="K1702" t="s">
        <v>290</v>
      </c>
      <c r="L1702" t="s">
        <v>285</v>
      </c>
      <c r="M1702" t="str">
        <f t="shared" si="96"/>
        <v>02</v>
      </c>
      <c r="N1702" t="s">
        <v>12</v>
      </c>
    </row>
    <row r="1703" spans="1:14" x14ac:dyDescent="0.25">
      <c r="A1703">
        <v>20160219</v>
      </c>
      <c r="B1703" t="str">
        <f>"062464"</f>
        <v>062464</v>
      </c>
      <c r="C1703" t="str">
        <f>"58207"</f>
        <v>58207</v>
      </c>
      <c r="D1703" t="s">
        <v>296</v>
      </c>
      <c r="E1703" s="3">
        <v>80</v>
      </c>
      <c r="F1703">
        <v>20160218</v>
      </c>
      <c r="G1703" t="s">
        <v>852</v>
      </c>
      <c r="H1703" t="s">
        <v>1040</v>
      </c>
      <c r="I1703">
        <v>0</v>
      </c>
      <c r="J1703" t="s">
        <v>289</v>
      </c>
      <c r="K1703" t="s">
        <v>290</v>
      </c>
      <c r="L1703" t="s">
        <v>285</v>
      </c>
      <c r="M1703" t="str">
        <f t="shared" si="96"/>
        <v>02</v>
      </c>
      <c r="N1703" t="s">
        <v>12</v>
      </c>
    </row>
    <row r="1704" spans="1:14" x14ac:dyDescent="0.25">
      <c r="A1704">
        <v>20160219</v>
      </c>
      <c r="B1704" t="str">
        <f>"062467"</f>
        <v>062467</v>
      </c>
      <c r="C1704" t="str">
        <f>"59007"</f>
        <v>59007</v>
      </c>
      <c r="D1704" t="s">
        <v>1041</v>
      </c>
      <c r="E1704" s="3">
        <v>200</v>
      </c>
      <c r="F1704">
        <v>20160218</v>
      </c>
      <c r="G1704" t="s">
        <v>1035</v>
      </c>
      <c r="H1704" t="s">
        <v>1033</v>
      </c>
      <c r="I1704">
        <v>0</v>
      </c>
      <c r="J1704" t="s">
        <v>289</v>
      </c>
      <c r="K1704" t="s">
        <v>290</v>
      </c>
      <c r="L1704" t="s">
        <v>285</v>
      </c>
      <c r="M1704" t="str">
        <f t="shared" si="96"/>
        <v>02</v>
      </c>
      <c r="N1704" t="s">
        <v>12</v>
      </c>
    </row>
    <row r="1705" spans="1:14" x14ac:dyDescent="0.25">
      <c r="A1705">
        <v>20160219</v>
      </c>
      <c r="B1705" t="str">
        <f>"062470"</f>
        <v>062470</v>
      </c>
      <c r="C1705" t="str">
        <f>"61340"</f>
        <v>61340</v>
      </c>
      <c r="D1705" t="s">
        <v>543</v>
      </c>
      <c r="E1705" s="3">
        <v>540</v>
      </c>
      <c r="F1705">
        <v>20160218</v>
      </c>
      <c r="G1705" t="s">
        <v>385</v>
      </c>
      <c r="H1705" t="s">
        <v>1042</v>
      </c>
      <c r="I1705">
        <v>0</v>
      </c>
      <c r="J1705" t="s">
        <v>289</v>
      </c>
      <c r="K1705" t="s">
        <v>290</v>
      </c>
      <c r="L1705" t="s">
        <v>285</v>
      </c>
      <c r="M1705" t="str">
        <f t="shared" si="96"/>
        <v>02</v>
      </c>
      <c r="N1705" t="s">
        <v>12</v>
      </c>
    </row>
    <row r="1706" spans="1:14" x14ac:dyDescent="0.25">
      <c r="A1706">
        <v>20160219</v>
      </c>
      <c r="B1706" t="str">
        <f>"062482"</f>
        <v>062482</v>
      </c>
      <c r="C1706" t="str">
        <f>"63624"</f>
        <v>63624</v>
      </c>
      <c r="D1706" t="s">
        <v>1043</v>
      </c>
      <c r="E1706" s="3">
        <v>225</v>
      </c>
      <c r="F1706">
        <v>20160218</v>
      </c>
      <c r="G1706" t="s">
        <v>1044</v>
      </c>
      <c r="H1706" t="s">
        <v>1045</v>
      </c>
      <c r="I1706">
        <v>0</v>
      </c>
      <c r="J1706" t="s">
        <v>289</v>
      </c>
      <c r="K1706" t="s">
        <v>290</v>
      </c>
      <c r="L1706" t="s">
        <v>285</v>
      </c>
      <c r="M1706" t="str">
        <f t="shared" si="96"/>
        <v>02</v>
      </c>
      <c r="N1706" t="s">
        <v>12</v>
      </c>
    </row>
    <row r="1707" spans="1:14" x14ac:dyDescent="0.25">
      <c r="A1707">
        <v>20160219</v>
      </c>
      <c r="B1707" t="str">
        <f>"062482"</f>
        <v>062482</v>
      </c>
      <c r="C1707" t="str">
        <f>"63624"</f>
        <v>63624</v>
      </c>
      <c r="D1707" t="s">
        <v>1043</v>
      </c>
      <c r="E1707" s="3">
        <v>225</v>
      </c>
      <c r="F1707">
        <v>20160218</v>
      </c>
      <c r="G1707" t="s">
        <v>1046</v>
      </c>
      <c r="H1707" t="s">
        <v>1047</v>
      </c>
      <c r="I1707">
        <v>0</v>
      </c>
      <c r="J1707" t="s">
        <v>289</v>
      </c>
      <c r="K1707" t="s">
        <v>290</v>
      </c>
      <c r="L1707" t="s">
        <v>285</v>
      </c>
      <c r="M1707" t="str">
        <f t="shared" si="96"/>
        <v>02</v>
      </c>
      <c r="N1707" t="s">
        <v>12</v>
      </c>
    </row>
    <row r="1708" spans="1:14" x14ac:dyDescent="0.25">
      <c r="A1708">
        <v>20160219</v>
      </c>
      <c r="B1708" t="str">
        <f>"062483"</f>
        <v>062483</v>
      </c>
      <c r="C1708" t="str">
        <f>"63913"</f>
        <v>63913</v>
      </c>
      <c r="D1708" t="s">
        <v>1048</v>
      </c>
      <c r="E1708" s="3">
        <v>62.5</v>
      </c>
      <c r="F1708">
        <v>20160218</v>
      </c>
      <c r="G1708" t="s">
        <v>744</v>
      </c>
      <c r="H1708" t="s">
        <v>1012</v>
      </c>
      <c r="I1708">
        <v>0</v>
      </c>
      <c r="J1708" t="s">
        <v>289</v>
      </c>
      <c r="K1708" t="s">
        <v>290</v>
      </c>
      <c r="L1708" t="s">
        <v>285</v>
      </c>
      <c r="M1708" t="str">
        <f t="shared" si="96"/>
        <v>02</v>
      </c>
      <c r="N1708" t="s">
        <v>12</v>
      </c>
    </row>
    <row r="1709" spans="1:14" x14ac:dyDescent="0.25">
      <c r="A1709">
        <v>20160219</v>
      </c>
      <c r="B1709" t="str">
        <f>"062483"</f>
        <v>062483</v>
      </c>
      <c r="C1709" t="str">
        <f>"63913"</f>
        <v>63913</v>
      </c>
      <c r="D1709" t="s">
        <v>1048</v>
      </c>
      <c r="E1709" s="3">
        <v>62.5</v>
      </c>
      <c r="F1709">
        <v>20160218</v>
      </c>
      <c r="G1709" t="s">
        <v>746</v>
      </c>
      <c r="H1709" t="s">
        <v>1013</v>
      </c>
      <c r="I1709">
        <v>0</v>
      </c>
      <c r="J1709" t="s">
        <v>289</v>
      </c>
      <c r="K1709" t="s">
        <v>290</v>
      </c>
      <c r="L1709" t="s">
        <v>285</v>
      </c>
      <c r="M1709" t="str">
        <f t="shared" si="96"/>
        <v>02</v>
      </c>
      <c r="N1709" t="s">
        <v>12</v>
      </c>
    </row>
    <row r="1710" spans="1:14" x14ac:dyDescent="0.25">
      <c r="A1710">
        <v>20160219</v>
      </c>
      <c r="B1710" t="str">
        <f>"062484"</f>
        <v>062484</v>
      </c>
      <c r="C1710" t="str">
        <f>"64822"</f>
        <v>64822</v>
      </c>
      <c r="D1710" t="s">
        <v>1049</v>
      </c>
      <c r="E1710" s="3">
        <v>55</v>
      </c>
      <c r="F1710">
        <v>20160218</v>
      </c>
      <c r="G1710" t="s">
        <v>744</v>
      </c>
      <c r="H1710" t="s">
        <v>1012</v>
      </c>
      <c r="I1710">
        <v>0</v>
      </c>
      <c r="J1710" t="s">
        <v>289</v>
      </c>
      <c r="K1710" t="s">
        <v>290</v>
      </c>
      <c r="L1710" t="s">
        <v>285</v>
      </c>
      <c r="M1710" t="str">
        <f t="shared" si="96"/>
        <v>02</v>
      </c>
      <c r="N1710" t="s">
        <v>12</v>
      </c>
    </row>
    <row r="1711" spans="1:14" x14ac:dyDescent="0.25">
      <c r="A1711">
        <v>20160219</v>
      </c>
      <c r="B1711" t="str">
        <f>"062487"</f>
        <v>062487</v>
      </c>
      <c r="C1711" t="str">
        <f>"65220"</f>
        <v>65220</v>
      </c>
      <c r="D1711" t="s">
        <v>876</v>
      </c>
      <c r="E1711" s="3">
        <v>55</v>
      </c>
      <c r="F1711">
        <v>20160218</v>
      </c>
      <c r="G1711" t="s">
        <v>744</v>
      </c>
      <c r="H1711" t="s">
        <v>1012</v>
      </c>
      <c r="I1711">
        <v>0</v>
      </c>
      <c r="J1711" t="s">
        <v>289</v>
      </c>
      <c r="K1711" t="s">
        <v>290</v>
      </c>
      <c r="L1711" t="s">
        <v>285</v>
      </c>
      <c r="M1711" t="str">
        <f t="shared" si="96"/>
        <v>02</v>
      </c>
      <c r="N1711" t="s">
        <v>12</v>
      </c>
    </row>
    <row r="1712" spans="1:14" x14ac:dyDescent="0.25">
      <c r="A1712">
        <v>20160219</v>
      </c>
      <c r="B1712" t="str">
        <f>"062488"</f>
        <v>062488</v>
      </c>
      <c r="C1712" t="str">
        <f>"69038"</f>
        <v>69038</v>
      </c>
      <c r="D1712" t="s">
        <v>1050</v>
      </c>
      <c r="E1712" s="3">
        <v>145</v>
      </c>
      <c r="F1712">
        <v>20160218</v>
      </c>
      <c r="G1712" t="s">
        <v>856</v>
      </c>
      <c r="H1712" t="s">
        <v>1051</v>
      </c>
      <c r="I1712">
        <v>0</v>
      </c>
      <c r="J1712" t="s">
        <v>289</v>
      </c>
      <c r="K1712" t="s">
        <v>290</v>
      </c>
      <c r="L1712" t="s">
        <v>285</v>
      </c>
      <c r="M1712" t="str">
        <f t="shared" si="96"/>
        <v>02</v>
      </c>
      <c r="N1712" t="s">
        <v>12</v>
      </c>
    </row>
    <row r="1713" spans="1:14" x14ac:dyDescent="0.25">
      <c r="A1713">
        <v>20160219</v>
      </c>
      <c r="B1713" t="str">
        <f>"062502"</f>
        <v>062502</v>
      </c>
      <c r="C1713" t="str">
        <f>"82309"</f>
        <v>82309</v>
      </c>
      <c r="D1713" t="s">
        <v>959</v>
      </c>
      <c r="E1713" s="3">
        <v>47.5</v>
      </c>
      <c r="F1713">
        <v>20160218</v>
      </c>
      <c r="G1713" t="s">
        <v>948</v>
      </c>
      <c r="H1713" t="s">
        <v>1052</v>
      </c>
      <c r="I1713">
        <v>0</v>
      </c>
      <c r="J1713" t="s">
        <v>289</v>
      </c>
      <c r="K1713" t="s">
        <v>290</v>
      </c>
      <c r="L1713" t="s">
        <v>285</v>
      </c>
      <c r="M1713" t="str">
        <f t="shared" si="96"/>
        <v>02</v>
      </c>
      <c r="N1713" t="s">
        <v>12</v>
      </c>
    </row>
    <row r="1714" spans="1:14" x14ac:dyDescent="0.25">
      <c r="A1714">
        <v>20160219</v>
      </c>
      <c r="B1714" t="str">
        <f>"062502"</f>
        <v>062502</v>
      </c>
      <c r="C1714" t="str">
        <f>"82309"</f>
        <v>82309</v>
      </c>
      <c r="D1714" t="s">
        <v>959</v>
      </c>
      <c r="E1714" s="3">
        <v>47.5</v>
      </c>
      <c r="F1714">
        <v>20160218</v>
      </c>
      <c r="G1714" t="s">
        <v>934</v>
      </c>
      <c r="H1714" t="s">
        <v>1053</v>
      </c>
      <c r="I1714">
        <v>0</v>
      </c>
      <c r="J1714" t="s">
        <v>289</v>
      </c>
      <c r="K1714" t="s">
        <v>290</v>
      </c>
      <c r="L1714" t="s">
        <v>285</v>
      </c>
      <c r="M1714" t="str">
        <f t="shared" si="96"/>
        <v>02</v>
      </c>
      <c r="N1714" t="s">
        <v>12</v>
      </c>
    </row>
    <row r="1715" spans="1:14" x14ac:dyDescent="0.25">
      <c r="A1715">
        <v>20160219</v>
      </c>
      <c r="B1715" t="str">
        <f>"062503"</f>
        <v>062503</v>
      </c>
      <c r="C1715" t="str">
        <f>"82308"</f>
        <v>82308</v>
      </c>
      <c r="D1715" t="s">
        <v>961</v>
      </c>
      <c r="E1715" s="3">
        <v>50</v>
      </c>
      <c r="F1715">
        <v>20160218</v>
      </c>
      <c r="G1715" t="s">
        <v>948</v>
      </c>
      <c r="H1715" t="s">
        <v>1052</v>
      </c>
      <c r="I1715">
        <v>0</v>
      </c>
      <c r="J1715" t="s">
        <v>289</v>
      </c>
      <c r="K1715" t="s">
        <v>290</v>
      </c>
      <c r="L1715" t="s">
        <v>285</v>
      </c>
      <c r="M1715" t="str">
        <f t="shared" si="96"/>
        <v>02</v>
      </c>
      <c r="N1715" t="s">
        <v>12</v>
      </c>
    </row>
    <row r="1716" spans="1:14" x14ac:dyDescent="0.25">
      <c r="A1716">
        <v>20160219</v>
      </c>
      <c r="B1716" t="str">
        <f>"062503"</f>
        <v>062503</v>
      </c>
      <c r="C1716" t="str">
        <f>"82308"</f>
        <v>82308</v>
      </c>
      <c r="D1716" t="s">
        <v>961</v>
      </c>
      <c r="E1716" s="3">
        <v>50</v>
      </c>
      <c r="F1716">
        <v>20160218</v>
      </c>
      <c r="G1716" t="s">
        <v>934</v>
      </c>
      <c r="H1716" t="s">
        <v>1053</v>
      </c>
      <c r="I1716">
        <v>0</v>
      </c>
      <c r="J1716" t="s">
        <v>289</v>
      </c>
      <c r="K1716" t="s">
        <v>290</v>
      </c>
      <c r="L1716" t="s">
        <v>285</v>
      </c>
      <c r="M1716" t="str">
        <f t="shared" si="96"/>
        <v>02</v>
      </c>
      <c r="N1716" t="s">
        <v>12</v>
      </c>
    </row>
    <row r="1717" spans="1:14" x14ac:dyDescent="0.25">
      <c r="A1717">
        <v>20160219</v>
      </c>
      <c r="B1717" t="str">
        <f>"062504"</f>
        <v>062504</v>
      </c>
      <c r="C1717" t="str">
        <f>"82315"</f>
        <v>82315</v>
      </c>
      <c r="D1717" t="s">
        <v>962</v>
      </c>
      <c r="E1717" s="3">
        <v>50</v>
      </c>
      <c r="F1717">
        <v>20160218</v>
      </c>
      <c r="G1717" t="s">
        <v>948</v>
      </c>
      <c r="H1717" t="s">
        <v>1052</v>
      </c>
      <c r="I1717">
        <v>0</v>
      </c>
      <c r="J1717" t="s">
        <v>289</v>
      </c>
      <c r="K1717" t="s">
        <v>290</v>
      </c>
      <c r="L1717" t="s">
        <v>285</v>
      </c>
      <c r="M1717" t="str">
        <f t="shared" si="96"/>
        <v>02</v>
      </c>
      <c r="N1717" t="s">
        <v>12</v>
      </c>
    </row>
    <row r="1718" spans="1:14" x14ac:dyDescent="0.25">
      <c r="A1718">
        <v>20160219</v>
      </c>
      <c r="B1718" t="str">
        <f>"062504"</f>
        <v>062504</v>
      </c>
      <c r="C1718" t="str">
        <f>"82315"</f>
        <v>82315</v>
      </c>
      <c r="D1718" t="s">
        <v>962</v>
      </c>
      <c r="E1718" s="3">
        <v>50</v>
      </c>
      <c r="F1718">
        <v>20160218</v>
      </c>
      <c r="G1718" t="s">
        <v>934</v>
      </c>
      <c r="H1718" t="s">
        <v>1053</v>
      </c>
      <c r="I1718">
        <v>0</v>
      </c>
      <c r="J1718" t="s">
        <v>289</v>
      </c>
      <c r="K1718" t="s">
        <v>290</v>
      </c>
      <c r="L1718" t="s">
        <v>285</v>
      </c>
      <c r="M1718" t="str">
        <f t="shared" si="96"/>
        <v>02</v>
      </c>
      <c r="N1718" t="s">
        <v>12</v>
      </c>
    </row>
    <row r="1719" spans="1:14" x14ac:dyDescent="0.25">
      <c r="A1719">
        <v>20160219</v>
      </c>
      <c r="B1719" t="str">
        <f>"062509"</f>
        <v>062509</v>
      </c>
      <c r="C1719" t="str">
        <f>"84562"</f>
        <v>84562</v>
      </c>
      <c r="D1719" t="s">
        <v>1054</v>
      </c>
      <c r="E1719" s="3">
        <v>67.5</v>
      </c>
      <c r="F1719">
        <v>20160218</v>
      </c>
      <c r="G1719" t="s">
        <v>744</v>
      </c>
      <c r="H1719" t="s">
        <v>1014</v>
      </c>
      <c r="I1719">
        <v>0</v>
      </c>
      <c r="J1719" t="s">
        <v>289</v>
      </c>
      <c r="K1719" t="s">
        <v>290</v>
      </c>
      <c r="L1719" t="s">
        <v>285</v>
      </c>
      <c r="M1719" t="str">
        <f t="shared" si="96"/>
        <v>02</v>
      </c>
      <c r="N1719" t="s">
        <v>12</v>
      </c>
    </row>
    <row r="1720" spans="1:14" x14ac:dyDescent="0.25">
      <c r="A1720">
        <v>20160219</v>
      </c>
      <c r="B1720" t="str">
        <f>"062509"</f>
        <v>062509</v>
      </c>
      <c r="C1720" t="str">
        <f>"84562"</f>
        <v>84562</v>
      </c>
      <c r="D1720" t="s">
        <v>1054</v>
      </c>
      <c r="E1720" s="3">
        <v>67.5</v>
      </c>
      <c r="F1720">
        <v>20160218</v>
      </c>
      <c r="G1720" t="s">
        <v>746</v>
      </c>
      <c r="H1720" t="s">
        <v>1015</v>
      </c>
      <c r="I1720">
        <v>0</v>
      </c>
      <c r="J1720" t="s">
        <v>289</v>
      </c>
      <c r="K1720" t="s">
        <v>290</v>
      </c>
      <c r="L1720" t="s">
        <v>285</v>
      </c>
      <c r="M1720" t="str">
        <f t="shared" si="96"/>
        <v>02</v>
      </c>
      <c r="N1720" t="s">
        <v>12</v>
      </c>
    </row>
    <row r="1721" spans="1:14" x14ac:dyDescent="0.25">
      <c r="A1721">
        <v>20160219</v>
      </c>
      <c r="B1721" t="str">
        <f>"062510"</f>
        <v>062510</v>
      </c>
      <c r="C1721" t="str">
        <f>"84557"</f>
        <v>84557</v>
      </c>
      <c r="D1721" t="s">
        <v>693</v>
      </c>
      <c r="E1721" s="3">
        <v>62.5</v>
      </c>
      <c r="F1721">
        <v>20160218</v>
      </c>
      <c r="G1721" t="s">
        <v>744</v>
      </c>
      <c r="H1721" t="s">
        <v>1014</v>
      </c>
      <c r="I1721">
        <v>0</v>
      </c>
      <c r="J1721" t="s">
        <v>289</v>
      </c>
      <c r="K1721" t="s">
        <v>290</v>
      </c>
      <c r="L1721" t="s">
        <v>285</v>
      </c>
      <c r="M1721" t="str">
        <f t="shared" si="96"/>
        <v>02</v>
      </c>
      <c r="N1721" t="s">
        <v>12</v>
      </c>
    </row>
    <row r="1722" spans="1:14" x14ac:dyDescent="0.25">
      <c r="A1722">
        <v>20160219</v>
      </c>
      <c r="B1722" t="str">
        <f>"062510"</f>
        <v>062510</v>
      </c>
      <c r="C1722" t="str">
        <f>"84557"</f>
        <v>84557</v>
      </c>
      <c r="D1722" t="s">
        <v>693</v>
      </c>
      <c r="E1722" s="3">
        <v>62.5</v>
      </c>
      <c r="F1722">
        <v>20160218</v>
      </c>
      <c r="G1722" t="s">
        <v>746</v>
      </c>
      <c r="H1722" t="s">
        <v>1015</v>
      </c>
      <c r="I1722">
        <v>0</v>
      </c>
      <c r="J1722" t="s">
        <v>289</v>
      </c>
      <c r="K1722" t="s">
        <v>290</v>
      </c>
      <c r="L1722" t="s">
        <v>285</v>
      </c>
      <c r="M1722" t="str">
        <f t="shared" si="96"/>
        <v>02</v>
      </c>
      <c r="N1722" t="s">
        <v>12</v>
      </c>
    </row>
    <row r="1723" spans="1:14" x14ac:dyDescent="0.25">
      <c r="A1723">
        <v>20160301</v>
      </c>
      <c r="B1723" t="str">
        <f>"062514"</f>
        <v>062514</v>
      </c>
      <c r="C1723" t="str">
        <f>"27598"</f>
        <v>27598</v>
      </c>
      <c r="D1723" t="s">
        <v>1055</v>
      </c>
      <c r="E1723" s="3">
        <v>350</v>
      </c>
      <c r="F1723">
        <v>20160301</v>
      </c>
      <c r="G1723" t="s">
        <v>599</v>
      </c>
      <c r="H1723" t="s">
        <v>1056</v>
      </c>
      <c r="I1723">
        <v>0</v>
      </c>
      <c r="J1723" t="s">
        <v>289</v>
      </c>
      <c r="K1723" t="s">
        <v>290</v>
      </c>
      <c r="L1723" t="s">
        <v>285</v>
      </c>
      <c r="M1723" t="str">
        <f t="shared" ref="M1723:M1786" si="97">"03"</f>
        <v>03</v>
      </c>
      <c r="N1723" t="s">
        <v>12</v>
      </c>
    </row>
    <row r="1724" spans="1:14" x14ac:dyDescent="0.25">
      <c r="A1724">
        <v>20160301</v>
      </c>
      <c r="B1724" t="str">
        <f>"062515"</f>
        <v>062515</v>
      </c>
      <c r="C1724" t="str">
        <f>"40834"</f>
        <v>40834</v>
      </c>
      <c r="D1724" t="s">
        <v>1057</v>
      </c>
      <c r="E1724" s="3">
        <v>930.9</v>
      </c>
      <c r="F1724">
        <v>20160301</v>
      </c>
      <c r="G1724" t="s">
        <v>599</v>
      </c>
      <c r="H1724" t="s">
        <v>1056</v>
      </c>
      <c r="I1724">
        <v>0</v>
      </c>
      <c r="J1724" t="s">
        <v>289</v>
      </c>
      <c r="K1724" t="s">
        <v>290</v>
      </c>
      <c r="L1724" t="s">
        <v>285</v>
      </c>
      <c r="M1724" t="str">
        <f t="shared" si="97"/>
        <v>03</v>
      </c>
      <c r="N1724" t="s">
        <v>12</v>
      </c>
    </row>
    <row r="1725" spans="1:14" x14ac:dyDescent="0.25">
      <c r="A1725">
        <v>20160301</v>
      </c>
      <c r="B1725" t="str">
        <f>"062516"</f>
        <v>062516</v>
      </c>
      <c r="C1725" t="str">
        <f>"63974"</f>
        <v>63974</v>
      </c>
      <c r="D1725" t="s">
        <v>1058</v>
      </c>
      <c r="E1725" s="3">
        <v>800</v>
      </c>
      <c r="F1725">
        <v>20160301</v>
      </c>
      <c r="G1725" t="s">
        <v>599</v>
      </c>
      <c r="H1725" t="s">
        <v>1056</v>
      </c>
      <c r="I1725">
        <v>0</v>
      </c>
      <c r="J1725" t="s">
        <v>289</v>
      </c>
      <c r="K1725" t="s">
        <v>290</v>
      </c>
      <c r="L1725" t="s">
        <v>285</v>
      </c>
      <c r="M1725" t="str">
        <f t="shared" si="97"/>
        <v>03</v>
      </c>
      <c r="N1725" t="s">
        <v>12</v>
      </c>
    </row>
    <row r="1726" spans="1:14" x14ac:dyDescent="0.25">
      <c r="A1726">
        <v>20160304</v>
      </c>
      <c r="B1726" t="str">
        <f>"062519"</f>
        <v>062519</v>
      </c>
      <c r="C1726" t="str">
        <f>"01240"</f>
        <v>01240</v>
      </c>
      <c r="D1726" t="s">
        <v>1059</v>
      </c>
      <c r="E1726" s="3">
        <v>400</v>
      </c>
      <c r="F1726">
        <v>20160302</v>
      </c>
      <c r="G1726" t="s">
        <v>1060</v>
      </c>
      <c r="H1726" t="s">
        <v>1061</v>
      </c>
      <c r="I1726">
        <v>0</v>
      </c>
      <c r="J1726" t="s">
        <v>289</v>
      </c>
      <c r="K1726" t="s">
        <v>290</v>
      </c>
      <c r="L1726" t="s">
        <v>285</v>
      </c>
      <c r="M1726" t="str">
        <f t="shared" si="97"/>
        <v>03</v>
      </c>
      <c r="N1726" t="s">
        <v>12</v>
      </c>
    </row>
    <row r="1727" spans="1:14" x14ac:dyDescent="0.25">
      <c r="A1727">
        <v>20160304</v>
      </c>
      <c r="B1727" t="str">
        <f>"062521"</f>
        <v>062521</v>
      </c>
      <c r="C1727" t="str">
        <f>"03693"</f>
        <v>03693</v>
      </c>
      <c r="D1727" t="s">
        <v>1062</v>
      </c>
      <c r="E1727" s="3">
        <v>250</v>
      </c>
      <c r="F1727">
        <v>20160302</v>
      </c>
      <c r="G1727" t="s">
        <v>1044</v>
      </c>
      <c r="H1727" t="s">
        <v>1063</v>
      </c>
      <c r="I1727">
        <v>0</v>
      </c>
      <c r="J1727" t="s">
        <v>289</v>
      </c>
      <c r="K1727" t="s">
        <v>290</v>
      </c>
      <c r="L1727" t="s">
        <v>285</v>
      </c>
      <c r="M1727" t="str">
        <f t="shared" si="97"/>
        <v>03</v>
      </c>
      <c r="N1727" t="s">
        <v>12</v>
      </c>
    </row>
    <row r="1728" spans="1:14" x14ac:dyDescent="0.25">
      <c r="A1728">
        <v>20160304</v>
      </c>
      <c r="B1728" t="str">
        <f>"062521"</f>
        <v>062521</v>
      </c>
      <c r="C1728" t="str">
        <f>"03693"</f>
        <v>03693</v>
      </c>
      <c r="D1728" t="s">
        <v>1062</v>
      </c>
      <c r="E1728" s="3">
        <v>250</v>
      </c>
      <c r="F1728">
        <v>20160302</v>
      </c>
      <c r="G1728" t="s">
        <v>1046</v>
      </c>
      <c r="H1728" t="s">
        <v>1064</v>
      </c>
      <c r="I1728">
        <v>0</v>
      </c>
      <c r="J1728" t="s">
        <v>289</v>
      </c>
      <c r="K1728" t="s">
        <v>290</v>
      </c>
      <c r="L1728" t="s">
        <v>285</v>
      </c>
      <c r="M1728" t="str">
        <f t="shared" si="97"/>
        <v>03</v>
      </c>
      <c r="N1728" t="s">
        <v>12</v>
      </c>
    </row>
    <row r="1729" spans="1:14" x14ac:dyDescent="0.25">
      <c r="A1729">
        <v>20160304</v>
      </c>
      <c r="B1729" t="str">
        <f>"062525"</f>
        <v>062525</v>
      </c>
      <c r="C1729" t="str">
        <f>"06478"</f>
        <v>06478</v>
      </c>
      <c r="D1729" t="s">
        <v>1065</v>
      </c>
      <c r="E1729" s="3">
        <v>95</v>
      </c>
      <c r="F1729">
        <v>20160302</v>
      </c>
      <c r="G1729" t="s">
        <v>744</v>
      </c>
      <c r="H1729" t="s">
        <v>1066</v>
      </c>
      <c r="I1729">
        <v>0</v>
      </c>
      <c r="J1729" t="s">
        <v>289</v>
      </c>
      <c r="K1729" t="s">
        <v>290</v>
      </c>
      <c r="L1729" t="s">
        <v>285</v>
      </c>
      <c r="M1729" t="str">
        <f t="shared" si="97"/>
        <v>03</v>
      </c>
      <c r="N1729" t="s">
        <v>12</v>
      </c>
    </row>
    <row r="1730" spans="1:14" x14ac:dyDescent="0.25">
      <c r="A1730">
        <v>20160304</v>
      </c>
      <c r="B1730" t="str">
        <f>"062530"</f>
        <v>062530</v>
      </c>
      <c r="C1730" t="str">
        <f>"07883"</f>
        <v>07883</v>
      </c>
      <c r="D1730" t="s">
        <v>1067</v>
      </c>
      <c r="E1730" s="3">
        <v>70</v>
      </c>
      <c r="F1730">
        <v>20160302</v>
      </c>
      <c r="G1730" t="s">
        <v>744</v>
      </c>
      <c r="H1730" t="s">
        <v>1066</v>
      </c>
      <c r="I1730">
        <v>0</v>
      </c>
      <c r="J1730" t="s">
        <v>289</v>
      </c>
      <c r="K1730" t="s">
        <v>290</v>
      </c>
      <c r="L1730" t="s">
        <v>285</v>
      </c>
      <c r="M1730" t="str">
        <f t="shared" si="97"/>
        <v>03</v>
      </c>
      <c r="N1730" t="s">
        <v>12</v>
      </c>
    </row>
    <row r="1731" spans="1:14" x14ac:dyDescent="0.25">
      <c r="A1731">
        <v>20160304</v>
      </c>
      <c r="B1731" t="str">
        <f>"062532"</f>
        <v>062532</v>
      </c>
      <c r="C1731" t="str">
        <f>"10044"</f>
        <v>10044</v>
      </c>
      <c r="D1731" t="s">
        <v>1068</v>
      </c>
      <c r="E1731" s="3">
        <v>75</v>
      </c>
      <c r="F1731">
        <v>20160303</v>
      </c>
      <c r="G1731" t="s">
        <v>1069</v>
      </c>
      <c r="H1731" t="s">
        <v>1070</v>
      </c>
      <c r="I1731">
        <v>0</v>
      </c>
      <c r="J1731" t="s">
        <v>289</v>
      </c>
      <c r="K1731" t="s">
        <v>290</v>
      </c>
      <c r="L1731" t="s">
        <v>285</v>
      </c>
      <c r="M1731" t="str">
        <f t="shared" si="97"/>
        <v>03</v>
      </c>
      <c r="N1731" t="s">
        <v>12</v>
      </c>
    </row>
    <row r="1732" spans="1:14" x14ac:dyDescent="0.25">
      <c r="A1732">
        <v>20160304</v>
      </c>
      <c r="B1732" t="str">
        <f>"062537"</f>
        <v>062537</v>
      </c>
      <c r="C1732" t="str">
        <f>"14146"</f>
        <v>14146</v>
      </c>
      <c r="D1732" t="s">
        <v>305</v>
      </c>
      <c r="E1732" s="3">
        <v>190</v>
      </c>
      <c r="F1732">
        <v>20160303</v>
      </c>
      <c r="G1732" t="s">
        <v>1026</v>
      </c>
      <c r="H1732" t="s">
        <v>1071</v>
      </c>
      <c r="I1732">
        <v>0</v>
      </c>
      <c r="J1732" t="s">
        <v>289</v>
      </c>
      <c r="K1732" t="s">
        <v>290</v>
      </c>
      <c r="L1732" t="s">
        <v>285</v>
      </c>
      <c r="M1732" t="str">
        <f t="shared" si="97"/>
        <v>03</v>
      </c>
      <c r="N1732" t="s">
        <v>12</v>
      </c>
    </row>
    <row r="1733" spans="1:14" x14ac:dyDescent="0.25">
      <c r="A1733">
        <v>20160304</v>
      </c>
      <c r="B1733" t="str">
        <f>"062540"</f>
        <v>062540</v>
      </c>
      <c r="C1733" t="str">
        <f>"20433"</f>
        <v>20433</v>
      </c>
      <c r="D1733" t="s">
        <v>413</v>
      </c>
      <c r="E1733" s="3">
        <v>25</v>
      </c>
      <c r="F1733">
        <v>20160303</v>
      </c>
      <c r="G1733" t="s">
        <v>1069</v>
      </c>
      <c r="H1733" t="s">
        <v>1070</v>
      </c>
      <c r="I1733">
        <v>0</v>
      </c>
      <c r="J1733" t="s">
        <v>289</v>
      </c>
      <c r="K1733" t="s">
        <v>290</v>
      </c>
      <c r="L1733" t="s">
        <v>285</v>
      </c>
      <c r="M1733" t="str">
        <f t="shared" si="97"/>
        <v>03</v>
      </c>
      <c r="N1733" t="s">
        <v>12</v>
      </c>
    </row>
    <row r="1734" spans="1:14" x14ac:dyDescent="0.25">
      <c r="A1734">
        <v>20160304</v>
      </c>
      <c r="B1734" t="str">
        <f>"062543"</f>
        <v>062543</v>
      </c>
      <c r="C1734" t="str">
        <f>"22132"</f>
        <v>22132</v>
      </c>
      <c r="D1734" t="s">
        <v>1072</v>
      </c>
      <c r="E1734" s="3">
        <v>100</v>
      </c>
      <c r="F1734">
        <v>20160303</v>
      </c>
      <c r="G1734" t="s">
        <v>1073</v>
      </c>
      <c r="H1734" t="s">
        <v>1074</v>
      </c>
      <c r="I1734">
        <v>0</v>
      </c>
      <c r="J1734" t="s">
        <v>289</v>
      </c>
      <c r="K1734" t="s">
        <v>290</v>
      </c>
      <c r="L1734" t="s">
        <v>285</v>
      </c>
      <c r="M1734" t="str">
        <f t="shared" si="97"/>
        <v>03</v>
      </c>
      <c r="N1734" t="s">
        <v>12</v>
      </c>
    </row>
    <row r="1735" spans="1:14" x14ac:dyDescent="0.25">
      <c r="A1735">
        <v>20160304</v>
      </c>
      <c r="B1735" t="str">
        <f>"062543"</f>
        <v>062543</v>
      </c>
      <c r="C1735" t="str">
        <f>"22132"</f>
        <v>22132</v>
      </c>
      <c r="D1735" t="s">
        <v>1072</v>
      </c>
      <c r="E1735" s="3">
        <v>192</v>
      </c>
      <c r="F1735">
        <v>20160303</v>
      </c>
      <c r="G1735" t="s">
        <v>893</v>
      </c>
      <c r="H1735" t="s">
        <v>1075</v>
      </c>
      <c r="I1735">
        <v>0</v>
      </c>
      <c r="J1735" t="s">
        <v>289</v>
      </c>
      <c r="K1735" t="s">
        <v>290</v>
      </c>
      <c r="L1735" t="s">
        <v>285</v>
      </c>
      <c r="M1735" t="str">
        <f t="shared" si="97"/>
        <v>03</v>
      </c>
      <c r="N1735" t="s">
        <v>12</v>
      </c>
    </row>
    <row r="1736" spans="1:14" x14ac:dyDescent="0.25">
      <c r="A1736">
        <v>20160304</v>
      </c>
      <c r="B1736" t="str">
        <f>"062547"</f>
        <v>062547</v>
      </c>
      <c r="C1736" t="str">
        <f>"24344"</f>
        <v>24344</v>
      </c>
      <c r="D1736" t="s">
        <v>988</v>
      </c>
      <c r="E1736" s="3">
        <v>101.31</v>
      </c>
      <c r="F1736">
        <v>20160303</v>
      </c>
      <c r="G1736" t="s">
        <v>881</v>
      </c>
      <c r="H1736" t="s">
        <v>1076</v>
      </c>
      <c r="I1736">
        <v>0</v>
      </c>
      <c r="J1736" t="s">
        <v>289</v>
      </c>
      <c r="K1736" t="s">
        <v>290</v>
      </c>
      <c r="L1736" t="s">
        <v>285</v>
      </c>
      <c r="M1736" t="str">
        <f t="shared" si="97"/>
        <v>03</v>
      </c>
      <c r="N1736" t="s">
        <v>12</v>
      </c>
    </row>
    <row r="1737" spans="1:14" x14ac:dyDescent="0.25">
      <c r="A1737">
        <v>20160304</v>
      </c>
      <c r="B1737" t="str">
        <f>"062552"</f>
        <v>062552</v>
      </c>
      <c r="C1737" t="str">
        <f>"28680"</f>
        <v>28680</v>
      </c>
      <c r="D1737" t="s">
        <v>422</v>
      </c>
      <c r="E1737" s="3">
        <v>206.78</v>
      </c>
      <c r="F1737">
        <v>20160303</v>
      </c>
      <c r="G1737" t="s">
        <v>847</v>
      </c>
      <c r="H1737" t="s">
        <v>1077</v>
      </c>
      <c r="I1737">
        <v>0</v>
      </c>
      <c r="J1737" t="s">
        <v>289</v>
      </c>
      <c r="K1737" t="s">
        <v>290</v>
      </c>
      <c r="L1737" t="s">
        <v>285</v>
      </c>
      <c r="M1737" t="str">
        <f t="shared" si="97"/>
        <v>03</v>
      </c>
      <c r="N1737" t="s">
        <v>12</v>
      </c>
    </row>
    <row r="1738" spans="1:14" x14ac:dyDescent="0.25">
      <c r="A1738">
        <v>20160304</v>
      </c>
      <c r="B1738" t="str">
        <f>"062556"</f>
        <v>062556</v>
      </c>
      <c r="C1738" t="str">
        <f>"30118"</f>
        <v>30118</v>
      </c>
      <c r="D1738" t="s">
        <v>351</v>
      </c>
      <c r="E1738" s="3">
        <v>96</v>
      </c>
      <c r="F1738">
        <v>20160303</v>
      </c>
      <c r="G1738" t="s">
        <v>744</v>
      </c>
      <c r="H1738" t="s">
        <v>1066</v>
      </c>
      <c r="I1738">
        <v>0</v>
      </c>
      <c r="J1738" t="s">
        <v>289</v>
      </c>
      <c r="K1738" t="s">
        <v>290</v>
      </c>
      <c r="L1738" t="s">
        <v>285</v>
      </c>
      <c r="M1738" t="str">
        <f t="shared" si="97"/>
        <v>03</v>
      </c>
      <c r="N1738" t="s">
        <v>12</v>
      </c>
    </row>
    <row r="1739" spans="1:14" x14ac:dyDescent="0.25">
      <c r="A1739">
        <v>20160304</v>
      </c>
      <c r="B1739" t="str">
        <f>"062563"</f>
        <v>062563</v>
      </c>
      <c r="C1739" t="str">
        <f>"32855"</f>
        <v>32855</v>
      </c>
      <c r="D1739" t="s">
        <v>1078</v>
      </c>
      <c r="E1739" s="3">
        <v>75</v>
      </c>
      <c r="F1739">
        <v>20160303</v>
      </c>
      <c r="G1739" t="s">
        <v>1069</v>
      </c>
      <c r="H1739" t="s">
        <v>1070</v>
      </c>
      <c r="I1739">
        <v>0</v>
      </c>
      <c r="J1739" t="s">
        <v>289</v>
      </c>
      <c r="K1739" t="s">
        <v>290</v>
      </c>
      <c r="L1739" t="s">
        <v>285</v>
      </c>
      <c r="M1739" t="str">
        <f t="shared" si="97"/>
        <v>03</v>
      </c>
      <c r="N1739" t="s">
        <v>12</v>
      </c>
    </row>
    <row r="1740" spans="1:14" x14ac:dyDescent="0.25">
      <c r="A1740">
        <v>20160304</v>
      </c>
      <c r="B1740" t="str">
        <f>"062566"</f>
        <v>062566</v>
      </c>
      <c r="C1740" t="str">
        <f>"34949"</f>
        <v>34949</v>
      </c>
      <c r="D1740" t="s">
        <v>396</v>
      </c>
      <c r="E1740" s="3">
        <v>225</v>
      </c>
      <c r="F1740">
        <v>20160303</v>
      </c>
      <c r="G1740" t="s">
        <v>1044</v>
      </c>
      <c r="H1740" t="s">
        <v>1079</v>
      </c>
      <c r="I1740">
        <v>0</v>
      </c>
      <c r="J1740" t="s">
        <v>289</v>
      </c>
      <c r="K1740" t="s">
        <v>290</v>
      </c>
      <c r="L1740" t="s">
        <v>285</v>
      </c>
      <c r="M1740" t="str">
        <f t="shared" si="97"/>
        <v>03</v>
      </c>
      <c r="N1740" t="s">
        <v>12</v>
      </c>
    </row>
    <row r="1741" spans="1:14" x14ac:dyDescent="0.25">
      <c r="A1741">
        <v>20160304</v>
      </c>
      <c r="B1741" t="str">
        <f>"062566"</f>
        <v>062566</v>
      </c>
      <c r="C1741" t="str">
        <f>"34949"</f>
        <v>34949</v>
      </c>
      <c r="D1741" t="s">
        <v>396</v>
      </c>
      <c r="E1741" s="3">
        <v>225</v>
      </c>
      <c r="F1741">
        <v>20160303</v>
      </c>
      <c r="G1741" t="s">
        <v>1046</v>
      </c>
      <c r="H1741" t="s">
        <v>1080</v>
      </c>
      <c r="I1741">
        <v>0</v>
      </c>
      <c r="J1741" t="s">
        <v>289</v>
      </c>
      <c r="K1741" t="s">
        <v>290</v>
      </c>
      <c r="L1741" t="s">
        <v>285</v>
      </c>
      <c r="M1741" t="str">
        <f t="shared" si="97"/>
        <v>03</v>
      </c>
      <c r="N1741" t="s">
        <v>12</v>
      </c>
    </row>
    <row r="1742" spans="1:14" x14ac:dyDescent="0.25">
      <c r="A1742">
        <v>20160304</v>
      </c>
      <c r="B1742" t="str">
        <f>"062569"</f>
        <v>062569</v>
      </c>
      <c r="C1742" t="str">
        <f>"39392"</f>
        <v>39392</v>
      </c>
      <c r="D1742" t="s">
        <v>1081</v>
      </c>
      <c r="E1742" s="3">
        <v>52.5</v>
      </c>
      <c r="F1742">
        <v>20160303</v>
      </c>
      <c r="G1742" t="s">
        <v>948</v>
      </c>
      <c r="H1742" t="s">
        <v>1082</v>
      </c>
      <c r="I1742">
        <v>0</v>
      </c>
      <c r="J1742" t="s">
        <v>289</v>
      </c>
      <c r="K1742" t="s">
        <v>290</v>
      </c>
      <c r="L1742" t="s">
        <v>285</v>
      </c>
      <c r="M1742" t="str">
        <f t="shared" si="97"/>
        <v>03</v>
      </c>
      <c r="N1742" t="s">
        <v>12</v>
      </c>
    </row>
    <row r="1743" spans="1:14" x14ac:dyDescent="0.25">
      <c r="A1743">
        <v>20160304</v>
      </c>
      <c r="B1743" t="str">
        <f>"062569"</f>
        <v>062569</v>
      </c>
      <c r="C1743" t="str">
        <f>"39392"</f>
        <v>39392</v>
      </c>
      <c r="D1743" t="s">
        <v>1081</v>
      </c>
      <c r="E1743" s="3">
        <v>52.5</v>
      </c>
      <c r="F1743">
        <v>20160303</v>
      </c>
      <c r="G1743" t="s">
        <v>934</v>
      </c>
      <c r="H1743" t="s">
        <v>1083</v>
      </c>
      <c r="I1743">
        <v>0</v>
      </c>
      <c r="J1743" t="s">
        <v>289</v>
      </c>
      <c r="K1743" t="s">
        <v>290</v>
      </c>
      <c r="L1743" t="s">
        <v>285</v>
      </c>
      <c r="M1743" t="str">
        <f t="shared" si="97"/>
        <v>03</v>
      </c>
      <c r="N1743" t="s">
        <v>12</v>
      </c>
    </row>
    <row r="1744" spans="1:14" x14ac:dyDescent="0.25">
      <c r="A1744">
        <v>20160304</v>
      </c>
      <c r="B1744" t="str">
        <f>"062570"</f>
        <v>062570</v>
      </c>
      <c r="C1744" t="str">
        <f>"39552"</f>
        <v>39552</v>
      </c>
      <c r="D1744" t="s">
        <v>806</v>
      </c>
      <c r="E1744" s="3">
        <v>135</v>
      </c>
      <c r="F1744">
        <v>20160303</v>
      </c>
      <c r="G1744" t="s">
        <v>703</v>
      </c>
      <c r="H1744" t="s">
        <v>1084</v>
      </c>
      <c r="I1744">
        <v>0</v>
      </c>
      <c r="J1744" t="s">
        <v>289</v>
      </c>
      <c r="K1744" t="s">
        <v>95</v>
      </c>
      <c r="L1744" t="s">
        <v>285</v>
      </c>
      <c r="M1744" t="str">
        <f t="shared" si="97"/>
        <v>03</v>
      </c>
      <c r="N1744" t="s">
        <v>12</v>
      </c>
    </row>
    <row r="1745" spans="1:14" x14ac:dyDescent="0.25">
      <c r="A1745">
        <v>20160304</v>
      </c>
      <c r="B1745" t="str">
        <f>"062572"</f>
        <v>062572</v>
      </c>
      <c r="C1745" t="str">
        <f>"40834"</f>
        <v>40834</v>
      </c>
      <c r="D1745" t="s">
        <v>1057</v>
      </c>
      <c r="E1745" s="3">
        <v>394.83</v>
      </c>
      <c r="F1745">
        <v>20160303</v>
      </c>
      <c r="G1745" t="s">
        <v>599</v>
      </c>
      <c r="H1745" t="s">
        <v>1085</v>
      </c>
      <c r="I1745">
        <v>0</v>
      </c>
      <c r="J1745" t="s">
        <v>289</v>
      </c>
      <c r="K1745" t="s">
        <v>290</v>
      </c>
      <c r="L1745" t="s">
        <v>285</v>
      </c>
      <c r="M1745" t="str">
        <f t="shared" si="97"/>
        <v>03</v>
      </c>
      <c r="N1745" t="s">
        <v>12</v>
      </c>
    </row>
    <row r="1746" spans="1:14" x14ac:dyDescent="0.25">
      <c r="A1746">
        <v>20160304</v>
      </c>
      <c r="B1746" t="str">
        <f>"062574"</f>
        <v>062574</v>
      </c>
      <c r="C1746" t="str">
        <f>"44798"</f>
        <v>44798</v>
      </c>
      <c r="D1746" t="s">
        <v>314</v>
      </c>
      <c r="E1746" s="3">
        <v>230</v>
      </c>
      <c r="F1746">
        <v>20160303</v>
      </c>
      <c r="G1746" t="s">
        <v>1086</v>
      </c>
      <c r="H1746" t="s">
        <v>1087</v>
      </c>
      <c r="I1746">
        <v>0</v>
      </c>
      <c r="J1746" t="s">
        <v>289</v>
      </c>
      <c r="K1746" t="s">
        <v>95</v>
      </c>
      <c r="L1746" t="s">
        <v>285</v>
      </c>
      <c r="M1746" t="str">
        <f t="shared" si="97"/>
        <v>03</v>
      </c>
      <c r="N1746" t="s">
        <v>12</v>
      </c>
    </row>
    <row r="1747" spans="1:14" x14ac:dyDescent="0.25">
      <c r="A1747">
        <v>20160304</v>
      </c>
      <c r="B1747" t="str">
        <f>"062575"</f>
        <v>062575</v>
      </c>
      <c r="C1747" t="str">
        <f>"43521"</f>
        <v>43521</v>
      </c>
      <c r="D1747" t="s">
        <v>1088</v>
      </c>
      <c r="E1747" s="3">
        <v>275</v>
      </c>
      <c r="F1747">
        <v>20160303</v>
      </c>
      <c r="G1747" t="s">
        <v>1044</v>
      </c>
      <c r="H1747" t="s">
        <v>1089</v>
      </c>
      <c r="I1747">
        <v>0</v>
      </c>
      <c r="J1747" t="s">
        <v>289</v>
      </c>
      <c r="K1747" t="s">
        <v>290</v>
      </c>
      <c r="L1747" t="s">
        <v>285</v>
      </c>
      <c r="M1747" t="str">
        <f t="shared" si="97"/>
        <v>03</v>
      </c>
      <c r="N1747" t="s">
        <v>12</v>
      </c>
    </row>
    <row r="1748" spans="1:14" x14ac:dyDescent="0.25">
      <c r="A1748">
        <v>20160304</v>
      </c>
      <c r="B1748" t="str">
        <f>"062575"</f>
        <v>062575</v>
      </c>
      <c r="C1748" t="str">
        <f>"43521"</f>
        <v>43521</v>
      </c>
      <c r="D1748" t="s">
        <v>1088</v>
      </c>
      <c r="E1748" s="3">
        <v>275</v>
      </c>
      <c r="F1748">
        <v>20160303</v>
      </c>
      <c r="G1748" t="s">
        <v>1046</v>
      </c>
      <c r="H1748" t="s">
        <v>1090</v>
      </c>
      <c r="I1748">
        <v>0</v>
      </c>
      <c r="J1748" t="s">
        <v>289</v>
      </c>
      <c r="K1748" t="s">
        <v>290</v>
      </c>
      <c r="L1748" t="s">
        <v>285</v>
      </c>
      <c r="M1748" t="str">
        <f t="shared" si="97"/>
        <v>03</v>
      </c>
      <c r="N1748" t="s">
        <v>12</v>
      </c>
    </row>
    <row r="1749" spans="1:14" x14ac:dyDescent="0.25">
      <c r="A1749">
        <v>20160304</v>
      </c>
      <c r="B1749" t="str">
        <f>"062577"</f>
        <v>062577</v>
      </c>
      <c r="C1749" t="str">
        <f>"45093"</f>
        <v>45093</v>
      </c>
      <c r="D1749" t="s">
        <v>538</v>
      </c>
      <c r="E1749" s="3">
        <v>187.16</v>
      </c>
      <c r="F1749">
        <v>20160303</v>
      </c>
      <c r="G1749" t="s">
        <v>1024</v>
      </c>
      <c r="H1749" t="s">
        <v>1091</v>
      </c>
      <c r="I1749">
        <v>0</v>
      </c>
      <c r="J1749" t="s">
        <v>289</v>
      </c>
      <c r="K1749" t="s">
        <v>290</v>
      </c>
      <c r="L1749" t="s">
        <v>285</v>
      </c>
      <c r="M1749" t="str">
        <f t="shared" si="97"/>
        <v>03</v>
      </c>
      <c r="N1749" t="s">
        <v>12</v>
      </c>
    </row>
    <row r="1750" spans="1:14" x14ac:dyDescent="0.25">
      <c r="A1750">
        <v>20160304</v>
      </c>
      <c r="B1750" t="str">
        <f>"062577"</f>
        <v>062577</v>
      </c>
      <c r="C1750" t="str">
        <f>"45093"</f>
        <v>45093</v>
      </c>
      <c r="D1750" t="s">
        <v>538</v>
      </c>
      <c r="E1750" s="3">
        <v>143.80000000000001</v>
      </c>
      <c r="F1750">
        <v>20160303</v>
      </c>
      <c r="G1750" t="s">
        <v>1024</v>
      </c>
      <c r="H1750" t="s">
        <v>894</v>
      </c>
      <c r="I1750">
        <v>0</v>
      </c>
      <c r="J1750" t="s">
        <v>289</v>
      </c>
      <c r="K1750" t="s">
        <v>290</v>
      </c>
      <c r="L1750" t="s">
        <v>285</v>
      </c>
      <c r="M1750" t="str">
        <f t="shared" si="97"/>
        <v>03</v>
      </c>
      <c r="N1750" t="s">
        <v>12</v>
      </c>
    </row>
    <row r="1751" spans="1:14" x14ac:dyDescent="0.25">
      <c r="A1751">
        <v>20160304</v>
      </c>
      <c r="B1751" t="str">
        <f>"062579"</f>
        <v>062579</v>
      </c>
      <c r="C1751" t="str">
        <f>"46233"</f>
        <v>46233</v>
      </c>
      <c r="D1751" t="s">
        <v>1092</v>
      </c>
      <c r="E1751" s="3">
        <v>175</v>
      </c>
      <c r="F1751">
        <v>20160303</v>
      </c>
      <c r="G1751" t="s">
        <v>893</v>
      </c>
      <c r="H1751" t="s">
        <v>1093</v>
      </c>
      <c r="I1751">
        <v>0</v>
      </c>
      <c r="J1751" t="s">
        <v>289</v>
      </c>
      <c r="K1751" t="s">
        <v>290</v>
      </c>
      <c r="L1751" t="s">
        <v>285</v>
      </c>
      <c r="M1751" t="str">
        <f t="shared" si="97"/>
        <v>03</v>
      </c>
      <c r="N1751" t="s">
        <v>12</v>
      </c>
    </row>
    <row r="1752" spans="1:14" x14ac:dyDescent="0.25">
      <c r="A1752">
        <v>20160304</v>
      </c>
      <c r="B1752" t="str">
        <f>"062581"</f>
        <v>062581</v>
      </c>
      <c r="C1752" t="str">
        <f>"46392"</f>
        <v>46392</v>
      </c>
      <c r="D1752" t="s">
        <v>1031</v>
      </c>
      <c r="E1752" s="3">
        <v>52.5</v>
      </c>
      <c r="F1752">
        <v>20160303</v>
      </c>
      <c r="G1752" t="s">
        <v>948</v>
      </c>
      <c r="H1752" t="s">
        <v>1082</v>
      </c>
      <c r="I1752">
        <v>0</v>
      </c>
      <c r="J1752" t="s">
        <v>289</v>
      </c>
      <c r="K1752" t="s">
        <v>290</v>
      </c>
      <c r="L1752" t="s">
        <v>285</v>
      </c>
      <c r="M1752" t="str">
        <f t="shared" si="97"/>
        <v>03</v>
      </c>
      <c r="N1752" t="s">
        <v>12</v>
      </c>
    </row>
    <row r="1753" spans="1:14" x14ac:dyDescent="0.25">
      <c r="A1753">
        <v>20160304</v>
      </c>
      <c r="B1753" t="str">
        <f>"062581"</f>
        <v>062581</v>
      </c>
      <c r="C1753" t="str">
        <f>"46392"</f>
        <v>46392</v>
      </c>
      <c r="D1753" t="s">
        <v>1031</v>
      </c>
      <c r="E1753" s="3">
        <v>52.5</v>
      </c>
      <c r="F1753">
        <v>20160303</v>
      </c>
      <c r="G1753" t="s">
        <v>934</v>
      </c>
      <c r="H1753" t="s">
        <v>1083</v>
      </c>
      <c r="I1753">
        <v>0</v>
      </c>
      <c r="J1753" t="s">
        <v>289</v>
      </c>
      <c r="K1753" t="s">
        <v>290</v>
      </c>
      <c r="L1753" t="s">
        <v>285</v>
      </c>
      <c r="M1753" t="str">
        <f t="shared" si="97"/>
        <v>03</v>
      </c>
      <c r="N1753" t="s">
        <v>12</v>
      </c>
    </row>
    <row r="1754" spans="1:14" x14ac:dyDescent="0.25">
      <c r="A1754">
        <v>20160304</v>
      </c>
      <c r="B1754" t="str">
        <f>"062581"</f>
        <v>062581</v>
      </c>
      <c r="C1754" t="str">
        <f>"46392"</f>
        <v>46392</v>
      </c>
      <c r="D1754" t="s">
        <v>1031</v>
      </c>
      <c r="E1754" s="3">
        <v>60</v>
      </c>
      <c r="F1754">
        <v>20160303</v>
      </c>
      <c r="G1754" t="s">
        <v>934</v>
      </c>
      <c r="H1754" t="s">
        <v>1094</v>
      </c>
      <c r="I1754">
        <v>0</v>
      </c>
      <c r="J1754" t="s">
        <v>289</v>
      </c>
      <c r="K1754" t="s">
        <v>290</v>
      </c>
      <c r="L1754" t="s">
        <v>285</v>
      </c>
      <c r="M1754" t="str">
        <f t="shared" si="97"/>
        <v>03</v>
      </c>
      <c r="N1754" t="s">
        <v>12</v>
      </c>
    </row>
    <row r="1755" spans="1:14" x14ac:dyDescent="0.25">
      <c r="A1755">
        <v>20160304</v>
      </c>
      <c r="B1755" t="str">
        <f>"062584"</f>
        <v>062584</v>
      </c>
      <c r="C1755" t="str">
        <f>"49981"</f>
        <v>49981</v>
      </c>
      <c r="D1755" t="s">
        <v>1095</v>
      </c>
      <c r="E1755" s="3">
        <v>60</v>
      </c>
      <c r="F1755">
        <v>20160303</v>
      </c>
      <c r="G1755" t="s">
        <v>934</v>
      </c>
      <c r="H1755" t="s">
        <v>1094</v>
      </c>
      <c r="I1755">
        <v>0</v>
      </c>
      <c r="J1755" t="s">
        <v>289</v>
      </c>
      <c r="K1755" t="s">
        <v>290</v>
      </c>
      <c r="L1755" t="s">
        <v>285</v>
      </c>
      <c r="M1755" t="str">
        <f t="shared" si="97"/>
        <v>03</v>
      </c>
      <c r="N1755" t="s">
        <v>12</v>
      </c>
    </row>
    <row r="1756" spans="1:14" x14ac:dyDescent="0.25">
      <c r="A1756">
        <v>20160304</v>
      </c>
      <c r="B1756" t="str">
        <f>"062586"</f>
        <v>062586</v>
      </c>
      <c r="C1756" t="str">
        <f>"51347"</f>
        <v>51347</v>
      </c>
      <c r="D1756" t="s">
        <v>1096</v>
      </c>
      <c r="E1756" s="3">
        <v>70</v>
      </c>
      <c r="F1756">
        <v>20160303</v>
      </c>
      <c r="G1756" t="s">
        <v>602</v>
      </c>
      <c r="H1756" t="s">
        <v>1097</v>
      </c>
      <c r="I1756">
        <v>0</v>
      </c>
      <c r="J1756" t="s">
        <v>289</v>
      </c>
      <c r="K1756" t="s">
        <v>290</v>
      </c>
      <c r="L1756" t="s">
        <v>285</v>
      </c>
      <c r="M1756" t="str">
        <f t="shared" si="97"/>
        <v>03</v>
      </c>
      <c r="N1756" t="s">
        <v>12</v>
      </c>
    </row>
    <row r="1757" spans="1:14" x14ac:dyDescent="0.25">
      <c r="A1757">
        <v>20160304</v>
      </c>
      <c r="B1757" t="str">
        <f>"062586"</f>
        <v>062586</v>
      </c>
      <c r="C1757" t="str">
        <f>"51347"</f>
        <v>51347</v>
      </c>
      <c r="D1757" t="s">
        <v>1096</v>
      </c>
      <c r="E1757" s="3">
        <v>490</v>
      </c>
      <c r="F1757">
        <v>20160303</v>
      </c>
      <c r="G1757" t="s">
        <v>602</v>
      </c>
      <c r="H1757" t="s">
        <v>1097</v>
      </c>
      <c r="I1757">
        <v>0</v>
      </c>
      <c r="J1757" t="s">
        <v>289</v>
      </c>
      <c r="K1757" t="s">
        <v>290</v>
      </c>
      <c r="L1757" t="s">
        <v>285</v>
      </c>
      <c r="M1757" t="str">
        <f t="shared" si="97"/>
        <v>03</v>
      </c>
      <c r="N1757" t="s">
        <v>12</v>
      </c>
    </row>
    <row r="1758" spans="1:14" x14ac:dyDescent="0.25">
      <c r="A1758">
        <v>20160304</v>
      </c>
      <c r="B1758" t="str">
        <f>"062586"</f>
        <v>062586</v>
      </c>
      <c r="C1758" t="str">
        <f>"51347"</f>
        <v>51347</v>
      </c>
      <c r="D1758" t="s">
        <v>1096</v>
      </c>
      <c r="E1758" s="3">
        <v>2590</v>
      </c>
      <c r="F1758">
        <v>20160303</v>
      </c>
      <c r="G1758" t="s">
        <v>602</v>
      </c>
      <c r="H1758" t="s">
        <v>1097</v>
      </c>
      <c r="I1758">
        <v>0</v>
      </c>
      <c r="J1758" t="s">
        <v>289</v>
      </c>
      <c r="K1758" t="s">
        <v>290</v>
      </c>
      <c r="L1758" t="s">
        <v>285</v>
      </c>
      <c r="M1758" t="str">
        <f t="shared" si="97"/>
        <v>03</v>
      </c>
      <c r="N1758" t="s">
        <v>12</v>
      </c>
    </row>
    <row r="1759" spans="1:14" x14ac:dyDescent="0.25">
      <c r="A1759">
        <v>20160304</v>
      </c>
      <c r="B1759" t="str">
        <f>"062587"</f>
        <v>062587</v>
      </c>
      <c r="C1759" t="str">
        <f>"52181"</f>
        <v>52181</v>
      </c>
      <c r="D1759" t="s">
        <v>1098</v>
      </c>
      <c r="E1759" s="3">
        <v>50</v>
      </c>
      <c r="F1759">
        <v>20160304</v>
      </c>
      <c r="G1759" t="s">
        <v>948</v>
      </c>
      <c r="H1759" t="s">
        <v>1099</v>
      </c>
      <c r="I1759">
        <v>0</v>
      </c>
      <c r="J1759" t="s">
        <v>289</v>
      </c>
      <c r="K1759" t="s">
        <v>290</v>
      </c>
      <c r="L1759" t="s">
        <v>285</v>
      </c>
      <c r="M1759" t="str">
        <f t="shared" si="97"/>
        <v>03</v>
      </c>
      <c r="N1759" t="s">
        <v>12</v>
      </c>
    </row>
    <row r="1760" spans="1:14" x14ac:dyDescent="0.25">
      <c r="A1760">
        <v>20160304</v>
      </c>
      <c r="B1760" t="str">
        <f>"062587"</f>
        <v>062587</v>
      </c>
      <c r="C1760" t="str">
        <f>"52181"</f>
        <v>52181</v>
      </c>
      <c r="D1760" t="s">
        <v>1098</v>
      </c>
      <c r="E1760" s="3">
        <v>50</v>
      </c>
      <c r="F1760">
        <v>20160303</v>
      </c>
      <c r="G1760" t="s">
        <v>934</v>
      </c>
      <c r="H1760" t="s">
        <v>1100</v>
      </c>
      <c r="I1760">
        <v>0</v>
      </c>
      <c r="J1760" t="s">
        <v>289</v>
      </c>
      <c r="K1760" t="s">
        <v>290</v>
      </c>
      <c r="L1760" t="s">
        <v>285</v>
      </c>
      <c r="M1760" t="str">
        <f t="shared" si="97"/>
        <v>03</v>
      </c>
      <c r="N1760" t="s">
        <v>12</v>
      </c>
    </row>
    <row r="1761" spans="1:14" x14ac:dyDescent="0.25">
      <c r="A1761">
        <v>20160304</v>
      </c>
      <c r="B1761" t="str">
        <f>"062589"</f>
        <v>062589</v>
      </c>
      <c r="C1761" t="str">
        <f>"53201"</f>
        <v>53201</v>
      </c>
      <c r="D1761" t="s">
        <v>1034</v>
      </c>
      <c r="E1761" s="3">
        <v>120</v>
      </c>
      <c r="F1761">
        <v>20160303</v>
      </c>
      <c r="G1761" t="s">
        <v>385</v>
      </c>
      <c r="H1761" t="s">
        <v>1101</v>
      </c>
      <c r="I1761">
        <v>0</v>
      </c>
      <c r="J1761" t="s">
        <v>289</v>
      </c>
      <c r="K1761" t="s">
        <v>290</v>
      </c>
      <c r="L1761" t="s">
        <v>285</v>
      </c>
      <c r="M1761" t="str">
        <f t="shared" si="97"/>
        <v>03</v>
      </c>
      <c r="N1761" t="s">
        <v>12</v>
      </c>
    </row>
    <row r="1762" spans="1:14" x14ac:dyDescent="0.25">
      <c r="A1762">
        <v>20160304</v>
      </c>
      <c r="B1762" t="str">
        <f>"062590"</f>
        <v>062590</v>
      </c>
      <c r="C1762" t="str">
        <f>"53996"</f>
        <v>53996</v>
      </c>
      <c r="D1762" t="s">
        <v>777</v>
      </c>
      <c r="E1762" s="3">
        <v>70</v>
      </c>
      <c r="F1762">
        <v>20160303</v>
      </c>
      <c r="G1762" t="s">
        <v>744</v>
      </c>
      <c r="H1762" t="s">
        <v>1066</v>
      </c>
      <c r="I1762">
        <v>0</v>
      </c>
      <c r="J1762" t="s">
        <v>289</v>
      </c>
      <c r="K1762" t="s">
        <v>290</v>
      </c>
      <c r="L1762" t="s">
        <v>285</v>
      </c>
      <c r="M1762" t="str">
        <f t="shared" si="97"/>
        <v>03</v>
      </c>
      <c r="N1762" t="s">
        <v>12</v>
      </c>
    </row>
    <row r="1763" spans="1:14" x14ac:dyDescent="0.25">
      <c r="A1763">
        <v>20160304</v>
      </c>
      <c r="B1763" t="str">
        <f>"062594"</f>
        <v>062594</v>
      </c>
      <c r="C1763" t="str">
        <f>"56340"</f>
        <v>56340</v>
      </c>
      <c r="D1763" t="s">
        <v>956</v>
      </c>
      <c r="E1763" s="3">
        <v>45</v>
      </c>
      <c r="F1763">
        <v>20160303</v>
      </c>
      <c r="G1763" t="s">
        <v>948</v>
      </c>
      <c r="H1763" t="s">
        <v>1102</v>
      </c>
      <c r="I1763">
        <v>0</v>
      </c>
      <c r="J1763" t="s">
        <v>289</v>
      </c>
      <c r="K1763" t="s">
        <v>290</v>
      </c>
      <c r="L1763" t="s">
        <v>285</v>
      </c>
      <c r="M1763" t="str">
        <f t="shared" si="97"/>
        <v>03</v>
      </c>
      <c r="N1763" t="s">
        <v>12</v>
      </c>
    </row>
    <row r="1764" spans="1:14" x14ac:dyDescent="0.25">
      <c r="A1764">
        <v>20160304</v>
      </c>
      <c r="B1764" t="str">
        <f>"062594"</f>
        <v>062594</v>
      </c>
      <c r="C1764" t="str">
        <f>"56340"</f>
        <v>56340</v>
      </c>
      <c r="D1764" t="s">
        <v>956</v>
      </c>
      <c r="E1764" s="3">
        <v>45</v>
      </c>
      <c r="F1764">
        <v>20160303</v>
      </c>
      <c r="G1764" t="s">
        <v>934</v>
      </c>
      <c r="H1764" t="s">
        <v>1103</v>
      </c>
      <c r="I1764">
        <v>0</v>
      </c>
      <c r="J1764" t="s">
        <v>289</v>
      </c>
      <c r="K1764" t="s">
        <v>290</v>
      </c>
      <c r="L1764" t="s">
        <v>285</v>
      </c>
      <c r="M1764" t="str">
        <f t="shared" si="97"/>
        <v>03</v>
      </c>
      <c r="N1764" t="s">
        <v>12</v>
      </c>
    </row>
    <row r="1765" spans="1:14" x14ac:dyDescent="0.25">
      <c r="A1765">
        <v>20160304</v>
      </c>
      <c r="B1765" t="str">
        <f>"062596"</f>
        <v>062596</v>
      </c>
      <c r="C1765" t="str">
        <f>"56550"</f>
        <v>56550</v>
      </c>
      <c r="D1765" t="s">
        <v>1104</v>
      </c>
      <c r="E1765" s="3">
        <v>95</v>
      </c>
      <c r="F1765">
        <v>20160303</v>
      </c>
      <c r="G1765" t="s">
        <v>744</v>
      </c>
      <c r="H1765" t="s">
        <v>1066</v>
      </c>
      <c r="I1765">
        <v>0</v>
      </c>
      <c r="J1765" t="s">
        <v>289</v>
      </c>
      <c r="K1765" t="s">
        <v>290</v>
      </c>
      <c r="L1765" t="s">
        <v>285</v>
      </c>
      <c r="M1765" t="str">
        <f t="shared" si="97"/>
        <v>03</v>
      </c>
      <c r="N1765" t="s">
        <v>12</v>
      </c>
    </row>
    <row r="1766" spans="1:14" x14ac:dyDescent="0.25">
      <c r="A1766">
        <v>20160304</v>
      </c>
      <c r="B1766" t="str">
        <f>"062599"</f>
        <v>062599</v>
      </c>
      <c r="C1766" t="str">
        <f>"58184"</f>
        <v>58184</v>
      </c>
      <c r="D1766" t="s">
        <v>1007</v>
      </c>
      <c r="E1766" s="3">
        <v>138</v>
      </c>
      <c r="F1766">
        <v>20160303</v>
      </c>
      <c r="G1766" t="s">
        <v>708</v>
      </c>
      <c r="H1766" t="s">
        <v>1105</v>
      </c>
      <c r="I1766">
        <v>0</v>
      </c>
      <c r="J1766" t="s">
        <v>289</v>
      </c>
      <c r="K1766" t="s">
        <v>290</v>
      </c>
      <c r="L1766" t="s">
        <v>285</v>
      </c>
      <c r="M1766" t="str">
        <f t="shared" si="97"/>
        <v>03</v>
      </c>
      <c r="N1766" t="s">
        <v>12</v>
      </c>
    </row>
    <row r="1767" spans="1:14" x14ac:dyDescent="0.25">
      <c r="A1767">
        <v>20160304</v>
      </c>
      <c r="B1767" t="str">
        <f>"062604"</f>
        <v>062604</v>
      </c>
      <c r="C1767" t="str">
        <f>"63974"</f>
        <v>63974</v>
      </c>
      <c r="D1767" t="s">
        <v>1058</v>
      </c>
      <c r="E1767" s="3">
        <v>400</v>
      </c>
      <c r="F1767">
        <v>20160303</v>
      </c>
      <c r="G1767" t="s">
        <v>599</v>
      </c>
      <c r="H1767" t="s">
        <v>1085</v>
      </c>
      <c r="I1767">
        <v>0</v>
      </c>
      <c r="J1767" t="s">
        <v>289</v>
      </c>
      <c r="K1767" t="s">
        <v>290</v>
      </c>
      <c r="L1767" t="s">
        <v>285</v>
      </c>
      <c r="M1767" t="str">
        <f t="shared" si="97"/>
        <v>03</v>
      </c>
      <c r="N1767" t="s">
        <v>12</v>
      </c>
    </row>
    <row r="1768" spans="1:14" x14ac:dyDescent="0.25">
      <c r="A1768">
        <v>20160304</v>
      </c>
      <c r="B1768" t="str">
        <f>"062619"</f>
        <v>062619</v>
      </c>
      <c r="C1768" t="str">
        <f>"80466"</f>
        <v>80466</v>
      </c>
      <c r="D1768" t="s">
        <v>1106</v>
      </c>
      <c r="E1768" s="3">
        <v>57.5</v>
      </c>
      <c r="F1768">
        <v>20160304</v>
      </c>
      <c r="G1768" t="s">
        <v>948</v>
      </c>
      <c r="H1768" t="s">
        <v>1099</v>
      </c>
      <c r="I1768">
        <v>0</v>
      </c>
      <c r="J1768" t="s">
        <v>289</v>
      </c>
      <c r="K1768" t="s">
        <v>290</v>
      </c>
      <c r="L1768" t="s">
        <v>285</v>
      </c>
      <c r="M1768" t="str">
        <f t="shared" si="97"/>
        <v>03</v>
      </c>
      <c r="N1768" t="s">
        <v>12</v>
      </c>
    </row>
    <row r="1769" spans="1:14" x14ac:dyDescent="0.25">
      <c r="A1769">
        <v>20160304</v>
      </c>
      <c r="B1769" t="str">
        <f>"062619"</f>
        <v>062619</v>
      </c>
      <c r="C1769" t="str">
        <f>"80466"</f>
        <v>80466</v>
      </c>
      <c r="D1769" t="s">
        <v>1106</v>
      </c>
      <c r="E1769" s="3">
        <v>57.5</v>
      </c>
      <c r="F1769">
        <v>20160304</v>
      </c>
      <c r="G1769" t="s">
        <v>934</v>
      </c>
      <c r="H1769" t="s">
        <v>1100</v>
      </c>
      <c r="I1769">
        <v>0</v>
      </c>
      <c r="J1769" t="s">
        <v>289</v>
      </c>
      <c r="K1769" t="s">
        <v>290</v>
      </c>
      <c r="L1769" t="s">
        <v>285</v>
      </c>
      <c r="M1769" t="str">
        <f t="shared" si="97"/>
        <v>03</v>
      </c>
      <c r="N1769" t="s">
        <v>12</v>
      </c>
    </row>
    <row r="1770" spans="1:14" x14ac:dyDescent="0.25">
      <c r="A1770">
        <v>20160304</v>
      </c>
      <c r="B1770" t="str">
        <f>"062624"</f>
        <v>062624</v>
      </c>
      <c r="C1770" t="str">
        <f>"82308"</f>
        <v>82308</v>
      </c>
      <c r="D1770" t="s">
        <v>961</v>
      </c>
      <c r="E1770" s="3">
        <v>37.5</v>
      </c>
      <c r="F1770">
        <v>20160304</v>
      </c>
      <c r="G1770" t="s">
        <v>948</v>
      </c>
      <c r="H1770" t="s">
        <v>1102</v>
      </c>
      <c r="I1770">
        <v>0</v>
      </c>
      <c r="J1770" t="s">
        <v>289</v>
      </c>
      <c r="K1770" t="s">
        <v>290</v>
      </c>
      <c r="L1770" t="s">
        <v>285</v>
      </c>
      <c r="M1770" t="str">
        <f t="shared" si="97"/>
        <v>03</v>
      </c>
      <c r="N1770" t="s">
        <v>12</v>
      </c>
    </row>
    <row r="1771" spans="1:14" x14ac:dyDescent="0.25">
      <c r="A1771">
        <v>20160304</v>
      </c>
      <c r="B1771" t="str">
        <f>"062624"</f>
        <v>062624</v>
      </c>
      <c r="C1771" t="str">
        <f>"82308"</f>
        <v>82308</v>
      </c>
      <c r="D1771" t="s">
        <v>961</v>
      </c>
      <c r="E1771" s="3">
        <v>37.5</v>
      </c>
      <c r="F1771">
        <v>20160304</v>
      </c>
      <c r="G1771" t="s">
        <v>934</v>
      </c>
      <c r="H1771" t="s">
        <v>1103</v>
      </c>
      <c r="I1771">
        <v>0</v>
      </c>
      <c r="J1771" t="s">
        <v>289</v>
      </c>
      <c r="K1771" t="s">
        <v>290</v>
      </c>
      <c r="L1771" t="s">
        <v>285</v>
      </c>
      <c r="M1771" t="str">
        <f t="shared" si="97"/>
        <v>03</v>
      </c>
      <c r="N1771" t="s">
        <v>12</v>
      </c>
    </row>
    <row r="1772" spans="1:14" x14ac:dyDescent="0.25">
      <c r="A1772">
        <v>20160304</v>
      </c>
      <c r="B1772" t="str">
        <f>"062625"</f>
        <v>062625</v>
      </c>
      <c r="C1772" t="str">
        <f>"82315"</f>
        <v>82315</v>
      </c>
      <c r="D1772" t="s">
        <v>962</v>
      </c>
      <c r="E1772" s="3">
        <v>45</v>
      </c>
      <c r="F1772">
        <v>20160304</v>
      </c>
      <c r="G1772" t="s">
        <v>948</v>
      </c>
      <c r="H1772" t="s">
        <v>1102</v>
      </c>
      <c r="I1772">
        <v>0</v>
      </c>
      <c r="J1772" t="s">
        <v>289</v>
      </c>
      <c r="K1772" t="s">
        <v>290</v>
      </c>
      <c r="L1772" t="s">
        <v>285</v>
      </c>
      <c r="M1772" t="str">
        <f t="shared" si="97"/>
        <v>03</v>
      </c>
      <c r="N1772" t="s">
        <v>12</v>
      </c>
    </row>
    <row r="1773" spans="1:14" x14ac:dyDescent="0.25">
      <c r="A1773">
        <v>20160304</v>
      </c>
      <c r="B1773" t="str">
        <f>"062625"</f>
        <v>062625</v>
      </c>
      <c r="C1773" t="str">
        <f>"82315"</f>
        <v>82315</v>
      </c>
      <c r="D1773" t="s">
        <v>962</v>
      </c>
      <c r="E1773" s="3">
        <v>45</v>
      </c>
      <c r="F1773">
        <v>20160304</v>
      </c>
      <c r="G1773" t="s">
        <v>934</v>
      </c>
      <c r="H1773" t="s">
        <v>1103</v>
      </c>
      <c r="I1773">
        <v>0</v>
      </c>
      <c r="J1773" t="s">
        <v>289</v>
      </c>
      <c r="K1773" t="s">
        <v>290</v>
      </c>
      <c r="L1773" t="s">
        <v>285</v>
      </c>
      <c r="M1773" t="str">
        <f t="shared" si="97"/>
        <v>03</v>
      </c>
      <c r="N1773" t="s">
        <v>12</v>
      </c>
    </row>
    <row r="1774" spans="1:14" x14ac:dyDescent="0.25">
      <c r="A1774">
        <v>20160304</v>
      </c>
      <c r="B1774" t="str">
        <f>"062626"</f>
        <v>062626</v>
      </c>
      <c r="C1774" t="str">
        <f>"82865"</f>
        <v>82865</v>
      </c>
      <c r="D1774" t="s">
        <v>1107</v>
      </c>
      <c r="E1774" s="3">
        <v>70</v>
      </c>
      <c r="F1774">
        <v>20160304</v>
      </c>
      <c r="G1774" t="s">
        <v>744</v>
      </c>
      <c r="H1774" t="s">
        <v>1066</v>
      </c>
      <c r="I1774">
        <v>0</v>
      </c>
      <c r="J1774" t="s">
        <v>289</v>
      </c>
      <c r="K1774" t="s">
        <v>290</v>
      </c>
      <c r="L1774" t="s">
        <v>285</v>
      </c>
      <c r="M1774" t="str">
        <f t="shared" si="97"/>
        <v>03</v>
      </c>
      <c r="N1774" t="s">
        <v>12</v>
      </c>
    </row>
    <row r="1775" spans="1:14" x14ac:dyDescent="0.25">
      <c r="A1775">
        <v>20160304</v>
      </c>
      <c r="B1775" t="str">
        <f>"062627"</f>
        <v>062627</v>
      </c>
      <c r="C1775" t="str">
        <f>"83022"</f>
        <v>83022</v>
      </c>
      <c r="D1775" t="s">
        <v>394</v>
      </c>
      <c r="E1775" s="3">
        <v>89.03</v>
      </c>
      <c r="F1775">
        <v>20160304</v>
      </c>
      <c r="G1775" t="s">
        <v>367</v>
      </c>
      <c r="H1775" t="s">
        <v>395</v>
      </c>
      <c r="I1775">
        <v>0</v>
      </c>
      <c r="J1775" t="s">
        <v>289</v>
      </c>
      <c r="K1775" t="s">
        <v>290</v>
      </c>
      <c r="L1775" t="s">
        <v>285</v>
      </c>
      <c r="M1775" t="str">
        <f t="shared" si="97"/>
        <v>03</v>
      </c>
      <c r="N1775" t="s">
        <v>12</v>
      </c>
    </row>
    <row r="1776" spans="1:14" x14ac:dyDescent="0.25">
      <c r="A1776">
        <v>20160304</v>
      </c>
      <c r="B1776" t="str">
        <f>"062629"</f>
        <v>062629</v>
      </c>
      <c r="C1776" t="str">
        <f>"82970"</f>
        <v>82970</v>
      </c>
      <c r="D1776" t="s">
        <v>1108</v>
      </c>
      <c r="E1776" s="3">
        <v>80</v>
      </c>
      <c r="F1776">
        <v>20160304</v>
      </c>
      <c r="G1776" t="s">
        <v>385</v>
      </c>
      <c r="H1776" t="s">
        <v>1109</v>
      </c>
      <c r="I1776">
        <v>0</v>
      </c>
      <c r="J1776" t="s">
        <v>289</v>
      </c>
      <c r="K1776" t="s">
        <v>290</v>
      </c>
      <c r="L1776" t="s">
        <v>285</v>
      </c>
      <c r="M1776" t="str">
        <f t="shared" si="97"/>
        <v>03</v>
      </c>
      <c r="N1776" t="s">
        <v>12</v>
      </c>
    </row>
    <row r="1777" spans="1:14" x14ac:dyDescent="0.25">
      <c r="A1777">
        <v>20160304</v>
      </c>
      <c r="B1777" t="str">
        <f>"062630"</f>
        <v>062630</v>
      </c>
      <c r="C1777" t="str">
        <f>"83303"</f>
        <v>83303</v>
      </c>
      <c r="D1777" t="s">
        <v>1110</v>
      </c>
      <c r="E1777" s="3">
        <v>158.41999999999999</v>
      </c>
      <c r="F1777">
        <v>20160304</v>
      </c>
      <c r="G1777" t="s">
        <v>1111</v>
      </c>
      <c r="H1777" t="s">
        <v>1112</v>
      </c>
      <c r="I1777">
        <v>0</v>
      </c>
      <c r="J1777" t="s">
        <v>289</v>
      </c>
      <c r="K1777" t="s">
        <v>290</v>
      </c>
      <c r="L1777" t="s">
        <v>285</v>
      </c>
      <c r="M1777" t="str">
        <f t="shared" si="97"/>
        <v>03</v>
      </c>
      <c r="N1777" t="s">
        <v>12</v>
      </c>
    </row>
    <row r="1778" spans="1:14" x14ac:dyDescent="0.25">
      <c r="A1778">
        <v>20160304</v>
      </c>
      <c r="B1778" t="str">
        <f>"062631"</f>
        <v>062631</v>
      </c>
      <c r="C1778" t="str">
        <f>"83461"</f>
        <v>83461</v>
      </c>
      <c r="D1778" t="s">
        <v>1113</v>
      </c>
      <c r="E1778" s="3">
        <v>90</v>
      </c>
      <c r="F1778">
        <v>20160304</v>
      </c>
      <c r="G1778" t="s">
        <v>599</v>
      </c>
      <c r="H1778" t="s">
        <v>1085</v>
      </c>
      <c r="I1778">
        <v>0</v>
      </c>
      <c r="J1778" t="s">
        <v>289</v>
      </c>
      <c r="K1778" t="s">
        <v>290</v>
      </c>
      <c r="L1778" t="s">
        <v>285</v>
      </c>
      <c r="M1778" t="str">
        <f t="shared" si="97"/>
        <v>03</v>
      </c>
      <c r="N1778" t="s">
        <v>12</v>
      </c>
    </row>
    <row r="1779" spans="1:14" x14ac:dyDescent="0.25">
      <c r="A1779">
        <v>20160304</v>
      </c>
      <c r="B1779" t="str">
        <f>"062632"</f>
        <v>062632</v>
      </c>
      <c r="C1779" t="str">
        <f>"84367"</f>
        <v>84367</v>
      </c>
      <c r="D1779" t="s">
        <v>607</v>
      </c>
      <c r="E1779" s="3">
        <v>168.73</v>
      </c>
      <c r="F1779">
        <v>20160304</v>
      </c>
      <c r="G1779" t="s">
        <v>881</v>
      </c>
      <c r="H1779" t="s">
        <v>1114</v>
      </c>
      <c r="I1779">
        <v>0</v>
      </c>
      <c r="J1779" t="s">
        <v>289</v>
      </c>
      <c r="K1779" t="s">
        <v>290</v>
      </c>
      <c r="L1779" t="s">
        <v>285</v>
      </c>
      <c r="M1779" t="str">
        <f t="shared" si="97"/>
        <v>03</v>
      </c>
      <c r="N1779" t="s">
        <v>12</v>
      </c>
    </row>
    <row r="1780" spans="1:14" x14ac:dyDescent="0.25">
      <c r="A1780">
        <v>20160304</v>
      </c>
      <c r="B1780" t="str">
        <f t="shared" ref="B1780:B1810" si="98">"062633"</f>
        <v>062633</v>
      </c>
      <c r="C1780" t="str">
        <f t="shared" ref="C1780:C1810" si="99">"84370"</f>
        <v>84370</v>
      </c>
      <c r="D1780" t="s">
        <v>329</v>
      </c>
      <c r="E1780" s="3">
        <v>151.84</v>
      </c>
      <c r="F1780">
        <v>20160304</v>
      </c>
      <c r="G1780" t="s">
        <v>646</v>
      </c>
      <c r="H1780" t="s">
        <v>1115</v>
      </c>
      <c r="I1780">
        <v>0</v>
      </c>
      <c r="J1780" t="s">
        <v>289</v>
      </c>
      <c r="K1780" t="s">
        <v>290</v>
      </c>
      <c r="L1780" t="s">
        <v>285</v>
      </c>
      <c r="M1780" t="str">
        <f t="shared" si="97"/>
        <v>03</v>
      </c>
      <c r="N1780" t="s">
        <v>12</v>
      </c>
    </row>
    <row r="1781" spans="1:14" x14ac:dyDescent="0.25">
      <c r="A1781">
        <v>20160304</v>
      </c>
      <c r="B1781" t="str">
        <f t="shared" si="98"/>
        <v>062633</v>
      </c>
      <c r="C1781" t="str">
        <f t="shared" si="99"/>
        <v>84370</v>
      </c>
      <c r="D1781" t="s">
        <v>329</v>
      </c>
      <c r="E1781" s="3">
        <v>71.989999999999995</v>
      </c>
      <c r="F1781">
        <v>20160304</v>
      </c>
      <c r="G1781" t="s">
        <v>646</v>
      </c>
      <c r="H1781" t="s">
        <v>1116</v>
      </c>
      <c r="I1781">
        <v>0</v>
      </c>
      <c r="J1781" t="s">
        <v>289</v>
      </c>
      <c r="K1781" t="s">
        <v>290</v>
      </c>
      <c r="L1781" t="s">
        <v>285</v>
      </c>
      <c r="M1781" t="str">
        <f t="shared" si="97"/>
        <v>03</v>
      </c>
      <c r="N1781" t="s">
        <v>12</v>
      </c>
    </row>
    <row r="1782" spans="1:14" x14ac:dyDescent="0.25">
      <c r="A1782">
        <v>20160304</v>
      </c>
      <c r="B1782" t="str">
        <f t="shared" si="98"/>
        <v>062633</v>
      </c>
      <c r="C1782" t="str">
        <f t="shared" si="99"/>
        <v>84370</v>
      </c>
      <c r="D1782" t="s">
        <v>329</v>
      </c>
      <c r="E1782" s="3">
        <v>128.47999999999999</v>
      </c>
      <c r="F1782">
        <v>20160304</v>
      </c>
      <c r="G1782" t="s">
        <v>646</v>
      </c>
      <c r="H1782" t="s">
        <v>1117</v>
      </c>
      <c r="I1782">
        <v>0</v>
      </c>
      <c r="J1782" t="s">
        <v>289</v>
      </c>
      <c r="K1782" t="s">
        <v>290</v>
      </c>
      <c r="L1782" t="s">
        <v>285</v>
      </c>
      <c r="M1782" t="str">
        <f t="shared" si="97"/>
        <v>03</v>
      </c>
      <c r="N1782" t="s">
        <v>12</v>
      </c>
    </row>
    <row r="1783" spans="1:14" x14ac:dyDescent="0.25">
      <c r="A1783">
        <v>20160304</v>
      </c>
      <c r="B1783" t="str">
        <f t="shared" si="98"/>
        <v>062633</v>
      </c>
      <c r="C1783" t="str">
        <f t="shared" si="99"/>
        <v>84370</v>
      </c>
      <c r="D1783" t="s">
        <v>329</v>
      </c>
      <c r="E1783" s="3">
        <v>90</v>
      </c>
      <c r="F1783">
        <v>20160304</v>
      </c>
      <c r="G1783" t="s">
        <v>646</v>
      </c>
      <c r="H1783" t="s">
        <v>1118</v>
      </c>
      <c r="I1783">
        <v>0</v>
      </c>
      <c r="J1783" t="s">
        <v>289</v>
      </c>
      <c r="K1783" t="s">
        <v>290</v>
      </c>
      <c r="L1783" t="s">
        <v>285</v>
      </c>
      <c r="M1783" t="str">
        <f t="shared" si="97"/>
        <v>03</v>
      </c>
      <c r="N1783" t="s">
        <v>12</v>
      </c>
    </row>
    <row r="1784" spans="1:14" x14ac:dyDescent="0.25">
      <c r="A1784">
        <v>20160304</v>
      </c>
      <c r="B1784" t="str">
        <f t="shared" si="98"/>
        <v>062633</v>
      </c>
      <c r="C1784" t="str">
        <f t="shared" si="99"/>
        <v>84370</v>
      </c>
      <c r="D1784" t="s">
        <v>329</v>
      </c>
      <c r="E1784" s="3">
        <v>152.16</v>
      </c>
      <c r="F1784">
        <v>20160304</v>
      </c>
      <c r="G1784" t="s">
        <v>646</v>
      </c>
      <c r="H1784" t="s">
        <v>1119</v>
      </c>
      <c r="I1784">
        <v>0</v>
      </c>
      <c r="J1784" t="s">
        <v>289</v>
      </c>
      <c r="K1784" t="s">
        <v>290</v>
      </c>
      <c r="L1784" t="s">
        <v>285</v>
      </c>
      <c r="M1784" t="str">
        <f t="shared" si="97"/>
        <v>03</v>
      </c>
      <c r="N1784" t="s">
        <v>12</v>
      </c>
    </row>
    <row r="1785" spans="1:14" x14ac:dyDescent="0.25">
      <c r="A1785">
        <v>20160304</v>
      </c>
      <c r="B1785" t="str">
        <f t="shared" si="98"/>
        <v>062633</v>
      </c>
      <c r="C1785" t="str">
        <f t="shared" si="99"/>
        <v>84370</v>
      </c>
      <c r="D1785" t="s">
        <v>329</v>
      </c>
      <c r="E1785" s="3">
        <v>59.84</v>
      </c>
      <c r="F1785">
        <v>20160304</v>
      </c>
      <c r="G1785" t="s">
        <v>646</v>
      </c>
      <c r="H1785" t="s">
        <v>1120</v>
      </c>
      <c r="I1785">
        <v>0</v>
      </c>
      <c r="J1785" t="s">
        <v>289</v>
      </c>
      <c r="K1785" t="s">
        <v>290</v>
      </c>
      <c r="L1785" t="s">
        <v>285</v>
      </c>
      <c r="M1785" t="str">
        <f t="shared" si="97"/>
        <v>03</v>
      </c>
      <c r="N1785" t="s">
        <v>12</v>
      </c>
    </row>
    <row r="1786" spans="1:14" x14ac:dyDescent="0.25">
      <c r="A1786">
        <v>20160304</v>
      </c>
      <c r="B1786" t="str">
        <f t="shared" si="98"/>
        <v>062633</v>
      </c>
      <c r="C1786" t="str">
        <f t="shared" si="99"/>
        <v>84370</v>
      </c>
      <c r="D1786" t="s">
        <v>329</v>
      </c>
      <c r="E1786" s="3">
        <v>77.78</v>
      </c>
      <c r="F1786">
        <v>20160304</v>
      </c>
      <c r="G1786" t="s">
        <v>646</v>
      </c>
      <c r="H1786" t="s">
        <v>1116</v>
      </c>
      <c r="I1786">
        <v>0</v>
      </c>
      <c r="J1786" t="s">
        <v>289</v>
      </c>
      <c r="K1786" t="s">
        <v>290</v>
      </c>
      <c r="L1786" t="s">
        <v>285</v>
      </c>
      <c r="M1786" t="str">
        <f t="shared" si="97"/>
        <v>03</v>
      </c>
      <c r="N1786" t="s">
        <v>12</v>
      </c>
    </row>
    <row r="1787" spans="1:14" x14ac:dyDescent="0.25">
      <c r="A1787">
        <v>20160304</v>
      </c>
      <c r="B1787" t="str">
        <f t="shared" si="98"/>
        <v>062633</v>
      </c>
      <c r="C1787" t="str">
        <f t="shared" si="99"/>
        <v>84370</v>
      </c>
      <c r="D1787" t="s">
        <v>329</v>
      </c>
      <c r="E1787" s="3">
        <v>96.48</v>
      </c>
      <c r="F1787">
        <v>20160304</v>
      </c>
      <c r="G1787" t="s">
        <v>829</v>
      </c>
      <c r="H1787" t="s">
        <v>1121</v>
      </c>
      <c r="I1787">
        <v>0</v>
      </c>
      <c r="J1787" t="s">
        <v>289</v>
      </c>
      <c r="K1787" t="s">
        <v>95</v>
      </c>
      <c r="L1787" t="s">
        <v>285</v>
      </c>
      <c r="M1787" t="str">
        <f t="shared" ref="M1787:M1850" si="100">"03"</f>
        <v>03</v>
      </c>
      <c r="N1787" t="s">
        <v>12</v>
      </c>
    </row>
    <row r="1788" spans="1:14" x14ac:dyDescent="0.25">
      <c r="A1788">
        <v>20160304</v>
      </c>
      <c r="B1788" t="str">
        <f t="shared" si="98"/>
        <v>062633</v>
      </c>
      <c r="C1788" t="str">
        <f t="shared" si="99"/>
        <v>84370</v>
      </c>
      <c r="D1788" t="s">
        <v>329</v>
      </c>
      <c r="E1788" s="3">
        <v>192.72</v>
      </c>
      <c r="F1788">
        <v>20160304</v>
      </c>
      <c r="G1788" t="s">
        <v>829</v>
      </c>
      <c r="H1788" t="s">
        <v>1122</v>
      </c>
      <c r="I1788">
        <v>0</v>
      </c>
      <c r="J1788" t="s">
        <v>289</v>
      </c>
      <c r="K1788" t="s">
        <v>95</v>
      </c>
      <c r="L1788" t="s">
        <v>285</v>
      </c>
      <c r="M1788" t="str">
        <f t="shared" si="100"/>
        <v>03</v>
      </c>
      <c r="N1788" t="s">
        <v>12</v>
      </c>
    </row>
    <row r="1789" spans="1:14" x14ac:dyDescent="0.25">
      <c r="A1789">
        <v>20160304</v>
      </c>
      <c r="B1789" t="str">
        <f t="shared" si="98"/>
        <v>062633</v>
      </c>
      <c r="C1789" t="str">
        <f t="shared" si="99"/>
        <v>84370</v>
      </c>
      <c r="D1789" t="s">
        <v>329</v>
      </c>
      <c r="E1789" s="3">
        <v>186.88</v>
      </c>
      <c r="F1789">
        <v>20160304</v>
      </c>
      <c r="G1789" t="s">
        <v>829</v>
      </c>
      <c r="H1789" t="s">
        <v>1123</v>
      </c>
      <c r="I1789">
        <v>0</v>
      </c>
      <c r="J1789" t="s">
        <v>289</v>
      </c>
      <c r="K1789" t="s">
        <v>95</v>
      </c>
      <c r="L1789" t="s">
        <v>285</v>
      </c>
      <c r="M1789" t="str">
        <f t="shared" si="100"/>
        <v>03</v>
      </c>
      <c r="N1789" t="s">
        <v>12</v>
      </c>
    </row>
    <row r="1790" spans="1:14" x14ac:dyDescent="0.25">
      <c r="A1790">
        <v>20160304</v>
      </c>
      <c r="B1790" t="str">
        <f t="shared" si="98"/>
        <v>062633</v>
      </c>
      <c r="C1790" t="str">
        <f t="shared" si="99"/>
        <v>84370</v>
      </c>
      <c r="D1790" t="s">
        <v>329</v>
      </c>
      <c r="E1790" s="3">
        <v>50.47</v>
      </c>
      <c r="F1790">
        <v>20160304</v>
      </c>
      <c r="G1790" t="s">
        <v>829</v>
      </c>
      <c r="H1790" t="s">
        <v>1121</v>
      </c>
      <c r="I1790">
        <v>0</v>
      </c>
      <c r="J1790" t="s">
        <v>289</v>
      </c>
      <c r="K1790" t="s">
        <v>95</v>
      </c>
      <c r="L1790" t="s">
        <v>285</v>
      </c>
      <c r="M1790" t="str">
        <f t="shared" si="100"/>
        <v>03</v>
      </c>
      <c r="N1790" t="s">
        <v>12</v>
      </c>
    </row>
    <row r="1791" spans="1:14" x14ac:dyDescent="0.25">
      <c r="A1791">
        <v>20160304</v>
      </c>
      <c r="B1791" t="str">
        <f t="shared" si="98"/>
        <v>062633</v>
      </c>
      <c r="C1791" t="str">
        <f t="shared" si="99"/>
        <v>84370</v>
      </c>
      <c r="D1791" t="s">
        <v>329</v>
      </c>
      <c r="E1791" s="3">
        <v>75.08</v>
      </c>
      <c r="F1791">
        <v>20160304</v>
      </c>
      <c r="G1791" t="s">
        <v>700</v>
      </c>
      <c r="H1791" t="s">
        <v>1124</v>
      </c>
      <c r="I1791">
        <v>0</v>
      </c>
      <c r="J1791" t="s">
        <v>289</v>
      </c>
      <c r="K1791" t="s">
        <v>290</v>
      </c>
      <c r="L1791" t="s">
        <v>285</v>
      </c>
      <c r="M1791" t="str">
        <f t="shared" si="100"/>
        <v>03</v>
      </c>
      <c r="N1791" t="s">
        <v>12</v>
      </c>
    </row>
    <row r="1792" spans="1:14" x14ac:dyDescent="0.25">
      <c r="A1792">
        <v>20160304</v>
      </c>
      <c r="B1792" t="str">
        <f t="shared" si="98"/>
        <v>062633</v>
      </c>
      <c r="C1792" t="str">
        <f t="shared" si="99"/>
        <v>84370</v>
      </c>
      <c r="D1792" t="s">
        <v>329</v>
      </c>
      <c r="E1792" s="3">
        <v>136.93</v>
      </c>
      <c r="F1792">
        <v>20160304</v>
      </c>
      <c r="G1792" t="s">
        <v>700</v>
      </c>
      <c r="H1792" t="s">
        <v>1125</v>
      </c>
      <c r="I1792">
        <v>0</v>
      </c>
      <c r="J1792" t="s">
        <v>289</v>
      </c>
      <c r="K1792" t="s">
        <v>290</v>
      </c>
      <c r="L1792" t="s">
        <v>285</v>
      </c>
      <c r="M1792" t="str">
        <f t="shared" si="100"/>
        <v>03</v>
      </c>
      <c r="N1792" t="s">
        <v>12</v>
      </c>
    </row>
    <row r="1793" spans="1:14" x14ac:dyDescent="0.25">
      <c r="A1793">
        <v>20160304</v>
      </c>
      <c r="B1793" t="str">
        <f t="shared" si="98"/>
        <v>062633</v>
      </c>
      <c r="C1793" t="str">
        <f t="shared" si="99"/>
        <v>84370</v>
      </c>
      <c r="D1793" t="s">
        <v>329</v>
      </c>
      <c r="E1793" s="3">
        <v>188.65</v>
      </c>
      <c r="F1793">
        <v>20160304</v>
      </c>
      <c r="G1793" t="s">
        <v>700</v>
      </c>
      <c r="H1793" t="s">
        <v>1126</v>
      </c>
      <c r="I1793">
        <v>0</v>
      </c>
      <c r="J1793" t="s">
        <v>289</v>
      </c>
      <c r="K1793" t="s">
        <v>290</v>
      </c>
      <c r="L1793" t="s">
        <v>285</v>
      </c>
      <c r="M1793" t="str">
        <f t="shared" si="100"/>
        <v>03</v>
      </c>
      <c r="N1793" t="s">
        <v>12</v>
      </c>
    </row>
    <row r="1794" spans="1:14" x14ac:dyDescent="0.25">
      <c r="A1794">
        <v>20160304</v>
      </c>
      <c r="B1794" t="str">
        <f t="shared" si="98"/>
        <v>062633</v>
      </c>
      <c r="C1794" t="str">
        <f t="shared" si="99"/>
        <v>84370</v>
      </c>
      <c r="D1794" t="s">
        <v>329</v>
      </c>
      <c r="E1794" s="3">
        <v>151.06</v>
      </c>
      <c r="F1794">
        <v>20160304</v>
      </c>
      <c r="G1794" t="s">
        <v>881</v>
      </c>
      <c r="H1794" t="s">
        <v>1127</v>
      </c>
      <c r="I1794">
        <v>0</v>
      </c>
      <c r="J1794" t="s">
        <v>289</v>
      </c>
      <c r="K1794" t="s">
        <v>290</v>
      </c>
      <c r="L1794" t="s">
        <v>285</v>
      </c>
      <c r="M1794" t="str">
        <f t="shared" si="100"/>
        <v>03</v>
      </c>
      <c r="N1794" t="s">
        <v>12</v>
      </c>
    </row>
    <row r="1795" spans="1:14" x14ac:dyDescent="0.25">
      <c r="A1795">
        <v>20160304</v>
      </c>
      <c r="B1795" t="str">
        <f t="shared" si="98"/>
        <v>062633</v>
      </c>
      <c r="C1795" t="str">
        <f t="shared" si="99"/>
        <v>84370</v>
      </c>
      <c r="D1795" t="s">
        <v>329</v>
      </c>
      <c r="E1795" s="3">
        <v>140.47</v>
      </c>
      <c r="F1795">
        <v>20160304</v>
      </c>
      <c r="G1795" t="s">
        <v>881</v>
      </c>
      <c r="H1795" t="s">
        <v>1128</v>
      </c>
      <c r="I1795">
        <v>0</v>
      </c>
      <c r="J1795" t="s">
        <v>289</v>
      </c>
      <c r="K1795" t="s">
        <v>290</v>
      </c>
      <c r="L1795" t="s">
        <v>285</v>
      </c>
      <c r="M1795" t="str">
        <f t="shared" si="100"/>
        <v>03</v>
      </c>
      <c r="N1795" t="s">
        <v>12</v>
      </c>
    </row>
    <row r="1796" spans="1:14" x14ac:dyDescent="0.25">
      <c r="A1796">
        <v>20160304</v>
      </c>
      <c r="B1796" t="str">
        <f t="shared" si="98"/>
        <v>062633</v>
      </c>
      <c r="C1796" t="str">
        <f t="shared" si="99"/>
        <v>84370</v>
      </c>
      <c r="D1796" t="s">
        <v>329</v>
      </c>
      <c r="E1796" s="3">
        <v>116.36</v>
      </c>
      <c r="F1796">
        <v>20160304</v>
      </c>
      <c r="G1796" t="s">
        <v>881</v>
      </c>
      <c r="H1796" t="s">
        <v>1129</v>
      </c>
      <c r="I1796">
        <v>0</v>
      </c>
      <c r="J1796" t="s">
        <v>289</v>
      </c>
      <c r="K1796" t="s">
        <v>290</v>
      </c>
      <c r="L1796" t="s">
        <v>285</v>
      </c>
      <c r="M1796" t="str">
        <f t="shared" si="100"/>
        <v>03</v>
      </c>
      <c r="N1796" t="s">
        <v>12</v>
      </c>
    </row>
    <row r="1797" spans="1:14" x14ac:dyDescent="0.25">
      <c r="A1797">
        <v>20160304</v>
      </c>
      <c r="B1797" t="str">
        <f t="shared" si="98"/>
        <v>062633</v>
      </c>
      <c r="C1797" t="str">
        <f t="shared" si="99"/>
        <v>84370</v>
      </c>
      <c r="D1797" t="s">
        <v>329</v>
      </c>
      <c r="E1797" s="3">
        <v>127.69</v>
      </c>
      <c r="F1797">
        <v>20160304</v>
      </c>
      <c r="G1797" t="s">
        <v>881</v>
      </c>
      <c r="H1797" t="s">
        <v>1130</v>
      </c>
      <c r="I1797">
        <v>0</v>
      </c>
      <c r="J1797" t="s">
        <v>289</v>
      </c>
      <c r="K1797" t="s">
        <v>290</v>
      </c>
      <c r="L1797" t="s">
        <v>285</v>
      </c>
      <c r="M1797" t="str">
        <f t="shared" si="100"/>
        <v>03</v>
      </c>
      <c r="N1797" t="s">
        <v>12</v>
      </c>
    </row>
    <row r="1798" spans="1:14" x14ac:dyDescent="0.25">
      <c r="A1798">
        <v>20160304</v>
      </c>
      <c r="B1798" t="str">
        <f t="shared" si="98"/>
        <v>062633</v>
      </c>
      <c r="C1798" t="str">
        <f t="shared" si="99"/>
        <v>84370</v>
      </c>
      <c r="D1798" t="s">
        <v>329</v>
      </c>
      <c r="E1798" s="3">
        <v>137.13</v>
      </c>
      <c r="F1798">
        <v>20160304</v>
      </c>
      <c r="G1798" t="s">
        <v>883</v>
      </c>
      <c r="H1798" t="s">
        <v>1131</v>
      </c>
      <c r="I1798">
        <v>0</v>
      </c>
      <c r="J1798" t="s">
        <v>289</v>
      </c>
      <c r="K1798" t="s">
        <v>290</v>
      </c>
      <c r="L1798" t="s">
        <v>285</v>
      </c>
      <c r="M1798" t="str">
        <f t="shared" si="100"/>
        <v>03</v>
      </c>
      <c r="N1798" t="s">
        <v>12</v>
      </c>
    </row>
    <row r="1799" spans="1:14" x14ac:dyDescent="0.25">
      <c r="A1799">
        <v>20160304</v>
      </c>
      <c r="B1799" t="str">
        <f t="shared" si="98"/>
        <v>062633</v>
      </c>
      <c r="C1799" t="str">
        <f t="shared" si="99"/>
        <v>84370</v>
      </c>
      <c r="D1799" t="s">
        <v>329</v>
      </c>
      <c r="E1799" s="3">
        <v>99.28</v>
      </c>
      <c r="F1799">
        <v>20160304</v>
      </c>
      <c r="G1799" t="s">
        <v>883</v>
      </c>
      <c r="H1799" t="s">
        <v>1132</v>
      </c>
      <c r="I1799">
        <v>0</v>
      </c>
      <c r="J1799" t="s">
        <v>289</v>
      </c>
      <c r="K1799" t="s">
        <v>290</v>
      </c>
      <c r="L1799" t="s">
        <v>285</v>
      </c>
      <c r="M1799" t="str">
        <f t="shared" si="100"/>
        <v>03</v>
      </c>
      <c r="N1799" t="s">
        <v>12</v>
      </c>
    </row>
    <row r="1800" spans="1:14" x14ac:dyDescent="0.25">
      <c r="A1800">
        <v>20160304</v>
      </c>
      <c r="B1800" t="str">
        <f t="shared" si="98"/>
        <v>062633</v>
      </c>
      <c r="C1800" t="str">
        <f t="shared" si="99"/>
        <v>84370</v>
      </c>
      <c r="D1800" t="s">
        <v>329</v>
      </c>
      <c r="E1800" s="3">
        <v>123.13</v>
      </c>
      <c r="F1800">
        <v>20160304</v>
      </c>
      <c r="G1800" t="s">
        <v>883</v>
      </c>
      <c r="H1800" t="s">
        <v>1132</v>
      </c>
      <c r="I1800">
        <v>0</v>
      </c>
      <c r="J1800" t="s">
        <v>289</v>
      </c>
      <c r="K1800" t="s">
        <v>290</v>
      </c>
      <c r="L1800" t="s">
        <v>285</v>
      </c>
      <c r="M1800" t="str">
        <f t="shared" si="100"/>
        <v>03</v>
      </c>
      <c r="N1800" t="s">
        <v>12</v>
      </c>
    </row>
    <row r="1801" spans="1:14" x14ac:dyDescent="0.25">
      <c r="A1801">
        <v>20160304</v>
      </c>
      <c r="B1801" t="str">
        <f t="shared" si="98"/>
        <v>062633</v>
      </c>
      <c r="C1801" t="str">
        <f t="shared" si="99"/>
        <v>84370</v>
      </c>
      <c r="D1801" t="s">
        <v>329</v>
      </c>
      <c r="E1801" s="3">
        <v>115</v>
      </c>
      <c r="F1801">
        <v>20160304</v>
      </c>
      <c r="G1801" t="s">
        <v>883</v>
      </c>
      <c r="H1801" t="s">
        <v>1133</v>
      </c>
      <c r="I1801">
        <v>0</v>
      </c>
      <c r="J1801" t="s">
        <v>289</v>
      </c>
      <c r="K1801" t="s">
        <v>290</v>
      </c>
      <c r="L1801" t="s">
        <v>285</v>
      </c>
      <c r="M1801" t="str">
        <f t="shared" si="100"/>
        <v>03</v>
      </c>
      <c r="N1801" t="s">
        <v>12</v>
      </c>
    </row>
    <row r="1802" spans="1:14" x14ac:dyDescent="0.25">
      <c r="A1802">
        <v>20160304</v>
      </c>
      <c r="B1802" t="str">
        <f t="shared" si="98"/>
        <v>062633</v>
      </c>
      <c r="C1802" t="str">
        <f t="shared" si="99"/>
        <v>84370</v>
      </c>
      <c r="D1802" t="s">
        <v>329</v>
      </c>
      <c r="E1802" s="3">
        <v>99.28</v>
      </c>
      <c r="F1802">
        <v>20160304</v>
      </c>
      <c r="G1802" t="s">
        <v>883</v>
      </c>
      <c r="H1802" t="s">
        <v>1134</v>
      </c>
      <c r="I1802">
        <v>0</v>
      </c>
      <c r="J1802" t="s">
        <v>289</v>
      </c>
      <c r="K1802" t="s">
        <v>290</v>
      </c>
      <c r="L1802" t="s">
        <v>285</v>
      </c>
      <c r="M1802" t="str">
        <f t="shared" si="100"/>
        <v>03</v>
      </c>
      <c r="N1802" t="s">
        <v>12</v>
      </c>
    </row>
    <row r="1803" spans="1:14" x14ac:dyDescent="0.25">
      <c r="A1803">
        <v>20160304</v>
      </c>
      <c r="B1803" t="str">
        <f t="shared" si="98"/>
        <v>062633</v>
      </c>
      <c r="C1803" t="str">
        <f t="shared" si="99"/>
        <v>84370</v>
      </c>
      <c r="D1803" t="s">
        <v>329</v>
      </c>
      <c r="E1803" s="3">
        <v>117.3</v>
      </c>
      <c r="F1803">
        <v>20160304</v>
      </c>
      <c r="G1803" t="s">
        <v>883</v>
      </c>
      <c r="H1803" t="s">
        <v>1135</v>
      </c>
      <c r="I1803">
        <v>0</v>
      </c>
      <c r="J1803" t="s">
        <v>289</v>
      </c>
      <c r="K1803" t="s">
        <v>290</v>
      </c>
      <c r="L1803" t="s">
        <v>285</v>
      </c>
      <c r="M1803" t="str">
        <f t="shared" si="100"/>
        <v>03</v>
      </c>
      <c r="N1803" t="s">
        <v>12</v>
      </c>
    </row>
    <row r="1804" spans="1:14" x14ac:dyDescent="0.25">
      <c r="A1804">
        <v>20160304</v>
      </c>
      <c r="B1804" t="str">
        <f t="shared" si="98"/>
        <v>062633</v>
      </c>
      <c r="C1804" t="str">
        <f t="shared" si="99"/>
        <v>84370</v>
      </c>
      <c r="D1804" t="s">
        <v>329</v>
      </c>
      <c r="E1804" s="3">
        <v>91.94</v>
      </c>
      <c r="F1804">
        <v>20160304</v>
      </c>
      <c r="G1804" t="s">
        <v>883</v>
      </c>
      <c r="H1804" t="s">
        <v>1136</v>
      </c>
      <c r="I1804">
        <v>0</v>
      </c>
      <c r="J1804" t="s">
        <v>289</v>
      </c>
      <c r="K1804" t="s">
        <v>290</v>
      </c>
      <c r="L1804" t="s">
        <v>285</v>
      </c>
      <c r="M1804" t="str">
        <f t="shared" si="100"/>
        <v>03</v>
      </c>
      <c r="N1804" t="s">
        <v>12</v>
      </c>
    </row>
    <row r="1805" spans="1:14" x14ac:dyDescent="0.25">
      <c r="A1805">
        <v>20160304</v>
      </c>
      <c r="B1805" t="str">
        <f t="shared" si="98"/>
        <v>062633</v>
      </c>
      <c r="C1805" t="str">
        <f t="shared" si="99"/>
        <v>84370</v>
      </c>
      <c r="D1805" t="s">
        <v>329</v>
      </c>
      <c r="E1805" s="3">
        <v>150.04</v>
      </c>
      <c r="F1805">
        <v>20160304</v>
      </c>
      <c r="G1805" t="s">
        <v>883</v>
      </c>
      <c r="H1805" t="s">
        <v>1137</v>
      </c>
      <c r="I1805">
        <v>0</v>
      </c>
      <c r="J1805" t="s">
        <v>289</v>
      </c>
      <c r="K1805" t="s">
        <v>290</v>
      </c>
      <c r="L1805" t="s">
        <v>285</v>
      </c>
      <c r="M1805" t="str">
        <f t="shared" si="100"/>
        <v>03</v>
      </c>
      <c r="N1805" t="s">
        <v>12</v>
      </c>
    </row>
    <row r="1806" spans="1:14" x14ac:dyDescent="0.25">
      <c r="A1806">
        <v>20160304</v>
      </c>
      <c r="B1806" t="str">
        <f t="shared" si="98"/>
        <v>062633</v>
      </c>
      <c r="C1806" t="str">
        <f t="shared" si="99"/>
        <v>84370</v>
      </c>
      <c r="D1806" t="s">
        <v>329</v>
      </c>
      <c r="E1806" s="3">
        <v>97.78</v>
      </c>
      <c r="F1806">
        <v>20160304</v>
      </c>
      <c r="G1806" t="s">
        <v>883</v>
      </c>
      <c r="H1806" t="s">
        <v>1138</v>
      </c>
      <c r="I1806">
        <v>0</v>
      </c>
      <c r="J1806" t="s">
        <v>289</v>
      </c>
      <c r="K1806" t="s">
        <v>290</v>
      </c>
      <c r="L1806" t="s">
        <v>285</v>
      </c>
      <c r="M1806" t="str">
        <f t="shared" si="100"/>
        <v>03</v>
      </c>
      <c r="N1806" t="s">
        <v>12</v>
      </c>
    </row>
    <row r="1807" spans="1:14" x14ac:dyDescent="0.25">
      <c r="A1807">
        <v>20160304</v>
      </c>
      <c r="B1807" t="str">
        <f t="shared" si="98"/>
        <v>062633</v>
      </c>
      <c r="C1807" t="str">
        <f t="shared" si="99"/>
        <v>84370</v>
      </c>
      <c r="D1807" t="s">
        <v>329</v>
      </c>
      <c r="E1807" s="3">
        <v>79.209999999999994</v>
      </c>
      <c r="F1807">
        <v>20160304</v>
      </c>
      <c r="G1807" t="s">
        <v>1026</v>
      </c>
      <c r="H1807" t="s">
        <v>1139</v>
      </c>
      <c r="I1807">
        <v>0</v>
      </c>
      <c r="J1807" t="s">
        <v>289</v>
      </c>
      <c r="K1807" t="s">
        <v>290</v>
      </c>
      <c r="L1807" t="s">
        <v>285</v>
      </c>
      <c r="M1807" t="str">
        <f t="shared" si="100"/>
        <v>03</v>
      </c>
      <c r="N1807" t="s">
        <v>12</v>
      </c>
    </row>
    <row r="1808" spans="1:14" x14ac:dyDescent="0.25">
      <c r="A1808">
        <v>20160304</v>
      </c>
      <c r="B1808" t="str">
        <f t="shared" si="98"/>
        <v>062633</v>
      </c>
      <c r="C1808" t="str">
        <f t="shared" si="99"/>
        <v>84370</v>
      </c>
      <c r="D1808" t="s">
        <v>329</v>
      </c>
      <c r="E1808" s="3">
        <v>68.25</v>
      </c>
      <c r="F1808">
        <v>20160304</v>
      </c>
      <c r="G1808" t="s">
        <v>471</v>
      </c>
      <c r="H1808" t="s">
        <v>937</v>
      </c>
      <c r="I1808">
        <v>0</v>
      </c>
      <c r="J1808" t="s">
        <v>289</v>
      </c>
      <c r="K1808" t="s">
        <v>95</v>
      </c>
      <c r="L1808" t="s">
        <v>285</v>
      </c>
      <c r="M1808" t="str">
        <f t="shared" si="100"/>
        <v>03</v>
      </c>
      <c r="N1808" t="s">
        <v>12</v>
      </c>
    </row>
    <row r="1809" spans="1:14" x14ac:dyDescent="0.25">
      <c r="A1809">
        <v>20160304</v>
      </c>
      <c r="B1809" t="str">
        <f t="shared" si="98"/>
        <v>062633</v>
      </c>
      <c r="C1809" t="str">
        <f t="shared" si="99"/>
        <v>84370</v>
      </c>
      <c r="D1809" t="s">
        <v>329</v>
      </c>
      <c r="E1809" s="3">
        <v>63.15</v>
      </c>
      <c r="F1809">
        <v>20160304</v>
      </c>
      <c r="G1809" t="s">
        <v>471</v>
      </c>
      <c r="H1809" t="s">
        <v>937</v>
      </c>
      <c r="I1809">
        <v>0</v>
      </c>
      <c r="J1809" t="s">
        <v>289</v>
      </c>
      <c r="K1809" t="s">
        <v>95</v>
      </c>
      <c r="L1809" t="s">
        <v>285</v>
      </c>
      <c r="M1809" t="str">
        <f t="shared" si="100"/>
        <v>03</v>
      </c>
      <c r="N1809" t="s">
        <v>12</v>
      </c>
    </row>
    <row r="1810" spans="1:14" x14ac:dyDescent="0.25">
      <c r="A1810">
        <v>20160304</v>
      </c>
      <c r="B1810" t="str">
        <f t="shared" si="98"/>
        <v>062633</v>
      </c>
      <c r="C1810" t="str">
        <f t="shared" si="99"/>
        <v>84370</v>
      </c>
      <c r="D1810" t="s">
        <v>329</v>
      </c>
      <c r="E1810" s="3">
        <v>106.07</v>
      </c>
      <c r="F1810">
        <v>20160304</v>
      </c>
      <c r="G1810" t="s">
        <v>471</v>
      </c>
      <c r="H1810" t="s">
        <v>1140</v>
      </c>
      <c r="I1810">
        <v>0</v>
      </c>
      <c r="J1810" t="s">
        <v>289</v>
      </c>
      <c r="K1810" t="s">
        <v>95</v>
      </c>
      <c r="L1810" t="s">
        <v>285</v>
      </c>
      <c r="M1810" t="str">
        <f t="shared" si="100"/>
        <v>03</v>
      </c>
      <c r="N1810" t="s">
        <v>12</v>
      </c>
    </row>
    <row r="1811" spans="1:14" x14ac:dyDescent="0.25">
      <c r="A1811">
        <v>20160308</v>
      </c>
      <c r="B1811" t="str">
        <f>"062635"</f>
        <v>062635</v>
      </c>
      <c r="C1811" t="str">
        <f>"39422"</f>
        <v>39422</v>
      </c>
      <c r="D1811" t="s">
        <v>1141</v>
      </c>
      <c r="E1811" s="3">
        <v>350</v>
      </c>
      <c r="F1811">
        <v>20160308</v>
      </c>
      <c r="G1811" t="s">
        <v>1142</v>
      </c>
      <c r="H1811" t="s">
        <v>1047</v>
      </c>
      <c r="I1811">
        <v>0</v>
      </c>
      <c r="J1811" t="s">
        <v>289</v>
      </c>
      <c r="K1811" t="s">
        <v>290</v>
      </c>
      <c r="L1811" t="s">
        <v>285</v>
      </c>
      <c r="M1811" t="str">
        <f t="shared" si="100"/>
        <v>03</v>
      </c>
      <c r="N1811" t="s">
        <v>12</v>
      </c>
    </row>
    <row r="1812" spans="1:14" x14ac:dyDescent="0.25">
      <c r="A1812">
        <v>20160311</v>
      </c>
      <c r="B1812" t="str">
        <f>"062643"</f>
        <v>062643</v>
      </c>
      <c r="C1812" t="str">
        <f>"08788"</f>
        <v>08788</v>
      </c>
      <c r="D1812" t="s">
        <v>302</v>
      </c>
      <c r="E1812" s="3">
        <v>365.57</v>
      </c>
      <c r="F1812">
        <v>20160310</v>
      </c>
      <c r="G1812" t="s">
        <v>684</v>
      </c>
      <c r="H1812" t="s">
        <v>1143</v>
      </c>
      <c r="I1812">
        <v>0</v>
      </c>
      <c r="J1812" t="s">
        <v>289</v>
      </c>
      <c r="K1812" t="s">
        <v>290</v>
      </c>
      <c r="L1812" t="s">
        <v>285</v>
      </c>
      <c r="M1812" t="str">
        <f t="shared" si="100"/>
        <v>03</v>
      </c>
      <c r="N1812" t="s">
        <v>12</v>
      </c>
    </row>
    <row r="1813" spans="1:14" x14ac:dyDescent="0.25">
      <c r="A1813">
        <v>20160311</v>
      </c>
      <c r="B1813" t="str">
        <f>"062674"</f>
        <v>062674</v>
      </c>
      <c r="C1813" t="str">
        <f>"51347"</f>
        <v>51347</v>
      </c>
      <c r="D1813" t="s">
        <v>1096</v>
      </c>
      <c r="E1813" s="3">
        <v>70</v>
      </c>
      <c r="F1813">
        <v>20160310</v>
      </c>
      <c r="G1813" t="s">
        <v>602</v>
      </c>
      <c r="H1813" t="s">
        <v>1097</v>
      </c>
      <c r="I1813">
        <v>0</v>
      </c>
      <c r="J1813" t="s">
        <v>289</v>
      </c>
      <c r="K1813" t="s">
        <v>290</v>
      </c>
      <c r="L1813" t="s">
        <v>285</v>
      </c>
      <c r="M1813" t="str">
        <f t="shared" si="100"/>
        <v>03</v>
      </c>
      <c r="N1813" t="s">
        <v>12</v>
      </c>
    </row>
    <row r="1814" spans="1:14" x14ac:dyDescent="0.25">
      <c r="A1814">
        <v>20160311</v>
      </c>
      <c r="B1814" t="str">
        <f>"062675"</f>
        <v>062675</v>
      </c>
      <c r="C1814" t="str">
        <f>"51355"</f>
        <v>51355</v>
      </c>
      <c r="D1814" t="s">
        <v>1144</v>
      </c>
      <c r="E1814" s="3">
        <v>55</v>
      </c>
      <c r="F1814">
        <v>20160310</v>
      </c>
      <c r="G1814" t="s">
        <v>744</v>
      </c>
      <c r="H1814" t="s">
        <v>867</v>
      </c>
      <c r="I1814">
        <v>0</v>
      </c>
      <c r="J1814" t="s">
        <v>289</v>
      </c>
      <c r="K1814" t="s">
        <v>290</v>
      </c>
      <c r="L1814" t="s">
        <v>285</v>
      </c>
      <c r="M1814" t="str">
        <f t="shared" si="100"/>
        <v>03</v>
      </c>
      <c r="N1814" t="s">
        <v>12</v>
      </c>
    </row>
    <row r="1815" spans="1:14" x14ac:dyDescent="0.25">
      <c r="A1815">
        <v>20160311</v>
      </c>
      <c r="B1815" t="str">
        <f>"062696"</f>
        <v>062696</v>
      </c>
      <c r="C1815" t="str">
        <f>"63508"</f>
        <v>63508</v>
      </c>
      <c r="D1815" t="s">
        <v>1145</v>
      </c>
      <c r="E1815" s="3">
        <v>1500</v>
      </c>
      <c r="F1815">
        <v>20160311</v>
      </c>
      <c r="G1815" t="s">
        <v>1146</v>
      </c>
      <c r="H1815" t="s">
        <v>1147</v>
      </c>
      <c r="I1815">
        <v>0</v>
      </c>
      <c r="J1815" t="s">
        <v>289</v>
      </c>
      <c r="K1815" t="s">
        <v>290</v>
      </c>
      <c r="L1815" t="s">
        <v>285</v>
      </c>
      <c r="M1815" t="str">
        <f t="shared" si="100"/>
        <v>03</v>
      </c>
      <c r="N1815" t="s">
        <v>12</v>
      </c>
    </row>
    <row r="1816" spans="1:14" x14ac:dyDescent="0.25">
      <c r="A1816">
        <v>20160311</v>
      </c>
      <c r="B1816" t="str">
        <f>"062698"</f>
        <v>062698</v>
      </c>
      <c r="C1816" t="str">
        <f>"63974"</f>
        <v>63974</v>
      </c>
      <c r="D1816" t="s">
        <v>1058</v>
      </c>
      <c r="E1816" s="3">
        <v>420</v>
      </c>
      <c r="F1816">
        <v>20160311</v>
      </c>
      <c r="G1816" t="s">
        <v>599</v>
      </c>
      <c r="H1816" t="s">
        <v>1148</v>
      </c>
      <c r="I1816">
        <v>0</v>
      </c>
      <c r="J1816" t="s">
        <v>289</v>
      </c>
      <c r="K1816" t="s">
        <v>290</v>
      </c>
      <c r="L1816" t="s">
        <v>285</v>
      </c>
      <c r="M1816" t="str">
        <f t="shared" si="100"/>
        <v>03</v>
      </c>
      <c r="N1816" t="s">
        <v>12</v>
      </c>
    </row>
    <row r="1817" spans="1:14" x14ac:dyDescent="0.25">
      <c r="A1817">
        <v>20160311</v>
      </c>
      <c r="B1817" t="str">
        <f>"062706"</f>
        <v>062706</v>
      </c>
      <c r="C1817" t="str">
        <f>"74131"</f>
        <v>74131</v>
      </c>
      <c r="D1817" t="s">
        <v>453</v>
      </c>
      <c r="E1817" s="3">
        <v>256</v>
      </c>
      <c r="F1817">
        <v>20160311</v>
      </c>
      <c r="G1817" t="s">
        <v>1149</v>
      </c>
      <c r="H1817" t="s">
        <v>1150</v>
      </c>
      <c r="I1817">
        <v>0</v>
      </c>
      <c r="J1817" t="s">
        <v>289</v>
      </c>
      <c r="K1817" t="s">
        <v>95</v>
      </c>
      <c r="L1817" t="s">
        <v>285</v>
      </c>
      <c r="M1817" t="str">
        <f t="shared" si="100"/>
        <v>03</v>
      </c>
      <c r="N1817" t="s">
        <v>12</v>
      </c>
    </row>
    <row r="1818" spans="1:14" x14ac:dyDescent="0.25">
      <c r="A1818">
        <v>20160311</v>
      </c>
      <c r="B1818" t="str">
        <f>"062706"</f>
        <v>062706</v>
      </c>
      <c r="C1818" t="str">
        <f>"74131"</f>
        <v>74131</v>
      </c>
      <c r="D1818" t="s">
        <v>453</v>
      </c>
      <c r="E1818" s="3">
        <v>20</v>
      </c>
      <c r="F1818">
        <v>20160311</v>
      </c>
      <c r="G1818" t="s">
        <v>1149</v>
      </c>
      <c r="H1818" t="s">
        <v>1151</v>
      </c>
      <c r="I1818">
        <v>0</v>
      </c>
      <c r="J1818" t="s">
        <v>289</v>
      </c>
      <c r="K1818" t="s">
        <v>95</v>
      </c>
      <c r="L1818" t="s">
        <v>285</v>
      </c>
      <c r="M1818" t="str">
        <f t="shared" si="100"/>
        <v>03</v>
      </c>
      <c r="N1818" t="s">
        <v>12</v>
      </c>
    </row>
    <row r="1819" spans="1:14" x14ac:dyDescent="0.25">
      <c r="A1819">
        <v>20160311</v>
      </c>
      <c r="B1819" t="str">
        <f>"062709"</f>
        <v>062709</v>
      </c>
      <c r="C1819" t="str">
        <f>"75351"</f>
        <v>75351</v>
      </c>
      <c r="D1819" t="s">
        <v>687</v>
      </c>
      <c r="E1819" s="3">
        <v>215</v>
      </c>
      <c r="F1819">
        <v>20160311</v>
      </c>
      <c r="G1819" t="s">
        <v>599</v>
      </c>
      <c r="H1819" t="s">
        <v>1148</v>
      </c>
      <c r="I1819">
        <v>0</v>
      </c>
      <c r="J1819" t="s">
        <v>289</v>
      </c>
      <c r="K1819" t="s">
        <v>290</v>
      </c>
      <c r="L1819" t="s">
        <v>285</v>
      </c>
      <c r="M1819" t="str">
        <f t="shared" si="100"/>
        <v>03</v>
      </c>
      <c r="N1819" t="s">
        <v>12</v>
      </c>
    </row>
    <row r="1820" spans="1:14" x14ac:dyDescent="0.25">
      <c r="A1820">
        <v>20160311</v>
      </c>
      <c r="B1820" t="str">
        <f>"062713"</f>
        <v>062713</v>
      </c>
      <c r="C1820" t="str">
        <f>"80560"</f>
        <v>80560</v>
      </c>
      <c r="D1820" t="s">
        <v>783</v>
      </c>
      <c r="E1820" s="3">
        <v>135</v>
      </c>
      <c r="F1820">
        <v>20160311</v>
      </c>
      <c r="G1820" t="s">
        <v>758</v>
      </c>
      <c r="H1820" t="s">
        <v>1152</v>
      </c>
      <c r="I1820">
        <v>0</v>
      </c>
      <c r="J1820" t="s">
        <v>289</v>
      </c>
      <c r="K1820" t="s">
        <v>95</v>
      </c>
      <c r="L1820" t="s">
        <v>285</v>
      </c>
      <c r="M1820" t="str">
        <f t="shared" si="100"/>
        <v>03</v>
      </c>
      <c r="N1820" t="s">
        <v>12</v>
      </c>
    </row>
    <row r="1821" spans="1:14" x14ac:dyDescent="0.25">
      <c r="A1821">
        <v>20160318</v>
      </c>
      <c r="B1821" t="str">
        <f>"062724"</f>
        <v>062724</v>
      </c>
      <c r="C1821" t="str">
        <f>"00381"</f>
        <v>00381</v>
      </c>
      <c r="D1821" t="s">
        <v>1153</v>
      </c>
      <c r="E1821" s="3">
        <v>70</v>
      </c>
      <c r="F1821">
        <v>20160316</v>
      </c>
      <c r="G1821" t="s">
        <v>490</v>
      </c>
      <c r="H1821" t="s">
        <v>1154</v>
      </c>
      <c r="I1821">
        <v>0</v>
      </c>
      <c r="J1821" t="s">
        <v>289</v>
      </c>
      <c r="K1821" t="s">
        <v>290</v>
      </c>
      <c r="L1821" t="s">
        <v>285</v>
      </c>
      <c r="M1821" t="str">
        <f t="shared" si="100"/>
        <v>03</v>
      </c>
      <c r="N1821" t="s">
        <v>12</v>
      </c>
    </row>
    <row r="1822" spans="1:14" x14ac:dyDescent="0.25">
      <c r="A1822">
        <v>20160318</v>
      </c>
      <c r="B1822" t="str">
        <f>"062740"</f>
        <v>062740</v>
      </c>
      <c r="C1822" t="str">
        <f>"24335"</f>
        <v>24335</v>
      </c>
      <c r="D1822" t="s">
        <v>796</v>
      </c>
      <c r="E1822" s="3">
        <v>196</v>
      </c>
      <c r="F1822">
        <v>20160316</v>
      </c>
      <c r="G1822" t="s">
        <v>1026</v>
      </c>
      <c r="H1822" t="s">
        <v>1155</v>
      </c>
      <c r="I1822">
        <v>0</v>
      </c>
      <c r="J1822" t="s">
        <v>289</v>
      </c>
      <c r="K1822" t="s">
        <v>290</v>
      </c>
      <c r="L1822" t="s">
        <v>285</v>
      </c>
      <c r="M1822" t="str">
        <f t="shared" si="100"/>
        <v>03</v>
      </c>
      <c r="N1822" t="s">
        <v>12</v>
      </c>
    </row>
    <row r="1823" spans="1:14" x14ac:dyDescent="0.25">
      <c r="A1823">
        <v>20160318</v>
      </c>
      <c r="B1823" t="str">
        <f>"062741"</f>
        <v>062741</v>
      </c>
      <c r="C1823" t="str">
        <f>"24338"</f>
        <v>24338</v>
      </c>
      <c r="D1823" t="s">
        <v>753</v>
      </c>
      <c r="E1823" s="3">
        <v>136.61000000000001</v>
      </c>
      <c r="F1823">
        <v>20160316</v>
      </c>
      <c r="G1823" t="s">
        <v>1032</v>
      </c>
      <c r="H1823" t="s">
        <v>1156</v>
      </c>
      <c r="I1823">
        <v>0</v>
      </c>
      <c r="J1823" t="s">
        <v>289</v>
      </c>
      <c r="K1823" t="s">
        <v>290</v>
      </c>
      <c r="L1823" t="s">
        <v>285</v>
      </c>
      <c r="M1823" t="str">
        <f t="shared" si="100"/>
        <v>03</v>
      </c>
      <c r="N1823" t="s">
        <v>12</v>
      </c>
    </row>
    <row r="1824" spans="1:14" x14ac:dyDescent="0.25">
      <c r="A1824">
        <v>20160318</v>
      </c>
      <c r="B1824" t="str">
        <f>"062745"</f>
        <v>062745</v>
      </c>
      <c r="C1824" t="str">
        <f>"29636"</f>
        <v>29636</v>
      </c>
      <c r="D1824" t="s">
        <v>424</v>
      </c>
      <c r="E1824" s="3">
        <v>115</v>
      </c>
      <c r="F1824">
        <v>20160316</v>
      </c>
      <c r="G1824" t="s">
        <v>1069</v>
      </c>
      <c r="H1824" t="s">
        <v>1157</v>
      </c>
      <c r="I1824">
        <v>0</v>
      </c>
      <c r="J1824" t="s">
        <v>289</v>
      </c>
      <c r="K1824" t="s">
        <v>290</v>
      </c>
      <c r="L1824" t="s">
        <v>285</v>
      </c>
      <c r="M1824" t="str">
        <f t="shared" si="100"/>
        <v>03</v>
      </c>
      <c r="N1824" t="s">
        <v>12</v>
      </c>
    </row>
    <row r="1825" spans="1:14" x14ac:dyDescent="0.25">
      <c r="A1825">
        <v>20160318</v>
      </c>
      <c r="B1825" t="str">
        <f>"062758"</f>
        <v>062758</v>
      </c>
      <c r="C1825" t="str">
        <f>"42198"</f>
        <v>42198</v>
      </c>
      <c r="D1825" t="s">
        <v>1158</v>
      </c>
      <c r="E1825" s="3">
        <v>51.5</v>
      </c>
      <c r="F1825">
        <v>20160316</v>
      </c>
      <c r="G1825" t="s">
        <v>948</v>
      </c>
      <c r="H1825" t="s">
        <v>1159</v>
      </c>
      <c r="I1825">
        <v>0</v>
      </c>
      <c r="J1825" t="s">
        <v>289</v>
      </c>
      <c r="K1825" t="s">
        <v>290</v>
      </c>
      <c r="L1825" t="s">
        <v>285</v>
      </c>
      <c r="M1825" t="str">
        <f t="shared" si="100"/>
        <v>03</v>
      </c>
      <c r="N1825" t="s">
        <v>12</v>
      </c>
    </row>
    <row r="1826" spans="1:14" x14ac:dyDescent="0.25">
      <c r="A1826">
        <v>20160318</v>
      </c>
      <c r="B1826" t="str">
        <f>"062758"</f>
        <v>062758</v>
      </c>
      <c r="C1826" t="str">
        <f>"42198"</f>
        <v>42198</v>
      </c>
      <c r="D1826" t="s">
        <v>1158</v>
      </c>
      <c r="E1826" s="3">
        <v>51.5</v>
      </c>
      <c r="F1826">
        <v>20160316</v>
      </c>
      <c r="G1826" t="s">
        <v>934</v>
      </c>
      <c r="H1826" t="s">
        <v>1160</v>
      </c>
      <c r="I1826">
        <v>0</v>
      </c>
      <c r="J1826" t="s">
        <v>289</v>
      </c>
      <c r="K1826" t="s">
        <v>290</v>
      </c>
      <c r="L1826" t="s">
        <v>285</v>
      </c>
      <c r="M1826" t="str">
        <f t="shared" si="100"/>
        <v>03</v>
      </c>
      <c r="N1826" t="s">
        <v>12</v>
      </c>
    </row>
    <row r="1827" spans="1:14" x14ac:dyDescent="0.25">
      <c r="A1827">
        <v>20160318</v>
      </c>
      <c r="B1827" t="str">
        <f>"062769"</f>
        <v>062769</v>
      </c>
      <c r="C1827" t="str">
        <f>"49981"</f>
        <v>49981</v>
      </c>
      <c r="D1827" t="s">
        <v>1095</v>
      </c>
      <c r="E1827" s="3">
        <v>60</v>
      </c>
      <c r="F1827">
        <v>20160316</v>
      </c>
      <c r="G1827" t="s">
        <v>948</v>
      </c>
      <c r="H1827" t="s">
        <v>1161</v>
      </c>
      <c r="I1827">
        <v>0</v>
      </c>
      <c r="J1827" t="s">
        <v>289</v>
      </c>
      <c r="K1827" t="s">
        <v>290</v>
      </c>
      <c r="L1827" t="s">
        <v>285</v>
      </c>
      <c r="M1827" t="str">
        <f t="shared" si="100"/>
        <v>03</v>
      </c>
      <c r="N1827" t="s">
        <v>12</v>
      </c>
    </row>
    <row r="1828" spans="1:14" x14ac:dyDescent="0.25">
      <c r="A1828">
        <v>20160318</v>
      </c>
      <c r="B1828" t="str">
        <f>"062769"</f>
        <v>062769</v>
      </c>
      <c r="C1828" t="str">
        <f>"49981"</f>
        <v>49981</v>
      </c>
      <c r="D1828" t="s">
        <v>1095</v>
      </c>
      <c r="E1828" s="3">
        <v>60</v>
      </c>
      <c r="F1828">
        <v>20160316</v>
      </c>
      <c r="G1828" t="s">
        <v>934</v>
      </c>
      <c r="H1828" t="s">
        <v>1162</v>
      </c>
      <c r="I1828">
        <v>0</v>
      </c>
      <c r="J1828" t="s">
        <v>289</v>
      </c>
      <c r="K1828" t="s">
        <v>290</v>
      </c>
      <c r="L1828" t="s">
        <v>285</v>
      </c>
      <c r="M1828" t="str">
        <f t="shared" si="100"/>
        <v>03</v>
      </c>
      <c r="N1828" t="s">
        <v>12</v>
      </c>
    </row>
    <row r="1829" spans="1:14" x14ac:dyDescent="0.25">
      <c r="A1829">
        <v>20160318</v>
      </c>
      <c r="B1829" t="str">
        <f>"062778"</f>
        <v>062778</v>
      </c>
      <c r="C1829" t="str">
        <f>"57322"</f>
        <v>57322</v>
      </c>
      <c r="D1829" t="s">
        <v>957</v>
      </c>
      <c r="E1829" s="3">
        <v>60</v>
      </c>
      <c r="F1829">
        <v>20160317</v>
      </c>
      <c r="G1829" t="s">
        <v>420</v>
      </c>
      <c r="H1829" t="s">
        <v>1163</v>
      </c>
      <c r="I1829">
        <v>0</v>
      </c>
      <c r="J1829" t="s">
        <v>289</v>
      </c>
      <c r="K1829" t="s">
        <v>290</v>
      </c>
      <c r="L1829" t="s">
        <v>285</v>
      </c>
      <c r="M1829" t="str">
        <f t="shared" si="100"/>
        <v>03</v>
      </c>
      <c r="N1829" t="s">
        <v>12</v>
      </c>
    </row>
    <row r="1830" spans="1:14" x14ac:dyDescent="0.25">
      <c r="A1830">
        <v>20160318</v>
      </c>
      <c r="B1830" t="str">
        <f>"062779"</f>
        <v>062779</v>
      </c>
      <c r="C1830" t="str">
        <f>"57991"</f>
        <v>57991</v>
      </c>
      <c r="D1830" t="s">
        <v>445</v>
      </c>
      <c r="E1830" s="3">
        <v>115</v>
      </c>
      <c r="F1830">
        <v>20160317</v>
      </c>
      <c r="G1830" t="s">
        <v>1069</v>
      </c>
      <c r="H1830" t="s">
        <v>1157</v>
      </c>
      <c r="I1830">
        <v>0</v>
      </c>
      <c r="J1830" t="s">
        <v>289</v>
      </c>
      <c r="K1830" t="s">
        <v>290</v>
      </c>
      <c r="L1830" t="s">
        <v>285</v>
      </c>
      <c r="M1830" t="str">
        <f t="shared" si="100"/>
        <v>03</v>
      </c>
      <c r="N1830" t="s">
        <v>12</v>
      </c>
    </row>
    <row r="1831" spans="1:14" x14ac:dyDescent="0.25">
      <c r="A1831">
        <v>20160318</v>
      </c>
      <c r="B1831" t="str">
        <f>"062787"</f>
        <v>062787</v>
      </c>
      <c r="C1831" t="str">
        <f>"61143"</f>
        <v>61143</v>
      </c>
      <c r="D1831" t="s">
        <v>1164</v>
      </c>
      <c r="E1831" s="3">
        <v>42.5</v>
      </c>
      <c r="F1831">
        <v>20160317</v>
      </c>
      <c r="G1831" t="s">
        <v>948</v>
      </c>
      <c r="H1831" t="s">
        <v>1159</v>
      </c>
      <c r="I1831">
        <v>0</v>
      </c>
      <c r="J1831" t="s">
        <v>289</v>
      </c>
      <c r="K1831" t="s">
        <v>290</v>
      </c>
      <c r="L1831" t="s">
        <v>285</v>
      </c>
      <c r="M1831" t="str">
        <f t="shared" si="100"/>
        <v>03</v>
      </c>
      <c r="N1831" t="s">
        <v>12</v>
      </c>
    </row>
    <row r="1832" spans="1:14" x14ac:dyDescent="0.25">
      <c r="A1832">
        <v>20160318</v>
      </c>
      <c r="B1832" t="str">
        <f>"062787"</f>
        <v>062787</v>
      </c>
      <c r="C1832" t="str">
        <f>"61143"</f>
        <v>61143</v>
      </c>
      <c r="D1832" t="s">
        <v>1164</v>
      </c>
      <c r="E1832" s="3">
        <v>42.5</v>
      </c>
      <c r="F1832">
        <v>20160317</v>
      </c>
      <c r="G1832" t="s">
        <v>934</v>
      </c>
      <c r="H1832" t="s">
        <v>1160</v>
      </c>
      <c r="I1832">
        <v>0</v>
      </c>
      <c r="J1832" t="s">
        <v>289</v>
      </c>
      <c r="K1832" t="s">
        <v>290</v>
      </c>
      <c r="L1832" t="s">
        <v>285</v>
      </c>
      <c r="M1832" t="str">
        <f t="shared" si="100"/>
        <v>03</v>
      </c>
      <c r="N1832" t="s">
        <v>12</v>
      </c>
    </row>
    <row r="1833" spans="1:14" x14ac:dyDescent="0.25">
      <c r="A1833">
        <v>20160318</v>
      </c>
      <c r="B1833" t="str">
        <f>"062811"</f>
        <v>062811</v>
      </c>
      <c r="C1833" t="str">
        <f>"80533"</f>
        <v>80533</v>
      </c>
      <c r="D1833" t="s">
        <v>1165</v>
      </c>
      <c r="E1833" s="3">
        <v>50</v>
      </c>
      <c r="F1833">
        <v>20160317</v>
      </c>
      <c r="G1833" t="s">
        <v>948</v>
      </c>
      <c r="H1833" t="s">
        <v>1159</v>
      </c>
      <c r="I1833">
        <v>0</v>
      </c>
      <c r="J1833" t="s">
        <v>289</v>
      </c>
      <c r="K1833" t="s">
        <v>290</v>
      </c>
      <c r="L1833" t="s">
        <v>285</v>
      </c>
      <c r="M1833" t="str">
        <f t="shared" si="100"/>
        <v>03</v>
      </c>
      <c r="N1833" t="s">
        <v>12</v>
      </c>
    </row>
    <row r="1834" spans="1:14" x14ac:dyDescent="0.25">
      <c r="A1834">
        <v>20160318</v>
      </c>
      <c r="B1834" t="str">
        <f>"062811"</f>
        <v>062811</v>
      </c>
      <c r="C1834" t="str">
        <f>"80533"</f>
        <v>80533</v>
      </c>
      <c r="D1834" t="s">
        <v>1165</v>
      </c>
      <c r="E1834" s="3">
        <v>50</v>
      </c>
      <c r="F1834">
        <v>20160317</v>
      </c>
      <c r="G1834" t="s">
        <v>934</v>
      </c>
      <c r="H1834" t="s">
        <v>1160</v>
      </c>
      <c r="I1834">
        <v>0</v>
      </c>
      <c r="J1834" t="s">
        <v>289</v>
      </c>
      <c r="K1834" t="s">
        <v>290</v>
      </c>
      <c r="L1834" t="s">
        <v>285</v>
      </c>
      <c r="M1834" t="str">
        <f t="shared" si="100"/>
        <v>03</v>
      </c>
      <c r="N1834" t="s">
        <v>12</v>
      </c>
    </row>
    <row r="1835" spans="1:14" x14ac:dyDescent="0.25">
      <c r="A1835">
        <v>20160318</v>
      </c>
      <c r="B1835" t="str">
        <f>"062814"</f>
        <v>062814</v>
      </c>
      <c r="C1835" t="str">
        <f>"82176"</f>
        <v>82176</v>
      </c>
      <c r="D1835" t="s">
        <v>1166</v>
      </c>
      <c r="E1835" s="3">
        <v>100</v>
      </c>
      <c r="F1835">
        <v>20160317</v>
      </c>
      <c r="G1835" t="s">
        <v>1046</v>
      </c>
      <c r="H1835" t="s">
        <v>1167</v>
      </c>
      <c r="I1835">
        <v>0</v>
      </c>
      <c r="J1835" t="s">
        <v>289</v>
      </c>
      <c r="K1835" t="s">
        <v>290</v>
      </c>
      <c r="L1835" t="s">
        <v>285</v>
      </c>
      <c r="M1835" t="str">
        <f t="shared" si="100"/>
        <v>03</v>
      </c>
      <c r="N1835" t="s">
        <v>12</v>
      </c>
    </row>
    <row r="1836" spans="1:14" x14ac:dyDescent="0.25">
      <c r="A1836">
        <v>20160318</v>
      </c>
      <c r="B1836" t="str">
        <f>"062815"</f>
        <v>062815</v>
      </c>
      <c r="C1836" t="str">
        <f>"82418"</f>
        <v>82418</v>
      </c>
      <c r="D1836" t="s">
        <v>1168</v>
      </c>
      <c r="E1836" s="3">
        <v>63</v>
      </c>
      <c r="F1836">
        <v>20160317</v>
      </c>
      <c r="G1836" t="s">
        <v>948</v>
      </c>
      <c r="H1836" t="s">
        <v>1161</v>
      </c>
      <c r="I1836">
        <v>0</v>
      </c>
      <c r="J1836" t="s">
        <v>289</v>
      </c>
      <c r="K1836" t="s">
        <v>290</v>
      </c>
      <c r="L1836" t="s">
        <v>285</v>
      </c>
      <c r="M1836" t="str">
        <f t="shared" si="100"/>
        <v>03</v>
      </c>
      <c r="N1836" t="s">
        <v>12</v>
      </c>
    </row>
    <row r="1837" spans="1:14" x14ac:dyDescent="0.25">
      <c r="A1837">
        <v>20160318</v>
      </c>
      <c r="B1837" t="str">
        <f>"062815"</f>
        <v>062815</v>
      </c>
      <c r="C1837" t="str">
        <f>"82418"</f>
        <v>82418</v>
      </c>
      <c r="D1837" t="s">
        <v>1168</v>
      </c>
      <c r="E1837" s="3">
        <v>93</v>
      </c>
      <c r="F1837">
        <v>20160317</v>
      </c>
      <c r="G1837" t="s">
        <v>948</v>
      </c>
      <c r="H1837" t="s">
        <v>1169</v>
      </c>
      <c r="I1837">
        <v>0</v>
      </c>
      <c r="J1837" t="s">
        <v>289</v>
      </c>
      <c r="K1837" t="s">
        <v>290</v>
      </c>
      <c r="L1837" t="s">
        <v>285</v>
      </c>
      <c r="M1837" t="str">
        <f t="shared" si="100"/>
        <v>03</v>
      </c>
      <c r="N1837" t="s">
        <v>12</v>
      </c>
    </row>
    <row r="1838" spans="1:14" x14ac:dyDescent="0.25">
      <c r="A1838">
        <v>20160318</v>
      </c>
      <c r="B1838" t="str">
        <f>"062815"</f>
        <v>062815</v>
      </c>
      <c r="C1838" t="str">
        <f>"82418"</f>
        <v>82418</v>
      </c>
      <c r="D1838" t="s">
        <v>1168</v>
      </c>
      <c r="E1838" s="3">
        <v>93</v>
      </c>
      <c r="F1838">
        <v>20160317</v>
      </c>
      <c r="G1838" t="s">
        <v>948</v>
      </c>
      <c r="H1838" t="s">
        <v>1170</v>
      </c>
      <c r="I1838">
        <v>0</v>
      </c>
      <c r="J1838" t="s">
        <v>289</v>
      </c>
      <c r="K1838" t="s">
        <v>290</v>
      </c>
      <c r="L1838" t="s">
        <v>285</v>
      </c>
      <c r="M1838" t="str">
        <f t="shared" si="100"/>
        <v>03</v>
      </c>
      <c r="N1838" t="s">
        <v>12</v>
      </c>
    </row>
    <row r="1839" spans="1:14" x14ac:dyDescent="0.25">
      <c r="A1839">
        <v>20160318</v>
      </c>
      <c r="B1839" t="str">
        <f>"062815"</f>
        <v>062815</v>
      </c>
      <c r="C1839" t="str">
        <f>"82418"</f>
        <v>82418</v>
      </c>
      <c r="D1839" t="s">
        <v>1168</v>
      </c>
      <c r="E1839" s="3">
        <v>60</v>
      </c>
      <c r="F1839">
        <v>20160317</v>
      </c>
      <c r="G1839" t="s">
        <v>934</v>
      </c>
      <c r="H1839" t="s">
        <v>1162</v>
      </c>
      <c r="I1839">
        <v>0</v>
      </c>
      <c r="J1839" t="s">
        <v>289</v>
      </c>
      <c r="K1839" t="s">
        <v>290</v>
      </c>
      <c r="L1839" t="s">
        <v>285</v>
      </c>
      <c r="M1839" t="str">
        <f t="shared" si="100"/>
        <v>03</v>
      </c>
      <c r="N1839" t="s">
        <v>12</v>
      </c>
    </row>
    <row r="1840" spans="1:14" x14ac:dyDescent="0.25">
      <c r="A1840">
        <v>20160318</v>
      </c>
      <c r="B1840" t="str">
        <f>"062816"</f>
        <v>062816</v>
      </c>
      <c r="C1840" t="str">
        <f>"82511"</f>
        <v>82511</v>
      </c>
      <c r="D1840" t="s">
        <v>547</v>
      </c>
      <c r="E1840" s="3">
        <v>144</v>
      </c>
      <c r="F1840">
        <v>20160317</v>
      </c>
      <c r="G1840" t="s">
        <v>385</v>
      </c>
      <c r="H1840" t="s">
        <v>1163</v>
      </c>
      <c r="I1840">
        <v>0</v>
      </c>
      <c r="J1840" t="s">
        <v>289</v>
      </c>
      <c r="K1840" t="s">
        <v>290</v>
      </c>
      <c r="L1840" t="s">
        <v>285</v>
      </c>
      <c r="M1840" t="str">
        <f t="shared" si="100"/>
        <v>03</v>
      </c>
      <c r="N1840" t="s">
        <v>12</v>
      </c>
    </row>
    <row r="1841" spans="1:14" x14ac:dyDescent="0.25">
      <c r="A1841">
        <v>20160318</v>
      </c>
      <c r="B1841" t="str">
        <f>"062819"</f>
        <v>062819</v>
      </c>
      <c r="C1841" t="str">
        <f>"84367"</f>
        <v>84367</v>
      </c>
      <c r="D1841" t="s">
        <v>607</v>
      </c>
      <c r="E1841" s="3">
        <v>157.81</v>
      </c>
      <c r="F1841">
        <v>20160317</v>
      </c>
      <c r="G1841" t="s">
        <v>881</v>
      </c>
      <c r="H1841" t="s">
        <v>1171</v>
      </c>
      <c r="I1841">
        <v>0</v>
      </c>
      <c r="J1841" t="s">
        <v>289</v>
      </c>
      <c r="K1841" t="s">
        <v>290</v>
      </c>
      <c r="L1841" t="s">
        <v>285</v>
      </c>
      <c r="M1841" t="str">
        <f t="shared" si="100"/>
        <v>03</v>
      </c>
      <c r="N1841" t="s">
        <v>12</v>
      </c>
    </row>
    <row r="1842" spans="1:14" x14ac:dyDescent="0.25">
      <c r="A1842">
        <v>20160318</v>
      </c>
      <c r="B1842" t="str">
        <f t="shared" ref="B1842:B1862" si="101">"062820"</f>
        <v>062820</v>
      </c>
      <c r="C1842" t="str">
        <f t="shared" ref="C1842:C1862" si="102">"84370"</f>
        <v>84370</v>
      </c>
      <c r="D1842" t="s">
        <v>329</v>
      </c>
      <c r="E1842" s="3">
        <v>97.14</v>
      </c>
      <c r="F1842">
        <v>20160317</v>
      </c>
      <c r="G1842" t="s">
        <v>1032</v>
      </c>
      <c r="H1842" t="s">
        <v>1172</v>
      </c>
      <c r="I1842">
        <v>0</v>
      </c>
      <c r="J1842" t="s">
        <v>289</v>
      </c>
      <c r="K1842" t="s">
        <v>290</v>
      </c>
      <c r="L1842" t="s">
        <v>285</v>
      </c>
      <c r="M1842" t="str">
        <f t="shared" si="100"/>
        <v>03</v>
      </c>
      <c r="N1842" t="s">
        <v>12</v>
      </c>
    </row>
    <row r="1843" spans="1:14" x14ac:dyDescent="0.25">
      <c r="A1843">
        <v>20160318</v>
      </c>
      <c r="B1843" t="str">
        <f t="shared" si="101"/>
        <v>062820</v>
      </c>
      <c r="C1843" t="str">
        <f t="shared" si="102"/>
        <v>84370</v>
      </c>
      <c r="D1843" t="s">
        <v>329</v>
      </c>
      <c r="E1843" s="3">
        <v>101.71</v>
      </c>
      <c r="F1843">
        <v>20160317</v>
      </c>
      <c r="G1843" t="s">
        <v>1032</v>
      </c>
      <c r="H1843" t="s">
        <v>1173</v>
      </c>
      <c r="I1843">
        <v>0</v>
      </c>
      <c r="J1843" t="s">
        <v>289</v>
      </c>
      <c r="K1843" t="s">
        <v>290</v>
      </c>
      <c r="L1843" t="s">
        <v>285</v>
      </c>
      <c r="M1843" t="str">
        <f t="shared" si="100"/>
        <v>03</v>
      </c>
      <c r="N1843" t="s">
        <v>12</v>
      </c>
    </row>
    <row r="1844" spans="1:14" x14ac:dyDescent="0.25">
      <c r="A1844">
        <v>20160318</v>
      </c>
      <c r="B1844" t="str">
        <f t="shared" si="101"/>
        <v>062820</v>
      </c>
      <c r="C1844" t="str">
        <f t="shared" si="102"/>
        <v>84370</v>
      </c>
      <c r="D1844" t="s">
        <v>329</v>
      </c>
      <c r="E1844" s="3">
        <v>111.42</v>
      </c>
      <c r="F1844">
        <v>20160317</v>
      </c>
      <c r="G1844" t="s">
        <v>1032</v>
      </c>
      <c r="H1844" t="s">
        <v>1174</v>
      </c>
      <c r="I1844">
        <v>0</v>
      </c>
      <c r="J1844" t="s">
        <v>289</v>
      </c>
      <c r="K1844" t="s">
        <v>290</v>
      </c>
      <c r="L1844" t="s">
        <v>285</v>
      </c>
      <c r="M1844" t="str">
        <f t="shared" si="100"/>
        <v>03</v>
      </c>
      <c r="N1844" t="s">
        <v>12</v>
      </c>
    </row>
    <row r="1845" spans="1:14" x14ac:dyDescent="0.25">
      <c r="A1845">
        <v>20160318</v>
      </c>
      <c r="B1845" t="str">
        <f t="shared" si="101"/>
        <v>062820</v>
      </c>
      <c r="C1845" t="str">
        <f t="shared" si="102"/>
        <v>84370</v>
      </c>
      <c r="D1845" t="s">
        <v>329</v>
      </c>
      <c r="E1845" s="3">
        <v>93.44</v>
      </c>
      <c r="F1845">
        <v>20160317</v>
      </c>
      <c r="G1845" t="s">
        <v>1032</v>
      </c>
      <c r="H1845" t="s">
        <v>1174</v>
      </c>
      <c r="I1845">
        <v>0</v>
      </c>
      <c r="J1845" t="s">
        <v>289</v>
      </c>
      <c r="K1845" t="s">
        <v>290</v>
      </c>
      <c r="L1845" t="s">
        <v>285</v>
      </c>
      <c r="M1845" t="str">
        <f t="shared" si="100"/>
        <v>03</v>
      </c>
      <c r="N1845" t="s">
        <v>12</v>
      </c>
    </row>
    <row r="1846" spans="1:14" x14ac:dyDescent="0.25">
      <c r="A1846">
        <v>20160318</v>
      </c>
      <c r="B1846" t="str">
        <f t="shared" si="101"/>
        <v>062820</v>
      </c>
      <c r="C1846" t="str">
        <f t="shared" si="102"/>
        <v>84370</v>
      </c>
      <c r="D1846" t="s">
        <v>329</v>
      </c>
      <c r="E1846" s="3">
        <v>157.68</v>
      </c>
      <c r="F1846">
        <v>20160317</v>
      </c>
      <c r="G1846" t="s">
        <v>1032</v>
      </c>
      <c r="H1846" t="s">
        <v>1175</v>
      </c>
      <c r="I1846">
        <v>0</v>
      </c>
      <c r="J1846" t="s">
        <v>289</v>
      </c>
      <c r="K1846" t="s">
        <v>290</v>
      </c>
      <c r="L1846" t="s">
        <v>285</v>
      </c>
      <c r="M1846" t="str">
        <f t="shared" si="100"/>
        <v>03</v>
      </c>
      <c r="N1846" t="s">
        <v>12</v>
      </c>
    </row>
    <row r="1847" spans="1:14" x14ac:dyDescent="0.25">
      <c r="A1847">
        <v>20160318</v>
      </c>
      <c r="B1847" t="str">
        <f t="shared" si="101"/>
        <v>062820</v>
      </c>
      <c r="C1847" t="str">
        <f t="shared" si="102"/>
        <v>84370</v>
      </c>
      <c r="D1847" t="s">
        <v>329</v>
      </c>
      <c r="E1847" s="3">
        <v>29.46</v>
      </c>
      <c r="F1847">
        <v>20160317</v>
      </c>
      <c r="G1847" t="s">
        <v>420</v>
      </c>
      <c r="H1847" t="s">
        <v>1101</v>
      </c>
      <c r="I1847">
        <v>0</v>
      </c>
      <c r="J1847" t="s">
        <v>289</v>
      </c>
      <c r="K1847" t="s">
        <v>290</v>
      </c>
      <c r="L1847" t="s">
        <v>285</v>
      </c>
      <c r="M1847" t="str">
        <f t="shared" si="100"/>
        <v>03</v>
      </c>
      <c r="N1847" t="s">
        <v>12</v>
      </c>
    </row>
    <row r="1848" spans="1:14" x14ac:dyDescent="0.25">
      <c r="A1848">
        <v>20160318</v>
      </c>
      <c r="B1848" t="str">
        <f t="shared" si="101"/>
        <v>062820</v>
      </c>
      <c r="C1848" t="str">
        <f t="shared" si="102"/>
        <v>84370</v>
      </c>
      <c r="D1848" t="s">
        <v>329</v>
      </c>
      <c r="E1848" s="3">
        <v>32.299999999999997</v>
      </c>
      <c r="F1848">
        <v>20160317</v>
      </c>
      <c r="G1848" t="s">
        <v>420</v>
      </c>
      <c r="H1848" t="s">
        <v>1176</v>
      </c>
      <c r="I1848">
        <v>0</v>
      </c>
      <c r="J1848" t="s">
        <v>289</v>
      </c>
      <c r="K1848" t="s">
        <v>290</v>
      </c>
      <c r="L1848" t="s">
        <v>285</v>
      </c>
      <c r="M1848" t="str">
        <f t="shared" si="100"/>
        <v>03</v>
      </c>
      <c r="N1848" t="s">
        <v>12</v>
      </c>
    </row>
    <row r="1849" spans="1:14" x14ac:dyDescent="0.25">
      <c r="A1849">
        <v>20160318</v>
      </c>
      <c r="B1849" t="str">
        <f t="shared" si="101"/>
        <v>062820</v>
      </c>
      <c r="C1849" t="str">
        <f t="shared" si="102"/>
        <v>84370</v>
      </c>
      <c r="D1849" t="s">
        <v>329</v>
      </c>
      <c r="E1849" s="3">
        <v>123.25</v>
      </c>
      <c r="F1849">
        <v>20160317</v>
      </c>
      <c r="G1849" t="s">
        <v>881</v>
      </c>
      <c r="H1849" t="s">
        <v>1177</v>
      </c>
      <c r="I1849">
        <v>0</v>
      </c>
      <c r="J1849" t="s">
        <v>289</v>
      </c>
      <c r="K1849" t="s">
        <v>290</v>
      </c>
      <c r="L1849" t="s">
        <v>285</v>
      </c>
      <c r="M1849" t="str">
        <f t="shared" si="100"/>
        <v>03</v>
      </c>
      <c r="N1849" t="s">
        <v>12</v>
      </c>
    </row>
    <row r="1850" spans="1:14" x14ac:dyDescent="0.25">
      <c r="A1850">
        <v>20160318</v>
      </c>
      <c r="B1850" t="str">
        <f t="shared" si="101"/>
        <v>062820</v>
      </c>
      <c r="C1850" t="str">
        <f t="shared" si="102"/>
        <v>84370</v>
      </c>
      <c r="D1850" t="s">
        <v>329</v>
      </c>
      <c r="E1850" s="3">
        <v>100.34</v>
      </c>
      <c r="F1850">
        <v>20160317</v>
      </c>
      <c r="G1850" t="s">
        <v>881</v>
      </c>
      <c r="H1850" t="s">
        <v>1178</v>
      </c>
      <c r="I1850">
        <v>0</v>
      </c>
      <c r="J1850" t="s">
        <v>289</v>
      </c>
      <c r="K1850" t="s">
        <v>290</v>
      </c>
      <c r="L1850" t="s">
        <v>285</v>
      </c>
      <c r="M1850" t="str">
        <f t="shared" si="100"/>
        <v>03</v>
      </c>
      <c r="N1850" t="s">
        <v>12</v>
      </c>
    </row>
    <row r="1851" spans="1:14" x14ac:dyDescent="0.25">
      <c r="A1851">
        <v>20160318</v>
      </c>
      <c r="B1851" t="str">
        <f t="shared" si="101"/>
        <v>062820</v>
      </c>
      <c r="C1851" t="str">
        <f t="shared" si="102"/>
        <v>84370</v>
      </c>
      <c r="D1851" t="s">
        <v>329</v>
      </c>
      <c r="E1851" s="3">
        <v>116.8</v>
      </c>
      <c r="F1851">
        <v>20160317</v>
      </c>
      <c r="G1851" t="s">
        <v>883</v>
      </c>
      <c r="H1851" t="s">
        <v>1179</v>
      </c>
      <c r="I1851">
        <v>0</v>
      </c>
      <c r="J1851" t="s">
        <v>289</v>
      </c>
      <c r="K1851" t="s">
        <v>290</v>
      </c>
      <c r="L1851" t="s">
        <v>285</v>
      </c>
      <c r="M1851" t="str">
        <f t="shared" ref="M1851:M1914" si="103">"03"</f>
        <v>03</v>
      </c>
      <c r="N1851" t="s">
        <v>12</v>
      </c>
    </row>
    <row r="1852" spans="1:14" x14ac:dyDescent="0.25">
      <c r="A1852">
        <v>20160318</v>
      </c>
      <c r="B1852" t="str">
        <f t="shared" si="101"/>
        <v>062820</v>
      </c>
      <c r="C1852" t="str">
        <f t="shared" si="102"/>
        <v>84370</v>
      </c>
      <c r="D1852" t="s">
        <v>329</v>
      </c>
      <c r="E1852" s="3">
        <v>164.63</v>
      </c>
      <c r="F1852">
        <v>20160317</v>
      </c>
      <c r="G1852" t="s">
        <v>1026</v>
      </c>
      <c r="H1852" t="s">
        <v>1180</v>
      </c>
      <c r="I1852">
        <v>0</v>
      </c>
      <c r="J1852" t="s">
        <v>289</v>
      </c>
      <c r="K1852" t="s">
        <v>290</v>
      </c>
      <c r="L1852" t="s">
        <v>285</v>
      </c>
      <c r="M1852" t="str">
        <f t="shared" si="103"/>
        <v>03</v>
      </c>
      <c r="N1852" t="s">
        <v>12</v>
      </c>
    </row>
    <row r="1853" spans="1:14" x14ac:dyDescent="0.25">
      <c r="A1853">
        <v>20160318</v>
      </c>
      <c r="B1853" t="str">
        <f t="shared" si="101"/>
        <v>062820</v>
      </c>
      <c r="C1853" t="str">
        <f t="shared" si="102"/>
        <v>84370</v>
      </c>
      <c r="D1853" t="s">
        <v>329</v>
      </c>
      <c r="E1853" s="3">
        <v>89.74</v>
      </c>
      <c r="F1853">
        <v>20160317</v>
      </c>
      <c r="G1853" t="s">
        <v>1026</v>
      </c>
      <c r="H1853" t="s">
        <v>1181</v>
      </c>
      <c r="I1853">
        <v>0</v>
      </c>
      <c r="J1853" t="s">
        <v>289</v>
      </c>
      <c r="K1853" t="s">
        <v>290</v>
      </c>
      <c r="L1853" t="s">
        <v>285</v>
      </c>
      <c r="M1853" t="str">
        <f t="shared" si="103"/>
        <v>03</v>
      </c>
      <c r="N1853" t="s">
        <v>12</v>
      </c>
    </row>
    <row r="1854" spans="1:14" x14ac:dyDescent="0.25">
      <c r="A1854">
        <v>20160318</v>
      </c>
      <c r="B1854" t="str">
        <f t="shared" si="101"/>
        <v>062820</v>
      </c>
      <c r="C1854" t="str">
        <f t="shared" si="102"/>
        <v>84370</v>
      </c>
      <c r="D1854" t="s">
        <v>329</v>
      </c>
      <c r="E1854" s="3">
        <v>56.41</v>
      </c>
      <c r="F1854">
        <v>20160317</v>
      </c>
      <c r="G1854" t="s">
        <v>1024</v>
      </c>
      <c r="H1854" t="s">
        <v>1182</v>
      </c>
      <c r="I1854">
        <v>0</v>
      </c>
      <c r="J1854" t="s">
        <v>289</v>
      </c>
      <c r="K1854" t="s">
        <v>290</v>
      </c>
      <c r="L1854" t="s">
        <v>285</v>
      </c>
      <c r="M1854" t="str">
        <f t="shared" si="103"/>
        <v>03</v>
      </c>
      <c r="N1854" t="s">
        <v>12</v>
      </c>
    </row>
    <row r="1855" spans="1:14" x14ac:dyDescent="0.25">
      <c r="A1855">
        <v>20160318</v>
      </c>
      <c r="B1855" t="str">
        <f t="shared" si="101"/>
        <v>062820</v>
      </c>
      <c r="C1855" t="str">
        <f t="shared" si="102"/>
        <v>84370</v>
      </c>
      <c r="D1855" t="s">
        <v>329</v>
      </c>
      <c r="E1855" s="3">
        <v>83.37</v>
      </c>
      <c r="F1855">
        <v>20160317</v>
      </c>
      <c r="G1855" t="s">
        <v>1024</v>
      </c>
      <c r="H1855" t="s">
        <v>1183</v>
      </c>
      <c r="I1855">
        <v>0</v>
      </c>
      <c r="J1855" t="s">
        <v>289</v>
      </c>
      <c r="K1855" t="s">
        <v>290</v>
      </c>
      <c r="L1855" t="s">
        <v>285</v>
      </c>
      <c r="M1855" t="str">
        <f t="shared" si="103"/>
        <v>03</v>
      </c>
      <c r="N1855" t="s">
        <v>12</v>
      </c>
    </row>
    <row r="1856" spans="1:14" x14ac:dyDescent="0.25">
      <c r="A1856">
        <v>20160318</v>
      </c>
      <c r="B1856" t="str">
        <f t="shared" si="101"/>
        <v>062820</v>
      </c>
      <c r="C1856" t="str">
        <f t="shared" si="102"/>
        <v>84370</v>
      </c>
      <c r="D1856" t="s">
        <v>329</v>
      </c>
      <c r="E1856" s="3">
        <v>133.13999999999999</v>
      </c>
      <c r="F1856">
        <v>20160317</v>
      </c>
      <c r="G1856" t="s">
        <v>1184</v>
      </c>
      <c r="H1856" t="s">
        <v>1063</v>
      </c>
      <c r="I1856">
        <v>0</v>
      </c>
      <c r="J1856" t="s">
        <v>289</v>
      </c>
      <c r="K1856" t="s">
        <v>290</v>
      </c>
      <c r="L1856" t="s">
        <v>285</v>
      </c>
      <c r="M1856" t="str">
        <f t="shared" si="103"/>
        <v>03</v>
      </c>
      <c r="N1856" t="s">
        <v>12</v>
      </c>
    </row>
    <row r="1857" spans="1:14" x14ac:dyDescent="0.25">
      <c r="A1857">
        <v>20160318</v>
      </c>
      <c r="B1857" t="str">
        <f t="shared" si="101"/>
        <v>062820</v>
      </c>
      <c r="C1857" t="str">
        <f t="shared" si="102"/>
        <v>84370</v>
      </c>
      <c r="D1857" t="s">
        <v>329</v>
      </c>
      <c r="E1857" s="3">
        <v>169.75</v>
      </c>
      <c r="F1857">
        <v>20160317</v>
      </c>
      <c r="G1857" t="s">
        <v>1184</v>
      </c>
      <c r="H1857" t="s">
        <v>1089</v>
      </c>
      <c r="I1857">
        <v>0</v>
      </c>
      <c r="J1857" t="s">
        <v>289</v>
      </c>
      <c r="K1857" t="s">
        <v>290</v>
      </c>
      <c r="L1857" t="s">
        <v>285</v>
      </c>
      <c r="M1857" t="str">
        <f t="shared" si="103"/>
        <v>03</v>
      </c>
      <c r="N1857" t="s">
        <v>12</v>
      </c>
    </row>
    <row r="1858" spans="1:14" x14ac:dyDescent="0.25">
      <c r="A1858">
        <v>20160318</v>
      </c>
      <c r="B1858" t="str">
        <f t="shared" si="101"/>
        <v>062820</v>
      </c>
      <c r="C1858" t="str">
        <f t="shared" si="102"/>
        <v>84370</v>
      </c>
      <c r="D1858" t="s">
        <v>329</v>
      </c>
      <c r="E1858" s="3">
        <v>96.75</v>
      </c>
      <c r="F1858">
        <v>20160317</v>
      </c>
      <c r="G1858" t="s">
        <v>1184</v>
      </c>
      <c r="H1858" t="s">
        <v>1079</v>
      </c>
      <c r="I1858">
        <v>0</v>
      </c>
      <c r="J1858" t="s">
        <v>289</v>
      </c>
      <c r="K1858" t="s">
        <v>290</v>
      </c>
      <c r="L1858" t="s">
        <v>285</v>
      </c>
      <c r="M1858" t="str">
        <f t="shared" si="103"/>
        <v>03</v>
      </c>
      <c r="N1858" t="s">
        <v>12</v>
      </c>
    </row>
    <row r="1859" spans="1:14" x14ac:dyDescent="0.25">
      <c r="A1859">
        <v>20160318</v>
      </c>
      <c r="B1859" t="str">
        <f t="shared" si="101"/>
        <v>062820</v>
      </c>
      <c r="C1859" t="str">
        <f t="shared" si="102"/>
        <v>84370</v>
      </c>
      <c r="D1859" t="s">
        <v>329</v>
      </c>
      <c r="E1859" s="3">
        <v>204.4</v>
      </c>
      <c r="F1859">
        <v>20160317</v>
      </c>
      <c r="G1859" t="s">
        <v>1185</v>
      </c>
      <c r="H1859" t="s">
        <v>1186</v>
      </c>
      <c r="I1859">
        <v>0</v>
      </c>
      <c r="J1859" t="s">
        <v>289</v>
      </c>
      <c r="K1859" t="s">
        <v>95</v>
      </c>
      <c r="L1859" t="s">
        <v>285</v>
      </c>
      <c r="M1859" t="str">
        <f t="shared" si="103"/>
        <v>03</v>
      </c>
      <c r="N1859" t="s">
        <v>12</v>
      </c>
    </row>
    <row r="1860" spans="1:14" x14ac:dyDescent="0.25">
      <c r="A1860">
        <v>20160318</v>
      </c>
      <c r="B1860" t="str">
        <f t="shared" si="101"/>
        <v>062820</v>
      </c>
      <c r="C1860" t="str">
        <f t="shared" si="102"/>
        <v>84370</v>
      </c>
      <c r="D1860" t="s">
        <v>329</v>
      </c>
      <c r="E1860" s="3">
        <v>145.53</v>
      </c>
      <c r="F1860">
        <v>20160317</v>
      </c>
      <c r="G1860" t="s">
        <v>1142</v>
      </c>
      <c r="H1860" t="s">
        <v>1090</v>
      </c>
      <c r="I1860">
        <v>0</v>
      </c>
      <c r="J1860" t="s">
        <v>289</v>
      </c>
      <c r="K1860" t="s">
        <v>290</v>
      </c>
      <c r="L1860" t="s">
        <v>285</v>
      </c>
      <c r="M1860" t="str">
        <f t="shared" si="103"/>
        <v>03</v>
      </c>
      <c r="N1860" t="s">
        <v>12</v>
      </c>
    </row>
    <row r="1861" spans="1:14" x14ac:dyDescent="0.25">
      <c r="A1861">
        <v>20160318</v>
      </c>
      <c r="B1861" t="str">
        <f t="shared" si="101"/>
        <v>062820</v>
      </c>
      <c r="C1861" t="str">
        <f t="shared" si="102"/>
        <v>84370</v>
      </c>
      <c r="D1861" t="s">
        <v>329</v>
      </c>
      <c r="E1861" s="3">
        <v>196.33</v>
      </c>
      <c r="F1861">
        <v>20160317</v>
      </c>
      <c r="G1861" t="s">
        <v>1187</v>
      </c>
      <c r="H1861" t="s">
        <v>1188</v>
      </c>
      <c r="I1861">
        <v>0</v>
      </c>
      <c r="J1861" t="s">
        <v>289</v>
      </c>
      <c r="K1861" t="s">
        <v>95</v>
      </c>
      <c r="L1861" t="s">
        <v>285</v>
      </c>
      <c r="M1861" t="str">
        <f t="shared" si="103"/>
        <v>03</v>
      </c>
      <c r="N1861" t="s">
        <v>12</v>
      </c>
    </row>
    <row r="1862" spans="1:14" x14ac:dyDescent="0.25">
      <c r="A1862">
        <v>20160318</v>
      </c>
      <c r="B1862" t="str">
        <f t="shared" si="101"/>
        <v>062820</v>
      </c>
      <c r="C1862" t="str">
        <f t="shared" si="102"/>
        <v>84370</v>
      </c>
      <c r="D1862" t="s">
        <v>329</v>
      </c>
      <c r="E1862" s="3">
        <v>182.85</v>
      </c>
      <c r="F1862">
        <v>20160317</v>
      </c>
      <c r="G1862" t="s">
        <v>1187</v>
      </c>
      <c r="H1862" t="s">
        <v>1189</v>
      </c>
      <c r="I1862">
        <v>0</v>
      </c>
      <c r="J1862" t="s">
        <v>289</v>
      </c>
      <c r="K1862" t="s">
        <v>95</v>
      </c>
      <c r="L1862" t="s">
        <v>285</v>
      </c>
      <c r="M1862" t="str">
        <f t="shared" si="103"/>
        <v>03</v>
      </c>
      <c r="N1862" t="s">
        <v>12</v>
      </c>
    </row>
    <row r="1863" spans="1:14" x14ac:dyDescent="0.25">
      <c r="A1863">
        <v>20160324</v>
      </c>
      <c r="B1863" t="str">
        <f>"062823"</f>
        <v>062823</v>
      </c>
      <c r="C1863" t="str">
        <f>"03450"</f>
        <v>03450</v>
      </c>
      <c r="D1863" t="s">
        <v>375</v>
      </c>
      <c r="E1863" s="3">
        <v>136.5</v>
      </c>
      <c r="F1863">
        <v>20160322</v>
      </c>
      <c r="G1863" t="s">
        <v>481</v>
      </c>
      <c r="H1863" t="s">
        <v>1190</v>
      </c>
      <c r="I1863">
        <v>0</v>
      </c>
      <c r="J1863" t="s">
        <v>289</v>
      </c>
      <c r="K1863" t="s">
        <v>290</v>
      </c>
      <c r="L1863" t="s">
        <v>285</v>
      </c>
      <c r="M1863" t="str">
        <f t="shared" si="103"/>
        <v>03</v>
      </c>
      <c r="N1863" t="s">
        <v>12</v>
      </c>
    </row>
    <row r="1864" spans="1:14" x14ac:dyDescent="0.25">
      <c r="A1864">
        <v>20160324</v>
      </c>
      <c r="B1864" t="str">
        <f>"062829"</f>
        <v>062829</v>
      </c>
      <c r="C1864" t="str">
        <f>"22120"</f>
        <v>22120</v>
      </c>
      <c r="D1864" t="s">
        <v>484</v>
      </c>
      <c r="E1864" s="3">
        <v>437.96</v>
      </c>
      <c r="F1864">
        <v>20160322</v>
      </c>
      <c r="G1864" t="s">
        <v>485</v>
      </c>
      <c r="H1864" t="s">
        <v>998</v>
      </c>
      <c r="I1864">
        <v>0</v>
      </c>
      <c r="J1864" t="s">
        <v>289</v>
      </c>
      <c r="K1864" t="s">
        <v>290</v>
      </c>
      <c r="L1864" t="s">
        <v>285</v>
      </c>
      <c r="M1864" t="str">
        <f t="shared" si="103"/>
        <v>03</v>
      </c>
      <c r="N1864" t="s">
        <v>12</v>
      </c>
    </row>
    <row r="1865" spans="1:14" x14ac:dyDescent="0.25">
      <c r="A1865">
        <v>20160324</v>
      </c>
      <c r="B1865" t="str">
        <f>"062832"</f>
        <v>062832</v>
      </c>
      <c r="C1865" t="str">
        <f>"51345"</f>
        <v>51345</v>
      </c>
      <c r="D1865" t="s">
        <v>419</v>
      </c>
      <c r="E1865" s="3">
        <v>102</v>
      </c>
      <c r="F1865">
        <v>20160322</v>
      </c>
      <c r="G1865" t="s">
        <v>881</v>
      </c>
      <c r="H1865" t="s">
        <v>1191</v>
      </c>
      <c r="I1865">
        <v>0</v>
      </c>
      <c r="J1865" t="s">
        <v>289</v>
      </c>
      <c r="K1865" t="s">
        <v>290</v>
      </c>
      <c r="L1865" t="s">
        <v>285</v>
      </c>
      <c r="M1865" t="str">
        <f t="shared" si="103"/>
        <v>03</v>
      </c>
      <c r="N1865" t="s">
        <v>12</v>
      </c>
    </row>
    <row r="1866" spans="1:14" x14ac:dyDescent="0.25">
      <c r="A1866">
        <v>20160324</v>
      </c>
      <c r="B1866" t="str">
        <f>"062832"</f>
        <v>062832</v>
      </c>
      <c r="C1866" t="str">
        <f>"51345"</f>
        <v>51345</v>
      </c>
      <c r="D1866" t="s">
        <v>419</v>
      </c>
      <c r="E1866" s="3">
        <v>84</v>
      </c>
      <c r="F1866">
        <v>20160322</v>
      </c>
      <c r="G1866" t="s">
        <v>1026</v>
      </c>
      <c r="H1866" t="s">
        <v>1192</v>
      </c>
      <c r="I1866">
        <v>0</v>
      </c>
      <c r="J1866" t="s">
        <v>289</v>
      </c>
      <c r="K1866" t="s">
        <v>290</v>
      </c>
      <c r="L1866" t="s">
        <v>285</v>
      </c>
      <c r="M1866" t="str">
        <f t="shared" si="103"/>
        <v>03</v>
      </c>
      <c r="N1866" t="s">
        <v>12</v>
      </c>
    </row>
    <row r="1867" spans="1:14" x14ac:dyDescent="0.25">
      <c r="A1867">
        <v>20160324</v>
      </c>
      <c r="B1867" t="str">
        <f>"062833"</f>
        <v>062833</v>
      </c>
      <c r="C1867" t="str">
        <f>"51346"</f>
        <v>51346</v>
      </c>
      <c r="D1867" t="s">
        <v>379</v>
      </c>
      <c r="E1867" s="3">
        <v>156</v>
      </c>
      <c r="F1867">
        <v>20160322</v>
      </c>
      <c r="G1867" t="s">
        <v>940</v>
      </c>
      <c r="H1867" t="s">
        <v>1193</v>
      </c>
      <c r="I1867">
        <v>0</v>
      </c>
      <c r="J1867" t="s">
        <v>289</v>
      </c>
      <c r="K1867" t="s">
        <v>290</v>
      </c>
      <c r="L1867" t="s">
        <v>285</v>
      </c>
      <c r="M1867" t="str">
        <f t="shared" si="103"/>
        <v>03</v>
      </c>
      <c r="N1867" t="s">
        <v>12</v>
      </c>
    </row>
    <row r="1868" spans="1:14" x14ac:dyDescent="0.25">
      <c r="A1868">
        <v>20160324</v>
      </c>
      <c r="B1868" t="str">
        <f>"062833"</f>
        <v>062833</v>
      </c>
      <c r="C1868" t="str">
        <f>"51346"</f>
        <v>51346</v>
      </c>
      <c r="D1868" t="s">
        <v>379</v>
      </c>
      <c r="E1868" s="3">
        <v>120</v>
      </c>
      <c r="F1868">
        <v>20160322</v>
      </c>
      <c r="G1868" t="s">
        <v>1142</v>
      </c>
      <c r="H1868" t="s">
        <v>1080</v>
      </c>
      <c r="I1868">
        <v>0</v>
      </c>
      <c r="J1868" t="s">
        <v>289</v>
      </c>
      <c r="K1868" t="s">
        <v>290</v>
      </c>
      <c r="L1868" t="s">
        <v>285</v>
      </c>
      <c r="M1868" t="str">
        <f t="shared" si="103"/>
        <v>03</v>
      </c>
      <c r="N1868" t="s">
        <v>12</v>
      </c>
    </row>
    <row r="1869" spans="1:14" x14ac:dyDescent="0.25">
      <c r="A1869">
        <v>20160324</v>
      </c>
      <c r="B1869" t="str">
        <f>"062833"</f>
        <v>062833</v>
      </c>
      <c r="C1869" t="str">
        <f>"51346"</f>
        <v>51346</v>
      </c>
      <c r="D1869" t="s">
        <v>379</v>
      </c>
      <c r="E1869" s="3">
        <v>180</v>
      </c>
      <c r="F1869">
        <v>20160322</v>
      </c>
      <c r="G1869" t="s">
        <v>1142</v>
      </c>
      <c r="H1869" t="s">
        <v>1064</v>
      </c>
      <c r="I1869">
        <v>0</v>
      </c>
      <c r="J1869" t="s">
        <v>289</v>
      </c>
      <c r="K1869" t="s">
        <v>290</v>
      </c>
      <c r="L1869" t="s">
        <v>285</v>
      </c>
      <c r="M1869" t="str">
        <f t="shared" si="103"/>
        <v>03</v>
      </c>
      <c r="N1869" t="s">
        <v>12</v>
      </c>
    </row>
    <row r="1870" spans="1:14" x14ac:dyDescent="0.25">
      <c r="A1870">
        <v>20160324</v>
      </c>
      <c r="B1870" t="str">
        <f>"062834"</f>
        <v>062834</v>
      </c>
      <c r="C1870" t="str">
        <f>"51349"</f>
        <v>51349</v>
      </c>
      <c r="D1870" t="s">
        <v>640</v>
      </c>
      <c r="E1870" s="3">
        <v>234</v>
      </c>
      <c r="F1870">
        <v>20160322</v>
      </c>
      <c r="G1870" t="s">
        <v>646</v>
      </c>
      <c r="H1870" t="s">
        <v>1194</v>
      </c>
      <c r="I1870">
        <v>0</v>
      </c>
      <c r="J1870" t="s">
        <v>289</v>
      </c>
      <c r="K1870" t="s">
        <v>290</v>
      </c>
      <c r="L1870" t="s">
        <v>285</v>
      </c>
      <c r="M1870" t="str">
        <f t="shared" si="103"/>
        <v>03</v>
      </c>
      <c r="N1870" t="s">
        <v>12</v>
      </c>
    </row>
    <row r="1871" spans="1:14" x14ac:dyDescent="0.25">
      <c r="A1871">
        <v>20160324</v>
      </c>
      <c r="B1871" t="str">
        <f>"062834"</f>
        <v>062834</v>
      </c>
      <c r="C1871" t="str">
        <f>"51349"</f>
        <v>51349</v>
      </c>
      <c r="D1871" t="s">
        <v>640</v>
      </c>
      <c r="E1871" s="3">
        <v>108</v>
      </c>
      <c r="F1871">
        <v>20160322</v>
      </c>
      <c r="G1871" t="s">
        <v>883</v>
      </c>
      <c r="H1871" t="s">
        <v>1195</v>
      </c>
      <c r="I1871">
        <v>0</v>
      </c>
      <c r="J1871" t="s">
        <v>289</v>
      </c>
      <c r="K1871" t="s">
        <v>290</v>
      </c>
      <c r="L1871" t="s">
        <v>285</v>
      </c>
      <c r="M1871" t="str">
        <f t="shared" si="103"/>
        <v>03</v>
      </c>
      <c r="N1871" t="s">
        <v>12</v>
      </c>
    </row>
    <row r="1872" spans="1:14" x14ac:dyDescent="0.25">
      <c r="A1872">
        <v>20160324</v>
      </c>
      <c r="B1872" t="str">
        <f>"062834"</f>
        <v>062834</v>
      </c>
      <c r="C1872" t="str">
        <f>"51349"</f>
        <v>51349</v>
      </c>
      <c r="D1872" t="s">
        <v>640</v>
      </c>
      <c r="E1872" s="3">
        <v>162</v>
      </c>
      <c r="F1872">
        <v>20160322</v>
      </c>
      <c r="G1872" t="s">
        <v>1196</v>
      </c>
      <c r="H1872" t="s">
        <v>1087</v>
      </c>
      <c r="I1872">
        <v>0</v>
      </c>
      <c r="J1872" t="s">
        <v>289</v>
      </c>
      <c r="K1872" t="s">
        <v>95</v>
      </c>
      <c r="L1872" t="s">
        <v>285</v>
      </c>
      <c r="M1872" t="str">
        <f t="shared" si="103"/>
        <v>03</v>
      </c>
      <c r="N1872" t="s">
        <v>12</v>
      </c>
    </row>
    <row r="1873" spans="1:14" x14ac:dyDescent="0.25">
      <c r="A1873">
        <v>20160324</v>
      </c>
      <c r="B1873" t="str">
        <f>"062837"</f>
        <v>062837</v>
      </c>
      <c r="C1873" t="str">
        <f>"22231"</f>
        <v>22231</v>
      </c>
      <c r="D1873" t="s">
        <v>1197</v>
      </c>
      <c r="E1873" s="3">
        <v>75</v>
      </c>
      <c r="F1873">
        <v>20160322</v>
      </c>
      <c r="G1873" t="s">
        <v>1111</v>
      </c>
      <c r="H1873" t="s">
        <v>1198</v>
      </c>
      <c r="I1873">
        <v>0</v>
      </c>
      <c r="J1873" t="s">
        <v>289</v>
      </c>
      <c r="K1873" t="s">
        <v>290</v>
      </c>
      <c r="L1873" t="s">
        <v>285</v>
      </c>
      <c r="M1873" t="str">
        <f t="shared" si="103"/>
        <v>03</v>
      </c>
      <c r="N1873" t="s">
        <v>12</v>
      </c>
    </row>
    <row r="1874" spans="1:14" x14ac:dyDescent="0.25">
      <c r="A1874">
        <v>20160324</v>
      </c>
      <c r="B1874" t="str">
        <f>"062837"</f>
        <v>062837</v>
      </c>
      <c r="C1874" t="str">
        <f>"22231"</f>
        <v>22231</v>
      </c>
      <c r="D1874" t="s">
        <v>1197</v>
      </c>
      <c r="E1874" s="3">
        <v>125</v>
      </c>
      <c r="F1874">
        <v>20160322</v>
      </c>
      <c r="G1874" t="s">
        <v>1111</v>
      </c>
      <c r="H1874" t="s">
        <v>1199</v>
      </c>
      <c r="I1874">
        <v>0</v>
      </c>
      <c r="J1874" t="s">
        <v>289</v>
      </c>
      <c r="K1874" t="s">
        <v>290</v>
      </c>
      <c r="L1874" t="s">
        <v>285</v>
      </c>
      <c r="M1874" t="str">
        <f t="shared" si="103"/>
        <v>03</v>
      </c>
      <c r="N1874" t="s">
        <v>12</v>
      </c>
    </row>
    <row r="1875" spans="1:14" x14ac:dyDescent="0.25">
      <c r="A1875">
        <v>20160324</v>
      </c>
      <c r="B1875" t="str">
        <f>"062837"</f>
        <v>062837</v>
      </c>
      <c r="C1875" t="str">
        <f>"22231"</f>
        <v>22231</v>
      </c>
      <c r="D1875" t="s">
        <v>1197</v>
      </c>
      <c r="E1875" s="3">
        <v>100</v>
      </c>
      <c r="F1875">
        <v>20160322</v>
      </c>
      <c r="G1875" t="s">
        <v>1111</v>
      </c>
      <c r="H1875" t="s">
        <v>1200</v>
      </c>
      <c r="I1875">
        <v>0</v>
      </c>
      <c r="J1875" t="s">
        <v>289</v>
      </c>
      <c r="K1875" t="s">
        <v>290</v>
      </c>
      <c r="L1875" t="s">
        <v>285</v>
      </c>
      <c r="M1875" t="str">
        <f t="shared" si="103"/>
        <v>03</v>
      </c>
      <c r="N1875" t="s">
        <v>12</v>
      </c>
    </row>
    <row r="1876" spans="1:14" x14ac:dyDescent="0.25">
      <c r="A1876">
        <v>20160324</v>
      </c>
      <c r="B1876" t="str">
        <f>"062837"</f>
        <v>062837</v>
      </c>
      <c r="C1876" t="str">
        <f>"22231"</f>
        <v>22231</v>
      </c>
      <c r="D1876" t="s">
        <v>1197</v>
      </c>
      <c r="E1876" s="3">
        <v>50</v>
      </c>
      <c r="F1876">
        <v>20160322</v>
      </c>
      <c r="G1876" t="s">
        <v>1111</v>
      </c>
      <c r="H1876" t="s">
        <v>1201</v>
      </c>
      <c r="I1876">
        <v>0</v>
      </c>
      <c r="J1876" t="s">
        <v>289</v>
      </c>
      <c r="K1876" t="s">
        <v>290</v>
      </c>
      <c r="L1876" t="s">
        <v>285</v>
      </c>
      <c r="M1876" t="str">
        <f t="shared" si="103"/>
        <v>03</v>
      </c>
      <c r="N1876" t="s">
        <v>12</v>
      </c>
    </row>
    <row r="1877" spans="1:14" x14ac:dyDescent="0.25">
      <c r="A1877">
        <v>20160324</v>
      </c>
      <c r="B1877" t="str">
        <f>"062838"</f>
        <v>062838</v>
      </c>
      <c r="C1877" t="str">
        <f>"24335"</f>
        <v>24335</v>
      </c>
      <c r="D1877" t="s">
        <v>796</v>
      </c>
      <c r="E1877" s="3">
        <v>132.96</v>
      </c>
      <c r="F1877">
        <v>20160322</v>
      </c>
      <c r="G1877" t="s">
        <v>1032</v>
      </c>
      <c r="H1877" t="s">
        <v>1202</v>
      </c>
      <c r="I1877">
        <v>0</v>
      </c>
      <c r="J1877" t="s">
        <v>289</v>
      </c>
      <c r="K1877" t="s">
        <v>290</v>
      </c>
      <c r="L1877" t="s">
        <v>285</v>
      </c>
      <c r="M1877" t="str">
        <f t="shared" si="103"/>
        <v>03</v>
      </c>
      <c r="N1877" t="s">
        <v>12</v>
      </c>
    </row>
    <row r="1878" spans="1:14" x14ac:dyDescent="0.25">
      <c r="A1878">
        <v>20160324</v>
      </c>
      <c r="B1878" t="str">
        <f>"062839"</f>
        <v>062839</v>
      </c>
      <c r="C1878" t="str">
        <f>"24344"</f>
        <v>24344</v>
      </c>
      <c r="D1878" t="s">
        <v>988</v>
      </c>
      <c r="E1878" s="3">
        <v>150.66</v>
      </c>
      <c r="F1878">
        <v>20160322</v>
      </c>
      <c r="G1878" t="s">
        <v>1026</v>
      </c>
      <c r="H1878" t="s">
        <v>1203</v>
      </c>
      <c r="I1878">
        <v>0</v>
      </c>
      <c r="J1878" t="s">
        <v>289</v>
      </c>
      <c r="K1878" t="s">
        <v>290</v>
      </c>
      <c r="L1878" t="s">
        <v>285</v>
      </c>
      <c r="M1878" t="str">
        <f t="shared" si="103"/>
        <v>03</v>
      </c>
      <c r="N1878" t="s">
        <v>12</v>
      </c>
    </row>
    <row r="1879" spans="1:14" x14ac:dyDescent="0.25">
      <c r="A1879">
        <v>20160324</v>
      </c>
      <c r="B1879" t="str">
        <f t="shared" ref="B1879:B1889" si="104">"062846"</f>
        <v>062846</v>
      </c>
      <c r="C1879" t="str">
        <f t="shared" ref="C1879:C1889" si="105">"29763"</f>
        <v>29763</v>
      </c>
      <c r="D1879" t="s">
        <v>761</v>
      </c>
      <c r="E1879" s="3">
        <v>160</v>
      </c>
      <c r="F1879">
        <v>20160322</v>
      </c>
      <c r="G1879" t="s">
        <v>762</v>
      </c>
      <c r="H1879" t="s">
        <v>1204</v>
      </c>
      <c r="I1879">
        <v>0</v>
      </c>
      <c r="J1879" t="s">
        <v>289</v>
      </c>
      <c r="K1879" t="s">
        <v>290</v>
      </c>
      <c r="L1879" t="s">
        <v>285</v>
      </c>
      <c r="M1879" t="str">
        <f t="shared" si="103"/>
        <v>03</v>
      </c>
      <c r="N1879" t="s">
        <v>12</v>
      </c>
    </row>
    <row r="1880" spans="1:14" x14ac:dyDescent="0.25">
      <c r="A1880">
        <v>20160324</v>
      </c>
      <c r="B1880" t="str">
        <f t="shared" si="104"/>
        <v>062846</v>
      </c>
      <c r="C1880" t="str">
        <f t="shared" si="105"/>
        <v>29763</v>
      </c>
      <c r="D1880" t="s">
        <v>761</v>
      </c>
      <c r="E1880" s="3">
        <v>307</v>
      </c>
      <c r="F1880">
        <v>20160322</v>
      </c>
      <c r="G1880" t="s">
        <v>762</v>
      </c>
      <c r="H1880" t="s">
        <v>1205</v>
      </c>
      <c r="I1880">
        <v>0</v>
      </c>
      <c r="J1880" t="s">
        <v>289</v>
      </c>
      <c r="K1880" t="s">
        <v>290</v>
      </c>
      <c r="L1880" t="s">
        <v>285</v>
      </c>
      <c r="M1880" t="str">
        <f t="shared" si="103"/>
        <v>03</v>
      </c>
      <c r="N1880" t="s">
        <v>12</v>
      </c>
    </row>
    <row r="1881" spans="1:14" x14ac:dyDescent="0.25">
      <c r="A1881">
        <v>20160324</v>
      </c>
      <c r="B1881" t="str">
        <f t="shared" si="104"/>
        <v>062846</v>
      </c>
      <c r="C1881" t="str">
        <f t="shared" si="105"/>
        <v>29763</v>
      </c>
      <c r="D1881" t="s">
        <v>761</v>
      </c>
      <c r="E1881" s="3">
        <v>108</v>
      </c>
      <c r="F1881">
        <v>20160322</v>
      </c>
      <c r="G1881" t="s">
        <v>762</v>
      </c>
      <c r="H1881" t="s">
        <v>1206</v>
      </c>
      <c r="I1881">
        <v>0</v>
      </c>
      <c r="J1881" t="s">
        <v>289</v>
      </c>
      <c r="K1881" t="s">
        <v>290</v>
      </c>
      <c r="L1881" t="s">
        <v>285</v>
      </c>
      <c r="M1881" t="str">
        <f t="shared" si="103"/>
        <v>03</v>
      </c>
      <c r="N1881" t="s">
        <v>12</v>
      </c>
    </row>
    <row r="1882" spans="1:14" x14ac:dyDescent="0.25">
      <c r="A1882">
        <v>20160324</v>
      </c>
      <c r="B1882" t="str">
        <f t="shared" si="104"/>
        <v>062846</v>
      </c>
      <c r="C1882" t="str">
        <f t="shared" si="105"/>
        <v>29763</v>
      </c>
      <c r="D1882" t="s">
        <v>761</v>
      </c>
      <c r="E1882" s="3">
        <v>225</v>
      </c>
      <c r="F1882">
        <v>20160322</v>
      </c>
      <c r="G1882" t="s">
        <v>762</v>
      </c>
      <c r="H1882" t="s">
        <v>1206</v>
      </c>
      <c r="I1882">
        <v>0</v>
      </c>
      <c r="J1882" t="s">
        <v>289</v>
      </c>
      <c r="K1882" t="s">
        <v>290</v>
      </c>
      <c r="L1882" t="s">
        <v>285</v>
      </c>
      <c r="M1882" t="str">
        <f t="shared" si="103"/>
        <v>03</v>
      </c>
      <c r="N1882" t="s">
        <v>12</v>
      </c>
    </row>
    <row r="1883" spans="1:14" x14ac:dyDescent="0.25">
      <c r="A1883">
        <v>20160324</v>
      </c>
      <c r="B1883" t="str">
        <f t="shared" si="104"/>
        <v>062846</v>
      </c>
      <c r="C1883" t="str">
        <f t="shared" si="105"/>
        <v>29763</v>
      </c>
      <c r="D1883" t="s">
        <v>761</v>
      </c>
      <c r="E1883" s="3">
        <v>392.84</v>
      </c>
      <c r="F1883">
        <v>20160322</v>
      </c>
      <c r="G1883" t="s">
        <v>762</v>
      </c>
      <c r="H1883" t="s">
        <v>1207</v>
      </c>
      <c r="I1883">
        <v>0</v>
      </c>
      <c r="J1883" t="s">
        <v>289</v>
      </c>
      <c r="K1883" t="s">
        <v>290</v>
      </c>
      <c r="L1883" t="s">
        <v>285</v>
      </c>
      <c r="M1883" t="str">
        <f t="shared" si="103"/>
        <v>03</v>
      </c>
      <c r="N1883" t="s">
        <v>12</v>
      </c>
    </row>
    <row r="1884" spans="1:14" x14ac:dyDescent="0.25">
      <c r="A1884">
        <v>20160324</v>
      </c>
      <c r="B1884" t="str">
        <f t="shared" si="104"/>
        <v>062846</v>
      </c>
      <c r="C1884" t="str">
        <f t="shared" si="105"/>
        <v>29763</v>
      </c>
      <c r="D1884" t="s">
        <v>761</v>
      </c>
      <c r="E1884" s="3">
        <v>31.98</v>
      </c>
      <c r="F1884">
        <v>20160322</v>
      </c>
      <c r="G1884" t="s">
        <v>762</v>
      </c>
      <c r="H1884" t="s">
        <v>1208</v>
      </c>
      <c r="I1884">
        <v>0</v>
      </c>
      <c r="J1884" t="s">
        <v>289</v>
      </c>
      <c r="K1884" t="s">
        <v>290</v>
      </c>
      <c r="L1884" t="s">
        <v>285</v>
      </c>
      <c r="M1884" t="str">
        <f t="shared" si="103"/>
        <v>03</v>
      </c>
      <c r="N1884" t="s">
        <v>12</v>
      </c>
    </row>
    <row r="1885" spans="1:14" x14ac:dyDescent="0.25">
      <c r="A1885">
        <v>20160324</v>
      </c>
      <c r="B1885" t="str">
        <f t="shared" si="104"/>
        <v>062846</v>
      </c>
      <c r="C1885" t="str">
        <f t="shared" si="105"/>
        <v>29763</v>
      </c>
      <c r="D1885" t="s">
        <v>761</v>
      </c>
      <c r="E1885" s="3">
        <v>45</v>
      </c>
      <c r="F1885">
        <v>20160322</v>
      </c>
      <c r="G1885" t="s">
        <v>762</v>
      </c>
      <c r="H1885" t="s">
        <v>1209</v>
      </c>
      <c r="I1885">
        <v>0</v>
      </c>
      <c r="J1885" t="s">
        <v>289</v>
      </c>
      <c r="K1885" t="s">
        <v>290</v>
      </c>
      <c r="L1885" t="s">
        <v>285</v>
      </c>
      <c r="M1885" t="str">
        <f t="shared" si="103"/>
        <v>03</v>
      </c>
      <c r="N1885" t="s">
        <v>12</v>
      </c>
    </row>
    <row r="1886" spans="1:14" x14ac:dyDescent="0.25">
      <c r="A1886">
        <v>20160324</v>
      </c>
      <c r="B1886" t="str">
        <f t="shared" si="104"/>
        <v>062846</v>
      </c>
      <c r="C1886" t="str">
        <f t="shared" si="105"/>
        <v>29763</v>
      </c>
      <c r="D1886" t="s">
        <v>761</v>
      </c>
      <c r="E1886" s="3">
        <v>45</v>
      </c>
      <c r="F1886">
        <v>20160322</v>
      </c>
      <c r="G1886" t="s">
        <v>762</v>
      </c>
      <c r="H1886" t="s">
        <v>1210</v>
      </c>
      <c r="I1886">
        <v>0</v>
      </c>
      <c r="J1886" t="s">
        <v>289</v>
      </c>
      <c r="K1886" t="s">
        <v>290</v>
      </c>
      <c r="L1886" t="s">
        <v>285</v>
      </c>
      <c r="M1886" t="str">
        <f t="shared" si="103"/>
        <v>03</v>
      </c>
      <c r="N1886" t="s">
        <v>12</v>
      </c>
    </row>
    <row r="1887" spans="1:14" x14ac:dyDescent="0.25">
      <c r="A1887">
        <v>20160324</v>
      </c>
      <c r="B1887" t="str">
        <f t="shared" si="104"/>
        <v>062846</v>
      </c>
      <c r="C1887" t="str">
        <f t="shared" si="105"/>
        <v>29763</v>
      </c>
      <c r="D1887" t="s">
        <v>761</v>
      </c>
      <c r="E1887" s="3">
        <v>342</v>
      </c>
      <c r="F1887">
        <v>20160322</v>
      </c>
      <c r="G1887" t="s">
        <v>762</v>
      </c>
      <c r="H1887" t="s">
        <v>1211</v>
      </c>
      <c r="I1887">
        <v>0</v>
      </c>
      <c r="J1887" t="s">
        <v>289</v>
      </c>
      <c r="K1887" t="s">
        <v>290</v>
      </c>
      <c r="L1887" t="s">
        <v>285</v>
      </c>
      <c r="M1887" t="str">
        <f t="shared" si="103"/>
        <v>03</v>
      </c>
      <c r="N1887" t="s">
        <v>12</v>
      </c>
    </row>
    <row r="1888" spans="1:14" x14ac:dyDescent="0.25">
      <c r="A1888">
        <v>20160324</v>
      </c>
      <c r="B1888" t="str">
        <f t="shared" si="104"/>
        <v>062846</v>
      </c>
      <c r="C1888" t="str">
        <f t="shared" si="105"/>
        <v>29763</v>
      </c>
      <c r="D1888" t="s">
        <v>761</v>
      </c>
      <c r="E1888" s="3">
        <v>229.86</v>
      </c>
      <c r="F1888">
        <v>20160322</v>
      </c>
      <c r="G1888" t="s">
        <v>762</v>
      </c>
      <c r="H1888" t="s">
        <v>1212</v>
      </c>
      <c r="I1888">
        <v>0</v>
      </c>
      <c r="J1888" t="s">
        <v>289</v>
      </c>
      <c r="K1888" t="s">
        <v>290</v>
      </c>
      <c r="L1888" t="s">
        <v>285</v>
      </c>
      <c r="M1888" t="str">
        <f t="shared" si="103"/>
        <v>03</v>
      </c>
      <c r="N1888" t="s">
        <v>12</v>
      </c>
    </row>
    <row r="1889" spans="1:14" x14ac:dyDescent="0.25">
      <c r="A1889">
        <v>20160324</v>
      </c>
      <c r="B1889" t="str">
        <f t="shared" si="104"/>
        <v>062846</v>
      </c>
      <c r="C1889" t="str">
        <f t="shared" si="105"/>
        <v>29763</v>
      </c>
      <c r="D1889" t="s">
        <v>761</v>
      </c>
      <c r="E1889" s="3">
        <v>288.83</v>
      </c>
      <c r="F1889">
        <v>20160322</v>
      </c>
      <c r="G1889" t="s">
        <v>762</v>
      </c>
      <c r="H1889" t="s">
        <v>1213</v>
      </c>
      <c r="I1889">
        <v>0</v>
      </c>
      <c r="J1889" t="s">
        <v>289</v>
      </c>
      <c r="K1889" t="s">
        <v>290</v>
      </c>
      <c r="L1889" t="s">
        <v>285</v>
      </c>
      <c r="M1889" t="str">
        <f t="shared" si="103"/>
        <v>03</v>
      </c>
      <c r="N1889" t="s">
        <v>12</v>
      </c>
    </row>
    <row r="1890" spans="1:14" x14ac:dyDescent="0.25">
      <c r="A1890">
        <v>20160324</v>
      </c>
      <c r="B1890" t="str">
        <f>"062847"</f>
        <v>062847</v>
      </c>
      <c r="C1890" t="str">
        <f>"30155"</f>
        <v>30155</v>
      </c>
      <c r="D1890" t="s">
        <v>944</v>
      </c>
      <c r="E1890" s="3">
        <v>250</v>
      </c>
      <c r="F1890">
        <v>20160322</v>
      </c>
      <c r="G1890" t="s">
        <v>712</v>
      </c>
      <c r="H1890" t="s">
        <v>1214</v>
      </c>
      <c r="I1890">
        <v>0</v>
      </c>
      <c r="J1890" t="s">
        <v>289</v>
      </c>
      <c r="K1890" t="s">
        <v>95</v>
      </c>
      <c r="L1890" t="s">
        <v>285</v>
      </c>
      <c r="M1890" t="str">
        <f t="shared" si="103"/>
        <v>03</v>
      </c>
      <c r="N1890" t="s">
        <v>12</v>
      </c>
    </row>
    <row r="1891" spans="1:14" x14ac:dyDescent="0.25">
      <c r="A1891">
        <v>20160324</v>
      </c>
      <c r="B1891" t="str">
        <f>"062850"</f>
        <v>062850</v>
      </c>
      <c r="C1891" t="str">
        <f>"33735"</f>
        <v>33735</v>
      </c>
      <c r="D1891" t="s">
        <v>1215</v>
      </c>
      <c r="E1891" s="3">
        <v>33.36</v>
      </c>
      <c r="F1891">
        <v>20160322</v>
      </c>
      <c r="G1891" t="s">
        <v>420</v>
      </c>
      <c r="H1891" t="s">
        <v>1216</v>
      </c>
      <c r="I1891">
        <v>0</v>
      </c>
      <c r="J1891" t="s">
        <v>289</v>
      </c>
      <c r="K1891" t="s">
        <v>290</v>
      </c>
      <c r="L1891" t="s">
        <v>285</v>
      </c>
      <c r="M1891" t="str">
        <f t="shared" si="103"/>
        <v>03</v>
      </c>
      <c r="N1891" t="s">
        <v>12</v>
      </c>
    </row>
    <row r="1892" spans="1:14" x14ac:dyDescent="0.25">
      <c r="A1892">
        <v>20160324</v>
      </c>
      <c r="B1892" t="str">
        <f>"062857"</f>
        <v>062857</v>
      </c>
      <c r="C1892" t="str">
        <f>"37513"</f>
        <v>37513</v>
      </c>
      <c r="D1892" t="s">
        <v>663</v>
      </c>
      <c r="E1892" s="3">
        <v>154</v>
      </c>
      <c r="F1892">
        <v>20160323</v>
      </c>
      <c r="G1892" t="s">
        <v>936</v>
      </c>
      <c r="H1892" t="s">
        <v>624</v>
      </c>
      <c r="I1892">
        <v>0</v>
      </c>
      <c r="J1892" t="s">
        <v>289</v>
      </c>
      <c r="K1892" t="s">
        <v>95</v>
      </c>
      <c r="L1892" t="s">
        <v>285</v>
      </c>
      <c r="M1892" t="str">
        <f t="shared" si="103"/>
        <v>03</v>
      </c>
      <c r="N1892" t="s">
        <v>12</v>
      </c>
    </row>
    <row r="1893" spans="1:14" x14ac:dyDescent="0.25">
      <c r="A1893">
        <v>20160324</v>
      </c>
      <c r="B1893" t="str">
        <f>"062861"</f>
        <v>062861</v>
      </c>
      <c r="C1893" t="str">
        <f>"45093"</f>
        <v>45093</v>
      </c>
      <c r="D1893" t="s">
        <v>538</v>
      </c>
      <c r="E1893" s="3">
        <v>210.88</v>
      </c>
      <c r="F1893">
        <v>20160323</v>
      </c>
      <c r="G1893" t="s">
        <v>881</v>
      </c>
      <c r="H1893" t="s">
        <v>1217</v>
      </c>
      <c r="I1893">
        <v>0</v>
      </c>
      <c r="J1893" t="s">
        <v>289</v>
      </c>
      <c r="K1893" t="s">
        <v>290</v>
      </c>
      <c r="L1893" t="s">
        <v>285</v>
      </c>
      <c r="M1893" t="str">
        <f t="shared" si="103"/>
        <v>03</v>
      </c>
      <c r="N1893" t="s">
        <v>12</v>
      </c>
    </row>
    <row r="1894" spans="1:14" x14ac:dyDescent="0.25">
      <c r="A1894">
        <v>20160324</v>
      </c>
      <c r="B1894" t="str">
        <f>"062861"</f>
        <v>062861</v>
      </c>
      <c r="C1894" t="str">
        <f>"45093"</f>
        <v>45093</v>
      </c>
      <c r="D1894" t="s">
        <v>538</v>
      </c>
      <c r="E1894" s="3">
        <v>162.16</v>
      </c>
      <c r="F1894">
        <v>20160323</v>
      </c>
      <c r="G1894" t="s">
        <v>881</v>
      </c>
      <c r="H1894" t="s">
        <v>1218</v>
      </c>
      <c r="I1894">
        <v>0</v>
      </c>
      <c r="J1894" t="s">
        <v>289</v>
      </c>
      <c r="K1894" t="s">
        <v>290</v>
      </c>
      <c r="L1894" t="s">
        <v>285</v>
      </c>
      <c r="M1894" t="str">
        <f t="shared" si="103"/>
        <v>03</v>
      </c>
      <c r="N1894" t="s">
        <v>12</v>
      </c>
    </row>
    <row r="1895" spans="1:14" x14ac:dyDescent="0.25">
      <c r="A1895">
        <v>20160324</v>
      </c>
      <c r="B1895" t="str">
        <f>"062861"</f>
        <v>062861</v>
      </c>
      <c r="C1895" t="str">
        <f>"45093"</f>
        <v>45093</v>
      </c>
      <c r="D1895" t="s">
        <v>538</v>
      </c>
      <c r="E1895" s="3">
        <v>57.29</v>
      </c>
      <c r="F1895">
        <v>20160323</v>
      </c>
      <c r="G1895" t="s">
        <v>1024</v>
      </c>
      <c r="H1895" t="s">
        <v>945</v>
      </c>
      <c r="I1895">
        <v>0</v>
      </c>
      <c r="J1895" t="s">
        <v>289</v>
      </c>
      <c r="K1895" t="s">
        <v>290</v>
      </c>
      <c r="L1895" t="s">
        <v>285</v>
      </c>
      <c r="M1895" t="str">
        <f t="shared" si="103"/>
        <v>03</v>
      </c>
      <c r="N1895" t="s">
        <v>12</v>
      </c>
    </row>
    <row r="1896" spans="1:14" x14ac:dyDescent="0.25">
      <c r="A1896">
        <v>20160324</v>
      </c>
      <c r="B1896" t="str">
        <f>"062861"</f>
        <v>062861</v>
      </c>
      <c r="C1896" t="str">
        <f>"45093"</f>
        <v>45093</v>
      </c>
      <c r="D1896" t="s">
        <v>538</v>
      </c>
      <c r="E1896" s="3">
        <v>107.8</v>
      </c>
      <c r="F1896">
        <v>20160323</v>
      </c>
      <c r="G1896" t="s">
        <v>1024</v>
      </c>
      <c r="H1896" t="s">
        <v>1219</v>
      </c>
      <c r="I1896">
        <v>0</v>
      </c>
      <c r="J1896" t="s">
        <v>289</v>
      </c>
      <c r="K1896" t="s">
        <v>290</v>
      </c>
      <c r="L1896" t="s">
        <v>285</v>
      </c>
      <c r="M1896" t="str">
        <f t="shared" si="103"/>
        <v>03</v>
      </c>
      <c r="N1896" t="s">
        <v>12</v>
      </c>
    </row>
    <row r="1897" spans="1:14" x14ac:dyDescent="0.25">
      <c r="A1897">
        <v>20160324</v>
      </c>
      <c r="B1897" t="str">
        <f>"062861"</f>
        <v>062861</v>
      </c>
      <c r="C1897" t="str">
        <f>"45093"</f>
        <v>45093</v>
      </c>
      <c r="D1897" t="s">
        <v>538</v>
      </c>
      <c r="E1897" s="3">
        <v>111.57</v>
      </c>
      <c r="F1897">
        <v>20160323</v>
      </c>
      <c r="G1897" t="s">
        <v>1024</v>
      </c>
      <c r="H1897" t="s">
        <v>1220</v>
      </c>
      <c r="I1897">
        <v>0</v>
      </c>
      <c r="J1897" t="s">
        <v>289</v>
      </c>
      <c r="K1897" t="s">
        <v>290</v>
      </c>
      <c r="L1897" t="s">
        <v>285</v>
      </c>
      <c r="M1897" t="str">
        <f t="shared" si="103"/>
        <v>03</v>
      </c>
      <c r="N1897" t="s">
        <v>12</v>
      </c>
    </row>
    <row r="1898" spans="1:14" x14ac:dyDescent="0.25">
      <c r="A1898">
        <v>20160324</v>
      </c>
      <c r="B1898" t="str">
        <f>"062870"</f>
        <v>062870</v>
      </c>
      <c r="C1898" t="str">
        <f>"57322"</f>
        <v>57322</v>
      </c>
      <c r="D1898" t="s">
        <v>957</v>
      </c>
      <c r="E1898" s="3">
        <v>44.38</v>
      </c>
      <c r="F1898">
        <v>20160323</v>
      </c>
      <c r="G1898" t="s">
        <v>847</v>
      </c>
      <c r="H1898" t="s">
        <v>1101</v>
      </c>
      <c r="I1898">
        <v>0</v>
      </c>
      <c r="J1898" t="s">
        <v>289</v>
      </c>
      <c r="K1898" t="s">
        <v>290</v>
      </c>
      <c r="L1898" t="s">
        <v>285</v>
      </c>
      <c r="M1898" t="str">
        <f t="shared" si="103"/>
        <v>03</v>
      </c>
      <c r="N1898" t="s">
        <v>12</v>
      </c>
    </row>
    <row r="1899" spans="1:14" x14ac:dyDescent="0.25">
      <c r="A1899">
        <v>20160324</v>
      </c>
      <c r="B1899" t="str">
        <f>"062876"</f>
        <v>062876</v>
      </c>
      <c r="C1899" t="str">
        <f>"63974"</f>
        <v>63974</v>
      </c>
      <c r="D1899" t="s">
        <v>1058</v>
      </c>
      <c r="E1899" s="3">
        <v>450</v>
      </c>
      <c r="F1899">
        <v>20160323</v>
      </c>
      <c r="G1899" t="s">
        <v>599</v>
      </c>
      <c r="H1899" t="s">
        <v>1221</v>
      </c>
      <c r="I1899">
        <v>0</v>
      </c>
      <c r="J1899" t="s">
        <v>289</v>
      </c>
      <c r="K1899" t="s">
        <v>290</v>
      </c>
      <c r="L1899" t="s">
        <v>285</v>
      </c>
      <c r="M1899" t="str">
        <f t="shared" si="103"/>
        <v>03</v>
      </c>
      <c r="N1899" t="s">
        <v>12</v>
      </c>
    </row>
    <row r="1900" spans="1:14" x14ac:dyDescent="0.25">
      <c r="A1900">
        <v>20160324</v>
      </c>
      <c r="B1900" t="str">
        <f>"062883"</f>
        <v>062883</v>
      </c>
      <c r="C1900" t="str">
        <f>"78311"</f>
        <v>78311</v>
      </c>
      <c r="D1900" t="s">
        <v>458</v>
      </c>
      <c r="E1900" s="3">
        <v>13.31</v>
      </c>
      <c r="F1900">
        <v>20160323</v>
      </c>
      <c r="G1900" t="s">
        <v>310</v>
      </c>
      <c r="H1900" t="s">
        <v>1222</v>
      </c>
      <c r="I1900">
        <v>0</v>
      </c>
      <c r="J1900" t="s">
        <v>289</v>
      </c>
      <c r="K1900" t="s">
        <v>290</v>
      </c>
      <c r="L1900" t="s">
        <v>285</v>
      </c>
      <c r="M1900" t="str">
        <f t="shared" si="103"/>
        <v>03</v>
      </c>
      <c r="N1900" t="s">
        <v>12</v>
      </c>
    </row>
    <row r="1901" spans="1:14" x14ac:dyDescent="0.25">
      <c r="A1901">
        <v>20160324</v>
      </c>
      <c r="B1901" t="str">
        <f>"062883"</f>
        <v>062883</v>
      </c>
      <c r="C1901" t="str">
        <f>"78311"</f>
        <v>78311</v>
      </c>
      <c r="D1901" t="s">
        <v>458</v>
      </c>
      <c r="E1901" s="3">
        <v>19.440000000000001</v>
      </c>
      <c r="F1901">
        <v>20160323</v>
      </c>
      <c r="G1901" t="s">
        <v>599</v>
      </c>
      <c r="H1901" t="s">
        <v>1029</v>
      </c>
      <c r="I1901">
        <v>0</v>
      </c>
      <c r="J1901" t="s">
        <v>289</v>
      </c>
      <c r="K1901" t="s">
        <v>290</v>
      </c>
      <c r="L1901" t="s">
        <v>285</v>
      </c>
      <c r="M1901" t="str">
        <f t="shared" si="103"/>
        <v>03</v>
      </c>
      <c r="N1901" t="s">
        <v>12</v>
      </c>
    </row>
    <row r="1902" spans="1:14" x14ac:dyDescent="0.25">
      <c r="A1902">
        <v>20160324</v>
      </c>
      <c r="B1902" t="str">
        <f>"062883"</f>
        <v>062883</v>
      </c>
      <c r="C1902" t="str">
        <f>"78311"</f>
        <v>78311</v>
      </c>
      <c r="D1902" t="s">
        <v>458</v>
      </c>
      <c r="E1902" s="3">
        <v>13.36</v>
      </c>
      <c r="F1902">
        <v>20160323</v>
      </c>
      <c r="G1902" t="s">
        <v>599</v>
      </c>
      <c r="H1902" t="s">
        <v>1029</v>
      </c>
      <c r="I1902">
        <v>0</v>
      </c>
      <c r="J1902" t="s">
        <v>289</v>
      </c>
      <c r="K1902" t="s">
        <v>290</v>
      </c>
      <c r="L1902" t="s">
        <v>285</v>
      </c>
      <c r="M1902" t="str">
        <f t="shared" si="103"/>
        <v>03</v>
      </c>
      <c r="N1902" t="s">
        <v>12</v>
      </c>
    </row>
    <row r="1903" spans="1:14" x14ac:dyDescent="0.25">
      <c r="A1903">
        <v>20160324</v>
      </c>
      <c r="B1903" t="str">
        <f>"062883"</f>
        <v>062883</v>
      </c>
      <c r="C1903" t="str">
        <f>"78311"</f>
        <v>78311</v>
      </c>
      <c r="D1903" t="s">
        <v>458</v>
      </c>
      <c r="E1903" s="3">
        <v>29.89</v>
      </c>
      <c r="F1903">
        <v>20160323</v>
      </c>
      <c r="G1903" t="s">
        <v>599</v>
      </c>
      <c r="H1903" t="s">
        <v>1085</v>
      </c>
      <c r="I1903">
        <v>0</v>
      </c>
      <c r="J1903" t="s">
        <v>289</v>
      </c>
      <c r="K1903" t="s">
        <v>290</v>
      </c>
      <c r="L1903" t="s">
        <v>285</v>
      </c>
      <c r="M1903" t="str">
        <f t="shared" si="103"/>
        <v>03</v>
      </c>
      <c r="N1903" t="s">
        <v>12</v>
      </c>
    </row>
    <row r="1904" spans="1:14" x14ac:dyDescent="0.25">
      <c r="A1904">
        <v>20160324</v>
      </c>
      <c r="B1904" t="str">
        <f>"062884"</f>
        <v>062884</v>
      </c>
      <c r="C1904" t="str">
        <f>"78432"</f>
        <v>78432</v>
      </c>
      <c r="D1904" t="s">
        <v>721</v>
      </c>
      <c r="E1904" s="3">
        <v>60</v>
      </c>
      <c r="F1904">
        <v>20160323</v>
      </c>
      <c r="G1904" t="s">
        <v>599</v>
      </c>
      <c r="H1904" t="s">
        <v>1221</v>
      </c>
      <c r="I1904">
        <v>0</v>
      </c>
      <c r="J1904" t="s">
        <v>289</v>
      </c>
      <c r="K1904" t="s">
        <v>290</v>
      </c>
      <c r="L1904" t="s">
        <v>285</v>
      </c>
      <c r="M1904" t="str">
        <f t="shared" si="103"/>
        <v>03</v>
      </c>
      <c r="N1904" t="s">
        <v>12</v>
      </c>
    </row>
    <row r="1905" spans="1:14" x14ac:dyDescent="0.25">
      <c r="A1905">
        <v>20160324</v>
      </c>
      <c r="B1905" t="str">
        <f>"062887"</f>
        <v>062887</v>
      </c>
      <c r="C1905" t="str">
        <f>"83022"</f>
        <v>83022</v>
      </c>
      <c r="D1905" t="s">
        <v>394</v>
      </c>
      <c r="E1905" s="3">
        <v>127.6</v>
      </c>
      <c r="F1905">
        <v>20160323</v>
      </c>
      <c r="G1905" t="s">
        <v>507</v>
      </c>
      <c r="H1905" t="s">
        <v>1223</v>
      </c>
      <c r="I1905">
        <v>0</v>
      </c>
      <c r="J1905" t="s">
        <v>289</v>
      </c>
      <c r="K1905" t="s">
        <v>290</v>
      </c>
      <c r="L1905" t="s">
        <v>285</v>
      </c>
      <c r="M1905" t="str">
        <f t="shared" si="103"/>
        <v>03</v>
      </c>
      <c r="N1905" t="s">
        <v>12</v>
      </c>
    </row>
    <row r="1906" spans="1:14" x14ac:dyDescent="0.25">
      <c r="A1906">
        <v>20160324</v>
      </c>
      <c r="B1906" t="str">
        <f>"062888"</f>
        <v>062888</v>
      </c>
      <c r="C1906" t="str">
        <f>"84396"</f>
        <v>84396</v>
      </c>
      <c r="D1906" t="s">
        <v>1224</v>
      </c>
      <c r="E1906" s="3">
        <v>451.5</v>
      </c>
      <c r="F1906">
        <v>20160323</v>
      </c>
      <c r="G1906" t="s">
        <v>599</v>
      </c>
      <c r="H1906" t="s">
        <v>1221</v>
      </c>
      <c r="I1906">
        <v>0</v>
      </c>
      <c r="J1906" t="s">
        <v>289</v>
      </c>
      <c r="K1906" t="s">
        <v>290</v>
      </c>
      <c r="L1906" t="s">
        <v>285</v>
      </c>
      <c r="M1906" t="str">
        <f t="shared" si="103"/>
        <v>03</v>
      </c>
      <c r="N1906" t="s">
        <v>12</v>
      </c>
    </row>
    <row r="1907" spans="1:14" x14ac:dyDescent="0.25">
      <c r="A1907">
        <v>20160331</v>
      </c>
      <c r="B1907" t="str">
        <f>"062911"</f>
        <v>062911</v>
      </c>
      <c r="C1907" t="str">
        <f>"09170"</f>
        <v>09170</v>
      </c>
      <c r="D1907" t="s">
        <v>596</v>
      </c>
      <c r="E1907" s="3">
        <v>353.66</v>
      </c>
      <c r="F1907">
        <v>20160329</v>
      </c>
      <c r="G1907" t="s">
        <v>310</v>
      </c>
      <c r="H1907" t="s">
        <v>1029</v>
      </c>
      <c r="I1907">
        <v>0</v>
      </c>
      <c r="J1907" t="s">
        <v>289</v>
      </c>
      <c r="K1907" t="s">
        <v>290</v>
      </c>
      <c r="L1907" t="s">
        <v>285</v>
      </c>
      <c r="M1907" t="str">
        <f t="shared" si="103"/>
        <v>03</v>
      </c>
      <c r="N1907" t="s">
        <v>12</v>
      </c>
    </row>
    <row r="1908" spans="1:14" x14ac:dyDescent="0.25">
      <c r="A1908">
        <v>20160331</v>
      </c>
      <c r="B1908" t="str">
        <f>"062916"</f>
        <v>062916</v>
      </c>
      <c r="C1908" t="str">
        <f>"10044"</f>
        <v>10044</v>
      </c>
      <c r="D1908" t="s">
        <v>1068</v>
      </c>
      <c r="E1908" s="3">
        <v>75</v>
      </c>
      <c r="F1908">
        <v>20160329</v>
      </c>
      <c r="G1908" t="s">
        <v>1069</v>
      </c>
      <c r="H1908" t="s">
        <v>1225</v>
      </c>
      <c r="I1908">
        <v>0</v>
      </c>
      <c r="J1908" t="s">
        <v>289</v>
      </c>
      <c r="K1908" t="s">
        <v>290</v>
      </c>
      <c r="L1908" t="s">
        <v>285</v>
      </c>
      <c r="M1908" t="str">
        <f t="shared" si="103"/>
        <v>03</v>
      </c>
      <c r="N1908" t="s">
        <v>12</v>
      </c>
    </row>
    <row r="1909" spans="1:14" x14ac:dyDescent="0.25">
      <c r="A1909">
        <v>20160331</v>
      </c>
      <c r="B1909" t="str">
        <f>"062918"</f>
        <v>062918</v>
      </c>
      <c r="C1909" t="str">
        <f>"12023"</f>
        <v>12023</v>
      </c>
      <c r="D1909" t="s">
        <v>1226</v>
      </c>
      <c r="E1909" s="3">
        <v>50</v>
      </c>
      <c r="F1909">
        <v>20160329</v>
      </c>
      <c r="G1909" t="s">
        <v>948</v>
      </c>
      <c r="H1909" t="s">
        <v>1227</v>
      </c>
      <c r="I1909">
        <v>0</v>
      </c>
      <c r="J1909" t="s">
        <v>289</v>
      </c>
      <c r="K1909" t="s">
        <v>290</v>
      </c>
      <c r="L1909" t="s">
        <v>285</v>
      </c>
      <c r="M1909" t="str">
        <f t="shared" si="103"/>
        <v>03</v>
      </c>
      <c r="N1909" t="s">
        <v>12</v>
      </c>
    </row>
    <row r="1910" spans="1:14" x14ac:dyDescent="0.25">
      <c r="A1910">
        <v>20160331</v>
      </c>
      <c r="B1910" t="str">
        <f>"062918"</f>
        <v>062918</v>
      </c>
      <c r="C1910" t="str">
        <f>"12023"</f>
        <v>12023</v>
      </c>
      <c r="D1910" t="s">
        <v>1226</v>
      </c>
      <c r="E1910" s="3">
        <v>50</v>
      </c>
      <c r="F1910">
        <v>20160329</v>
      </c>
      <c r="G1910" t="s">
        <v>934</v>
      </c>
      <c r="H1910" t="s">
        <v>1228</v>
      </c>
      <c r="I1910">
        <v>0</v>
      </c>
      <c r="J1910" t="s">
        <v>289</v>
      </c>
      <c r="K1910" t="s">
        <v>290</v>
      </c>
      <c r="L1910" t="s">
        <v>285</v>
      </c>
      <c r="M1910" t="str">
        <f t="shared" si="103"/>
        <v>03</v>
      </c>
      <c r="N1910" t="s">
        <v>12</v>
      </c>
    </row>
    <row r="1911" spans="1:14" x14ac:dyDescent="0.25">
      <c r="A1911">
        <v>20160331</v>
      </c>
      <c r="B1911" t="str">
        <f>"062919"</f>
        <v>062919</v>
      </c>
      <c r="C1911" t="str">
        <f>"12993"</f>
        <v>12993</v>
      </c>
      <c r="D1911" t="s">
        <v>1229</v>
      </c>
      <c r="E1911" s="3">
        <v>115</v>
      </c>
      <c r="F1911">
        <v>20160329</v>
      </c>
      <c r="G1911" t="s">
        <v>1111</v>
      </c>
      <c r="H1911" t="s">
        <v>1230</v>
      </c>
      <c r="I1911">
        <v>0</v>
      </c>
      <c r="J1911" t="s">
        <v>289</v>
      </c>
      <c r="K1911" t="s">
        <v>290</v>
      </c>
      <c r="L1911" t="s">
        <v>285</v>
      </c>
      <c r="M1911" t="str">
        <f t="shared" si="103"/>
        <v>03</v>
      </c>
      <c r="N1911" t="s">
        <v>12</v>
      </c>
    </row>
    <row r="1912" spans="1:14" x14ac:dyDescent="0.25">
      <c r="A1912">
        <v>20160331</v>
      </c>
      <c r="B1912" t="str">
        <f>"062920"</f>
        <v>062920</v>
      </c>
      <c r="C1912" t="str">
        <f>"13259"</f>
        <v>13259</v>
      </c>
      <c r="D1912" t="s">
        <v>972</v>
      </c>
      <c r="E1912" s="3">
        <v>50</v>
      </c>
      <c r="F1912">
        <v>20160329</v>
      </c>
      <c r="G1912" t="s">
        <v>948</v>
      </c>
      <c r="H1912" t="s">
        <v>1231</v>
      </c>
      <c r="I1912">
        <v>0</v>
      </c>
      <c r="J1912" t="s">
        <v>289</v>
      </c>
      <c r="K1912" t="s">
        <v>290</v>
      </c>
      <c r="L1912" t="s">
        <v>285</v>
      </c>
      <c r="M1912" t="str">
        <f t="shared" si="103"/>
        <v>03</v>
      </c>
      <c r="N1912" t="s">
        <v>12</v>
      </c>
    </row>
    <row r="1913" spans="1:14" x14ac:dyDescent="0.25">
      <c r="A1913">
        <v>20160331</v>
      </c>
      <c r="B1913" t="str">
        <f>"062920"</f>
        <v>062920</v>
      </c>
      <c r="C1913" t="str">
        <f>"13259"</f>
        <v>13259</v>
      </c>
      <c r="D1913" t="s">
        <v>972</v>
      </c>
      <c r="E1913" s="3">
        <v>50</v>
      </c>
      <c r="F1913">
        <v>20160329</v>
      </c>
      <c r="G1913" t="s">
        <v>934</v>
      </c>
      <c r="H1913" t="s">
        <v>1232</v>
      </c>
      <c r="I1913">
        <v>0</v>
      </c>
      <c r="J1913" t="s">
        <v>289</v>
      </c>
      <c r="K1913" t="s">
        <v>290</v>
      </c>
      <c r="L1913" t="s">
        <v>285</v>
      </c>
      <c r="M1913" t="str">
        <f t="shared" si="103"/>
        <v>03</v>
      </c>
      <c r="N1913" t="s">
        <v>12</v>
      </c>
    </row>
    <row r="1914" spans="1:14" x14ac:dyDescent="0.25">
      <c r="A1914">
        <v>20160331</v>
      </c>
      <c r="B1914" t="str">
        <f>"062922"</f>
        <v>062922</v>
      </c>
      <c r="C1914" t="str">
        <f>"19079"</f>
        <v>19079</v>
      </c>
      <c r="D1914" t="s">
        <v>341</v>
      </c>
      <c r="E1914" s="3">
        <v>96</v>
      </c>
      <c r="F1914">
        <v>20160329</v>
      </c>
      <c r="G1914" t="s">
        <v>1111</v>
      </c>
      <c r="H1914" t="s">
        <v>1233</v>
      </c>
      <c r="I1914">
        <v>0</v>
      </c>
      <c r="J1914" t="s">
        <v>289</v>
      </c>
      <c r="K1914" t="s">
        <v>290</v>
      </c>
      <c r="L1914" t="s">
        <v>285</v>
      </c>
      <c r="M1914" t="str">
        <f t="shared" si="103"/>
        <v>03</v>
      </c>
      <c r="N1914" t="s">
        <v>12</v>
      </c>
    </row>
    <row r="1915" spans="1:14" x14ac:dyDescent="0.25">
      <c r="A1915">
        <v>20160331</v>
      </c>
      <c r="B1915" t="str">
        <f>"062923"</f>
        <v>062923</v>
      </c>
      <c r="C1915" t="str">
        <f>"21840"</f>
        <v>21840</v>
      </c>
      <c r="D1915" t="s">
        <v>1234</v>
      </c>
      <c r="E1915" s="3">
        <v>300</v>
      </c>
      <c r="F1915">
        <v>20160329</v>
      </c>
      <c r="G1915" t="s">
        <v>1069</v>
      </c>
      <c r="H1915" t="s">
        <v>1235</v>
      </c>
      <c r="I1915">
        <v>0</v>
      </c>
      <c r="J1915" t="s">
        <v>289</v>
      </c>
      <c r="K1915" t="s">
        <v>290</v>
      </c>
      <c r="L1915" t="s">
        <v>285</v>
      </c>
      <c r="M1915" t="str">
        <f t="shared" ref="M1915:M1958" si="106">"03"</f>
        <v>03</v>
      </c>
      <c r="N1915" t="s">
        <v>12</v>
      </c>
    </row>
    <row r="1916" spans="1:14" x14ac:dyDescent="0.25">
      <c r="A1916">
        <v>20160331</v>
      </c>
      <c r="B1916" t="str">
        <f>"062925"</f>
        <v>062925</v>
      </c>
      <c r="C1916" t="str">
        <f>"20433"</f>
        <v>20433</v>
      </c>
      <c r="D1916" t="s">
        <v>413</v>
      </c>
      <c r="E1916" s="3">
        <v>25</v>
      </c>
      <c r="F1916">
        <v>20160329</v>
      </c>
      <c r="G1916" t="s">
        <v>1111</v>
      </c>
      <c r="H1916" t="s">
        <v>1233</v>
      </c>
      <c r="I1916">
        <v>0</v>
      </c>
      <c r="J1916" t="s">
        <v>289</v>
      </c>
      <c r="K1916" t="s">
        <v>290</v>
      </c>
      <c r="L1916" t="s">
        <v>285</v>
      </c>
      <c r="M1916" t="str">
        <f t="shared" si="106"/>
        <v>03</v>
      </c>
      <c r="N1916" t="s">
        <v>12</v>
      </c>
    </row>
    <row r="1917" spans="1:14" x14ac:dyDescent="0.25">
      <c r="A1917">
        <v>20160331</v>
      </c>
      <c r="B1917" t="str">
        <f>"062925"</f>
        <v>062925</v>
      </c>
      <c r="C1917" t="str">
        <f>"20433"</f>
        <v>20433</v>
      </c>
      <c r="D1917" t="s">
        <v>413</v>
      </c>
      <c r="E1917" s="3">
        <v>25</v>
      </c>
      <c r="F1917">
        <v>20160329</v>
      </c>
      <c r="G1917" t="s">
        <v>1111</v>
      </c>
      <c r="H1917" t="s">
        <v>1230</v>
      </c>
      <c r="I1917">
        <v>0</v>
      </c>
      <c r="J1917" t="s">
        <v>289</v>
      </c>
      <c r="K1917" t="s">
        <v>290</v>
      </c>
      <c r="L1917" t="s">
        <v>285</v>
      </c>
      <c r="M1917" t="str">
        <f t="shared" si="106"/>
        <v>03</v>
      </c>
      <c r="N1917" t="s">
        <v>12</v>
      </c>
    </row>
    <row r="1918" spans="1:14" x14ac:dyDescent="0.25">
      <c r="A1918">
        <v>20160331</v>
      </c>
      <c r="B1918" t="str">
        <f>"062925"</f>
        <v>062925</v>
      </c>
      <c r="C1918" t="str">
        <f>"20433"</f>
        <v>20433</v>
      </c>
      <c r="D1918" t="s">
        <v>413</v>
      </c>
      <c r="E1918" s="3">
        <v>25</v>
      </c>
      <c r="F1918">
        <v>20160329</v>
      </c>
      <c r="G1918" t="s">
        <v>1111</v>
      </c>
      <c r="H1918" t="s">
        <v>1236</v>
      </c>
      <c r="I1918">
        <v>0</v>
      </c>
      <c r="J1918" t="s">
        <v>289</v>
      </c>
      <c r="K1918" t="s">
        <v>290</v>
      </c>
      <c r="L1918" t="s">
        <v>285</v>
      </c>
      <c r="M1918" t="str">
        <f t="shared" si="106"/>
        <v>03</v>
      </c>
      <c r="N1918" t="s">
        <v>12</v>
      </c>
    </row>
    <row r="1919" spans="1:14" x14ac:dyDescent="0.25">
      <c r="A1919">
        <v>20160331</v>
      </c>
      <c r="B1919" t="str">
        <f>"062927"</f>
        <v>062927</v>
      </c>
      <c r="C1919" t="str">
        <f>"21087"</f>
        <v>21087</v>
      </c>
      <c r="D1919" t="s">
        <v>1237</v>
      </c>
      <c r="E1919" s="3">
        <v>50</v>
      </c>
      <c r="F1919">
        <v>20160329</v>
      </c>
      <c r="G1919" t="s">
        <v>948</v>
      </c>
      <c r="H1919" t="s">
        <v>1238</v>
      </c>
      <c r="I1919">
        <v>0</v>
      </c>
      <c r="J1919" t="s">
        <v>289</v>
      </c>
      <c r="K1919" t="s">
        <v>290</v>
      </c>
      <c r="L1919" t="s">
        <v>285</v>
      </c>
      <c r="M1919" t="str">
        <f t="shared" si="106"/>
        <v>03</v>
      </c>
      <c r="N1919" t="s">
        <v>12</v>
      </c>
    </row>
    <row r="1920" spans="1:14" x14ac:dyDescent="0.25">
      <c r="A1920">
        <v>20160331</v>
      </c>
      <c r="B1920" t="str">
        <f>"062929"</f>
        <v>062929</v>
      </c>
      <c r="C1920" t="str">
        <f>"22340"</f>
        <v>22340</v>
      </c>
      <c r="D1920" t="s">
        <v>987</v>
      </c>
      <c r="E1920" s="3">
        <v>51.5</v>
      </c>
      <c r="F1920">
        <v>20160329</v>
      </c>
      <c r="G1920" t="s">
        <v>948</v>
      </c>
      <c r="H1920" t="s">
        <v>1227</v>
      </c>
      <c r="I1920">
        <v>0</v>
      </c>
      <c r="J1920" t="s">
        <v>289</v>
      </c>
      <c r="K1920" t="s">
        <v>290</v>
      </c>
      <c r="L1920" t="s">
        <v>285</v>
      </c>
      <c r="M1920" t="str">
        <f t="shared" si="106"/>
        <v>03</v>
      </c>
      <c r="N1920" t="s">
        <v>12</v>
      </c>
    </row>
    <row r="1921" spans="1:14" x14ac:dyDescent="0.25">
      <c r="A1921">
        <v>20160331</v>
      </c>
      <c r="B1921" t="str">
        <f>"062929"</f>
        <v>062929</v>
      </c>
      <c r="C1921" t="str">
        <f>"22340"</f>
        <v>22340</v>
      </c>
      <c r="D1921" t="s">
        <v>987</v>
      </c>
      <c r="E1921" s="3">
        <v>51.5</v>
      </c>
      <c r="F1921">
        <v>20160329</v>
      </c>
      <c r="G1921" t="s">
        <v>934</v>
      </c>
      <c r="H1921" t="s">
        <v>1228</v>
      </c>
      <c r="I1921">
        <v>0</v>
      </c>
      <c r="J1921" t="s">
        <v>289</v>
      </c>
      <c r="K1921" t="s">
        <v>290</v>
      </c>
      <c r="L1921" t="s">
        <v>285</v>
      </c>
      <c r="M1921" t="str">
        <f t="shared" si="106"/>
        <v>03</v>
      </c>
      <c r="N1921" t="s">
        <v>12</v>
      </c>
    </row>
    <row r="1922" spans="1:14" x14ac:dyDescent="0.25">
      <c r="A1922">
        <v>20160331</v>
      </c>
      <c r="B1922" t="str">
        <f>"062930"</f>
        <v>062930</v>
      </c>
      <c r="C1922" t="str">
        <f>"24339"</f>
        <v>24339</v>
      </c>
      <c r="D1922" t="s">
        <v>1239</v>
      </c>
      <c r="E1922" s="3">
        <v>52.5</v>
      </c>
      <c r="F1922">
        <v>20160329</v>
      </c>
      <c r="G1922" t="s">
        <v>471</v>
      </c>
      <c r="H1922" t="s">
        <v>624</v>
      </c>
      <c r="I1922">
        <v>0</v>
      </c>
      <c r="J1922" t="s">
        <v>289</v>
      </c>
      <c r="K1922" t="s">
        <v>95</v>
      </c>
      <c r="L1922" t="s">
        <v>285</v>
      </c>
      <c r="M1922" t="str">
        <f t="shared" si="106"/>
        <v>03</v>
      </c>
      <c r="N1922" t="s">
        <v>12</v>
      </c>
    </row>
    <row r="1923" spans="1:14" x14ac:dyDescent="0.25">
      <c r="A1923">
        <v>20160331</v>
      </c>
      <c r="B1923" t="str">
        <f>"062934"</f>
        <v>062934</v>
      </c>
      <c r="C1923" t="str">
        <f>"60618"</f>
        <v>60618</v>
      </c>
      <c r="D1923" t="s">
        <v>647</v>
      </c>
      <c r="E1923" s="3">
        <v>97.7</v>
      </c>
      <c r="F1923">
        <v>20160329</v>
      </c>
      <c r="G1923" t="s">
        <v>1032</v>
      </c>
      <c r="H1923" t="s">
        <v>1240</v>
      </c>
      <c r="I1923">
        <v>0</v>
      </c>
      <c r="J1923" t="s">
        <v>289</v>
      </c>
      <c r="K1923" t="s">
        <v>290</v>
      </c>
      <c r="L1923" t="s">
        <v>285</v>
      </c>
      <c r="M1923" t="str">
        <f t="shared" si="106"/>
        <v>03</v>
      </c>
      <c r="N1923" t="s">
        <v>12</v>
      </c>
    </row>
    <row r="1924" spans="1:14" x14ac:dyDescent="0.25">
      <c r="A1924">
        <v>20160331</v>
      </c>
      <c r="B1924" t="str">
        <f>"062938"</f>
        <v>062938</v>
      </c>
      <c r="C1924" t="str">
        <f>"31341"</f>
        <v>31341</v>
      </c>
      <c r="D1924" t="s">
        <v>1241</v>
      </c>
      <c r="E1924" s="3">
        <v>163.25</v>
      </c>
      <c r="F1924">
        <v>20160329</v>
      </c>
      <c r="G1924" t="s">
        <v>1069</v>
      </c>
      <c r="H1924" t="s">
        <v>1242</v>
      </c>
      <c r="I1924">
        <v>0</v>
      </c>
      <c r="J1924" t="s">
        <v>289</v>
      </c>
      <c r="K1924" t="s">
        <v>290</v>
      </c>
      <c r="L1924" t="s">
        <v>285</v>
      </c>
      <c r="M1924" t="str">
        <f t="shared" si="106"/>
        <v>03</v>
      </c>
      <c r="N1924" t="s">
        <v>12</v>
      </c>
    </row>
    <row r="1925" spans="1:14" x14ac:dyDescent="0.25">
      <c r="A1925">
        <v>20160331</v>
      </c>
      <c r="B1925" t="str">
        <f>"062939"</f>
        <v>062939</v>
      </c>
      <c r="C1925" t="str">
        <f>"31379"</f>
        <v>31379</v>
      </c>
      <c r="D1925" t="s">
        <v>1243</v>
      </c>
      <c r="E1925" s="3">
        <v>115</v>
      </c>
      <c r="F1925">
        <v>20160329</v>
      </c>
      <c r="G1925" t="s">
        <v>1111</v>
      </c>
      <c r="H1925" t="s">
        <v>1230</v>
      </c>
      <c r="I1925">
        <v>0</v>
      </c>
      <c r="J1925" t="s">
        <v>289</v>
      </c>
      <c r="K1925" t="s">
        <v>290</v>
      </c>
      <c r="L1925" t="s">
        <v>285</v>
      </c>
      <c r="M1925" t="str">
        <f t="shared" si="106"/>
        <v>03</v>
      </c>
      <c r="N1925" t="s">
        <v>12</v>
      </c>
    </row>
    <row r="1926" spans="1:14" x14ac:dyDescent="0.25">
      <c r="A1926">
        <v>20160331</v>
      </c>
      <c r="B1926" t="str">
        <f>"062940"</f>
        <v>062940</v>
      </c>
      <c r="C1926" t="str">
        <f>"32855"</f>
        <v>32855</v>
      </c>
      <c r="D1926" t="s">
        <v>1078</v>
      </c>
      <c r="E1926" s="3">
        <v>115</v>
      </c>
      <c r="F1926">
        <v>20160329</v>
      </c>
      <c r="G1926" t="s">
        <v>1069</v>
      </c>
      <c r="H1926" t="s">
        <v>1244</v>
      </c>
      <c r="I1926">
        <v>0</v>
      </c>
      <c r="J1926" t="s">
        <v>289</v>
      </c>
      <c r="K1926" t="s">
        <v>290</v>
      </c>
      <c r="L1926" t="s">
        <v>285</v>
      </c>
      <c r="M1926" t="str">
        <f t="shared" si="106"/>
        <v>03</v>
      </c>
      <c r="N1926" t="s">
        <v>12</v>
      </c>
    </row>
    <row r="1927" spans="1:14" x14ac:dyDescent="0.25">
      <c r="A1927">
        <v>20160331</v>
      </c>
      <c r="B1927" t="str">
        <f>"062943"</f>
        <v>062943</v>
      </c>
      <c r="C1927" t="str">
        <f>"39422"</f>
        <v>39422</v>
      </c>
      <c r="D1927" t="s">
        <v>1141</v>
      </c>
      <c r="E1927" s="3">
        <v>21.4</v>
      </c>
      <c r="F1927">
        <v>20160329</v>
      </c>
      <c r="G1927" t="s">
        <v>1142</v>
      </c>
      <c r="H1927" t="s">
        <v>1047</v>
      </c>
      <c r="I1927">
        <v>0</v>
      </c>
      <c r="J1927" t="s">
        <v>289</v>
      </c>
      <c r="K1927" t="s">
        <v>290</v>
      </c>
      <c r="L1927" t="s">
        <v>285</v>
      </c>
      <c r="M1927" t="str">
        <f t="shared" si="106"/>
        <v>03</v>
      </c>
      <c r="N1927" t="s">
        <v>12</v>
      </c>
    </row>
    <row r="1928" spans="1:14" x14ac:dyDescent="0.25">
      <c r="A1928">
        <v>20160331</v>
      </c>
      <c r="B1928" t="str">
        <f>"062945"</f>
        <v>062945</v>
      </c>
      <c r="C1928" t="str">
        <f>"45093"</f>
        <v>45093</v>
      </c>
      <c r="D1928" t="s">
        <v>538</v>
      </c>
      <c r="E1928" s="3">
        <v>196.16</v>
      </c>
      <c r="F1928">
        <v>20160330</v>
      </c>
      <c r="G1928" t="s">
        <v>467</v>
      </c>
      <c r="H1928" t="s">
        <v>1245</v>
      </c>
      <c r="I1928">
        <v>0</v>
      </c>
      <c r="J1928" t="s">
        <v>289</v>
      </c>
      <c r="K1928" t="s">
        <v>290</v>
      </c>
      <c r="L1928" t="s">
        <v>285</v>
      </c>
      <c r="M1928" t="str">
        <f t="shared" si="106"/>
        <v>03</v>
      </c>
      <c r="N1928" t="s">
        <v>12</v>
      </c>
    </row>
    <row r="1929" spans="1:14" x14ac:dyDescent="0.25">
      <c r="A1929">
        <v>20160331</v>
      </c>
      <c r="B1929" t="str">
        <f>"062947"</f>
        <v>062947</v>
      </c>
      <c r="C1929" t="str">
        <f>"47715"</f>
        <v>47715</v>
      </c>
      <c r="D1929" t="s">
        <v>1246</v>
      </c>
      <c r="E1929" s="3">
        <v>75</v>
      </c>
      <c r="F1929">
        <v>20160330</v>
      </c>
      <c r="G1929" t="s">
        <v>1069</v>
      </c>
      <c r="H1929" t="s">
        <v>1225</v>
      </c>
      <c r="I1929">
        <v>0</v>
      </c>
      <c r="J1929" t="s">
        <v>289</v>
      </c>
      <c r="K1929" t="s">
        <v>290</v>
      </c>
      <c r="L1929" t="s">
        <v>285</v>
      </c>
      <c r="M1929" t="str">
        <f t="shared" si="106"/>
        <v>03</v>
      </c>
      <c r="N1929" t="s">
        <v>12</v>
      </c>
    </row>
    <row r="1930" spans="1:14" x14ac:dyDescent="0.25">
      <c r="A1930">
        <v>20160331</v>
      </c>
      <c r="B1930" t="str">
        <f>"062951"</f>
        <v>062951</v>
      </c>
      <c r="C1930" t="str">
        <f>"54820"</f>
        <v>54820</v>
      </c>
      <c r="D1930" t="s">
        <v>672</v>
      </c>
      <c r="E1930" s="3">
        <v>120.05</v>
      </c>
      <c r="F1930">
        <v>20160330</v>
      </c>
      <c r="G1930" t="s">
        <v>1111</v>
      </c>
      <c r="H1930" t="s">
        <v>1247</v>
      </c>
      <c r="I1930">
        <v>0</v>
      </c>
      <c r="J1930" t="s">
        <v>289</v>
      </c>
      <c r="K1930" t="s">
        <v>290</v>
      </c>
      <c r="L1930" t="s">
        <v>285</v>
      </c>
      <c r="M1930" t="str">
        <f t="shared" si="106"/>
        <v>03</v>
      </c>
      <c r="N1930" t="s">
        <v>12</v>
      </c>
    </row>
    <row r="1931" spans="1:14" x14ac:dyDescent="0.25">
      <c r="A1931">
        <v>20160331</v>
      </c>
      <c r="B1931" t="str">
        <f>"062953"</f>
        <v>062953</v>
      </c>
      <c r="C1931" t="str">
        <f>"56340"</f>
        <v>56340</v>
      </c>
      <c r="D1931" t="s">
        <v>956</v>
      </c>
      <c r="E1931" s="3">
        <v>50</v>
      </c>
      <c r="F1931">
        <v>20160330</v>
      </c>
      <c r="G1931" t="s">
        <v>948</v>
      </c>
      <c r="H1931" t="s">
        <v>1248</v>
      </c>
      <c r="I1931">
        <v>0</v>
      </c>
      <c r="J1931" t="s">
        <v>289</v>
      </c>
      <c r="K1931" t="s">
        <v>290</v>
      </c>
      <c r="L1931" t="s">
        <v>285</v>
      </c>
      <c r="M1931" t="str">
        <f t="shared" si="106"/>
        <v>03</v>
      </c>
      <c r="N1931" t="s">
        <v>12</v>
      </c>
    </row>
    <row r="1932" spans="1:14" x14ac:dyDescent="0.25">
      <c r="A1932">
        <v>20160331</v>
      </c>
      <c r="B1932" t="str">
        <f>"062953"</f>
        <v>062953</v>
      </c>
      <c r="C1932" t="str">
        <f>"56340"</f>
        <v>56340</v>
      </c>
      <c r="D1932" t="s">
        <v>956</v>
      </c>
      <c r="E1932" s="3">
        <v>50</v>
      </c>
      <c r="F1932">
        <v>20160330</v>
      </c>
      <c r="G1932" t="s">
        <v>934</v>
      </c>
      <c r="H1932" t="s">
        <v>1249</v>
      </c>
      <c r="I1932">
        <v>0</v>
      </c>
      <c r="J1932" t="s">
        <v>289</v>
      </c>
      <c r="K1932" t="s">
        <v>290</v>
      </c>
      <c r="L1932" t="s">
        <v>285</v>
      </c>
      <c r="M1932" t="str">
        <f t="shared" si="106"/>
        <v>03</v>
      </c>
      <c r="N1932" t="s">
        <v>12</v>
      </c>
    </row>
    <row r="1933" spans="1:14" x14ac:dyDescent="0.25">
      <c r="A1933">
        <v>20160331</v>
      </c>
      <c r="B1933" t="str">
        <f>"062956"</f>
        <v>062956</v>
      </c>
      <c r="C1933" t="str">
        <f>"58207"</f>
        <v>58207</v>
      </c>
      <c r="D1933" t="s">
        <v>296</v>
      </c>
      <c r="E1933" s="3">
        <v>23.88</v>
      </c>
      <c r="F1933">
        <v>20160330</v>
      </c>
      <c r="G1933" t="s">
        <v>507</v>
      </c>
      <c r="H1933" t="s">
        <v>1223</v>
      </c>
      <c r="I1933">
        <v>0</v>
      </c>
      <c r="J1933" t="s">
        <v>289</v>
      </c>
      <c r="K1933" t="s">
        <v>290</v>
      </c>
      <c r="L1933" t="s">
        <v>285</v>
      </c>
      <c r="M1933" t="str">
        <f t="shared" si="106"/>
        <v>03</v>
      </c>
      <c r="N1933" t="s">
        <v>12</v>
      </c>
    </row>
    <row r="1934" spans="1:14" x14ac:dyDescent="0.25">
      <c r="A1934">
        <v>20160331</v>
      </c>
      <c r="B1934" t="str">
        <f>"062956"</f>
        <v>062956</v>
      </c>
      <c r="C1934" t="str">
        <f>"58207"</f>
        <v>58207</v>
      </c>
      <c r="D1934" t="s">
        <v>296</v>
      </c>
      <c r="E1934" s="3">
        <v>43.82</v>
      </c>
      <c r="F1934">
        <v>20160330</v>
      </c>
      <c r="G1934" t="s">
        <v>1250</v>
      </c>
      <c r="H1934" t="s">
        <v>1251</v>
      </c>
      <c r="I1934">
        <v>0</v>
      </c>
      <c r="J1934" t="s">
        <v>289</v>
      </c>
      <c r="K1934" t="s">
        <v>290</v>
      </c>
      <c r="L1934" t="s">
        <v>285</v>
      </c>
      <c r="M1934" t="str">
        <f t="shared" si="106"/>
        <v>03</v>
      </c>
      <c r="N1934" t="s">
        <v>12</v>
      </c>
    </row>
    <row r="1935" spans="1:14" x14ac:dyDescent="0.25">
      <c r="A1935">
        <v>20160331</v>
      </c>
      <c r="B1935" t="str">
        <f>"062961"</f>
        <v>062961</v>
      </c>
      <c r="C1935" t="str">
        <f>"61143"</f>
        <v>61143</v>
      </c>
      <c r="D1935" t="s">
        <v>1164</v>
      </c>
      <c r="E1935" s="3">
        <v>42.5</v>
      </c>
      <c r="F1935">
        <v>20160330</v>
      </c>
      <c r="G1935" t="s">
        <v>948</v>
      </c>
      <c r="H1935" t="s">
        <v>1248</v>
      </c>
      <c r="I1935">
        <v>0</v>
      </c>
      <c r="J1935" t="s">
        <v>289</v>
      </c>
      <c r="K1935" t="s">
        <v>290</v>
      </c>
      <c r="L1935" t="s">
        <v>285</v>
      </c>
      <c r="M1935" t="str">
        <f t="shared" si="106"/>
        <v>03</v>
      </c>
      <c r="N1935" t="s">
        <v>12</v>
      </c>
    </row>
    <row r="1936" spans="1:14" x14ac:dyDescent="0.25">
      <c r="A1936">
        <v>20160331</v>
      </c>
      <c r="B1936" t="str">
        <f>"062961"</f>
        <v>062961</v>
      </c>
      <c r="C1936" t="str">
        <f>"61143"</f>
        <v>61143</v>
      </c>
      <c r="D1936" t="s">
        <v>1164</v>
      </c>
      <c r="E1936" s="3">
        <v>42.5</v>
      </c>
      <c r="F1936">
        <v>20160330</v>
      </c>
      <c r="G1936" t="s">
        <v>934</v>
      </c>
      <c r="H1936" t="s">
        <v>1249</v>
      </c>
      <c r="I1936">
        <v>0</v>
      </c>
      <c r="J1936" t="s">
        <v>289</v>
      </c>
      <c r="K1936" t="s">
        <v>290</v>
      </c>
      <c r="L1936" t="s">
        <v>285</v>
      </c>
      <c r="M1936" t="str">
        <f t="shared" si="106"/>
        <v>03</v>
      </c>
      <c r="N1936" t="s">
        <v>12</v>
      </c>
    </row>
    <row r="1937" spans="1:14" x14ac:dyDescent="0.25">
      <c r="A1937">
        <v>20160331</v>
      </c>
      <c r="B1937" t="str">
        <f>"062962"</f>
        <v>062962</v>
      </c>
      <c r="C1937" t="str">
        <f>"61144"</f>
        <v>61144</v>
      </c>
      <c r="D1937" t="s">
        <v>1252</v>
      </c>
      <c r="E1937" s="3">
        <v>100</v>
      </c>
      <c r="F1937">
        <v>20160330</v>
      </c>
      <c r="G1937" t="s">
        <v>1069</v>
      </c>
      <c r="H1937" t="s">
        <v>1242</v>
      </c>
      <c r="I1937">
        <v>0</v>
      </c>
      <c r="J1937" t="s">
        <v>289</v>
      </c>
      <c r="K1937" t="s">
        <v>290</v>
      </c>
      <c r="L1937" t="s">
        <v>285</v>
      </c>
      <c r="M1937" t="str">
        <f t="shared" si="106"/>
        <v>03</v>
      </c>
      <c r="N1937" t="s">
        <v>12</v>
      </c>
    </row>
    <row r="1938" spans="1:14" x14ac:dyDescent="0.25">
      <c r="A1938">
        <v>20160331</v>
      </c>
      <c r="B1938" t="str">
        <f>"062963"</f>
        <v>062963</v>
      </c>
      <c r="C1938" t="str">
        <f>"62795"</f>
        <v>62795</v>
      </c>
      <c r="D1938" t="s">
        <v>545</v>
      </c>
      <c r="E1938" s="3">
        <v>2359.9</v>
      </c>
      <c r="F1938">
        <v>20160330</v>
      </c>
      <c r="G1938" t="s">
        <v>1253</v>
      </c>
      <c r="H1938" t="s">
        <v>1254</v>
      </c>
      <c r="I1938">
        <v>0</v>
      </c>
      <c r="J1938" t="s">
        <v>289</v>
      </c>
      <c r="K1938" t="s">
        <v>290</v>
      </c>
      <c r="L1938" t="s">
        <v>285</v>
      </c>
      <c r="M1938" t="str">
        <f t="shared" si="106"/>
        <v>03</v>
      </c>
      <c r="N1938" t="s">
        <v>12</v>
      </c>
    </row>
    <row r="1939" spans="1:14" x14ac:dyDescent="0.25">
      <c r="A1939">
        <v>20160331</v>
      </c>
      <c r="B1939" t="str">
        <f>"062963"</f>
        <v>062963</v>
      </c>
      <c r="C1939" t="str">
        <f>"62795"</f>
        <v>62795</v>
      </c>
      <c r="D1939" t="s">
        <v>545</v>
      </c>
      <c r="E1939" s="3">
        <v>461.83</v>
      </c>
      <c r="F1939">
        <v>20160330</v>
      </c>
      <c r="G1939" t="s">
        <v>481</v>
      </c>
      <c r="H1939" t="s">
        <v>1255</v>
      </c>
      <c r="I1939">
        <v>0</v>
      </c>
      <c r="J1939" t="s">
        <v>289</v>
      </c>
      <c r="K1939" t="s">
        <v>290</v>
      </c>
      <c r="L1939" t="s">
        <v>285</v>
      </c>
      <c r="M1939" t="str">
        <f t="shared" si="106"/>
        <v>03</v>
      </c>
      <c r="N1939" t="s">
        <v>12</v>
      </c>
    </row>
    <row r="1940" spans="1:14" x14ac:dyDescent="0.25">
      <c r="A1940">
        <v>20160331</v>
      </c>
      <c r="B1940" t="str">
        <f>"062963"</f>
        <v>062963</v>
      </c>
      <c r="C1940" t="str">
        <f>"62795"</f>
        <v>62795</v>
      </c>
      <c r="D1940" t="s">
        <v>545</v>
      </c>
      <c r="E1940" s="3">
        <v>1303.68</v>
      </c>
      <c r="F1940">
        <v>20160330</v>
      </c>
      <c r="G1940" t="s">
        <v>481</v>
      </c>
      <c r="H1940" t="s">
        <v>1256</v>
      </c>
      <c r="I1940">
        <v>0</v>
      </c>
      <c r="J1940" t="s">
        <v>289</v>
      </c>
      <c r="K1940" t="s">
        <v>290</v>
      </c>
      <c r="L1940" t="s">
        <v>285</v>
      </c>
      <c r="M1940" t="str">
        <f t="shared" si="106"/>
        <v>03</v>
      </c>
      <c r="N1940" t="s">
        <v>12</v>
      </c>
    </row>
    <row r="1941" spans="1:14" x14ac:dyDescent="0.25">
      <c r="A1941">
        <v>20160331</v>
      </c>
      <c r="B1941" t="str">
        <f>"062963"</f>
        <v>062963</v>
      </c>
      <c r="C1941" t="str">
        <f>"62795"</f>
        <v>62795</v>
      </c>
      <c r="D1941" t="s">
        <v>545</v>
      </c>
      <c r="E1941" s="3">
        <v>4386.41</v>
      </c>
      <c r="F1941">
        <v>20160330</v>
      </c>
      <c r="G1941" t="s">
        <v>481</v>
      </c>
      <c r="H1941" t="s">
        <v>1257</v>
      </c>
      <c r="I1941">
        <v>0</v>
      </c>
      <c r="J1941" t="s">
        <v>289</v>
      </c>
      <c r="K1941" t="s">
        <v>290</v>
      </c>
      <c r="L1941" t="s">
        <v>285</v>
      </c>
      <c r="M1941" t="str">
        <f t="shared" si="106"/>
        <v>03</v>
      </c>
      <c r="N1941" t="s">
        <v>12</v>
      </c>
    </row>
    <row r="1942" spans="1:14" x14ac:dyDescent="0.25">
      <c r="A1942">
        <v>20160331</v>
      </c>
      <c r="B1942" t="str">
        <f>"062970"</f>
        <v>062970</v>
      </c>
      <c r="C1942" t="str">
        <f>"70081"</f>
        <v>70081</v>
      </c>
      <c r="D1942" t="s">
        <v>1258</v>
      </c>
      <c r="E1942" s="3">
        <v>65</v>
      </c>
      <c r="F1942">
        <v>20160330</v>
      </c>
      <c r="G1942" t="s">
        <v>1069</v>
      </c>
      <c r="H1942" t="s">
        <v>1259</v>
      </c>
      <c r="I1942">
        <v>0</v>
      </c>
      <c r="J1942" t="s">
        <v>289</v>
      </c>
      <c r="K1942" t="s">
        <v>290</v>
      </c>
      <c r="L1942" t="s">
        <v>285</v>
      </c>
      <c r="M1942" t="str">
        <f t="shared" si="106"/>
        <v>03</v>
      </c>
      <c r="N1942" t="s">
        <v>12</v>
      </c>
    </row>
    <row r="1943" spans="1:14" x14ac:dyDescent="0.25">
      <c r="A1943">
        <v>20160331</v>
      </c>
      <c r="B1943" t="str">
        <f>"062978"</f>
        <v>062978</v>
      </c>
      <c r="C1943" t="str">
        <f>"78311"</f>
        <v>78311</v>
      </c>
      <c r="D1943" t="s">
        <v>458</v>
      </c>
      <c r="E1943" s="3">
        <v>19.93</v>
      </c>
      <c r="F1943">
        <v>20160330</v>
      </c>
      <c r="G1943" t="s">
        <v>310</v>
      </c>
      <c r="H1943" t="s">
        <v>1163</v>
      </c>
      <c r="I1943">
        <v>0</v>
      </c>
      <c r="J1943" t="s">
        <v>289</v>
      </c>
      <c r="K1943" t="s">
        <v>290</v>
      </c>
      <c r="L1943" t="s">
        <v>285</v>
      </c>
      <c r="M1943" t="str">
        <f t="shared" si="106"/>
        <v>03</v>
      </c>
      <c r="N1943" t="s">
        <v>12</v>
      </c>
    </row>
    <row r="1944" spans="1:14" x14ac:dyDescent="0.25">
      <c r="A1944">
        <v>20160331</v>
      </c>
      <c r="B1944" t="str">
        <f>"062980"</f>
        <v>062980</v>
      </c>
      <c r="C1944" t="str">
        <f>"80466"</f>
        <v>80466</v>
      </c>
      <c r="D1944" t="s">
        <v>1106</v>
      </c>
      <c r="E1944" s="3">
        <v>50</v>
      </c>
      <c r="F1944">
        <v>20160330</v>
      </c>
      <c r="G1944" t="s">
        <v>948</v>
      </c>
      <c r="H1944" t="s">
        <v>1248</v>
      </c>
      <c r="I1944">
        <v>0</v>
      </c>
      <c r="J1944" t="s">
        <v>289</v>
      </c>
      <c r="K1944" t="s">
        <v>290</v>
      </c>
      <c r="L1944" t="s">
        <v>285</v>
      </c>
      <c r="M1944" t="str">
        <f t="shared" si="106"/>
        <v>03</v>
      </c>
      <c r="N1944" t="s">
        <v>12</v>
      </c>
    </row>
    <row r="1945" spans="1:14" x14ac:dyDescent="0.25">
      <c r="A1945">
        <v>20160331</v>
      </c>
      <c r="B1945" t="str">
        <f>"062980"</f>
        <v>062980</v>
      </c>
      <c r="C1945" t="str">
        <f>"80466"</f>
        <v>80466</v>
      </c>
      <c r="D1945" t="s">
        <v>1106</v>
      </c>
      <c r="E1945" s="3">
        <v>25</v>
      </c>
      <c r="F1945">
        <v>20160330</v>
      </c>
      <c r="G1945" t="s">
        <v>948</v>
      </c>
      <c r="H1945" t="s">
        <v>1227</v>
      </c>
      <c r="I1945">
        <v>0</v>
      </c>
      <c r="J1945" t="s">
        <v>289</v>
      </c>
      <c r="K1945" t="s">
        <v>290</v>
      </c>
      <c r="L1945" t="s">
        <v>285</v>
      </c>
      <c r="M1945" t="str">
        <f t="shared" si="106"/>
        <v>03</v>
      </c>
      <c r="N1945" t="s">
        <v>12</v>
      </c>
    </row>
    <row r="1946" spans="1:14" x14ac:dyDescent="0.25">
      <c r="A1946">
        <v>20160331</v>
      </c>
      <c r="B1946" t="str">
        <f>"062980"</f>
        <v>062980</v>
      </c>
      <c r="C1946" t="str">
        <f>"80466"</f>
        <v>80466</v>
      </c>
      <c r="D1946" t="s">
        <v>1106</v>
      </c>
      <c r="E1946" s="3">
        <v>50</v>
      </c>
      <c r="F1946">
        <v>20160330</v>
      </c>
      <c r="G1946" t="s">
        <v>934</v>
      </c>
      <c r="H1946" t="s">
        <v>1249</v>
      </c>
      <c r="I1946">
        <v>0</v>
      </c>
      <c r="J1946" t="s">
        <v>289</v>
      </c>
      <c r="K1946" t="s">
        <v>290</v>
      </c>
      <c r="L1946" t="s">
        <v>285</v>
      </c>
      <c r="M1946" t="str">
        <f t="shared" si="106"/>
        <v>03</v>
      </c>
      <c r="N1946" t="s">
        <v>12</v>
      </c>
    </row>
    <row r="1947" spans="1:14" x14ac:dyDescent="0.25">
      <c r="A1947">
        <v>20160331</v>
      </c>
      <c r="B1947" t="str">
        <f>"062980"</f>
        <v>062980</v>
      </c>
      <c r="C1947" t="str">
        <f>"80466"</f>
        <v>80466</v>
      </c>
      <c r="D1947" t="s">
        <v>1106</v>
      </c>
      <c r="E1947" s="3">
        <v>25</v>
      </c>
      <c r="F1947">
        <v>20160330</v>
      </c>
      <c r="G1947" t="s">
        <v>934</v>
      </c>
      <c r="H1947" t="s">
        <v>1228</v>
      </c>
      <c r="I1947">
        <v>0</v>
      </c>
      <c r="J1947" t="s">
        <v>289</v>
      </c>
      <c r="K1947" t="s">
        <v>290</v>
      </c>
      <c r="L1947" t="s">
        <v>285</v>
      </c>
      <c r="M1947" t="str">
        <f t="shared" si="106"/>
        <v>03</v>
      </c>
      <c r="N1947" t="s">
        <v>12</v>
      </c>
    </row>
    <row r="1948" spans="1:14" x14ac:dyDescent="0.25">
      <c r="A1948">
        <v>20160331</v>
      </c>
      <c r="B1948" t="str">
        <f>"062981"</f>
        <v>062981</v>
      </c>
      <c r="C1948" t="str">
        <f>"80554"</f>
        <v>80554</v>
      </c>
      <c r="D1948" t="s">
        <v>1260</v>
      </c>
      <c r="E1948" s="3">
        <v>65</v>
      </c>
      <c r="F1948">
        <v>20160330</v>
      </c>
      <c r="G1948" t="s">
        <v>1069</v>
      </c>
      <c r="H1948" t="s">
        <v>1259</v>
      </c>
      <c r="I1948">
        <v>0</v>
      </c>
      <c r="J1948" t="s">
        <v>289</v>
      </c>
      <c r="K1948" t="s">
        <v>290</v>
      </c>
      <c r="L1948" t="s">
        <v>285</v>
      </c>
      <c r="M1948" t="str">
        <f t="shared" si="106"/>
        <v>03</v>
      </c>
      <c r="N1948" t="s">
        <v>12</v>
      </c>
    </row>
    <row r="1949" spans="1:14" x14ac:dyDescent="0.25">
      <c r="A1949">
        <v>20160331</v>
      </c>
      <c r="B1949" t="str">
        <f>"062982"</f>
        <v>062982</v>
      </c>
      <c r="C1949" t="str">
        <f>"80528"</f>
        <v>80528</v>
      </c>
      <c r="D1949" t="s">
        <v>1261</v>
      </c>
      <c r="E1949" s="3">
        <v>114</v>
      </c>
      <c r="F1949">
        <v>20160330</v>
      </c>
      <c r="G1949" t="s">
        <v>1111</v>
      </c>
      <c r="H1949" t="s">
        <v>1233</v>
      </c>
      <c r="I1949">
        <v>0</v>
      </c>
      <c r="J1949" t="s">
        <v>289</v>
      </c>
      <c r="K1949" t="s">
        <v>290</v>
      </c>
      <c r="L1949" t="s">
        <v>285</v>
      </c>
      <c r="M1949" t="str">
        <f t="shared" si="106"/>
        <v>03</v>
      </c>
      <c r="N1949" t="s">
        <v>12</v>
      </c>
    </row>
    <row r="1950" spans="1:14" x14ac:dyDescent="0.25">
      <c r="A1950">
        <v>20160331</v>
      </c>
      <c r="B1950" t="str">
        <f>"062983"</f>
        <v>062983</v>
      </c>
      <c r="C1950" t="str">
        <f>"80755"</f>
        <v>80755</v>
      </c>
      <c r="D1950" t="s">
        <v>723</v>
      </c>
      <c r="E1950" s="3">
        <v>2358.86</v>
      </c>
      <c r="F1950">
        <v>20160330</v>
      </c>
      <c r="G1950" t="s">
        <v>764</v>
      </c>
      <c r="H1950" t="s">
        <v>1262</v>
      </c>
      <c r="I1950">
        <v>0</v>
      </c>
      <c r="J1950" t="s">
        <v>289</v>
      </c>
      <c r="K1950" t="s">
        <v>290</v>
      </c>
      <c r="L1950" t="s">
        <v>285</v>
      </c>
      <c r="M1950" t="str">
        <f t="shared" si="106"/>
        <v>03</v>
      </c>
      <c r="N1950" t="s">
        <v>12</v>
      </c>
    </row>
    <row r="1951" spans="1:14" x14ac:dyDescent="0.25">
      <c r="A1951">
        <v>20160331</v>
      </c>
      <c r="B1951" t="str">
        <f>"062983"</f>
        <v>062983</v>
      </c>
      <c r="C1951" t="str">
        <f>"80755"</f>
        <v>80755</v>
      </c>
      <c r="D1951" t="s">
        <v>723</v>
      </c>
      <c r="E1951" s="3">
        <v>180.45</v>
      </c>
      <c r="F1951">
        <v>20160330</v>
      </c>
      <c r="G1951" t="s">
        <v>824</v>
      </c>
      <c r="H1951" t="s">
        <v>1263</v>
      </c>
      <c r="I1951">
        <v>0</v>
      </c>
      <c r="J1951" t="s">
        <v>289</v>
      </c>
      <c r="K1951" t="s">
        <v>95</v>
      </c>
      <c r="L1951" t="s">
        <v>285</v>
      </c>
      <c r="M1951" t="str">
        <f t="shared" si="106"/>
        <v>03</v>
      </c>
      <c r="N1951" t="s">
        <v>12</v>
      </c>
    </row>
    <row r="1952" spans="1:14" x14ac:dyDescent="0.25">
      <c r="A1952">
        <v>20160331</v>
      </c>
      <c r="B1952" t="str">
        <f>"062985"</f>
        <v>062985</v>
      </c>
      <c r="C1952" t="str">
        <f>"82310"</f>
        <v>82310</v>
      </c>
      <c r="D1952" t="s">
        <v>1264</v>
      </c>
      <c r="E1952" s="3">
        <v>115</v>
      </c>
      <c r="F1952">
        <v>20160330</v>
      </c>
      <c r="G1952" t="s">
        <v>1069</v>
      </c>
      <c r="H1952" t="s">
        <v>1244</v>
      </c>
      <c r="I1952">
        <v>0</v>
      </c>
      <c r="J1952" t="s">
        <v>289</v>
      </c>
      <c r="K1952" t="s">
        <v>290</v>
      </c>
      <c r="L1952" t="s">
        <v>285</v>
      </c>
      <c r="M1952" t="str">
        <f t="shared" si="106"/>
        <v>03</v>
      </c>
      <c r="N1952" t="s">
        <v>12</v>
      </c>
    </row>
    <row r="1953" spans="1:14" x14ac:dyDescent="0.25">
      <c r="A1953">
        <v>20160331</v>
      </c>
      <c r="B1953" t="str">
        <f>"062986"</f>
        <v>062986</v>
      </c>
      <c r="C1953" t="str">
        <f>"82375"</f>
        <v>82375</v>
      </c>
      <c r="D1953" t="s">
        <v>1265</v>
      </c>
      <c r="E1953" s="3">
        <v>136.97999999999999</v>
      </c>
      <c r="F1953">
        <v>20160330</v>
      </c>
      <c r="G1953" t="s">
        <v>1111</v>
      </c>
      <c r="H1953" t="s">
        <v>1233</v>
      </c>
      <c r="I1953">
        <v>0</v>
      </c>
      <c r="J1953" t="s">
        <v>289</v>
      </c>
      <c r="K1953" t="s">
        <v>290</v>
      </c>
      <c r="L1953" t="s">
        <v>285</v>
      </c>
      <c r="M1953" t="str">
        <f t="shared" si="106"/>
        <v>03</v>
      </c>
      <c r="N1953" t="s">
        <v>12</v>
      </c>
    </row>
    <row r="1954" spans="1:14" x14ac:dyDescent="0.25">
      <c r="A1954">
        <v>20160331</v>
      </c>
      <c r="B1954" t="str">
        <f>"062987"</f>
        <v>062987</v>
      </c>
      <c r="C1954" t="str">
        <f>"82383"</f>
        <v>82383</v>
      </c>
      <c r="D1954" t="s">
        <v>1266</v>
      </c>
      <c r="E1954" s="3">
        <v>200</v>
      </c>
      <c r="F1954">
        <v>20160330</v>
      </c>
      <c r="G1954" t="s">
        <v>310</v>
      </c>
      <c r="H1954" t="s">
        <v>1267</v>
      </c>
      <c r="I1954">
        <v>0</v>
      </c>
      <c r="J1954" t="s">
        <v>289</v>
      </c>
      <c r="K1954" t="s">
        <v>290</v>
      </c>
      <c r="L1954" t="s">
        <v>285</v>
      </c>
      <c r="M1954" t="str">
        <f t="shared" si="106"/>
        <v>03</v>
      </c>
      <c r="N1954" t="s">
        <v>12</v>
      </c>
    </row>
    <row r="1955" spans="1:14" x14ac:dyDescent="0.25">
      <c r="A1955">
        <v>20160331</v>
      </c>
      <c r="B1955" t="str">
        <f>"062987"</f>
        <v>062987</v>
      </c>
      <c r="C1955" t="str">
        <f>"82383"</f>
        <v>82383</v>
      </c>
      <c r="D1955" t="s">
        <v>1266</v>
      </c>
      <c r="E1955" s="3">
        <v>200</v>
      </c>
      <c r="F1955">
        <v>20160330</v>
      </c>
      <c r="G1955" t="s">
        <v>310</v>
      </c>
      <c r="H1955" t="s">
        <v>1267</v>
      </c>
      <c r="I1955">
        <v>0</v>
      </c>
      <c r="J1955" t="s">
        <v>289</v>
      </c>
      <c r="K1955" t="s">
        <v>290</v>
      </c>
      <c r="L1955" t="s">
        <v>285</v>
      </c>
      <c r="M1955" t="str">
        <f t="shared" si="106"/>
        <v>03</v>
      </c>
      <c r="N1955" t="s">
        <v>12</v>
      </c>
    </row>
    <row r="1956" spans="1:14" x14ac:dyDescent="0.25">
      <c r="A1956">
        <v>20160331</v>
      </c>
      <c r="B1956" t="str">
        <f>"062988"</f>
        <v>062988</v>
      </c>
      <c r="C1956" t="str">
        <f>"82511"</f>
        <v>82511</v>
      </c>
      <c r="D1956" t="s">
        <v>547</v>
      </c>
      <c r="E1956" s="3">
        <v>240</v>
      </c>
      <c r="F1956">
        <v>20160330</v>
      </c>
      <c r="G1956" t="s">
        <v>385</v>
      </c>
      <c r="H1956" t="s">
        <v>1268</v>
      </c>
      <c r="I1956">
        <v>0</v>
      </c>
      <c r="J1956" t="s">
        <v>289</v>
      </c>
      <c r="K1956" t="s">
        <v>290</v>
      </c>
      <c r="L1956" t="s">
        <v>285</v>
      </c>
      <c r="M1956" t="str">
        <f t="shared" si="106"/>
        <v>03</v>
      </c>
      <c r="N1956" t="s">
        <v>12</v>
      </c>
    </row>
    <row r="1957" spans="1:14" x14ac:dyDescent="0.25">
      <c r="A1957">
        <v>20160331</v>
      </c>
      <c r="B1957" t="str">
        <f>"062989"</f>
        <v>062989</v>
      </c>
      <c r="C1957" t="str">
        <f>"82970"</f>
        <v>82970</v>
      </c>
      <c r="D1957" t="s">
        <v>1108</v>
      </c>
      <c r="E1957" s="3">
        <v>200</v>
      </c>
      <c r="F1957">
        <v>20160330</v>
      </c>
      <c r="G1957" t="s">
        <v>1035</v>
      </c>
      <c r="H1957" t="s">
        <v>1269</v>
      </c>
      <c r="I1957">
        <v>0</v>
      </c>
      <c r="J1957" t="s">
        <v>289</v>
      </c>
      <c r="K1957" t="s">
        <v>290</v>
      </c>
      <c r="L1957" t="s">
        <v>285</v>
      </c>
      <c r="M1957" t="str">
        <f t="shared" si="106"/>
        <v>03</v>
      </c>
      <c r="N1957" t="s">
        <v>12</v>
      </c>
    </row>
    <row r="1958" spans="1:14" x14ac:dyDescent="0.25">
      <c r="A1958">
        <v>20160331</v>
      </c>
      <c r="B1958" t="str">
        <f>"062991"</f>
        <v>062991</v>
      </c>
      <c r="C1958" t="str">
        <f>"84400"</f>
        <v>84400</v>
      </c>
      <c r="D1958" t="s">
        <v>477</v>
      </c>
      <c r="E1958" s="3">
        <v>125.84</v>
      </c>
      <c r="F1958">
        <v>20160330</v>
      </c>
      <c r="G1958" t="s">
        <v>1111</v>
      </c>
      <c r="H1958" t="s">
        <v>1247</v>
      </c>
      <c r="I1958">
        <v>0</v>
      </c>
      <c r="J1958" t="s">
        <v>289</v>
      </c>
      <c r="K1958" t="s">
        <v>290</v>
      </c>
      <c r="L1958" t="s">
        <v>285</v>
      </c>
      <c r="M1958" t="str">
        <f t="shared" si="106"/>
        <v>03</v>
      </c>
      <c r="N1958" t="s">
        <v>12</v>
      </c>
    </row>
    <row r="1959" spans="1:14" x14ac:dyDescent="0.25">
      <c r="A1959">
        <v>20160407</v>
      </c>
      <c r="B1959" t="str">
        <f>"062996"</f>
        <v>062996</v>
      </c>
      <c r="C1959" t="str">
        <f>"20433"</f>
        <v>20433</v>
      </c>
      <c r="D1959" t="s">
        <v>413</v>
      </c>
      <c r="E1959" s="3">
        <v>25</v>
      </c>
      <c r="F1959">
        <v>20160406</v>
      </c>
      <c r="G1959" t="s">
        <v>1069</v>
      </c>
      <c r="H1959" t="s">
        <v>1270</v>
      </c>
      <c r="I1959">
        <v>0</v>
      </c>
      <c r="J1959" t="s">
        <v>289</v>
      </c>
      <c r="K1959" t="s">
        <v>290</v>
      </c>
      <c r="L1959" t="s">
        <v>285</v>
      </c>
      <c r="M1959" t="str">
        <f t="shared" ref="M1959:M1990" si="107">"04"</f>
        <v>04</v>
      </c>
      <c r="N1959" t="s">
        <v>12</v>
      </c>
    </row>
    <row r="1960" spans="1:14" x14ac:dyDescent="0.25">
      <c r="A1960">
        <v>20160407</v>
      </c>
      <c r="B1960" t="str">
        <f>"063001"</f>
        <v>063001</v>
      </c>
      <c r="C1960" t="str">
        <f>"28708"</f>
        <v>28708</v>
      </c>
      <c r="D1960" t="s">
        <v>1271</v>
      </c>
      <c r="E1960" s="3">
        <v>75</v>
      </c>
      <c r="F1960">
        <v>20160406</v>
      </c>
      <c r="G1960" t="s">
        <v>1069</v>
      </c>
      <c r="H1960" t="s">
        <v>1270</v>
      </c>
      <c r="I1960">
        <v>0</v>
      </c>
      <c r="J1960" t="s">
        <v>289</v>
      </c>
      <c r="K1960" t="s">
        <v>290</v>
      </c>
      <c r="L1960" t="s">
        <v>285</v>
      </c>
      <c r="M1960" t="str">
        <f t="shared" si="107"/>
        <v>04</v>
      </c>
      <c r="N1960" t="s">
        <v>12</v>
      </c>
    </row>
    <row r="1961" spans="1:14" x14ac:dyDescent="0.25">
      <c r="A1961">
        <v>20160407</v>
      </c>
      <c r="B1961" t="str">
        <f>"063002"</f>
        <v>063002</v>
      </c>
      <c r="C1961" t="str">
        <f>"30170"</f>
        <v>30170</v>
      </c>
      <c r="D1961" t="s">
        <v>1272</v>
      </c>
      <c r="E1961" s="3">
        <v>75</v>
      </c>
      <c r="F1961">
        <v>20160406</v>
      </c>
      <c r="G1961" t="s">
        <v>1069</v>
      </c>
      <c r="H1961" t="s">
        <v>1273</v>
      </c>
      <c r="I1961">
        <v>0</v>
      </c>
      <c r="J1961" t="s">
        <v>289</v>
      </c>
      <c r="K1961" t="s">
        <v>290</v>
      </c>
      <c r="L1961" t="s">
        <v>285</v>
      </c>
      <c r="M1961" t="str">
        <f t="shared" si="107"/>
        <v>04</v>
      </c>
      <c r="N1961" t="s">
        <v>12</v>
      </c>
    </row>
    <row r="1962" spans="1:14" x14ac:dyDescent="0.25">
      <c r="A1962">
        <v>20160407</v>
      </c>
      <c r="B1962" t="str">
        <f>"063002"</f>
        <v>063002</v>
      </c>
      <c r="C1962" t="str">
        <f>"30170"</f>
        <v>30170</v>
      </c>
      <c r="D1962" t="s">
        <v>1272</v>
      </c>
      <c r="E1962" s="3">
        <v>115</v>
      </c>
      <c r="F1962">
        <v>20160406</v>
      </c>
      <c r="G1962" t="s">
        <v>1069</v>
      </c>
      <c r="H1962" t="s">
        <v>1274</v>
      </c>
      <c r="I1962">
        <v>0</v>
      </c>
      <c r="J1962" t="s">
        <v>289</v>
      </c>
      <c r="K1962" t="s">
        <v>290</v>
      </c>
      <c r="L1962" t="s">
        <v>285</v>
      </c>
      <c r="M1962" t="str">
        <f t="shared" si="107"/>
        <v>04</v>
      </c>
      <c r="N1962" t="s">
        <v>12</v>
      </c>
    </row>
    <row r="1963" spans="1:14" x14ac:dyDescent="0.25">
      <c r="A1963">
        <v>20160407</v>
      </c>
      <c r="B1963" t="str">
        <f>"063010"</f>
        <v>063010</v>
      </c>
      <c r="C1963" t="str">
        <f>"42149"</f>
        <v>42149</v>
      </c>
      <c r="D1963" t="s">
        <v>1275</v>
      </c>
      <c r="E1963" s="3">
        <v>301</v>
      </c>
      <c r="F1963">
        <v>20160406</v>
      </c>
      <c r="G1963" t="s">
        <v>646</v>
      </c>
      <c r="H1963" t="s">
        <v>1276</v>
      </c>
      <c r="I1963">
        <v>0</v>
      </c>
      <c r="J1963" t="s">
        <v>289</v>
      </c>
      <c r="K1963" t="s">
        <v>290</v>
      </c>
      <c r="L1963" t="s">
        <v>285</v>
      </c>
      <c r="M1963" t="str">
        <f t="shared" si="107"/>
        <v>04</v>
      </c>
      <c r="N1963" t="s">
        <v>12</v>
      </c>
    </row>
    <row r="1964" spans="1:14" x14ac:dyDescent="0.25">
      <c r="A1964">
        <v>20160407</v>
      </c>
      <c r="B1964" t="str">
        <f>"063015"</f>
        <v>063015</v>
      </c>
      <c r="C1964" t="str">
        <f>"52181"</f>
        <v>52181</v>
      </c>
      <c r="D1964" t="s">
        <v>1098</v>
      </c>
      <c r="E1964" s="3">
        <v>42.5</v>
      </c>
      <c r="F1964">
        <v>20160406</v>
      </c>
      <c r="G1964" t="s">
        <v>948</v>
      </c>
      <c r="H1964" t="s">
        <v>1231</v>
      </c>
      <c r="I1964">
        <v>0</v>
      </c>
      <c r="J1964" t="s">
        <v>289</v>
      </c>
      <c r="K1964" t="s">
        <v>290</v>
      </c>
      <c r="L1964" t="s">
        <v>285</v>
      </c>
      <c r="M1964" t="str">
        <f t="shared" si="107"/>
        <v>04</v>
      </c>
      <c r="N1964" t="s">
        <v>12</v>
      </c>
    </row>
    <row r="1965" spans="1:14" x14ac:dyDescent="0.25">
      <c r="A1965">
        <v>20160407</v>
      </c>
      <c r="B1965" t="str">
        <f>"063015"</f>
        <v>063015</v>
      </c>
      <c r="C1965" t="str">
        <f>"52181"</f>
        <v>52181</v>
      </c>
      <c r="D1965" t="s">
        <v>1098</v>
      </c>
      <c r="E1965" s="3">
        <v>42.5</v>
      </c>
      <c r="F1965">
        <v>20160406</v>
      </c>
      <c r="G1965" t="s">
        <v>934</v>
      </c>
      <c r="H1965" t="s">
        <v>1232</v>
      </c>
      <c r="I1965">
        <v>0</v>
      </c>
      <c r="J1965" t="s">
        <v>289</v>
      </c>
      <c r="K1965" t="s">
        <v>290</v>
      </c>
      <c r="L1965" t="s">
        <v>285</v>
      </c>
      <c r="M1965" t="str">
        <f t="shared" si="107"/>
        <v>04</v>
      </c>
      <c r="N1965" t="s">
        <v>12</v>
      </c>
    </row>
    <row r="1966" spans="1:14" x14ac:dyDescent="0.25">
      <c r="A1966">
        <v>20160407</v>
      </c>
      <c r="B1966" t="str">
        <f>"063020"</f>
        <v>063020</v>
      </c>
      <c r="C1966" t="str">
        <f>"62334"</f>
        <v>62334</v>
      </c>
      <c r="D1966" t="s">
        <v>1277</v>
      </c>
      <c r="E1966" s="3">
        <v>115</v>
      </c>
      <c r="F1966">
        <v>20160406</v>
      </c>
      <c r="G1966" t="s">
        <v>1069</v>
      </c>
      <c r="H1966" t="s">
        <v>1274</v>
      </c>
      <c r="I1966">
        <v>0</v>
      </c>
      <c r="J1966" t="s">
        <v>289</v>
      </c>
      <c r="K1966" t="s">
        <v>290</v>
      </c>
      <c r="L1966" t="s">
        <v>285</v>
      </c>
      <c r="M1966" t="str">
        <f t="shared" si="107"/>
        <v>04</v>
      </c>
      <c r="N1966" t="s">
        <v>12</v>
      </c>
    </row>
    <row r="1967" spans="1:14" x14ac:dyDescent="0.25">
      <c r="A1967">
        <v>20160407</v>
      </c>
      <c r="B1967" t="str">
        <f>"063021"</f>
        <v>063021</v>
      </c>
      <c r="C1967" t="str">
        <f>"63620"</f>
        <v>63620</v>
      </c>
      <c r="D1967" t="s">
        <v>1278</v>
      </c>
      <c r="E1967" s="3">
        <v>85.88</v>
      </c>
      <c r="F1967">
        <v>20160406</v>
      </c>
      <c r="G1967" t="s">
        <v>1069</v>
      </c>
      <c r="H1967" t="s">
        <v>1273</v>
      </c>
      <c r="I1967">
        <v>0</v>
      </c>
      <c r="J1967" t="s">
        <v>289</v>
      </c>
      <c r="K1967" t="s">
        <v>290</v>
      </c>
      <c r="L1967" t="s">
        <v>285</v>
      </c>
      <c r="M1967" t="str">
        <f t="shared" si="107"/>
        <v>04</v>
      </c>
      <c r="N1967" t="s">
        <v>12</v>
      </c>
    </row>
    <row r="1968" spans="1:14" x14ac:dyDescent="0.25">
      <c r="A1968">
        <v>20160407</v>
      </c>
      <c r="B1968" t="str">
        <f>"063022"</f>
        <v>063022</v>
      </c>
      <c r="C1968" t="str">
        <f>"63913"</f>
        <v>63913</v>
      </c>
      <c r="D1968" t="s">
        <v>1048</v>
      </c>
      <c r="E1968" s="3">
        <v>75</v>
      </c>
      <c r="F1968">
        <v>20160406</v>
      </c>
      <c r="G1968" t="s">
        <v>1069</v>
      </c>
      <c r="H1968" t="s">
        <v>1270</v>
      </c>
      <c r="I1968">
        <v>0</v>
      </c>
      <c r="J1968" t="s">
        <v>289</v>
      </c>
      <c r="K1968" t="s">
        <v>290</v>
      </c>
      <c r="L1968" t="s">
        <v>285</v>
      </c>
      <c r="M1968" t="str">
        <f t="shared" si="107"/>
        <v>04</v>
      </c>
      <c r="N1968" t="s">
        <v>12</v>
      </c>
    </row>
    <row r="1969" spans="1:14" x14ac:dyDescent="0.25">
      <c r="A1969">
        <v>20160407</v>
      </c>
      <c r="B1969" t="str">
        <f>"063025"</f>
        <v>063025</v>
      </c>
      <c r="C1969" t="str">
        <f>"65388"</f>
        <v>65388</v>
      </c>
      <c r="D1969" t="s">
        <v>1279</v>
      </c>
      <c r="E1969" s="3">
        <v>135</v>
      </c>
      <c r="F1969">
        <v>20160406</v>
      </c>
      <c r="G1969" t="s">
        <v>703</v>
      </c>
      <c r="H1969" t="s">
        <v>1084</v>
      </c>
      <c r="I1969">
        <v>0</v>
      </c>
      <c r="J1969" t="s">
        <v>289</v>
      </c>
      <c r="K1969" t="s">
        <v>95</v>
      </c>
      <c r="L1969" t="s">
        <v>285</v>
      </c>
      <c r="M1969" t="str">
        <f t="shared" si="107"/>
        <v>04</v>
      </c>
      <c r="N1969" t="s">
        <v>12</v>
      </c>
    </row>
    <row r="1970" spans="1:14" x14ac:dyDescent="0.25">
      <c r="A1970">
        <v>20160411</v>
      </c>
      <c r="B1970" t="str">
        <f>"063031"</f>
        <v>063031</v>
      </c>
      <c r="C1970" t="str">
        <f>"21446"</f>
        <v>21446</v>
      </c>
      <c r="D1970" t="s">
        <v>1280</v>
      </c>
      <c r="E1970" s="3">
        <v>507.24</v>
      </c>
      <c r="F1970">
        <v>20160411</v>
      </c>
      <c r="G1970" t="s">
        <v>599</v>
      </c>
      <c r="H1970" t="s">
        <v>1281</v>
      </c>
      <c r="I1970">
        <v>0</v>
      </c>
      <c r="J1970" t="s">
        <v>289</v>
      </c>
      <c r="K1970" t="s">
        <v>290</v>
      </c>
      <c r="L1970" t="s">
        <v>285</v>
      </c>
      <c r="M1970" t="str">
        <f t="shared" si="107"/>
        <v>04</v>
      </c>
      <c r="N1970" t="s">
        <v>12</v>
      </c>
    </row>
    <row r="1971" spans="1:14" x14ac:dyDescent="0.25">
      <c r="A1971">
        <v>20160411</v>
      </c>
      <c r="B1971" t="str">
        <f>"063032"</f>
        <v>063032</v>
      </c>
      <c r="C1971" t="str">
        <f>"57322"</f>
        <v>57322</v>
      </c>
      <c r="D1971" t="s">
        <v>957</v>
      </c>
      <c r="E1971" s="3">
        <v>224</v>
      </c>
      <c r="F1971">
        <v>20160411</v>
      </c>
      <c r="G1971" t="s">
        <v>599</v>
      </c>
      <c r="H1971" t="s">
        <v>1281</v>
      </c>
      <c r="I1971">
        <v>0</v>
      </c>
      <c r="J1971" t="s">
        <v>289</v>
      </c>
      <c r="K1971" t="s">
        <v>290</v>
      </c>
      <c r="L1971" t="s">
        <v>285</v>
      </c>
      <c r="M1971" t="str">
        <f t="shared" si="107"/>
        <v>04</v>
      </c>
      <c r="N1971" t="s">
        <v>12</v>
      </c>
    </row>
    <row r="1972" spans="1:14" x14ac:dyDescent="0.25">
      <c r="A1972">
        <v>20160411</v>
      </c>
      <c r="B1972" t="str">
        <f>"063032"</f>
        <v>063032</v>
      </c>
      <c r="C1972" t="str">
        <f>"57322"</f>
        <v>57322</v>
      </c>
      <c r="D1972" t="s">
        <v>957</v>
      </c>
      <c r="E1972" s="3">
        <v>50</v>
      </c>
      <c r="F1972">
        <v>20160411</v>
      </c>
      <c r="G1972" t="s">
        <v>599</v>
      </c>
      <c r="H1972" t="s">
        <v>1281</v>
      </c>
      <c r="I1972">
        <v>0</v>
      </c>
      <c r="J1972" t="s">
        <v>289</v>
      </c>
      <c r="K1972" t="s">
        <v>290</v>
      </c>
      <c r="L1972" t="s">
        <v>285</v>
      </c>
      <c r="M1972" t="str">
        <f t="shared" si="107"/>
        <v>04</v>
      </c>
      <c r="N1972" t="s">
        <v>12</v>
      </c>
    </row>
    <row r="1973" spans="1:14" x14ac:dyDescent="0.25">
      <c r="A1973">
        <v>20160415</v>
      </c>
      <c r="B1973" t="str">
        <f>"063046"</f>
        <v>063046</v>
      </c>
      <c r="C1973" t="str">
        <f>"12993"</f>
        <v>12993</v>
      </c>
      <c r="D1973" t="s">
        <v>1229</v>
      </c>
      <c r="E1973" s="3">
        <v>121</v>
      </c>
      <c r="F1973">
        <v>20160412</v>
      </c>
      <c r="G1973" t="s">
        <v>1111</v>
      </c>
      <c r="H1973" t="s">
        <v>1282</v>
      </c>
      <c r="I1973">
        <v>0</v>
      </c>
      <c r="J1973" t="s">
        <v>289</v>
      </c>
      <c r="K1973" t="s">
        <v>290</v>
      </c>
      <c r="L1973" t="s">
        <v>285</v>
      </c>
      <c r="M1973" t="str">
        <f t="shared" si="107"/>
        <v>04</v>
      </c>
      <c r="N1973" t="s">
        <v>12</v>
      </c>
    </row>
    <row r="1974" spans="1:14" x14ac:dyDescent="0.25">
      <c r="A1974">
        <v>20160415</v>
      </c>
      <c r="B1974" t="str">
        <f>"063050"</f>
        <v>063050</v>
      </c>
      <c r="C1974" t="str">
        <f>"19079"</f>
        <v>19079</v>
      </c>
      <c r="D1974" t="s">
        <v>341</v>
      </c>
      <c r="E1974" s="3">
        <v>96</v>
      </c>
      <c r="F1974">
        <v>20160412</v>
      </c>
      <c r="G1974" t="s">
        <v>1069</v>
      </c>
      <c r="H1974" t="s">
        <v>1283</v>
      </c>
      <c r="I1974">
        <v>0</v>
      </c>
      <c r="J1974" t="s">
        <v>289</v>
      </c>
      <c r="K1974" t="s">
        <v>290</v>
      </c>
      <c r="L1974" t="s">
        <v>285</v>
      </c>
      <c r="M1974" t="str">
        <f t="shared" si="107"/>
        <v>04</v>
      </c>
      <c r="N1974" t="s">
        <v>12</v>
      </c>
    </row>
    <row r="1975" spans="1:14" x14ac:dyDescent="0.25">
      <c r="A1975">
        <v>20160415</v>
      </c>
      <c r="B1975" t="str">
        <f>"063056"</f>
        <v>063056</v>
      </c>
      <c r="C1975" t="str">
        <f>"19294"</f>
        <v>19294</v>
      </c>
      <c r="D1975" t="s">
        <v>411</v>
      </c>
      <c r="E1975" s="3">
        <v>113.14</v>
      </c>
      <c r="F1975">
        <v>20160412</v>
      </c>
      <c r="G1975" t="s">
        <v>1111</v>
      </c>
      <c r="H1975" t="s">
        <v>1284</v>
      </c>
      <c r="I1975">
        <v>0</v>
      </c>
      <c r="J1975" t="s">
        <v>289</v>
      </c>
      <c r="K1975" t="s">
        <v>290</v>
      </c>
      <c r="L1975" t="s">
        <v>285</v>
      </c>
      <c r="M1975" t="str">
        <f t="shared" si="107"/>
        <v>04</v>
      </c>
      <c r="N1975" t="s">
        <v>12</v>
      </c>
    </row>
    <row r="1976" spans="1:14" x14ac:dyDescent="0.25">
      <c r="A1976">
        <v>20160415</v>
      </c>
      <c r="B1976" t="str">
        <f>"063057"</f>
        <v>063057</v>
      </c>
      <c r="C1976" t="str">
        <f>"20433"</f>
        <v>20433</v>
      </c>
      <c r="D1976" t="s">
        <v>413</v>
      </c>
      <c r="E1976" s="3">
        <v>25</v>
      </c>
      <c r="F1976">
        <v>20160412</v>
      </c>
      <c r="G1976" t="s">
        <v>1111</v>
      </c>
      <c r="H1976" t="s">
        <v>1282</v>
      </c>
      <c r="I1976">
        <v>0</v>
      </c>
      <c r="J1976" t="s">
        <v>289</v>
      </c>
      <c r="K1976" t="s">
        <v>290</v>
      </c>
      <c r="L1976" t="s">
        <v>285</v>
      </c>
      <c r="M1976" t="str">
        <f t="shared" si="107"/>
        <v>04</v>
      </c>
      <c r="N1976" t="s">
        <v>12</v>
      </c>
    </row>
    <row r="1977" spans="1:14" x14ac:dyDescent="0.25">
      <c r="A1977">
        <v>20160415</v>
      </c>
      <c r="B1977" t="str">
        <f>"063058"</f>
        <v>063058</v>
      </c>
      <c r="C1977" t="str">
        <f>"51346"</f>
        <v>51346</v>
      </c>
      <c r="D1977" t="s">
        <v>379</v>
      </c>
      <c r="E1977" s="3">
        <v>102</v>
      </c>
      <c r="F1977">
        <v>20160412</v>
      </c>
      <c r="G1977" t="s">
        <v>883</v>
      </c>
      <c r="H1977" t="s">
        <v>1285</v>
      </c>
      <c r="I1977">
        <v>0</v>
      </c>
      <c r="J1977" t="s">
        <v>289</v>
      </c>
      <c r="K1977" t="s">
        <v>290</v>
      </c>
      <c r="L1977" t="s">
        <v>285</v>
      </c>
      <c r="M1977" t="str">
        <f t="shared" si="107"/>
        <v>04</v>
      </c>
      <c r="N1977" t="s">
        <v>12</v>
      </c>
    </row>
    <row r="1978" spans="1:14" x14ac:dyDescent="0.25">
      <c r="A1978">
        <v>20160415</v>
      </c>
      <c r="B1978" t="str">
        <f>"063066"</f>
        <v>063066</v>
      </c>
      <c r="C1978" t="str">
        <f>"24344"</f>
        <v>24344</v>
      </c>
      <c r="D1978" t="s">
        <v>988</v>
      </c>
      <c r="E1978" s="3">
        <v>130</v>
      </c>
      <c r="F1978">
        <v>20160412</v>
      </c>
      <c r="G1978" t="s">
        <v>1032</v>
      </c>
      <c r="H1978" t="s">
        <v>1286</v>
      </c>
      <c r="I1978">
        <v>0</v>
      </c>
      <c r="J1978" t="s">
        <v>289</v>
      </c>
      <c r="K1978" t="s">
        <v>290</v>
      </c>
      <c r="L1978" t="s">
        <v>285</v>
      </c>
      <c r="M1978" t="str">
        <f t="shared" si="107"/>
        <v>04</v>
      </c>
      <c r="N1978" t="s">
        <v>12</v>
      </c>
    </row>
    <row r="1979" spans="1:14" x14ac:dyDescent="0.25">
      <c r="A1979">
        <v>20160415</v>
      </c>
      <c r="B1979" t="str">
        <f>"063067"</f>
        <v>063067</v>
      </c>
      <c r="C1979" t="str">
        <f>"24344"</f>
        <v>24344</v>
      </c>
      <c r="D1979" t="s">
        <v>988</v>
      </c>
      <c r="E1979" s="3">
        <v>148.15</v>
      </c>
      <c r="F1979">
        <v>20160412</v>
      </c>
      <c r="G1979" t="s">
        <v>1026</v>
      </c>
      <c r="H1979" t="s">
        <v>1287</v>
      </c>
      <c r="I1979">
        <v>0</v>
      </c>
      <c r="J1979" t="s">
        <v>289</v>
      </c>
      <c r="K1979" t="s">
        <v>290</v>
      </c>
      <c r="L1979" t="s">
        <v>285</v>
      </c>
      <c r="M1979" t="str">
        <f t="shared" si="107"/>
        <v>04</v>
      </c>
      <c r="N1979" t="s">
        <v>12</v>
      </c>
    </row>
    <row r="1980" spans="1:14" x14ac:dyDescent="0.25">
      <c r="A1980">
        <v>20160415</v>
      </c>
      <c r="B1980" t="str">
        <f t="shared" ref="B1980:B1985" si="108">"063071"</f>
        <v>063071</v>
      </c>
      <c r="C1980" t="str">
        <f t="shared" ref="C1980:C1985" si="109">"28680"</f>
        <v>28680</v>
      </c>
      <c r="D1980" t="s">
        <v>422</v>
      </c>
      <c r="E1980" s="3">
        <v>136.83000000000001</v>
      </c>
      <c r="F1980">
        <v>20160412</v>
      </c>
      <c r="G1980" t="s">
        <v>599</v>
      </c>
      <c r="H1980" t="s">
        <v>1288</v>
      </c>
      <c r="I1980">
        <v>0</v>
      </c>
      <c r="J1980" t="s">
        <v>289</v>
      </c>
      <c r="K1980" t="s">
        <v>290</v>
      </c>
      <c r="L1980" t="s">
        <v>285</v>
      </c>
      <c r="M1980" t="str">
        <f t="shared" si="107"/>
        <v>04</v>
      </c>
      <c r="N1980" t="s">
        <v>12</v>
      </c>
    </row>
    <row r="1981" spans="1:14" x14ac:dyDescent="0.25">
      <c r="A1981">
        <v>20160415</v>
      </c>
      <c r="B1981" t="str">
        <f t="shared" si="108"/>
        <v>063071</v>
      </c>
      <c r="C1981" t="str">
        <f t="shared" si="109"/>
        <v>28680</v>
      </c>
      <c r="D1981" t="s">
        <v>422</v>
      </c>
      <c r="E1981" s="3">
        <v>206.78</v>
      </c>
      <c r="F1981">
        <v>20160412</v>
      </c>
      <c r="G1981" t="s">
        <v>599</v>
      </c>
      <c r="H1981" t="s">
        <v>1289</v>
      </c>
      <c r="I1981">
        <v>0</v>
      </c>
      <c r="J1981" t="s">
        <v>289</v>
      </c>
      <c r="K1981" t="s">
        <v>290</v>
      </c>
      <c r="L1981" t="s">
        <v>285</v>
      </c>
      <c r="M1981" t="str">
        <f t="shared" si="107"/>
        <v>04</v>
      </c>
      <c r="N1981" t="s">
        <v>12</v>
      </c>
    </row>
    <row r="1982" spans="1:14" x14ac:dyDescent="0.25">
      <c r="A1982">
        <v>20160415</v>
      </c>
      <c r="B1982" t="str">
        <f t="shared" si="108"/>
        <v>063071</v>
      </c>
      <c r="C1982" t="str">
        <f t="shared" si="109"/>
        <v>28680</v>
      </c>
      <c r="D1982" t="s">
        <v>422</v>
      </c>
      <c r="E1982" s="3">
        <v>178</v>
      </c>
      <c r="F1982">
        <v>20160412</v>
      </c>
      <c r="G1982" t="s">
        <v>847</v>
      </c>
      <c r="H1982" t="s">
        <v>1077</v>
      </c>
      <c r="I1982">
        <v>0</v>
      </c>
      <c r="J1982" t="s">
        <v>289</v>
      </c>
      <c r="K1982" t="s">
        <v>290</v>
      </c>
      <c r="L1982" t="s">
        <v>285</v>
      </c>
      <c r="M1982" t="str">
        <f t="shared" si="107"/>
        <v>04</v>
      </c>
      <c r="N1982" t="s">
        <v>12</v>
      </c>
    </row>
    <row r="1983" spans="1:14" x14ac:dyDescent="0.25">
      <c r="A1983">
        <v>20160415</v>
      </c>
      <c r="B1983" t="str">
        <f t="shared" si="108"/>
        <v>063071</v>
      </c>
      <c r="C1983" t="str">
        <f t="shared" si="109"/>
        <v>28680</v>
      </c>
      <c r="D1983" t="s">
        <v>422</v>
      </c>
      <c r="E1983" s="3">
        <v>62.28</v>
      </c>
      <c r="F1983">
        <v>20160412</v>
      </c>
      <c r="G1983" t="s">
        <v>847</v>
      </c>
      <c r="H1983" t="s">
        <v>1077</v>
      </c>
      <c r="I1983">
        <v>0</v>
      </c>
      <c r="J1983" t="s">
        <v>289</v>
      </c>
      <c r="K1983" t="s">
        <v>290</v>
      </c>
      <c r="L1983" t="s">
        <v>285</v>
      </c>
      <c r="M1983" t="str">
        <f t="shared" si="107"/>
        <v>04</v>
      </c>
      <c r="N1983" t="s">
        <v>12</v>
      </c>
    </row>
    <row r="1984" spans="1:14" x14ac:dyDescent="0.25">
      <c r="A1984">
        <v>20160415</v>
      </c>
      <c r="B1984" t="str">
        <f t="shared" si="108"/>
        <v>063071</v>
      </c>
      <c r="C1984" t="str">
        <f t="shared" si="109"/>
        <v>28680</v>
      </c>
      <c r="D1984" t="s">
        <v>422</v>
      </c>
      <c r="E1984" s="3">
        <v>104</v>
      </c>
      <c r="F1984">
        <v>20160412</v>
      </c>
      <c r="G1984" t="s">
        <v>847</v>
      </c>
      <c r="H1984" t="s">
        <v>1077</v>
      </c>
      <c r="I1984">
        <v>0</v>
      </c>
      <c r="J1984" t="s">
        <v>289</v>
      </c>
      <c r="K1984" t="s">
        <v>290</v>
      </c>
      <c r="L1984" t="s">
        <v>285</v>
      </c>
      <c r="M1984" t="str">
        <f t="shared" si="107"/>
        <v>04</v>
      </c>
      <c r="N1984" t="s">
        <v>12</v>
      </c>
    </row>
    <row r="1985" spans="1:14" x14ac:dyDescent="0.25">
      <c r="A1985">
        <v>20160415</v>
      </c>
      <c r="B1985" t="str">
        <f t="shared" si="108"/>
        <v>063071</v>
      </c>
      <c r="C1985" t="str">
        <f t="shared" si="109"/>
        <v>28680</v>
      </c>
      <c r="D1985" t="s">
        <v>422</v>
      </c>
      <c r="E1985" s="3">
        <v>52</v>
      </c>
      <c r="F1985">
        <v>20160412</v>
      </c>
      <c r="G1985" t="s">
        <v>847</v>
      </c>
      <c r="H1985" t="s">
        <v>1077</v>
      </c>
      <c r="I1985">
        <v>0</v>
      </c>
      <c r="J1985" t="s">
        <v>289</v>
      </c>
      <c r="K1985" t="s">
        <v>290</v>
      </c>
      <c r="L1985" t="s">
        <v>285</v>
      </c>
      <c r="M1985" t="str">
        <f t="shared" si="107"/>
        <v>04</v>
      </c>
      <c r="N1985" t="s">
        <v>12</v>
      </c>
    </row>
    <row r="1986" spans="1:14" x14ac:dyDescent="0.25">
      <c r="A1986">
        <v>20160415</v>
      </c>
      <c r="B1986" t="str">
        <f>"063078"</f>
        <v>063078</v>
      </c>
      <c r="C1986" t="str">
        <f>"30170"</f>
        <v>30170</v>
      </c>
      <c r="D1986" t="s">
        <v>1272</v>
      </c>
      <c r="E1986" s="3">
        <v>115</v>
      </c>
      <c r="F1986">
        <v>20160412</v>
      </c>
      <c r="G1986" t="s">
        <v>1069</v>
      </c>
      <c r="H1986" t="s">
        <v>1290</v>
      </c>
      <c r="I1986">
        <v>0</v>
      </c>
      <c r="J1986" t="s">
        <v>289</v>
      </c>
      <c r="K1986" t="s">
        <v>290</v>
      </c>
      <c r="L1986" t="s">
        <v>285</v>
      </c>
      <c r="M1986" t="str">
        <f t="shared" si="107"/>
        <v>04</v>
      </c>
      <c r="N1986" t="s">
        <v>12</v>
      </c>
    </row>
    <row r="1987" spans="1:14" x14ac:dyDescent="0.25">
      <c r="A1987">
        <v>20160415</v>
      </c>
      <c r="B1987" t="str">
        <f>"063079"</f>
        <v>063079</v>
      </c>
      <c r="C1987" t="str">
        <f>"30155"</f>
        <v>30155</v>
      </c>
      <c r="D1987" t="s">
        <v>944</v>
      </c>
      <c r="E1987" s="3">
        <v>250</v>
      </c>
      <c r="F1987">
        <v>20160412</v>
      </c>
      <c r="G1987" t="s">
        <v>1086</v>
      </c>
      <c r="H1987" t="s">
        <v>1291</v>
      </c>
      <c r="I1987">
        <v>0</v>
      </c>
      <c r="J1987" t="s">
        <v>289</v>
      </c>
      <c r="K1987" t="s">
        <v>95</v>
      </c>
      <c r="L1987" t="s">
        <v>285</v>
      </c>
      <c r="M1987" t="str">
        <f t="shared" si="107"/>
        <v>04</v>
      </c>
      <c r="N1987" t="s">
        <v>12</v>
      </c>
    </row>
    <row r="1988" spans="1:14" x14ac:dyDescent="0.25">
      <c r="A1988">
        <v>20160415</v>
      </c>
      <c r="B1988" t="str">
        <f>"063081"</f>
        <v>063081</v>
      </c>
      <c r="C1988" t="str">
        <f>"31341"</f>
        <v>31341</v>
      </c>
      <c r="D1988" t="s">
        <v>1241</v>
      </c>
      <c r="E1988" s="3">
        <v>115</v>
      </c>
      <c r="F1988">
        <v>20160412</v>
      </c>
      <c r="G1988" t="s">
        <v>1069</v>
      </c>
      <c r="H1988" t="s">
        <v>1290</v>
      </c>
      <c r="I1988">
        <v>0</v>
      </c>
      <c r="J1988" t="s">
        <v>289</v>
      </c>
      <c r="K1988" t="s">
        <v>290</v>
      </c>
      <c r="L1988" t="s">
        <v>285</v>
      </c>
      <c r="M1988" t="str">
        <f t="shared" si="107"/>
        <v>04</v>
      </c>
      <c r="N1988" t="s">
        <v>12</v>
      </c>
    </row>
    <row r="1989" spans="1:14" x14ac:dyDescent="0.25">
      <c r="A1989">
        <v>20160415</v>
      </c>
      <c r="B1989" t="str">
        <f>"063093"</f>
        <v>063093</v>
      </c>
      <c r="C1989" t="str">
        <f>"37891"</f>
        <v>37891</v>
      </c>
      <c r="D1989" t="s">
        <v>1292</v>
      </c>
      <c r="E1989" s="3">
        <v>99</v>
      </c>
      <c r="F1989">
        <v>20160412</v>
      </c>
      <c r="G1989" t="s">
        <v>1293</v>
      </c>
      <c r="H1989" t="s">
        <v>1294</v>
      </c>
      <c r="I1989">
        <v>0</v>
      </c>
      <c r="J1989" t="s">
        <v>289</v>
      </c>
      <c r="K1989" t="s">
        <v>290</v>
      </c>
      <c r="L1989" t="s">
        <v>285</v>
      </c>
      <c r="M1989" t="str">
        <f t="shared" si="107"/>
        <v>04</v>
      </c>
      <c r="N1989" t="s">
        <v>12</v>
      </c>
    </row>
    <row r="1990" spans="1:14" x14ac:dyDescent="0.25">
      <c r="A1990">
        <v>20160415</v>
      </c>
      <c r="B1990" t="str">
        <f>"063097"</f>
        <v>063097</v>
      </c>
      <c r="C1990" t="str">
        <f>"41230"</f>
        <v>41230</v>
      </c>
      <c r="D1990" t="s">
        <v>604</v>
      </c>
      <c r="E1990" s="3">
        <v>119.85</v>
      </c>
      <c r="F1990">
        <v>20160412</v>
      </c>
      <c r="G1990" t="s">
        <v>507</v>
      </c>
      <c r="H1990" t="s">
        <v>1295</v>
      </c>
      <c r="I1990">
        <v>0</v>
      </c>
      <c r="J1990" t="s">
        <v>289</v>
      </c>
      <c r="K1990" t="s">
        <v>290</v>
      </c>
      <c r="L1990" t="s">
        <v>285</v>
      </c>
      <c r="M1990" t="str">
        <f t="shared" si="107"/>
        <v>04</v>
      </c>
      <c r="N1990" t="s">
        <v>12</v>
      </c>
    </row>
    <row r="1991" spans="1:14" x14ac:dyDescent="0.25">
      <c r="A1991">
        <v>20160415</v>
      </c>
      <c r="B1991" t="str">
        <f>"063114"</f>
        <v>063114</v>
      </c>
      <c r="C1991" t="str">
        <f>"52217"</f>
        <v>52217</v>
      </c>
      <c r="D1991" t="s">
        <v>577</v>
      </c>
      <c r="E1991" s="3">
        <v>241.4</v>
      </c>
      <c r="F1991">
        <v>20160413</v>
      </c>
      <c r="G1991" t="s">
        <v>578</v>
      </c>
      <c r="H1991" t="s">
        <v>1296</v>
      </c>
      <c r="I1991">
        <v>0</v>
      </c>
      <c r="J1991" t="s">
        <v>289</v>
      </c>
      <c r="K1991" t="s">
        <v>290</v>
      </c>
      <c r="L1991" t="s">
        <v>285</v>
      </c>
      <c r="M1991" t="str">
        <f t="shared" ref="M1991:M2022" si="110">"04"</f>
        <v>04</v>
      </c>
      <c r="N1991" t="s">
        <v>12</v>
      </c>
    </row>
    <row r="1992" spans="1:14" x14ac:dyDescent="0.25">
      <c r="A1992">
        <v>20160415</v>
      </c>
      <c r="B1992" t="str">
        <f>"063118"</f>
        <v>063118</v>
      </c>
      <c r="C1992" t="str">
        <f>"55565"</f>
        <v>55565</v>
      </c>
      <c r="D1992" t="s">
        <v>1297</v>
      </c>
      <c r="E1992" s="3">
        <v>54.25</v>
      </c>
      <c r="F1992">
        <v>20160413</v>
      </c>
      <c r="G1992" t="s">
        <v>599</v>
      </c>
      <c r="H1992" t="s">
        <v>1148</v>
      </c>
      <c r="I1992">
        <v>0</v>
      </c>
      <c r="J1992" t="s">
        <v>289</v>
      </c>
      <c r="K1992" t="s">
        <v>290</v>
      </c>
      <c r="L1992" t="s">
        <v>285</v>
      </c>
      <c r="M1992" t="str">
        <f t="shared" si="110"/>
        <v>04</v>
      </c>
      <c r="N1992" t="s">
        <v>12</v>
      </c>
    </row>
    <row r="1993" spans="1:14" x14ac:dyDescent="0.25">
      <c r="A1993">
        <v>20160415</v>
      </c>
      <c r="B1993" t="str">
        <f>"063140"</f>
        <v>063140</v>
      </c>
      <c r="C1993" t="str">
        <f>"62795"</f>
        <v>62795</v>
      </c>
      <c r="D1993" t="s">
        <v>545</v>
      </c>
      <c r="E1993" s="3">
        <v>3699.28</v>
      </c>
      <c r="F1993">
        <v>20160413</v>
      </c>
      <c r="G1993" t="s">
        <v>1253</v>
      </c>
      <c r="H1993" t="s">
        <v>1298</v>
      </c>
      <c r="I1993">
        <v>0</v>
      </c>
      <c r="J1993" t="s">
        <v>289</v>
      </c>
      <c r="K1993" t="s">
        <v>290</v>
      </c>
      <c r="L1993" t="s">
        <v>285</v>
      </c>
      <c r="M1993" t="str">
        <f t="shared" si="110"/>
        <v>04</v>
      </c>
      <c r="N1993" t="s">
        <v>12</v>
      </c>
    </row>
    <row r="1994" spans="1:14" x14ac:dyDescent="0.25">
      <c r="A1994">
        <v>20160415</v>
      </c>
      <c r="B1994" t="str">
        <f>"063141"</f>
        <v>063141</v>
      </c>
      <c r="C1994" t="str">
        <f>"63018"</f>
        <v>63018</v>
      </c>
      <c r="D1994" t="s">
        <v>1299</v>
      </c>
      <c r="E1994" s="3">
        <v>75</v>
      </c>
      <c r="F1994">
        <v>20160413</v>
      </c>
      <c r="G1994" t="s">
        <v>1069</v>
      </c>
      <c r="H1994" t="s">
        <v>1283</v>
      </c>
      <c r="I1994">
        <v>0</v>
      </c>
      <c r="J1994" t="s">
        <v>289</v>
      </c>
      <c r="K1994" t="s">
        <v>290</v>
      </c>
      <c r="L1994" t="s">
        <v>285</v>
      </c>
      <c r="M1994" t="str">
        <f t="shared" si="110"/>
        <v>04</v>
      </c>
      <c r="N1994" t="s">
        <v>12</v>
      </c>
    </row>
    <row r="1995" spans="1:14" x14ac:dyDescent="0.25">
      <c r="A1995">
        <v>20160415</v>
      </c>
      <c r="B1995" t="str">
        <f>"063146"</f>
        <v>063146</v>
      </c>
      <c r="C1995" t="str">
        <f>"63708"</f>
        <v>63708</v>
      </c>
      <c r="D1995" t="s">
        <v>1300</v>
      </c>
      <c r="E1995" s="3">
        <v>100</v>
      </c>
      <c r="F1995">
        <v>20160413</v>
      </c>
      <c r="G1995" t="s">
        <v>1111</v>
      </c>
      <c r="H1995" t="s">
        <v>1112</v>
      </c>
      <c r="I1995">
        <v>0</v>
      </c>
      <c r="J1995" t="s">
        <v>289</v>
      </c>
      <c r="K1995" t="s">
        <v>290</v>
      </c>
      <c r="L1995" t="s">
        <v>285</v>
      </c>
      <c r="M1995" t="str">
        <f t="shared" si="110"/>
        <v>04</v>
      </c>
      <c r="N1995" t="s">
        <v>12</v>
      </c>
    </row>
    <row r="1996" spans="1:14" x14ac:dyDescent="0.25">
      <c r="A1996">
        <v>20160415</v>
      </c>
      <c r="B1996" t="str">
        <f>"063146"</f>
        <v>063146</v>
      </c>
      <c r="C1996" t="str">
        <f>"63708"</f>
        <v>63708</v>
      </c>
      <c r="D1996" t="s">
        <v>1300</v>
      </c>
      <c r="E1996" s="3">
        <v>142.51</v>
      </c>
      <c r="F1996">
        <v>20160413</v>
      </c>
      <c r="G1996" t="s">
        <v>1111</v>
      </c>
      <c r="H1996" t="s">
        <v>1284</v>
      </c>
      <c r="I1996">
        <v>0</v>
      </c>
      <c r="J1996" t="s">
        <v>289</v>
      </c>
      <c r="K1996" t="s">
        <v>290</v>
      </c>
      <c r="L1996" t="s">
        <v>285</v>
      </c>
      <c r="M1996" t="str">
        <f t="shared" si="110"/>
        <v>04</v>
      </c>
      <c r="N1996" t="s">
        <v>12</v>
      </c>
    </row>
    <row r="1997" spans="1:14" x14ac:dyDescent="0.25">
      <c r="A1997">
        <v>20160415</v>
      </c>
      <c r="B1997" t="str">
        <f>"063154"</f>
        <v>063154</v>
      </c>
      <c r="C1997" t="str">
        <f>"68074"</f>
        <v>68074</v>
      </c>
      <c r="D1997" t="s">
        <v>1301</v>
      </c>
      <c r="E1997" s="3">
        <v>75</v>
      </c>
      <c r="F1997">
        <v>20160413</v>
      </c>
      <c r="G1997" t="s">
        <v>1069</v>
      </c>
      <c r="H1997" t="s">
        <v>1302</v>
      </c>
      <c r="I1997">
        <v>0</v>
      </c>
      <c r="J1997" t="s">
        <v>289</v>
      </c>
      <c r="K1997" t="s">
        <v>290</v>
      </c>
      <c r="L1997" t="s">
        <v>285</v>
      </c>
      <c r="M1997" t="str">
        <f t="shared" si="110"/>
        <v>04</v>
      </c>
      <c r="N1997" t="s">
        <v>12</v>
      </c>
    </row>
    <row r="1998" spans="1:14" x14ac:dyDescent="0.25">
      <c r="A1998">
        <v>20160415</v>
      </c>
      <c r="B1998" t="str">
        <f>"063155"</f>
        <v>063155</v>
      </c>
      <c r="C1998" t="str">
        <f>"70063"</f>
        <v>70063</v>
      </c>
      <c r="D1998" t="s">
        <v>1303</v>
      </c>
      <c r="E1998" s="3">
        <v>75</v>
      </c>
      <c r="F1998">
        <v>20160413</v>
      </c>
      <c r="G1998" t="s">
        <v>1069</v>
      </c>
      <c r="H1998" t="s">
        <v>1283</v>
      </c>
      <c r="I1998">
        <v>0</v>
      </c>
      <c r="J1998" t="s">
        <v>289</v>
      </c>
      <c r="K1998" t="s">
        <v>290</v>
      </c>
      <c r="L1998" t="s">
        <v>285</v>
      </c>
      <c r="M1998" t="str">
        <f t="shared" si="110"/>
        <v>04</v>
      </c>
      <c r="N1998" t="s">
        <v>12</v>
      </c>
    </row>
    <row r="1999" spans="1:14" x14ac:dyDescent="0.25">
      <c r="A1999">
        <v>20160415</v>
      </c>
      <c r="B1999" t="str">
        <f>"063155"</f>
        <v>063155</v>
      </c>
      <c r="C1999" t="str">
        <f>"70063"</f>
        <v>70063</v>
      </c>
      <c r="D1999" t="s">
        <v>1303</v>
      </c>
      <c r="E1999" s="3">
        <v>75</v>
      </c>
      <c r="F1999">
        <v>20160413</v>
      </c>
      <c r="G1999" t="s">
        <v>1069</v>
      </c>
      <c r="H1999" t="s">
        <v>1302</v>
      </c>
      <c r="I1999">
        <v>0</v>
      </c>
      <c r="J1999" t="s">
        <v>289</v>
      </c>
      <c r="K1999" t="s">
        <v>290</v>
      </c>
      <c r="L1999" t="s">
        <v>285</v>
      </c>
      <c r="M1999" t="str">
        <f t="shared" si="110"/>
        <v>04</v>
      </c>
      <c r="N1999" t="s">
        <v>12</v>
      </c>
    </row>
    <row r="2000" spans="1:14" x14ac:dyDescent="0.25">
      <c r="A2000">
        <v>20160415</v>
      </c>
      <c r="B2000" t="str">
        <f>"063173"</f>
        <v>063173</v>
      </c>
      <c r="C2000" t="str">
        <f>"83037"</f>
        <v>83037</v>
      </c>
      <c r="D2000" t="s">
        <v>523</v>
      </c>
      <c r="E2000" s="3">
        <v>96</v>
      </c>
      <c r="F2000">
        <v>20160413</v>
      </c>
      <c r="G2000" t="s">
        <v>1069</v>
      </c>
      <c r="H2000" t="s">
        <v>1302</v>
      </c>
      <c r="I2000">
        <v>0</v>
      </c>
      <c r="J2000" t="s">
        <v>289</v>
      </c>
      <c r="K2000" t="s">
        <v>290</v>
      </c>
      <c r="L2000" t="s">
        <v>285</v>
      </c>
      <c r="M2000" t="str">
        <f t="shared" si="110"/>
        <v>04</v>
      </c>
      <c r="N2000" t="s">
        <v>12</v>
      </c>
    </row>
    <row r="2001" spans="1:14" x14ac:dyDescent="0.25">
      <c r="A2001">
        <v>20160419</v>
      </c>
      <c r="B2001" t="str">
        <f>"063177"</f>
        <v>063177</v>
      </c>
      <c r="C2001" t="str">
        <f>"39422"</f>
        <v>39422</v>
      </c>
      <c r="D2001" t="s">
        <v>1141</v>
      </c>
      <c r="E2001" s="3">
        <v>800</v>
      </c>
      <c r="F2001">
        <v>20160419</v>
      </c>
      <c r="G2001" t="s">
        <v>599</v>
      </c>
      <c r="H2001" t="s">
        <v>1304</v>
      </c>
      <c r="I2001">
        <v>0</v>
      </c>
      <c r="J2001" t="s">
        <v>289</v>
      </c>
      <c r="K2001" t="s">
        <v>290</v>
      </c>
      <c r="L2001" t="s">
        <v>17</v>
      </c>
      <c r="M2001" t="str">
        <f t="shared" si="110"/>
        <v>04</v>
      </c>
      <c r="N2001" t="s">
        <v>12</v>
      </c>
    </row>
    <row r="2002" spans="1:14" x14ac:dyDescent="0.25">
      <c r="A2002">
        <v>20160419</v>
      </c>
      <c r="B2002" t="str">
        <f>"063178"</f>
        <v>063178</v>
      </c>
      <c r="C2002" t="str">
        <f>"40856"</f>
        <v>40856</v>
      </c>
      <c r="D2002" t="s">
        <v>1057</v>
      </c>
      <c r="E2002" s="3">
        <v>1274.4000000000001</v>
      </c>
      <c r="F2002">
        <v>20160419</v>
      </c>
      <c r="G2002" t="s">
        <v>599</v>
      </c>
      <c r="H2002" t="s">
        <v>1304</v>
      </c>
      <c r="I2002">
        <v>0</v>
      </c>
      <c r="J2002" t="s">
        <v>289</v>
      </c>
      <c r="K2002" t="s">
        <v>290</v>
      </c>
      <c r="L2002" t="s">
        <v>17</v>
      </c>
      <c r="M2002" t="str">
        <f t="shared" si="110"/>
        <v>04</v>
      </c>
      <c r="N2002" t="s">
        <v>12</v>
      </c>
    </row>
    <row r="2003" spans="1:14" x14ac:dyDescent="0.25">
      <c r="A2003">
        <v>20160420</v>
      </c>
      <c r="B2003" t="str">
        <f>"063180"</f>
        <v>063180</v>
      </c>
      <c r="C2003" t="str">
        <f>"04405"</f>
        <v>04405</v>
      </c>
      <c r="D2003" t="s">
        <v>1305</v>
      </c>
      <c r="E2003" s="3">
        <v>75</v>
      </c>
      <c r="F2003">
        <v>20160419</v>
      </c>
      <c r="G2003" t="s">
        <v>1069</v>
      </c>
      <c r="H2003" t="s">
        <v>1306</v>
      </c>
      <c r="I2003">
        <v>0</v>
      </c>
      <c r="J2003" t="s">
        <v>289</v>
      </c>
      <c r="K2003" t="s">
        <v>290</v>
      </c>
      <c r="L2003" t="s">
        <v>285</v>
      </c>
      <c r="M2003" t="str">
        <f t="shared" si="110"/>
        <v>04</v>
      </c>
      <c r="N2003" t="s">
        <v>12</v>
      </c>
    </row>
    <row r="2004" spans="1:14" x14ac:dyDescent="0.25">
      <c r="A2004">
        <v>20160420</v>
      </c>
      <c r="B2004" t="str">
        <f>"063184"</f>
        <v>063184</v>
      </c>
      <c r="C2004" t="str">
        <f>"10020"</f>
        <v>10020</v>
      </c>
      <c r="D2004" t="s">
        <v>1018</v>
      </c>
      <c r="E2004" s="3">
        <v>249.8</v>
      </c>
      <c r="F2004">
        <v>20160419</v>
      </c>
      <c r="G2004" t="s">
        <v>684</v>
      </c>
      <c r="H2004" t="s">
        <v>1307</v>
      </c>
      <c r="I2004">
        <v>0</v>
      </c>
      <c r="J2004" t="s">
        <v>289</v>
      </c>
      <c r="K2004" t="s">
        <v>290</v>
      </c>
      <c r="L2004" t="s">
        <v>285</v>
      </c>
      <c r="M2004" t="str">
        <f t="shared" si="110"/>
        <v>04</v>
      </c>
      <c r="N2004" t="s">
        <v>12</v>
      </c>
    </row>
    <row r="2005" spans="1:14" x14ac:dyDescent="0.25">
      <c r="A2005">
        <v>20160420</v>
      </c>
      <c r="B2005" t="str">
        <f>"063186"</f>
        <v>063186</v>
      </c>
      <c r="C2005" t="str">
        <f>"10526"</f>
        <v>10526</v>
      </c>
      <c r="D2005" t="s">
        <v>1308</v>
      </c>
      <c r="E2005" s="3">
        <v>301.66000000000003</v>
      </c>
      <c r="F2005">
        <v>20160419</v>
      </c>
      <c r="G2005" t="s">
        <v>599</v>
      </c>
      <c r="H2005" t="s">
        <v>1309</v>
      </c>
      <c r="I2005">
        <v>0</v>
      </c>
      <c r="J2005" t="s">
        <v>289</v>
      </c>
      <c r="K2005" t="s">
        <v>290</v>
      </c>
      <c r="L2005" t="s">
        <v>285</v>
      </c>
      <c r="M2005" t="str">
        <f t="shared" si="110"/>
        <v>04</v>
      </c>
      <c r="N2005" t="s">
        <v>12</v>
      </c>
    </row>
    <row r="2006" spans="1:14" x14ac:dyDescent="0.25">
      <c r="A2006">
        <v>20160420</v>
      </c>
      <c r="B2006" t="str">
        <f>"063190"</f>
        <v>063190</v>
      </c>
      <c r="C2006" t="str">
        <f>"46040"</f>
        <v>46040</v>
      </c>
      <c r="D2006" t="s">
        <v>1310</v>
      </c>
      <c r="E2006" s="3">
        <v>75</v>
      </c>
      <c r="F2006">
        <v>20160419</v>
      </c>
      <c r="G2006" t="s">
        <v>1069</v>
      </c>
      <c r="H2006" t="s">
        <v>1306</v>
      </c>
      <c r="I2006">
        <v>0</v>
      </c>
      <c r="J2006" t="s">
        <v>289</v>
      </c>
      <c r="K2006" t="s">
        <v>290</v>
      </c>
      <c r="L2006" t="s">
        <v>285</v>
      </c>
      <c r="M2006" t="str">
        <f t="shared" si="110"/>
        <v>04</v>
      </c>
      <c r="N2006" t="s">
        <v>12</v>
      </c>
    </row>
    <row r="2007" spans="1:14" x14ac:dyDescent="0.25">
      <c r="A2007">
        <v>20160420</v>
      </c>
      <c r="B2007" t="str">
        <f>"063191"</f>
        <v>063191</v>
      </c>
      <c r="C2007" t="str">
        <f>"19079"</f>
        <v>19079</v>
      </c>
      <c r="D2007" t="s">
        <v>341</v>
      </c>
      <c r="E2007" s="3">
        <v>96</v>
      </c>
      <c r="F2007">
        <v>20160419</v>
      </c>
      <c r="G2007" t="s">
        <v>1069</v>
      </c>
      <c r="H2007" t="s">
        <v>1311</v>
      </c>
      <c r="I2007">
        <v>0</v>
      </c>
      <c r="J2007" t="s">
        <v>289</v>
      </c>
      <c r="K2007" t="s">
        <v>290</v>
      </c>
      <c r="L2007" t="s">
        <v>285</v>
      </c>
      <c r="M2007" t="str">
        <f t="shared" si="110"/>
        <v>04</v>
      </c>
      <c r="N2007" t="s">
        <v>12</v>
      </c>
    </row>
    <row r="2008" spans="1:14" x14ac:dyDescent="0.25">
      <c r="A2008">
        <v>20160420</v>
      </c>
      <c r="B2008" t="str">
        <f>"063193"</f>
        <v>063193</v>
      </c>
      <c r="C2008" t="str">
        <f>"22120"</f>
        <v>22120</v>
      </c>
      <c r="D2008" t="s">
        <v>484</v>
      </c>
      <c r="E2008" s="3">
        <v>225</v>
      </c>
      <c r="F2008">
        <v>20160419</v>
      </c>
      <c r="G2008" t="s">
        <v>1086</v>
      </c>
      <c r="H2008" t="s">
        <v>1312</v>
      </c>
      <c r="I2008">
        <v>0</v>
      </c>
      <c r="J2008" t="s">
        <v>289</v>
      </c>
      <c r="K2008" t="s">
        <v>95</v>
      </c>
      <c r="L2008" t="s">
        <v>285</v>
      </c>
      <c r="M2008" t="str">
        <f t="shared" si="110"/>
        <v>04</v>
      </c>
      <c r="N2008" t="s">
        <v>12</v>
      </c>
    </row>
    <row r="2009" spans="1:14" x14ac:dyDescent="0.25">
      <c r="A2009">
        <v>20160420</v>
      </c>
      <c r="B2009" t="str">
        <f>"063196"</f>
        <v>063196</v>
      </c>
      <c r="C2009" t="str">
        <f>"51346"</f>
        <v>51346</v>
      </c>
      <c r="D2009" t="s">
        <v>379</v>
      </c>
      <c r="E2009" s="3">
        <v>150</v>
      </c>
      <c r="F2009">
        <v>20160419</v>
      </c>
      <c r="G2009" t="s">
        <v>1184</v>
      </c>
      <c r="H2009" t="s">
        <v>1313</v>
      </c>
      <c r="I2009">
        <v>0</v>
      </c>
      <c r="J2009" t="s">
        <v>289</v>
      </c>
      <c r="K2009" t="s">
        <v>290</v>
      </c>
      <c r="L2009" t="s">
        <v>285</v>
      </c>
      <c r="M2009" t="str">
        <f t="shared" si="110"/>
        <v>04</v>
      </c>
      <c r="N2009" t="s">
        <v>12</v>
      </c>
    </row>
    <row r="2010" spans="1:14" x14ac:dyDescent="0.25">
      <c r="A2010">
        <v>20160420</v>
      </c>
      <c r="B2010" t="str">
        <f>"063196"</f>
        <v>063196</v>
      </c>
      <c r="C2010" t="str">
        <f>"51346"</f>
        <v>51346</v>
      </c>
      <c r="D2010" t="s">
        <v>379</v>
      </c>
      <c r="E2010" s="3">
        <v>144</v>
      </c>
      <c r="F2010">
        <v>20160419</v>
      </c>
      <c r="G2010" t="s">
        <v>1185</v>
      </c>
      <c r="H2010" t="s">
        <v>1314</v>
      </c>
      <c r="I2010">
        <v>0</v>
      </c>
      <c r="J2010" t="s">
        <v>289</v>
      </c>
      <c r="K2010" t="s">
        <v>95</v>
      </c>
      <c r="L2010" t="s">
        <v>285</v>
      </c>
      <c r="M2010" t="str">
        <f t="shared" si="110"/>
        <v>04</v>
      </c>
      <c r="N2010" t="s">
        <v>12</v>
      </c>
    </row>
    <row r="2011" spans="1:14" x14ac:dyDescent="0.25">
      <c r="A2011">
        <v>20160420</v>
      </c>
      <c r="B2011" t="str">
        <f>"063196"</f>
        <v>063196</v>
      </c>
      <c r="C2011" t="str">
        <f>"51346"</f>
        <v>51346</v>
      </c>
      <c r="D2011" t="s">
        <v>379</v>
      </c>
      <c r="E2011" s="3">
        <v>126</v>
      </c>
      <c r="F2011">
        <v>20160419</v>
      </c>
      <c r="G2011" t="s">
        <v>1142</v>
      </c>
      <c r="H2011" t="s">
        <v>1315</v>
      </c>
      <c r="I2011">
        <v>0</v>
      </c>
      <c r="J2011" t="s">
        <v>289</v>
      </c>
      <c r="K2011" t="s">
        <v>290</v>
      </c>
      <c r="L2011" t="s">
        <v>285</v>
      </c>
      <c r="M2011" t="str">
        <f t="shared" si="110"/>
        <v>04</v>
      </c>
      <c r="N2011" t="s">
        <v>12</v>
      </c>
    </row>
    <row r="2012" spans="1:14" x14ac:dyDescent="0.25">
      <c r="A2012">
        <v>20160420</v>
      </c>
      <c r="B2012" t="str">
        <f>"063196"</f>
        <v>063196</v>
      </c>
      <c r="C2012" t="str">
        <f>"51346"</f>
        <v>51346</v>
      </c>
      <c r="D2012" t="s">
        <v>379</v>
      </c>
      <c r="E2012" s="3">
        <v>162</v>
      </c>
      <c r="F2012">
        <v>20160419</v>
      </c>
      <c r="G2012" t="s">
        <v>1187</v>
      </c>
      <c r="H2012" t="s">
        <v>1316</v>
      </c>
      <c r="I2012">
        <v>0</v>
      </c>
      <c r="J2012" t="s">
        <v>289</v>
      </c>
      <c r="K2012" t="s">
        <v>95</v>
      </c>
      <c r="L2012" t="s">
        <v>285</v>
      </c>
      <c r="M2012" t="str">
        <f t="shared" si="110"/>
        <v>04</v>
      </c>
      <c r="N2012" t="s">
        <v>12</v>
      </c>
    </row>
    <row r="2013" spans="1:14" x14ac:dyDescent="0.25">
      <c r="A2013">
        <v>20160420</v>
      </c>
      <c r="B2013" t="str">
        <f>"063197"</f>
        <v>063197</v>
      </c>
      <c r="C2013" t="str">
        <f>"51349"</f>
        <v>51349</v>
      </c>
      <c r="D2013" t="s">
        <v>640</v>
      </c>
      <c r="E2013" s="3">
        <v>144</v>
      </c>
      <c r="F2013">
        <v>20160419</v>
      </c>
      <c r="G2013" t="s">
        <v>1196</v>
      </c>
      <c r="H2013" t="s">
        <v>1291</v>
      </c>
      <c r="I2013">
        <v>0</v>
      </c>
      <c r="J2013" t="s">
        <v>289</v>
      </c>
      <c r="K2013" t="s">
        <v>95</v>
      </c>
      <c r="L2013" t="s">
        <v>285</v>
      </c>
      <c r="M2013" t="str">
        <f t="shared" si="110"/>
        <v>04</v>
      </c>
      <c r="N2013" t="s">
        <v>12</v>
      </c>
    </row>
    <row r="2014" spans="1:14" x14ac:dyDescent="0.25">
      <c r="A2014">
        <v>20160420</v>
      </c>
      <c r="B2014" t="str">
        <f>"063198"</f>
        <v>063198</v>
      </c>
      <c r="C2014" t="str">
        <f>"20912"</f>
        <v>20912</v>
      </c>
      <c r="D2014" t="s">
        <v>1317</v>
      </c>
      <c r="E2014" s="3">
        <v>1534.99</v>
      </c>
      <c r="F2014">
        <v>20160420</v>
      </c>
      <c r="G2014" t="s">
        <v>852</v>
      </c>
      <c r="H2014" t="s">
        <v>1318</v>
      </c>
      <c r="I2014">
        <v>0</v>
      </c>
      <c r="J2014" t="s">
        <v>289</v>
      </c>
      <c r="K2014" t="s">
        <v>290</v>
      </c>
      <c r="L2014" t="s">
        <v>285</v>
      </c>
      <c r="M2014" t="str">
        <f t="shared" si="110"/>
        <v>04</v>
      </c>
      <c r="N2014" t="s">
        <v>12</v>
      </c>
    </row>
    <row r="2015" spans="1:14" x14ac:dyDescent="0.25">
      <c r="A2015">
        <v>20160420</v>
      </c>
      <c r="B2015" t="str">
        <f>"063204"</f>
        <v>063204</v>
      </c>
      <c r="C2015" t="str">
        <f>"24335"</f>
        <v>24335</v>
      </c>
      <c r="D2015" t="s">
        <v>796</v>
      </c>
      <c r="E2015" s="3">
        <v>172.16</v>
      </c>
      <c r="F2015">
        <v>20160419</v>
      </c>
      <c r="G2015" t="s">
        <v>1184</v>
      </c>
      <c r="H2015" t="s">
        <v>1319</v>
      </c>
      <c r="I2015">
        <v>0</v>
      </c>
      <c r="J2015" t="s">
        <v>289</v>
      </c>
      <c r="K2015" t="s">
        <v>290</v>
      </c>
      <c r="L2015" t="s">
        <v>285</v>
      </c>
      <c r="M2015" t="str">
        <f t="shared" si="110"/>
        <v>04</v>
      </c>
      <c r="N2015" t="s">
        <v>12</v>
      </c>
    </row>
    <row r="2016" spans="1:14" x14ac:dyDescent="0.25">
      <c r="A2016">
        <v>20160420</v>
      </c>
      <c r="B2016" t="str">
        <f>"063206"</f>
        <v>063206</v>
      </c>
      <c r="C2016" t="str">
        <f>"25871"</f>
        <v>25871</v>
      </c>
      <c r="D2016" t="s">
        <v>647</v>
      </c>
      <c r="E2016" s="3">
        <v>52.45</v>
      </c>
      <c r="F2016">
        <v>20160419</v>
      </c>
      <c r="G2016" t="s">
        <v>1024</v>
      </c>
      <c r="H2016" t="s">
        <v>1320</v>
      </c>
      <c r="I2016">
        <v>0</v>
      </c>
      <c r="J2016" t="s">
        <v>289</v>
      </c>
      <c r="K2016" t="s">
        <v>290</v>
      </c>
      <c r="L2016" t="s">
        <v>285</v>
      </c>
      <c r="M2016" t="str">
        <f t="shared" si="110"/>
        <v>04</v>
      </c>
      <c r="N2016" t="s">
        <v>12</v>
      </c>
    </row>
    <row r="2017" spans="1:14" x14ac:dyDescent="0.25">
      <c r="A2017">
        <v>20160420</v>
      </c>
      <c r="B2017" t="str">
        <f>"063207"</f>
        <v>063207</v>
      </c>
      <c r="C2017" t="str">
        <f>"26907"</f>
        <v>26907</v>
      </c>
      <c r="D2017" t="s">
        <v>1321</v>
      </c>
      <c r="E2017" s="3">
        <v>115</v>
      </c>
      <c r="F2017">
        <v>20160419</v>
      </c>
      <c r="G2017" t="s">
        <v>1069</v>
      </c>
      <c r="H2017" t="s">
        <v>1322</v>
      </c>
      <c r="I2017">
        <v>0</v>
      </c>
      <c r="J2017" t="s">
        <v>289</v>
      </c>
      <c r="K2017" t="s">
        <v>290</v>
      </c>
      <c r="L2017" t="s">
        <v>285</v>
      </c>
      <c r="M2017" t="str">
        <f t="shared" si="110"/>
        <v>04</v>
      </c>
      <c r="N2017" t="s">
        <v>12</v>
      </c>
    </row>
    <row r="2018" spans="1:14" x14ac:dyDescent="0.25">
      <c r="A2018">
        <v>20160420</v>
      </c>
      <c r="B2018" t="str">
        <f>"063209"</f>
        <v>063209</v>
      </c>
      <c r="C2018" t="str">
        <f>"28708"</f>
        <v>28708</v>
      </c>
      <c r="D2018" t="s">
        <v>1271</v>
      </c>
      <c r="E2018" s="3">
        <v>75</v>
      </c>
      <c r="F2018">
        <v>20160419</v>
      </c>
      <c r="G2018" t="s">
        <v>1069</v>
      </c>
      <c r="H2018" t="s">
        <v>1311</v>
      </c>
      <c r="I2018">
        <v>0</v>
      </c>
      <c r="J2018" t="s">
        <v>289</v>
      </c>
      <c r="K2018" t="s">
        <v>290</v>
      </c>
      <c r="L2018" t="s">
        <v>285</v>
      </c>
      <c r="M2018" t="str">
        <f t="shared" si="110"/>
        <v>04</v>
      </c>
      <c r="N2018" t="s">
        <v>12</v>
      </c>
    </row>
    <row r="2019" spans="1:14" x14ac:dyDescent="0.25">
      <c r="A2019">
        <v>20160420</v>
      </c>
      <c r="B2019" t="str">
        <f>"063216"</f>
        <v>063216</v>
      </c>
      <c r="C2019" t="str">
        <f>"30837"</f>
        <v>30837</v>
      </c>
      <c r="D2019" t="s">
        <v>352</v>
      </c>
      <c r="E2019" s="3">
        <v>147</v>
      </c>
      <c r="F2019">
        <v>20160419</v>
      </c>
      <c r="G2019" t="s">
        <v>1026</v>
      </c>
      <c r="H2019" t="s">
        <v>1323</v>
      </c>
      <c r="I2019">
        <v>0</v>
      </c>
      <c r="J2019" t="s">
        <v>289</v>
      </c>
      <c r="K2019" t="s">
        <v>290</v>
      </c>
      <c r="L2019" t="s">
        <v>285</v>
      </c>
      <c r="M2019" t="str">
        <f t="shared" si="110"/>
        <v>04</v>
      </c>
      <c r="N2019" t="s">
        <v>12</v>
      </c>
    </row>
    <row r="2020" spans="1:14" x14ac:dyDescent="0.25">
      <c r="A2020">
        <v>20160420</v>
      </c>
      <c r="B2020" t="str">
        <f>"063218"</f>
        <v>063218</v>
      </c>
      <c r="C2020" t="str">
        <f>"31389"</f>
        <v>31389</v>
      </c>
      <c r="D2020" t="s">
        <v>802</v>
      </c>
      <c r="E2020" s="3">
        <v>64.099999999999994</v>
      </c>
      <c r="F2020">
        <v>20160419</v>
      </c>
      <c r="G2020" t="s">
        <v>310</v>
      </c>
      <c r="H2020" t="s">
        <v>1324</v>
      </c>
      <c r="I2020">
        <v>0</v>
      </c>
      <c r="J2020" t="s">
        <v>289</v>
      </c>
      <c r="K2020" t="s">
        <v>290</v>
      </c>
      <c r="L2020" t="s">
        <v>285</v>
      </c>
      <c r="M2020" t="str">
        <f t="shared" si="110"/>
        <v>04</v>
      </c>
      <c r="N2020" t="s">
        <v>12</v>
      </c>
    </row>
    <row r="2021" spans="1:14" x14ac:dyDescent="0.25">
      <c r="A2021">
        <v>20160420</v>
      </c>
      <c r="B2021" t="str">
        <f>"063237"</f>
        <v>063237</v>
      </c>
      <c r="C2021" t="str">
        <f>"69019"</f>
        <v>69019</v>
      </c>
      <c r="D2021" t="s">
        <v>1325</v>
      </c>
      <c r="E2021" s="3">
        <v>256.32</v>
      </c>
      <c r="F2021">
        <v>20160419</v>
      </c>
      <c r="G2021" t="s">
        <v>1184</v>
      </c>
      <c r="H2021" t="s">
        <v>1326</v>
      </c>
      <c r="I2021">
        <v>0</v>
      </c>
      <c r="J2021" t="s">
        <v>289</v>
      </c>
      <c r="K2021" t="s">
        <v>290</v>
      </c>
      <c r="L2021" t="s">
        <v>285</v>
      </c>
      <c r="M2021" t="str">
        <f t="shared" si="110"/>
        <v>04</v>
      </c>
      <c r="N2021" t="s">
        <v>12</v>
      </c>
    </row>
    <row r="2022" spans="1:14" x14ac:dyDescent="0.25">
      <c r="A2022">
        <v>20160420</v>
      </c>
      <c r="B2022" t="str">
        <f>"063245"</f>
        <v>063245</v>
      </c>
      <c r="C2022" t="str">
        <f>"57322"</f>
        <v>57322</v>
      </c>
      <c r="D2022" t="s">
        <v>957</v>
      </c>
      <c r="E2022" s="3">
        <v>80</v>
      </c>
      <c r="F2022">
        <v>20160419</v>
      </c>
      <c r="G2022" t="s">
        <v>599</v>
      </c>
      <c r="H2022" t="s">
        <v>1309</v>
      </c>
      <c r="I2022">
        <v>0</v>
      </c>
      <c r="J2022" t="s">
        <v>289</v>
      </c>
      <c r="K2022" t="s">
        <v>290</v>
      </c>
      <c r="L2022" t="s">
        <v>285</v>
      </c>
      <c r="M2022" t="str">
        <f t="shared" si="110"/>
        <v>04</v>
      </c>
      <c r="N2022" t="s">
        <v>12</v>
      </c>
    </row>
    <row r="2023" spans="1:14" x14ac:dyDescent="0.25">
      <c r="A2023">
        <v>20160420</v>
      </c>
      <c r="B2023" t="str">
        <f>"063251"</f>
        <v>063251</v>
      </c>
      <c r="C2023" t="str">
        <f>"63913"</f>
        <v>63913</v>
      </c>
      <c r="D2023" t="s">
        <v>1048</v>
      </c>
      <c r="E2023" s="3">
        <v>75</v>
      </c>
      <c r="F2023">
        <v>20160420</v>
      </c>
      <c r="G2023" t="s">
        <v>1069</v>
      </c>
      <c r="H2023" t="s">
        <v>1311</v>
      </c>
      <c r="I2023">
        <v>0</v>
      </c>
      <c r="J2023" t="s">
        <v>289</v>
      </c>
      <c r="K2023" t="s">
        <v>290</v>
      </c>
      <c r="L2023" t="s">
        <v>285</v>
      </c>
      <c r="M2023" t="str">
        <f t="shared" ref="M2023:M2054" si="111">"04"</f>
        <v>04</v>
      </c>
      <c r="N2023" t="s">
        <v>12</v>
      </c>
    </row>
    <row r="2024" spans="1:14" x14ac:dyDescent="0.25">
      <c r="A2024">
        <v>20160420</v>
      </c>
      <c r="B2024" t="str">
        <f>"063253"</f>
        <v>063253</v>
      </c>
      <c r="C2024" t="str">
        <f>"65239"</f>
        <v>65239</v>
      </c>
      <c r="D2024" t="s">
        <v>1327</v>
      </c>
      <c r="E2024" s="3">
        <v>129.47</v>
      </c>
      <c r="F2024">
        <v>20160420</v>
      </c>
      <c r="G2024" t="s">
        <v>1111</v>
      </c>
      <c r="H2024" t="s">
        <v>1328</v>
      </c>
      <c r="I2024">
        <v>0</v>
      </c>
      <c r="J2024" t="s">
        <v>289</v>
      </c>
      <c r="K2024" t="s">
        <v>290</v>
      </c>
      <c r="L2024" t="s">
        <v>285</v>
      </c>
      <c r="M2024" t="str">
        <f t="shared" si="111"/>
        <v>04</v>
      </c>
      <c r="N2024" t="s">
        <v>12</v>
      </c>
    </row>
    <row r="2025" spans="1:14" x14ac:dyDescent="0.25">
      <c r="A2025">
        <v>20160420</v>
      </c>
      <c r="B2025" t="str">
        <f>"063257"</f>
        <v>063257</v>
      </c>
      <c r="C2025" t="str">
        <f>"69201"</f>
        <v>69201</v>
      </c>
      <c r="D2025" t="s">
        <v>1329</v>
      </c>
      <c r="E2025" s="3">
        <v>115</v>
      </c>
      <c r="F2025">
        <v>20160420</v>
      </c>
      <c r="G2025" t="s">
        <v>1069</v>
      </c>
      <c r="H2025" t="s">
        <v>1322</v>
      </c>
      <c r="I2025">
        <v>0</v>
      </c>
      <c r="J2025" t="s">
        <v>289</v>
      </c>
      <c r="K2025" t="s">
        <v>290</v>
      </c>
      <c r="L2025" t="s">
        <v>285</v>
      </c>
      <c r="M2025" t="str">
        <f t="shared" si="111"/>
        <v>04</v>
      </c>
      <c r="N2025" t="s">
        <v>12</v>
      </c>
    </row>
    <row r="2026" spans="1:14" x14ac:dyDescent="0.25">
      <c r="A2026">
        <v>20160420</v>
      </c>
      <c r="B2026" t="str">
        <f>"063260"</f>
        <v>063260</v>
      </c>
      <c r="C2026" t="str">
        <f>"73980"</f>
        <v>73980</v>
      </c>
      <c r="D2026" t="s">
        <v>1330</v>
      </c>
      <c r="E2026" s="3">
        <v>163</v>
      </c>
      <c r="F2026">
        <v>20160420</v>
      </c>
      <c r="G2026" t="s">
        <v>1184</v>
      </c>
      <c r="H2026" t="s">
        <v>1313</v>
      </c>
      <c r="I2026">
        <v>0</v>
      </c>
      <c r="J2026" t="s">
        <v>289</v>
      </c>
      <c r="K2026" t="s">
        <v>290</v>
      </c>
      <c r="L2026" t="s">
        <v>285</v>
      </c>
      <c r="M2026" t="str">
        <f t="shared" si="111"/>
        <v>04</v>
      </c>
      <c r="N2026" t="s">
        <v>12</v>
      </c>
    </row>
    <row r="2027" spans="1:14" x14ac:dyDescent="0.25">
      <c r="A2027">
        <v>20160420</v>
      </c>
      <c r="B2027" t="str">
        <f>"063260"</f>
        <v>063260</v>
      </c>
      <c r="C2027" t="str">
        <f>"73980"</f>
        <v>73980</v>
      </c>
      <c r="D2027" t="s">
        <v>1330</v>
      </c>
      <c r="E2027" s="3">
        <v>201.85</v>
      </c>
      <c r="F2027">
        <v>20160420</v>
      </c>
      <c r="G2027" t="s">
        <v>1142</v>
      </c>
      <c r="H2027" t="s">
        <v>1315</v>
      </c>
      <c r="I2027">
        <v>0</v>
      </c>
      <c r="J2027" t="s">
        <v>289</v>
      </c>
      <c r="K2027" t="s">
        <v>290</v>
      </c>
      <c r="L2027" t="s">
        <v>285</v>
      </c>
      <c r="M2027" t="str">
        <f t="shared" si="111"/>
        <v>04</v>
      </c>
      <c r="N2027" t="s">
        <v>12</v>
      </c>
    </row>
    <row r="2028" spans="1:14" x14ac:dyDescent="0.25">
      <c r="A2028">
        <v>20160420</v>
      </c>
      <c r="B2028" t="str">
        <f>"063262"</f>
        <v>063262</v>
      </c>
      <c r="C2028" t="str">
        <f>"76331"</f>
        <v>76331</v>
      </c>
      <c r="D2028" t="s">
        <v>1331</v>
      </c>
      <c r="E2028" s="3">
        <v>220</v>
      </c>
      <c r="F2028">
        <v>20160420</v>
      </c>
      <c r="G2028" t="s">
        <v>893</v>
      </c>
      <c r="H2028" t="s">
        <v>1332</v>
      </c>
      <c r="I2028">
        <v>0</v>
      </c>
      <c r="J2028" t="s">
        <v>289</v>
      </c>
      <c r="K2028" t="s">
        <v>290</v>
      </c>
      <c r="L2028" t="s">
        <v>285</v>
      </c>
      <c r="M2028" t="str">
        <f t="shared" si="111"/>
        <v>04</v>
      </c>
      <c r="N2028" t="s">
        <v>12</v>
      </c>
    </row>
    <row r="2029" spans="1:14" x14ac:dyDescent="0.25">
      <c r="A2029">
        <v>20160420</v>
      </c>
      <c r="B2029" t="str">
        <f>"063265"</f>
        <v>063265</v>
      </c>
      <c r="C2029" t="str">
        <f>"80528"</f>
        <v>80528</v>
      </c>
      <c r="D2029" t="s">
        <v>1261</v>
      </c>
      <c r="E2029" s="3">
        <v>113.69</v>
      </c>
      <c r="F2029">
        <v>20160420</v>
      </c>
      <c r="G2029" t="s">
        <v>1111</v>
      </c>
      <c r="H2029" t="s">
        <v>1328</v>
      </c>
      <c r="I2029">
        <v>0</v>
      </c>
      <c r="J2029" t="s">
        <v>289</v>
      </c>
      <c r="K2029" t="s">
        <v>290</v>
      </c>
      <c r="L2029" t="s">
        <v>285</v>
      </c>
      <c r="M2029" t="str">
        <f t="shared" si="111"/>
        <v>04</v>
      </c>
      <c r="N2029" t="s">
        <v>12</v>
      </c>
    </row>
    <row r="2030" spans="1:14" x14ac:dyDescent="0.25">
      <c r="A2030">
        <v>20160420</v>
      </c>
      <c r="B2030" t="str">
        <f>"063267"</f>
        <v>063267</v>
      </c>
      <c r="C2030" t="str">
        <f>"80755"</f>
        <v>80755</v>
      </c>
      <c r="D2030" t="s">
        <v>723</v>
      </c>
      <c r="E2030" s="3">
        <v>980.9</v>
      </c>
      <c r="F2030">
        <v>20160420</v>
      </c>
      <c r="G2030" t="s">
        <v>843</v>
      </c>
      <c r="H2030" t="s">
        <v>1333</v>
      </c>
      <c r="I2030">
        <v>0</v>
      </c>
      <c r="J2030" t="s">
        <v>289</v>
      </c>
      <c r="K2030" t="s">
        <v>290</v>
      </c>
      <c r="L2030" t="s">
        <v>285</v>
      </c>
      <c r="M2030" t="str">
        <f t="shared" si="111"/>
        <v>04</v>
      </c>
      <c r="N2030" t="s">
        <v>12</v>
      </c>
    </row>
    <row r="2031" spans="1:14" x14ac:dyDescent="0.25">
      <c r="A2031">
        <v>20160420</v>
      </c>
      <c r="B2031" t="str">
        <f>"063267"</f>
        <v>063267</v>
      </c>
      <c r="C2031" t="str">
        <f>"80755"</f>
        <v>80755</v>
      </c>
      <c r="D2031" t="s">
        <v>723</v>
      </c>
      <c r="E2031" s="3">
        <v>261</v>
      </c>
      <c r="F2031">
        <v>20160420</v>
      </c>
      <c r="G2031" t="s">
        <v>821</v>
      </c>
      <c r="H2031" t="s">
        <v>1334</v>
      </c>
      <c r="I2031">
        <v>0</v>
      </c>
      <c r="J2031" t="s">
        <v>289</v>
      </c>
      <c r="K2031" t="s">
        <v>95</v>
      </c>
      <c r="L2031" t="s">
        <v>285</v>
      </c>
      <c r="M2031" t="str">
        <f t="shared" si="111"/>
        <v>04</v>
      </c>
      <c r="N2031" t="s">
        <v>12</v>
      </c>
    </row>
    <row r="2032" spans="1:14" x14ac:dyDescent="0.25">
      <c r="A2032">
        <v>20160420</v>
      </c>
      <c r="B2032" t="str">
        <f t="shared" ref="B2032:B2045" si="112">"063270"</f>
        <v>063270</v>
      </c>
      <c r="C2032" t="str">
        <f t="shared" ref="C2032:C2045" si="113">"84370"</f>
        <v>84370</v>
      </c>
      <c r="D2032" t="s">
        <v>329</v>
      </c>
      <c r="E2032" s="3">
        <v>57.06</v>
      </c>
      <c r="F2032">
        <v>20160420</v>
      </c>
      <c r="G2032" t="s">
        <v>1032</v>
      </c>
      <c r="H2032" t="s">
        <v>1335</v>
      </c>
      <c r="I2032">
        <v>0</v>
      </c>
      <c r="J2032" t="s">
        <v>289</v>
      </c>
      <c r="K2032" t="s">
        <v>290</v>
      </c>
      <c r="L2032" t="s">
        <v>285</v>
      </c>
      <c r="M2032" t="str">
        <f t="shared" si="111"/>
        <v>04</v>
      </c>
      <c r="N2032" t="s">
        <v>12</v>
      </c>
    </row>
    <row r="2033" spans="1:14" x14ac:dyDescent="0.25">
      <c r="A2033">
        <v>20160420</v>
      </c>
      <c r="B2033" t="str">
        <f t="shared" si="112"/>
        <v>063270</v>
      </c>
      <c r="C2033" t="str">
        <f t="shared" si="113"/>
        <v>84370</v>
      </c>
      <c r="D2033" t="s">
        <v>329</v>
      </c>
      <c r="E2033" s="3">
        <v>93.44</v>
      </c>
      <c r="F2033">
        <v>20160420</v>
      </c>
      <c r="G2033" t="s">
        <v>1032</v>
      </c>
      <c r="H2033" t="s">
        <v>1336</v>
      </c>
      <c r="I2033">
        <v>0</v>
      </c>
      <c r="J2033" t="s">
        <v>289</v>
      </c>
      <c r="K2033" t="s">
        <v>290</v>
      </c>
      <c r="L2033" t="s">
        <v>285</v>
      </c>
      <c r="M2033" t="str">
        <f t="shared" si="111"/>
        <v>04</v>
      </c>
      <c r="N2033" t="s">
        <v>12</v>
      </c>
    </row>
    <row r="2034" spans="1:14" x14ac:dyDescent="0.25">
      <c r="A2034">
        <v>20160420</v>
      </c>
      <c r="B2034" t="str">
        <f t="shared" si="112"/>
        <v>063270</v>
      </c>
      <c r="C2034" t="str">
        <f t="shared" si="113"/>
        <v>84370</v>
      </c>
      <c r="D2034" t="s">
        <v>329</v>
      </c>
      <c r="E2034" s="3">
        <v>50.32</v>
      </c>
      <c r="F2034">
        <v>20160420</v>
      </c>
      <c r="G2034" t="s">
        <v>1032</v>
      </c>
      <c r="H2034" t="s">
        <v>1337</v>
      </c>
      <c r="I2034">
        <v>0</v>
      </c>
      <c r="J2034" t="s">
        <v>289</v>
      </c>
      <c r="K2034" t="s">
        <v>290</v>
      </c>
      <c r="L2034" t="s">
        <v>285</v>
      </c>
      <c r="M2034" t="str">
        <f t="shared" si="111"/>
        <v>04</v>
      </c>
      <c r="N2034" t="s">
        <v>12</v>
      </c>
    </row>
    <row r="2035" spans="1:14" x14ac:dyDescent="0.25">
      <c r="A2035">
        <v>20160420</v>
      </c>
      <c r="B2035" t="str">
        <f t="shared" si="112"/>
        <v>063270</v>
      </c>
      <c r="C2035" t="str">
        <f t="shared" si="113"/>
        <v>84370</v>
      </c>
      <c r="D2035" t="s">
        <v>329</v>
      </c>
      <c r="E2035" s="3">
        <v>126.8</v>
      </c>
      <c r="F2035">
        <v>20160420</v>
      </c>
      <c r="G2035" t="s">
        <v>1032</v>
      </c>
      <c r="H2035" t="s">
        <v>1338</v>
      </c>
      <c r="I2035">
        <v>0</v>
      </c>
      <c r="J2035" t="s">
        <v>289</v>
      </c>
      <c r="K2035" t="s">
        <v>290</v>
      </c>
      <c r="L2035" t="s">
        <v>285</v>
      </c>
      <c r="M2035" t="str">
        <f t="shared" si="111"/>
        <v>04</v>
      </c>
      <c r="N2035" t="s">
        <v>12</v>
      </c>
    </row>
    <row r="2036" spans="1:14" x14ac:dyDescent="0.25">
      <c r="A2036">
        <v>20160420</v>
      </c>
      <c r="B2036" t="str">
        <f t="shared" si="112"/>
        <v>063270</v>
      </c>
      <c r="C2036" t="str">
        <f t="shared" si="113"/>
        <v>84370</v>
      </c>
      <c r="D2036" t="s">
        <v>329</v>
      </c>
      <c r="E2036" s="3">
        <v>29.35</v>
      </c>
      <c r="F2036">
        <v>20160420</v>
      </c>
      <c r="G2036" t="s">
        <v>420</v>
      </c>
      <c r="H2036" t="s">
        <v>1339</v>
      </c>
      <c r="I2036">
        <v>0</v>
      </c>
      <c r="J2036" t="s">
        <v>289</v>
      </c>
      <c r="K2036" t="s">
        <v>290</v>
      </c>
      <c r="L2036" t="s">
        <v>285</v>
      </c>
      <c r="M2036" t="str">
        <f t="shared" si="111"/>
        <v>04</v>
      </c>
      <c r="N2036" t="s">
        <v>12</v>
      </c>
    </row>
    <row r="2037" spans="1:14" x14ac:dyDescent="0.25">
      <c r="A2037">
        <v>20160420</v>
      </c>
      <c r="B2037" t="str">
        <f t="shared" si="112"/>
        <v>063270</v>
      </c>
      <c r="C2037" t="str">
        <f t="shared" si="113"/>
        <v>84370</v>
      </c>
      <c r="D2037" t="s">
        <v>329</v>
      </c>
      <c r="E2037" s="3">
        <v>43.3</v>
      </c>
      <c r="F2037">
        <v>20160420</v>
      </c>
      <c r="G2037" t="s">
        <v>420</v>
      </c>
      <c r="H2037" t="s">
        <v>1163</v>
      </c>
      <c r="I2037">
        <v>0</v>
      </c>
      <c r="J2037" t="s">
        <v>289</v>
      </c>
      <c r="K2037" t="s">
        <v>290</v>
      </c>
      <c r="L2037" t="s">
        <v>285</v>
      </c>
      <c r="M2037" t="str">
        <f t="shared" si="111"/>
        <v>04</v>
      </c>
      <c r="N2037" t="s">
        <v>12</v>
      </c>
    </row>
    <row r="2038" spans="1:14" x14ac:dyDescent="0.25">
      <c r="A2038">
        <v>20160420</v>
      </c>
      <c r="B2038" t="str">
        <f t="shared" si="112"/>
        <v>063270</v>
      </c>
      <c r="C2038" t="str">
        <f t="shared" si="113"/>
        <v>84370</v>
      </c>
      <c r="D2038" t="s">
        <v>329</v>
      </c>
      <c r="E2038" s="3">
        <v>34.409999999999997</v>
      </c>
      <c r="F2038">
        <v>20160420</v>
      </c>
      <c r="G2038" t="s">
        <v>420</v>
      </c>
      <c r="H2038" t="s">
        <v>1340</v>
      </c>
      <c r="I2038">
        <v>0</v>
      </c>
      <c r="J2038" t="s">
        <v>289</v>
      </c>
      <c r="K2038" t="s">
        <v>290</v>
      </c>
      <c r="L2038" t="s">
        <v>285</v>
      </c>
      <c r="M2038" t="str">
        <f t="shared" si="111"/>
        <v>04</v>
      </c>
      <c r="N2038" t="s">
        <v>12</v>
      </c>
    </row>
    <row r="2039" spans="1:14" x14ac:dyDescent="0.25">
      <c r="A2039">
        <v>20160420</v>
      </c>
      <c r="B2039" t="str">
        <f t="shared" si="112"/>
        <v>063270</v>
      </c>
      <c r="C2039" t="str">
        <f t="shared" si="113"/>
        <v>84370</v>
      </c>
      <c r="D2039" t="s">
        <v>329</v>
      </c>
      <c r="E2039" s="3">
        <v>134.21</v>
      </c>
      <c r="F2039">
        <v>20160420</v>
      </c>
      <c r="G2039" t="s">
        <v>1026</v>
      </c>
      <c r="H2039" t="s">
        <v>1341</v>
      </c>
      <c r="I2039">
        <v>0</v>
      </c>
      <c r="J2039" t="s">
        <v>289</v>
      </c>
      <c r="K2039" t="s">
        <v>290</v>
      </c>
      <c r="L2039" t="s">
        <v>285</v>
      </c>
      <c r="M2039" t="str">
        <f t="shared" si="111"/>
        <v>04</v>
      </c>
      <c r="N2039" t="s">
        <v>12</v>
      </c>
    </row>
    <row r="2040" spans="1:14" x14ac:dyDescent="0.25">
      <c r="A2040">
        <v>20160420</v>
      </c>
      <c r="B2040" t="str">
        <f t="shared" si="112"/>
        <v>063270</v>
      </c>
      <c r="C2040" t="str">
        <f t="shared" si="113"/>
        <v>84370</v>
      </c>
      <c r="D2040" t="s">
        <v>329</v>
      </c>
      <c r="E2040" s="3">
        <v>89.36</v>
      </c>
      <c r="F2040">
        <v>20160420</v>
      </c>
      <c r="G2040" t="s">
        <v>1024</v>
      </c>
      <c r="H2040" t="s">
        <v>1342</v>
      </c>
      <c r="I2040">
        <v>0</v>
      </c>
      <c r="J2040" t="s">
        <v>289</v>
      </c>
      <c r="K2040" t="s">
        <v>290</v>
      </c>
      <c r="L2040" t="s">
        <v>285</v>
      </c>
      <c r="M2040" t="str">
        <f t="shared" si="111"/>
        <v>04</v>
      </c>
      <c r="N2040" t="s">
        <v>12</v>
      </c>
    </row>
    <row r="2041" spans="1:14" x14ac:dyDescent="0.25">
      <c r="A2041">
        <v>20160420</v>
      </c>
      <c r="B2041" t="str">
        <f t="shared" si="112"/>
        <v>063270</v>
      </c>
      <c r="C2041" t="str">
        <f t="shared" si="113"/>
        <v>84370</v>
      </c>
      <c r="D2041" t="s">
        <v>329</v>
      </c>
      <c r="E2041" s="3">
        <v>141.34</v>
      </c>
      <c r="F2041">
        <v>20160420</v>
      </c>
      <c r="G2041" t="s">
        <v>1024</v>
      </c>
      <c r="H2041" t="s">
        <v>1093</v>
      </c>
      <c r="I2041">
        <v>0</v>
      </c>
      <c r="J2041" t="s">
        <v>289</v>
      </c>
      <c r="K2041" t="s">
        <v>290</v>
      </c>
      <c r="L2041" t="s">
        <v>285</v>
      </c>
      <c r="M2041" t="str">
        <f t="shared" si="111"/>
        <v>04</v>
      </c>
      <c r="N2041" t="s">
        <v>12</v>
      </c>
    </row>
    <row r="2042" spans="1:14" x14ac:dyDescent="0.25">
      <c r="A2042">
        <v>20160420</v>
      </c>
      <c r="B2042" t="str">
        <f t="shared" si="112"/>
        <v>063270</v>
      </c>
      <c r="C2042" t="str">
        <f t="shared" si="113"/>
        <v>84370</v>
      </c>
      <c r="D2042" t="s">
        <v>329</v>
      </c>
      <c r="E2042" s="3">
        <v>78.62</v>
      </c>
      <c r="F2042">
        <v>20160420</v>
      </c>
      <c r="G2042" t="s">
        <v>471</v>
      </c>
      <c r="H2042" t="s">
        <v>624</v>
      </c>
      <c r="I2042">
        <v>0</v>
      </c>
      <c r="J2042" t="s">
        <v>289</v>
      </c>
      <c r="K2042" t="s">
        <v>95</v>
      </c>
      <c r="L2042" t="s">
        <v>285</v>
      </c>
      <c r="M2042" t="str">
        <f t="shared" si="111"/>
        <v>04</v>
      </c>
      <c r="N2042" t="s">
        <v>12</v>
      </c>
    </row>
    <row r="2043" spans="1:14" x14ac:dyDescent="0.25">
      <c r="A2043">
        <v>20160420</v>
      </c>
      <c r="B2043" t="str">
        <f t="shared" si="112"/>
        <v>063270</v>
      </c>
      <c r="C2043" t="str">
        <f t="shared" si="113"/>
        <v>84370</v>
      </c>
      <c r="D2043" t="s">
        <v>329</v>
      </c>
      <c r="E2043" s="3">
        <v>177.33</v>
      </c>
      <c r="F2043">
        <v>20160420</v>
      </c>
      <c r="G2043" t="s">
        <v>1184</v>
      </c>
      <c r="H2043" t="s">
        <v>1045</v>
      </c>
      <c r="I2043">
        <v>0</v>
      </c>
      <c r="J2043" t="s">
        <v>289</v>
      </c>
      <c r="K2043" t="s">
        <v>290</v>
      </c>
      <c r="L2043" t="s">
        <v>285</v>
      </c>
      <c r="M2043" t="str">
        <f t="shared" si="111"/>
        <v>04</v>
      </c>
      <c r="N2043" t="s">
        <v>12</v>
      </c>
    </row>
    <row r="2044" spans="1:14" x14ac:dyDescent="0.25">
      <c r="A2044">
        <v>20160420</v>
      </c>
      <c r="B2044" t="str">
        <f t="shared" si="112"/>
        <v>063270</v>
      </c>
      <c r="C2044" t="str">
        <f t="shared" si="113"/>
        <v>84370</v>
      </c>
      <c r="D2044" t="s">
        <v>329</v>
      </c>
      <c r="E2044" s="3">
        <v>210.24</v>
      </c>
      <c r="F2044">
        <v>20160420</v>
      </c>
      <c r="G2044" t="s">
        <v>1185</v>
      </c>
      <c r="H2044" t="s">
        <v>1343</v>
      </c>
      <c r="I2044">
        <v>0</v>
      </c>
      <c r="J2044" t="s">
        <v>289</v>
      </c>
      <c r="K2044" t="s">
        <v>95</v>
      </c>
      <c r="L2044" t="s">
        <v>285</v>
      </c>
      <c r="M2044" t="str">
        <f t="shared" si="111"/>
        <v>04</v>
      </c>
      <c r="N2044" t="s">
        <v>12</v>
      </c>
    </row>
    <row r="2045" spans="1:14" x14ac:dyDescent="0.25">
      <c r="A2045">
        <v>20160420</v>
      </c>
      <c r="B2045" t="str">
        <f t="shared" si="112"/>
        <v>063270</v>
      </c>
      <c r="C2045" t="str">
        <f t="shared" si="113"/>
        <v>84370</v>
      </c>
      <c r="D2045" t="s">
        <v>329</v>
      </c>
      <c r="E2045" s="3">
        <v>103.78</v>
      </c>
      <c r="F2045">
        <v>20160420</v>
      </c>
      <c r="G2045" t="s">
        <v>1187</v>
      </c>
      <c r="H2045" t="s">
        <v>1344</v>
      </c>
      <c r="I2045">
        <v>0</v>
      </c>
      <c r="J2045" t="s">
        <v>289</v>
      </c>
      <c r="K2045" t="s">
        <v>95</v>
      </c>
      <c r="L2045" t="s">
        <v>285</v>
      </c>
      <c r="M2045" t="str">
        <f t="shared" si="111"/>
        <v>04</v>
      </c>
      <c r="N2045" t="s">
        <v>12</v>
      </c>
    </row>
    <row r="2046" spans="1:14" x14ac:dyDescent="0.25">
      <c r="A2046">
        <v>20160421</v>
      </c>
      <c r="B2046" t="str">
        <f>"063271"</f>
        <v>063271</v>
      </c>
      <c r="C2046" t="str">
        <f>"57322"</f>
        <v>57322</v>
      </c>
      <c r="D2046" t="s">
        <v>957</v>
      </c>
      <c r="E2046" s="3">
        <v>275</v>
      </c>
      <c r="F2046">
        <v>20160421</v>
      </c>
      <c r="G2046" t="s">
        <v>599</v>
      </c>
      <c r="H2046" t="s">
        <v>1309</v>
      </c>
      <c r="I2046">
        <v>0</v>
      </c>
      <c r="J2046" t="s">
        <v>289</v>
      </c>
      <c r="K2046" t="s">
        <v>290</v>
      </c>
      <c r="L2046" t="s">
        <v>17</v>
      </c>
      <c r="M2046" t="str">
        <f t="shared" si="111"/>
        <v>04</v>
      </c>
      <c r="N2046" t="s">
        <v>12</v>
      </c>
    </row>
    <row r="2047" spans="1:14" x14ac:dyDescent="0.25">
      <c r="A2047">
        <v>20160422</v>
      </c>
      <c r="B2047" t="str">
        <f>"063272"</f>
        <v>063272</v>
      </c>
      <c r="C2047" t="str">
        <f>"57322"</f>
        <v>57322</v>
      </c>
      <c r="D2047" t="s">
        <v>957</v>
      </c>
      <c r="E2047" s="3">
        <v>240</v>
      </c>
      <c r="F2047">
        <v>20160422</v>
      </c>
      <c r="G2047" t="s">
        <v>599</v>
      </c>
      <c r="H2047" t="s">
        <v>1309</v>
      </c>
      <c r="I2047">
        <v>0</v>
      </c>
      <c r="J2047" t="s">
        <v>289</v>
      </c>
      <c r="K2047" t="s">
        <v>290</v>
      </c>
      <c r="L2047" t="s">
        <v>17</v>
      </c>
      <c r="M2047" t="str">
        <f t="shared" si="111"/>
        <v>04</v>
      </c>
      <c r="N2047" t="s">
        <v>12</v>
      </c>
    </row>
    <row r="2048" spans="1:14" x14ac:dyDescent="0.25">
      <c r="A2048">
        <v>20160426</v>
      </c>
      <c r="B2048" t="str">
        <f>"063274"</f>
        <v>063274</v>
      </c>
      <c r="C2048" t="str">
        <f>"39422"</f>
        <v>39422</v>
      </c>
      <c r="D2048" t="s">
        <v>1141</v>
      </c>
      <c r="E2048" s="3">
        <v>1024</v>
      </c>
      <c r="F2048">
        <v>20160426</v>
      </c>
      <c r="G2048" t="s">
        <v>599</v>
      </c>
      <c r="H2048" t="s">
        <v>1345</v>
      </c>
      <c r="I2048">
        <v>0</v>
      </c>
      <c r="J2048" t="s">
        <v>289</v>
      </c>
      <c r="K2048" t="s">
        <v>290</v>
      </c>
      <c r="L2048" t="s">
        <v>17</v>
      </c>
      <c r="M2048" t="str">
        <f t="shared" si="111"/>
        <v>04</v>
      </c>
      <c r="N2048" t="s">
        <v>12</v>
      </c>
    </row>
    <row r="2049" spans="1:14" x14ac:dyDescent="0.25">
      <c r="A2049">
        <v>20160429</v>
      </c>
      <c r="B2049" t="str">
        <f>"063281"</f>
        <v>063281</v>
      </c>
      <c r="C2049" t="str">
        <f>"09170"</f>
        <v>09170</v>
      </c>
      <c r="D2049" t="s">
        <v>596</v>
      </c>
      <c r="E2049" s="3">
        <v>269.98</v>
      </c>
      <c r="F2049">
        <v>20160427</v>
      </c>
      <c r="G2049" t="s">
        <v>507</v>
      </c>
      <c r="H2049" t="s">
        <v>1346</v>
      </c>
      <c r="I2049">
        <v>0</v>
      </c>
      <c r="J2049" t="s">
        <v>289</v>
      </c>
      <c r="K2049" t="s">
        <v>290</v>
      </c>
      <c r="L2049" t="s">
        <v>285</v>
      </c>
      <c r="M2049" t="str">
        <f t="shared" si="111"/>
        <v>04</v>
      </c>
      <c r="N2049" t="s">
        <v>12</v>
      </c>
    </row>
    <row r="2050" spans="1:14" x14ac:dyDescent="0.25">
      <c r="A2050">
        <v>20160429</v>
      </c>
      <c r="B2050" t="str">
        <f>"063286"</f>
        <v>063286</v>
      </c>
      <c r="C2050" t="str">
        <f>"13855"</f>
        <v>13855</v>
      </c>
      <c r="D2050" t="s">
        <v>1347</v>
      </c>
      <c r="E2050" s="3">
        <v>37.29</v>
      </c>
      <c r="F2050">
        <v>20160427</v>
      </c>
      <c r="G2050" t="s">
        <v>310</v>
      </c>
      <c r="H2050" t="s">
        <v>1324</v>
      </c>
      <c r="I2050">
        <v>0</v>
      </c>
      <c r="J2050" t="s">
        <v>289</v>
      </c>
      <c r="K2050" t="s">
        <v>290</v>
      </c>
      <c r="L2050" t="s">
        <v>285</v>
      </c>
      <c r="M2050" t="str">
        <f t="shared" si="111"/>
        <v>04</v>
      </c>
      <c r="N2050" t="s">
        <v>12</v>
      </c>
    </row>
    <row r="2051" spans="1:14" x14ac:dyDescent="0.25">
      <c r="A2051">
        <v>20160429</v>
      </c>
      <c r="B2051" t="str">
        <f>"063289"</f>
        <v>063289</v>
      </c>
      <c r="C2051" t="str">
        <f>"19294"</f>
        <v>19294</v>
      </c>
      <c r="D2051" t="s">
        <v>411</v>
      </c>
      <c r="E2051" s="3">
        <v>68.05</v>
      </c>
      <c r="F2051">
        <v>20160427</v>
      </c>
      <c r="G2051" t="s">
        <v>1111</v>
      </c>
      <c r="H2051" t="s">
        <v>1348</v>
      </c>
      <c r="I2051">
        <v>0</v>
      </c>
      <c r="J2051" t="s">
        <v>289</v>
      </c>
      <c r="K2051" t="s">
        <v>290</v>
      </c>
      <c r="L2051" t="s">
        <v>285</v>
      </c>
      <c r="M2051" t="str">
        <f t="shared" si="111"/>
        <v>04</v>
      </c>
      <c r="N2051" t="s">
        <v>12</v>
      </c>
    </row>
    <row r="2052" spans="1:14" x14ac:dyDescent="0.25">
      <c r="A2052">
        <v>20160429</v>
      </c>
      <c r="B2052" t="str">
        <f>"063291"</f>
        <v>063291</v>
      </c>
      <c r="C2052" t="str">
        <f>"20433"</f>
        <v>20433</v>
      </c>
      <c r="D2052" t="s">
        <v>413</v>
      </c>
      <c r="E2052" s="3">
        <v>25</v>
      </c>
      <c r="F2052">
        <v>20160427</v>
      </c>
      <c r="G2052" t="s">
        <v>1069</v>
      </c>
      <c r="H2052" t="s">
        <v>1349</v>
      </c>
      <c r="I2052">
        <v>0</v>
      </c>
      <c r="J2052" t="s">
        <v>289</v>
      </c>
      <c r="K2052" t="s">
        <v>290</v>
      </c>
      <c r="L2052" t="s">
        <v>285</v>
      </c>
      <c r="M2052" t="str">
        <f t="shared" si="111"/>
        <v>04</v>
      </c>
      <c r="N2052" t="s">
        <v>12</v>
      </c>
    </row>
    <row r="2053" spans="1:14" x14ac:dyDescent="0.25">
      <c r="A2053">
        <v>20160429</v>
      </c>
      <c r="B2053" t="str">
        <f>"063295"</f>
        <v>063295</v>
      </c>
      <c r="C2053" t="str">
        <f>"22330"</f>
        <v>22330</v>
      </c>
      <c r="D2053" t="s">
        <v>645</v>
      </c>
      <c r="E2053" s="3">
        <v>108.82</v>
      </c>
      <c r="F2053">
        <v>20160427</v>
      </c>
      <c r="G2053" t="s">
        <v>310</v>
      </c>
      <c r="H2053" t="s">
        <v>1324</v>
      </c>
      <c r="I2053">
        <v>0</v>
      </c>
      <c r="J2053" t="s">
        <v>289</v>
      </c>
      <c r="K2053" t="s">
        <v>290</v>
      </c>
      <c r="L2053" t="s">
        <v>285</v>
      </c>
      <c r="M2053" t="str">
        <f t="shared" si="111"/>
        <v>04</v>
      </c>
      <c r="N2053" t="s">
        <v>12</v>
      </c>
    </row>
    <row r="2054" spans="1:14" x14ac:dyDescent="0.25">
      <c r="A2054">
        <v>20160429</v>
      </c>
      <c r="B2054" t="str">
        <f>"063298"</f>
        <v>063298</v>
      </c>
      <c r="C2054" t="str">
        <f>"28680"</f>
        <v>28680</v>
      </c>
      <c r="D2054" t="s">
        <v>422</v>
      </c>
      <c r="E2054" s="3">
        <v>40.99</v>
      </c>
      <c r="F2054">
        <v>20160427</v>
      </c>
      <c r="G2054" t="s">
        <v>310</v>
      </c>
      <c r="H2054" t="s">
        <v>1350</v>
      </c>
      <c r="I2054">
        <v>0</v>
      </c>
      <c r="J2054" t="s">
        <v>289</v>
      </c>
      <c r="K2054" t="s">
        <v>290</v>
      </c>
      <c r="L2054" t="s">
        <v>285</v>
      </c>
      <c r="M2054" t="str">
        <f t="shared" si="111"/>
        <v>04</v>
      </c>
      <c r="N2054" t="s">
        <v>12</v>
      </c>
    </row>
    <row r="2055" spans="1:14" x14ac:dyDescent="0.25">
      <c r="A2055">
        <v>20160429</v>
      </c>
      <c r="B2055" t="str">
        <f>"063298"</f>
        <v>063298</v>
      </c>
      <c r="C2055" t="str">
        <f>"28680"</f>
        <v>28680</v>
      </c>
      <c r="D2055" t="s">
        <v>422</v>
      </c>
      <c r="E2055" s="3">
        <v>53.99</v>
      </c>
      <c r="F2055">
        <v>20160427</v>
      </c>
      <c r="G2055" t="s">
        <v>599</v>
      </c>
      <c r="H2055" t="s">
        <v>1289</v>
      </c>
      <c r="I2055">
        <v>0</v>
      </c>
      <c r="J2055" t="s">
        <v>289</v>
      </c>
      <c r="K2055" t="s">
        <v>290</v>
      </c>
      <c r="L2055" t="s">
        <v>285</v>
      </c>
      <c r="M2055" t="str">
        <f t="shared" ref="M2055:M2071" si="114">"04"</f>
        <v>04</v>
      </c>
      <c r="N2055" t="s">
        <v>12</v>
      </c>
    </row>
    <row r="2056" spans="1:14" x14ac:dyDescent="0.25">
      <c r="A2056">
        <v>20160429</v>
      </c>
      <c r="B2056" t="str">
        <f>"063298"</f>
        <v>063298</v>
      </c>
      <c r="C2056" t="str">
        <f>"28680"</f>
        <v>28680</v>
      </c>
      <c r="D2056" t="s">
        <v>422</v>
      </c>
      <c r="E2056" s="3">
        <v>161.97</v>
      </c>
      <c r="F2056">
        <v>20160427</v>
      </c>
      <c r="G2056" t="s">
        <v>599</v>
      </c>
      <c r="H2056" t="s">
        <v>1077</v>
      </c>
      <c r="I2056">
        <v>0</v>
      </c>
      <c r="J2056" t="s">
        <v>289</v>
      </c>
      <c r="K2056" t="s">
        <v>290</v>
      </c>
      <c r="L2056" t="s">
        <v>285</v>
      </c>
      <c r="M2056" t="str">
        <f t="shared" si="114"/>
        <v>04</v>
      </c>
      <c r="N2056" t="s">
        <v>12</v>
      </c>
    </row>
    <row r="2057" spans="1:14" x14ac:dyDescent="0.25">
      <c r="A2057">
        <v>20160429</v>
      </c>
      <c r="B2057" t="str">
        <f>"063298"</f>
        <v>063298</v>
      </c>
      <c r="C2057" t="str">
        <f>"28680"</f>
        <v>28680</v>
      </c>
      <c r="D2057" t="s">
        <v>422</v>
      </c>
      <c r="E2057" s="3">
        <v>167.19</v>
      </c>
      <c r="F2057">
        <v>20160427</v>
      </c>
      <c r="G2057" t="s">
        <v>847</v>
      </c>
      <c r="H2057" t="s">
        <v>1077</v>
      </c>
      <c r="I2057">
        <v>0</v>
      </c>
      <c r="J2057" t="s">
        <v>289</v>
      </c>
      <c r="K2057" t="s">
        <v>290</v>
      </c>
      <c r="L2057" t="s">
        <v>285</v>
      </c>
      <c r="M2057" t="str">
        <f t="shared" si="114"/>
        <v>04</v>
      </c>
      <c r="N2057" t="s">
        <v>12</v>
      </c>
    </row>
    <row r="2058" spans="1:14" x14ac:dyDescent="0.25">
      <c r="A2058">
        <v>20160429</v>
      </c>
      <c r="B2058" t="str">
        <f>"063301"</f>
        <v>063301</v>
      </c>
      <c r="C2058" t="str">
        <f>"81632"</f>
        <v>81632</v>
      </c>
      <c r="D2058" t="s">
        <v>1351</v>
      </c>
      <c r="E2058" s="3">
        <v>42.36</v>
      </c>
      <c r="F2058">
        <v>20160427</v>
      </c>
      <c r="G2058" t="s">
        <v>599</v>
      </c>
      <c r="H2058" t="s">
        <v>1304</v>
      </c>
      <c r="I2058">
        <v>0</v>
      </c>
      <c r="J2058" t="s">
        <v>289</v>
      </c>
      <c r="K2058" t="s">
        <v>290</v>
      </c>
      <c r="L2058" t="s">
        <v>285</v>
      </c>
      <c r="M2058" t="str">
        <f t="shared" si="114"/>
        <v>04</v>
      </c>
      <c r="N2058" t="s">
        <v>12</v>
      </c>
    </row>
    <row r="2059" spans="1:14" x14ac:dyDescent="0.25">
      <c r="A2059">
        <v>20160429</v>
      </c>
      <c r="B2059" t="str">
        <f>"063316"</f>
        <v>063316</v>
      </c>
      <c r="C2059" t="str">
        <f>"54820"</f>
        <v>54820</v>
      </c>
      <c r="D2059" t="s">
        <v>672</v>
      </c>
      <c r="E2059" s="3">
        <v>75.05</v>
      </c>
      <c r="F2059">
        <v>20160427</v>
      </c>
      <c r="G2059" t="s">
        <v>1111</v>
      </c>
      <c r="H2059" t="s">
        <v>1348</v>
      </c>
      <c r="I2059">
        <v>0</v>
      </c>
      <c r="J2059" t="s">
        <v>289</v>
      </c>
      <c r="K2059" t="s">
        <v>290</v>
      </c>
      <c r="L2059" t="s">
        <v>285</v>
      </c>
      <c r="M2059" t="str">
        <f t="shared" si="114"/>
        <v>04</v>
      </c>
      <c r="N2059" t="s">
        <v>12</v>
      </c>
    </row>
    <row r="2060" spans="1:14" x14ac:dyDescent="0.25">
      <c r="A2060">
        <v>20160429</v>
      </c>
      <c r="B2060" t="str">
        <f>"063320"</f>
        <v>063320</v>
      </c>
      <c r="C2060" t="str">
        <f>"61941"</f>
        <v>61941</v>
      </c>
      <c r="D2060" t="s">
        <v>1352</v>
      </c>
      <c r="E2060" s="3">
        <v>75</v>
      </c>
      <c r="F2060">
        <v>20160427</v>
      </c>
      <c r="G2060" t="s">
        <v>1069</v>
      </c>
      <c r="H2060" t="s">
        <v>1349</v>
      </c>
      <c r="I2060">
        <v>0</v>
      </c>
      <c r="J2060" t="s">
        <v>289</v>
      </c>
      <c r="K2060" t="s">
        <v>290</v>
      </c>
      <c r="L2060" t="s">
        <v>285</v>
      </c>
      <c r="M2060" t="str">
        <f t="shared" si="114"/>
        <v>04</v>
      </c>
      <c r="N2060" t="s">
        <v>12</v>
      </c>
    </row>
    <row r="2061" spans="1:14" x14ac:dyDescent="0.25">
      <c r="A2061">
        <v>20160429</v>
      </c>
      <c r="B2061" t="str">
        <f t="shared" ref="B2061:B2069" si="115">"063325"</f>
        <v>063325</v>
      </c>
      <c r="C2061" t="str">
        <f t="shared" ref="C2061:C2069" si="116">"78311"</f>
        <v>78311</v>
      </c>
      <c r="D2061" t="s">
        <v>458</v>
      </c>
      <c r="E2061" s="3">
        <v>23.4</v>
      </c>
      <c r="F2061">
        <v>20160427</v>
      </c>
      <c r="G2061" t="s">
        <v>310</v>
      </c>
      <c r="H2061" t="s">
        <v>1268</v>
      </c>
      <c r="I2061">
        <v>0</v>
      </c>
      <c r="J2061" t="s">
        <v>289</v>
      </c>
      <c r="K2061" t="s">
        <v>290</v>
      </c>
      <c r="L2061" t="s">
        <v>285</v>
      </c>
      <c r="M2061" t="str">
        <f t="shared" si="114"/>
        <v>04</v>
      </c>
      <c r="N2061" t="s">
        <v>12</v>
      </c>
    </row>
    <row r="2062" spans="1:14" x14ac:dyDescent="0.25">
      <c r="A2062">
        <v>20160429</v>
      </c>
      <c r="B2062" t="str">
        <f t="shared" si="115"/>
        <v>063325</v>
      </c>
      <c r="C2062" t="str">
        <f t="shared" si="116"/>
        <v>78311</v>
      </c>
      <c r="D2062" t="s">
        <v>458</v>
      </c>
      <c r="E2062" s="3">
        <v>24.11</v>
      </c>
      <c r="F2062">
        <v>20160427</v>
      </c>
      <c r="G2062" t="s">
        <v>599</v>
      </c>
      <c r="H2062" t="s">
        <v>1221</v>
      </c>
      <c r="I2062">
        <v>0</v>
      </c>
      <c r="J2062" t="s">
        <v>289</v>
      </c>
      <c r="K2062" t="s">
        <v>290</v>
      </c>
      <c r="L2062" t="s">
        <v>285</v>
      </c>
      <c r="M2062" t="str">
        <f t="shared" si="114"/>
        <v>04</v>
      </c>
      <c r="N2062" t="s">
        <v>12</v>
      </c>
    </row>
    <row r="2063" spans="1:14" x14ac:dyDescent="0.25">
      <c r="A2063">
        <v>20160429</v>
      </c>
      <c r="B2063" t="str">
        <f t="shared" si="115"/>
        <v>063325</v>
      </c>
      <c r="C2063" t="str">
        <f t="shared" si="116"/>
        <v>78311</v>
      </c>
      <c r="D2063" t="s">
        <v>458</v>
      </c>
      <c r="E2063" s="3">
        <v>17.190000000000001</v>
      </c>
      <c r="F2063">
        <v>20160427</v>
      </c>
      <c r="G2063" t="s">
        <v>599</v>
      </c>
      <c r="H2063" t="s">
        <v>1221</v>
      </c>
      <c r="I2063">
        <v>0</v>
      </c>
      <c r="J2063" t="s">
        <v>289</v>
      </c>
      <c r="K2063" t="s">
        <v>290</v>
      </c>
      <c r="L2063" t="s">
        <v>285</v>
      </c>
      <c r="M2063" t="str">
        <f t="shared" si="114"/>
        <v>04</v>
      </c>
      <c r="N2063" t="s">
        <v>12</v>
      </c>
    </row>
    <row r="2064" spans="1:14" x14ac:dyDescent="0.25">
      <c r="A2064">
        <v>20160429</v>
      </c>
      <c r="B2064" t="str">
        <f t="shared" si="115"/>
        <v>063325</v>
      </c>
      <c r="C2064" t="str">
        <f t="shared" si="116"/>
        <v>78311</v>
      </c>
      <c r="D2064" t="s">
        <v>458</v>
      </c>
      <c r="E2064" s="3">
        <v>11.74</v>
      </c>
      <c r="F2064">
        <v>20160427</v>
      </c>
      <c r="G2064" t="s">
        <v>599</v>
      </c>
      <c r="H2064" t="s">
        <v>1221</v>
      </c>
      <c r="I2064">
        <v>0</v>
      </c>
      <c r="J2064" t="s">
        <v>289</v>
      </c>
      <c r="K2064" t="s">
        <v>290</v>
      </c>
      <c r="L2064" t="s">
        <v>285</v>
      </c>
      <c r="M2064" t="str">
        <f t="shared" si="114"/>
        <v>04</v>
      </c>
      <c r="N2064" t="s">
        <v>12</v>
      </c>
    </row>
    <row r="2065" spans="1:14" x14ac:dyDescent="0.25">
      <c r="A2065">
        <v>20160429</v>
      </c>
      <c r="B2065" t="str">
        <f t="shared" si="115"/>
        <v>063325</v>
      </c>
      <c r="C2065" t="str">
        <f t="shared" si="116"/>
        <v>78311</v>
      </c>
      <c r="D2065" t="s">
        <v>458</v>
      </c>
      <c r="E2065" s="3">
        <v>22.7</v>
      </c>
      <c r="F2065">
        <v>20160427</v>
      </c>
      <c r="G2065" t="s">
        <v>599</v>
      </c>
      <c r="H2065" t="s">
        <v>1281</v>
      </c>
      <c r="I2065">
        <v>0</v>
      </c>
      <c r="J2065" t="s">
        <v>289</v>
      </c>
      <c r="K2065" t="s">
        <v>290</v>
      </c>
      <c r="L2065" t="s">
        <v>285</v>
      </c>
      <c r="M2065" t="str">
        <f t="shared" si="114"/>
        <v>04</v>
      </c>
      <c r="N2065" t="s">
        <v>12</v>
      </c>
    </row>
    <row r="2066" spans="1:14" x14ac:dyDescent="0.25">
      <c r="A2066">
        <v>20160429</v>
      </c>
      <c r="B2066" t="str">
        <f t="shared" si="115"/>
        <v>063325</v>
      </c>
      <c r="C2066" t="str">
        <f t="shared" si="116"/>
        <v>78311</v>
      </c>
      <c r="D2066" t="s">
        <v>458</v>
      </c>
      <c r="E2066" s="3">
        <v>12.31</v>
      </c>
      <c r="F2066">
        <v>20160427</v>
      </c>
      <c r="G2066" t="s">
        <v>599</v>
      </c>
      <c r="H2066" t="s">
        <v>1281</v>
      </c>
      <c r="I2066">
        <v>0</v>
      </c>
      <c r="J2066" t="s">
        <v>289</v>
      </c>
      <c r="K2066" t="s">
        <v>290</v>
      </c>
      <c r="L2066" t="s">
        <v>285</v>
      </c>
      <c r="M2066" t="str">
        <f t="shared" si="114"/>
        <v>04</v>
      </c>
      <c r="N2066" t="s">
        <v>12</v>
      </c>
    </row>
    <row r="2067" spans="1:14" x14ac:dyDescent="0.25">
      <c r="A2067">
        <v>20160429</v>
      </c>
      <c r="B2067" t="str">
        <f t="shared" si="115"/>
        <v>063325</v>
      </c>
      <c r="C2067" t="str">
        <f t="shared" si="116"/>
        <v>78311</v>
      </c>
      <c r="D2067" t="s">
        <v>458</v>
      </c>
      <c r="E2067" s="3">
        <v>25.76</v>
      </c>
      <c r="F2067">
        <v>20160427</v>
      </c>
      <c r="G2067" t="s">
        <v>599</v>
      </c>
      <c r="H2067" t="s">
        <v>1309</v>
      </c>
      <c r="I2067">
        <v>0</v>
      </c>
      <c r="J2067" t="s">
        <v>289</v>
      </c>
      <c r="K2067" t="s">
        <v>290</v>
      </c>
      <c r="L2067" t="s">
        <v>285</v>
      </c>
      <c r="M2067" t="str">
        <f t="shared" si="114"/>
        <v>04</v>
      </c>
      <c r="N2067" t="s">
        <v>12</v>
      </c>
    </row>
    <row r="2068" spans="1:14" x14ac:dyDescent="0.25">
      <c r="A2068">
        <v>20160429</v>
      </c>
      <c r="B2068" t="str">
        <f t="shared" si="115"/>
        <v>063325</v>
      </c>
      <c r="C2068" t="str">
        <f t="shared" si="116"/>
        <v>78311</v>
      </c>
      <c r="D2068" t="s">
        <v>458</v>
      </c>
      <c r="E2068" s="3">
        <v>21.09</v>
      </c>
      <c r="F2068">
        <v>20160427</v>
      </c>
      <c r="G2068" t="s">
        <v>599</v>
      </c>
      <c r="H2068" t="s">
        <v>1304</v>
      </c>
      <c r="I2068">
        <v>0</v>
      </c>
      <c r="J2068" t="s">
        <v>289</v>
      </c>
      <c r="K2068" t="s">
        <v>290</v>
      </c>
      <c r="L2068" t="s">
        <v>285</v>
      </c>
      <c r="M2068" t="str">
        <f t="shared" si="114"/>
        <v>04</v>
      </c>
      <c r="N2068" t="s">
        <v>12</v>
      </c>
    </row>
    <row r="2069" spans="1:14" x14ac:dyDescent="0.25">
      <c r="A2069">
        <v>20160429</v>
      </c>
      <c r="B2069" t="str">
        <f t="shared" si="115"/>
        <v>063325</v>
      </c>
      <c r="C2069" t="str">
        <f t="shared" si="116"/>
        <v>78311</v>
      </c>
      <c r="D2069" t="s">
        <v>458</v>
      </c>
      <c r="E2069" s="3">
        <v>36.159999999999997</v>
      </c>
      <c r="F2069">
        <v>20160427</v>
      </c>
      <c r="G2069" t="s">
        <v>599</v>
      </c>
      <c r="H2069" t="s">
        <v>1304</v>
      </c>
      <c r="I2069">
        <v>0</v>
      </c>
      <c r="J2069" t="s">
        <v>289</v>
      </c>
      <c r="K2069" t="s">
        <v>290</v>
      </c>
      <c r="L2069" t="s">
        <v>285</v>
      </c>
      <c r="M2069" t="str">
        <f t="shared" si="114"/>
        <v>04</v>
      </c>
      <c r="N2069" t="s">
        <v>12</v>
      </c>
    </row>
    <row r="2070" spans="1:14" x14ac:dyDescent="0.25">
      <c r="A2070">
        <v>20160429</v>
      </c>
      <c r="B2070" t="str">
        <f>"063328"</f>
        <v>063328</v>
      </c>
      <c r="C2070" t="str">
        <f>"82310"</f>
        <v>82310</v>
      </c>
      <c r="D2070" t="s">
        <v>1264</v>
      </c>
      <c r="E2070" s="3">
        <v>75</v>
      </c>
      <c r="F2070">
        <v>20160427</v>
      </c>
      <c r="G2070" t="s">
        <v>1069</v>
      </c>
      <c r="H2070" t="s">
        <v>1349</v>
      </c>
      <c r="I2070">
        <v>0</v>
      </c>
      <c r="J2070" t="s">
        <v>289</v>
      </c>
      <c r="K2070" t="s">
        <v>290</v>
      </c>
      <c r="L2070" t="s">
        <v>285</v>
      </c>
      <c r="M2070" t="str">
        <f t="shared" si="114"/>
        <v>04</v>
      </c>
      <c r="N2070" t="s">
        <v>12</v>
      </c>
    </row>
    <row r="2071" spans="1:14" x14ac:dyDescent="0.25">
      <c r="A2071">
        <v>20160429</v>
      </c>
      <c r="B2071" t="str">
        <f>"063329"</f>
        <v>063329</v>
      </c>
      <c r="C2071" t="str">
        <f>"83022"</f>
        <v>83022</v>
      </c>
      <c r="D2071" t="s">
        <v>394</v>
      </c>
      <c r="E2071" s="3">
        <v>549.6</v>
      </c>
      <c r="F2071">
        <v>20160427</v>
      </c>
      <c r="G2071" t="s">
        <v>507</v>
      </c>
      <c r="H2071" t="s">
        <v>1353</v>
      </c>
      <c r="I2071">
        <v>0</v>
      </c>
      <c r="J2071" t="s">
        <v>289</v>
      </c>
      <c r="K2071" t="s">
        <v>290</v>
      </c>
      <c r="L2071" t="s">
        <v>285</v>
      </c>
      <c r="M2071" t="str">
        <f t="shared" si="114"/>
        <v>04</v>
      </c>
      <c r="N2071" t="s">
        <v>12</v>
      </c>
    </row>
    <row r="2072" spans="1:14" x14ac:dyDescent="0.25">
      <c r="A2072">
        <v>20160506</v>
      </c>
      <c r="B2072" t="str">
        <f>"063344"</f>
        <v>063344</v>
      </c>
      <c r="C2072" t="str">
        <f>"12375"</f>
        <v>12375</v>
      </c>
      <c r="D2072" t="s">
        <v>1354</v>
      </c>
      <c r="E2072" s="3">
        <v>43.12</v>
      </c>
      <c r="F2072">
        <v>20160504</v>
      </c>
      <c r="G2072" t="s">
        <v>599</v>
      </c>
      <c r="H2072" t="s">
        <v>1304</v>
      </c>
      <c r="I2072">
        <v>0</v>
      </c>
      <c r="J2072" t="s">
        <v>289</v>
      </c>
      <c r="K2072" t="s">
        <v>290</v>
      </c>
      <c r="L2072" t="s">
        <v>285</v>
      </c>
      <c r="M2072" t="str">
        <f t="shared" ref="M2072:M2103" si="117">"05"</f>
        <v>05</v>
      </c>
      <c r="N2072" t="s">
        <v>12</v>
      </c>
    </row>
    <row r="2073" spans="1:14" x14ac:dyDescent="0.25">
      <c r="A2073">
        <v>20160506</v>
      </c>
      <c r="B2073" t="str">
        <f>"063345"</f>
        <v>063345</v>
      </c>
      <c r="C2073" t="str">
        <f>"08788"</f>
        <v>08788</v>
      </c>
      <c r="D2073" t="s">
        <v>302</v>
      </c>
      <c r="E2073" s="3">
        <v>697.23</v>
      </c>
      <c r="F2073">
        <v>20160504</v>
      </c>
      <c r="G2073" t="s">
        <v>517</v>
      </c>
      <c r="H2073" t="s">
        <v>1355</v>
      </c>
      <c r="I2073">
        <v>0</v>
      </c>
      <c r="J2073" t="s">
        <v>289</v>
      </c>
      <c r="K2073" t="s">
        <v>95</v>
      </c>
      <c r="L2073" t="s">
        <v>285</v>
      </c>
      <c r="M2073" t="str">
        <f t="shared" si="117"/>
        <v>05</v>
      </c>
      <c r="N2073" t="s">
        <v>12</v>
      </c>
    </row>
    <row r="2074" spans="1:14" x14ac:dyDescent="0.25">
      <c r="A2074">
        <v>20160506</v>
      </c>
      <c r="B2074" t="str">
        <f>"063345"</f>
        <v>063345</v>
      </c>
      <c r="C2074" t="str">
        <f>"08788"</f>
        <v>08788</v>
      </c>
      <c r="D2074" t="s">
        <v>302</v>
      </c>
      <c r="E2074" s="3">
        <v>96.13</v>
      </c>
      <c r="F2074">
        <v>20160504</v>
      </c>
      <c r="G2074" t="s">
        <v>708</v>
      </c>
      <c r="H2074" t="s">
        <v>1356</v>
      </c>
      <c r="I2074">
        <v>0</v>
      </c>
      <c r="J2074" t="s">
        <v>289</v>
      </c>
      <c r="K2074" t="s">
        <v>290</v>
      </c>
      <c r="L2074" t="s">
        <v>285</v>
      </c>
      <c r="M2074" t="str">
        <f t="shared" si="117"/>
        <v>05</v>
      </c>
      <c r="N2074" t="s">
        <v>12</v>
      </c>
    </row>
    <row r="2075" spans="1:14" x14ac:dyDescent="0.25">
      <c r="A2075">
        <v>20160506</v>
      </c>
      <c r="B2075" t="str">
        <f>"063345"</f>
        <v>063345</v>
      </c>
      <c r="C2075" t="str">
        <f>"08788"</f>
        <v>08788</v>
      </c>
      <c r="D2075" t="s">
        <v>302</v>
      </c>
      <c r="E2075" s="3">
        <v>112.09</v>
      </c>
      <c r="F2075">
        <v>20160504</v>
      </c>
      <c r="G2075" t="s">
        <v>983</v>
      </c>
      <c r="H2075" t="s">
        <v>1357</v>
      </c>
      <c r="I2075">
        <v>0</v>
      </c>
      <c r="J2075" t="s">
        <v>289</v>
      </c>
      <c r="K2075" t="s">
        <v>95</v>
      </c>
      <c r="L2075" t="s">
        <v>285</v>
      </c>
      <c r="M2075" t="str">
        <f t="shared" si="117"/>
        <v>05</v>
      </c>
      <c r="N2075" t="s">
        <v>12</v>
      </c>
    </row>
    <row r="2076" spans="1:14" x14ac:dyDescent="0.25">
      <c r="A2076">
        <v>20160506</v>
      </c>
      <c r="B2076" t="str">
        <f>"063346"</f>
        <v>063346</v>
      </c>
      <c r="C2076" t="str">
        <f>"13855"</f>
        <v>13855</v>
      </c>
      <c r="D2076" t="s">
        <v>1347</v>
      </c>
      <c r="E2076" s="3">
        <v>22.76</v>
      </c>
      <c r="F2076">
        <v>20160504</v>
      </c>
      <c r="G2076" t="s">
        <v>310</v>
      </c>
      <c r="H2076" t="s">
        <v>1324</v>
      </c>
      <c r="I2076">
        <v>0</v>
      </c>
      <c r="J2076" t="s">
        <v>289</v>
      </c>
      <c r="K2076" t="s">
        <v>290</v>
      </c>
      <c r="L2076" t="s">
        <v>285</v>
      </c>
      <c r="M2076" t="str">
        <f t="shared" si="117"/>
        <v>05</v>
      </c>
      <c r="N2076" t="s">
        <v>12</v>
      </c>
    </row>
    <row r="2077" spans="1:14" x14ac:dyDescent="0.25">
      <c r="A2077">
        <v>20160506</v>
      </c>
      <c r="B2077" t="str">
        <f>"063348"</f>
        <v>063348</v>
      </c>
      <c r="C2077" t="str">
        <f>"19291"</f>
        <v>19291</v>
      </c>
      <c r="D2077" t="s">
        <v>598</v>
      </c>
      <c r="E2077" s="3">
        <v>110.69</v>
      </c>
      <c r="F2077">
        <v>20160504</v>
      </c>
      <c r="G2077" t="s">
        <v>599</v>
      </c>
      <c r="H2077" t="s">
        <v>1358</v>
      </c>
      <c r="I2077">
        <v>0</v>
      </c>
      <c r="J2077" t="s">
        <v>289</v>
      </c>
      <c r="K2077" t="s">
        <v>290</v>
      </c>
      <c r="L2077" t="s">
        <v>285</v>
      </c>
      <c r="M2077" t="str">
        <f t="shared" si="117"/>
        <v>05</v>
      </c>
      <c r="N2077" t="s">
        <v>12</v>
      </c>
    </row>
    <row r="2078" spans="1:14" x14ac:dyDescent="0.25">
      <c r="A2078">
        <v>20160506</v>
      </c>
      <c r="B2078" t="str">
        <f>"063349"</f>
        <v>063349</v>
      </c>
      <c r="C2078" t="str">
        <f>"19291"</f>
        <v>19291</v>
      </c>
      <c r="D2078" t="s">
        <v>598</v>
      </c>
      <c r="E2078" s="3">
        <v>44.72</v>
      </c>
      <c r="F2078">
        <v>20160504</v>
      </c>
      <c r="G2078" t="s">
        <v>599</v>
      </c>
      <c r="H2078" t="s">
        <v>1304</v>
      </c>
      <c r="I2078">
        <v>0</v>
      </c>
      <c r="J2078" t="s">
        <v>289</v>
      </c>
      <c r="K2078" t="s">
        <v>290</v>
      </c>
      <c r="L2078" t="s">
        <v>285</v>
      </c>
      <c r="M2078" t="str">
        <f t="shared" si="117"/>
        <v>05</v>
      </c>
      <c r="N2078" t="s">
        <v>12</v>
      </c>
    </row>
    <row r="2079" spans="1:14" x14ac:dyDescent="0.25">
      <c r="A2079">
        <v>20160506</v>
      </c>
      <c r="B2079" t="str">
        <f>"063351"</f>
        <v>063351</v>
      </c>
      <c r="C2079" t="str">
        <f>"19294"</f>
        <v>19294</v>
      </c>
      <c r="D2079" t="s">
        <v>411</v>
      </c>
      <c r="E2079" s="3">
        <v>113.05</v>
      </c>
      <c r="F2079">
        <v>20160504</v>
      </c>
      <c r="G2079" t="s">
        <v>1111</v>
      </c>
      <c r="H2079" t="s">
        <v>1359</v>
      </c>
      <c r="I2079">
        <v>0</v>
      </c>
      <c r="J2079" t="s">
        <v>289</v>
      </c>
      <c r="K2079" t="s">
        <v>290</v>
      </c>
      <c r="L2079" t="s">
        <v>285</v>
      </c>
      <c r="M2079" t="str">
        <f t="shared" si="117"/>
        <v>05</v>
      </c>
      <c r="N2079" t="s">
        <v>12</v>
      </c>
    </row>
    <row r="2080" spans="1:14" x14ac:dyDescent="0.25">
      <c r="A2080">
        <v>20160506</v>
      </c>
      <c r="B2080" t="str">
        <f>"063352"</f>
        <v>063352</v>
      </c>
      <c r="C2080" t="str">
        <f>"20433"</f>
        <v>20433</v>
      </c>
      <c r="D2080" t="s">
        <v>413</v>
      </c>
      <c r="E2080" s="3">
        <v>25</v>
      </c>
      <c r="F2080">
        <v>20160504</v>
      </c>
      <c r="G2080" t="s">
        <v>1069</v>
      </c>
      <c r="H2080" t="s">
        <v>1360</v>
      </c>
      <c r="I2080">
        <v>0</v>
      </c>
      <c r="J2080" t="s">
        <v>289</v>
      </c>
      <c r="K2080" t="s">
        <v>290</v>
      </c>
      <c r="L2080" t="s">
        <v>285</v>
      </c>
      <c r="M2080" t="str">
        <f t="shared" si="117"/>
        <v>05</v>
      </c>
      <c r="N2080" t="s">
        <v>12</v>
      </c>
    </row>
    <row r="2081" spans="1:14" x14ac:dyDescent="0.25">
      <c r="A2081">
        <v>20160506</v>
      </c>
      <c r="B2081" t="str">
        <f>"063352"</f>
        <v>063352</v>
      </c>
      <c r="C2081" t="str">
        <f>"20433"</f>
        <v>20433</v>
      </c>
      <c r="D2081" t="s">
        <v>413</v>
      </c>
      <c r="E2081" s="3">
        <v>25</v>
      </c>
      <c r="F2081">
        <v>20160505</v>
      </c>
      <c r="G2081" t="s">
        <v>1069</v>
      </c>
      <c r="H2081" t="s">
        <v>1283</v>
      </c>
      <c r="I2081">
        <v>0</v>
      </c>
      <c r="J2081" t="s">
        <v>289</v>
      </c>
      <c r="K2081" t="s">
        <v>290</v>
      </c>
      <c r="L2081" t="s">
        <v>285</v>
      </c>
      <c r="M2081" t="str">
        <f t="shared" si="117"/>
        <v>05</v>
      </c>
      <c r="N2081" t="s">
        <v>12</v>
      </c>
    </row>
    <row r="2082" spans="1:14" x14ac:dyDescent="0.25">
      <c r="A2082">
        <v>20160506</v>
      </c>
      <c r="B2082" t="str">
        <f>"063352"</f>
        <v>063352</v>
      </c>
      <c r="C2082" t="str">
        <f>"20433"</f>
        <v>20433</v>
      </c>
      <c r="D2082" t="s">
        <v>413</v>
      </c>
      <c r="E2082" s="3">
        <v>25</v>
      </c>
      <c r="F2082">
        <v>20160504</v>
      </c>
      <c r="G2082" t="s">
        <v>1111</v>
      </c>
      <c r="H2082" t="s">
        <v>1359</v>
      </c>
      <c r="I2082">
        <v>0</v>
      </c>
      <c r="J2082" t="s">
        <v>289</v>
      </c>
      <c r="K2082" t="s">
        <v>290</v>
      </c>
      <c r="L2082" t="s">
        <v>285</v>
      </c>
      <c r="M2082" t="str">
        <f t="shared" si="117"/>
        <v>05</v>
      </c>
      <c r="N2082" t="s">
        <v>12</v>
      </c>
    </row>
    <row r="2083" spans="1:14" x14ac:dyDescent="0.25">
      <c r="A2083">
        <v>20160506</v>
      </c>
      <c r="B2083" t="str">
        <f>"063354"</f>
        <v>063354</v>
      </c>
      <c r="C2083" t="str">
        <f>"51349"</f>
        <v>51349</v>
      </c>
      <c r="D2083" t="s">
        <v>640</v>
      </c>
      <c r="E2083" s="3">
        <v>114</v>
      </c>
      <c r="F2083">
        <v>20160504</v>
      </c>
      <c r="G2083" t="s">
        <v>1196</v>
      </c>
      <c r="H2083" t="s">
        <v>1312</v>
      </c>
      <c r="I2083">
        <v>0</v>
      </c>
      <c r="J2083" t="s">
        <v>289</v>
      </c>
      <c r="K2083" t="s">
        <v>95</v>
      </c>
      <c r="L2083" t="s">
        <v>285</v>
      </c>
      <c r="M2083" t="str">
        <f t="shared" si="117"/>
        <v>05</v>
      </c>
      <c r="N2083" t="s">
        <v>12</v>
      </c>
    </row>
    <row r="2084" spans="1:14" x14ac:dyDescent="0.25">
      <c r="A2084">
        <v>20160506</v>
      </c>
      <c r="B2084" t="str">
        <f>"063363"</f>
        <v>063363</v>
      </c>
      <c r="C2084" t="str">
        <f>"26337"</f>
        <v>26337</v>
      </c>
      <c r="D2084" t="s">
        <v>383</v>
      </c>
      <c r="E2084" s="3">
        <v>96</v>
      </c>
      <c r="F2084">
        <v>20160504</v>
      </c>
      <c r="G2084" t="s">
        <v>1069</v>
      </c>
      <c r="H2084" t="s">
        <v>1360</v>
      </c>
      <c r="I2084">
        <v>0</v>
      </c>
      <c r="J2084" t="s">
        <v>289</v>
      </c>
      <c r="K2084" t="s">
        <v>290</v>
      </c>
      <c r="L2084" t="s">
        <v>285</v>
      </c>
      <c r="M2084" t="str">
        <f t="shared" si="117"/>
        <v>05</v>
      </c>
      <c r="N2084" t="s">
        <v>12</v>
      </c>
    </row>
    <row r="2085" spans="1:14" x14ac:dyDescent="0.25">
      <c r="A2085">
        <v>20160506</v>
      </c>
      <c r="B2085" t="str">
        <f>"063365"</f>
        <v>063365</v>
      </c>
      <c r="C2085" t="str">
        <f>"29152"</f>
        <v>29152</v>
      </c>
      <c r="D2085" t="s">
        <v>1361</v>
      </c>
      <c r="E2085" s="3">
        <v>212.49</v>
      </c>
      <c r="F2085">
        <v>20160504</v>
      </c>
      <c r="G2085" t="s">
        <v>1362</v>
      </c>
      <c r="H2085" t="s">
        <v>1363</v>
      </c>
      <c r="I2085">
        <v>0</v>
      </c>
      <c r="J2085" t="s">
        <v>289</v>
      </c>
      <c r="K2085" t="s">
        <v>95</v>
      </c>
      <c r="L2085" t="s">
        <v>285</v>
      </c>
      <c r="M2085" t="str">
        <f t="shared" si="117"/>
        <v>05</v>
      </c>
      <c r="N2085" t="s">
        <v>12</v>
      </c>
    </row>
    <row r="2086" spans="1:14" x14ac:dyDescent="0.25">
      <c r="A2086">
        <v>20160506</v>
      </c>
      <c r="B2086" t="str">
        <f>"063371"</f>
        <v>063371</v>
      </c>
      <c r="C2086" t="str">
        <f>"30837"</f>
        <v>30837</v>
      </c>
      <c r="D2086" t="s">
        <v>352</v>
      </c>
      <c r="E2086" s="3">
        <v>63</v>
      </c>
      <c r="F2086">
        <v>20160504</v>
      </c>
      <c r="G2086" t="s">
        <v>1026</v>
      </c>
      <c r="H2086" t="s">
        <v>1364</v>
      </c>
      <c r="I2086">
        <v>0</v>
      </c>
      <c r="J2086" t="s">
        <v>289</v>
      </c>
      <c r="K2086" t="s">
        <v>290</v>
      </c>
      <c r="L2086" t="s">
        <v>285</v>
      </c>
      <c r="M2086" t="str">
        <f t="shared" si="117"/>
        <v>05</v>
      </c>
      <c r="N2086" t="s">
        <v>12</v>
      </c>
    </row>
    <row r="2087" spans="1:14" x14ac:dyDescent="0.25">
      <c r="A2087">
        <v>20160506</v>
      </c>
      <c r="B2087" t="str">
        <f>"063373"</f>
        <v>063373</v>
      </c>
      <c r="C2087" t="str">
        <f>"33772"</f>
        <v>33772</v>
      </c>
      <c r="D2087" t="s">
        <v>1365</v>
      </c>
      <c r="E2087" s="3">
        <v>39.520000000000003</v>
      </c>
      <c r="F2087">
        <v>20160504</v>
      </c>
      <c r="G2087" t="s">
        <v>599</v>
      </c>
      <c r="H2087" t="s">
        <v>1304</v>
      </c>
      <c r="I2087">
        <v>0</v>
      </c>
      <c r="J2087" t="s">
        <v>289</v>
      </c>
      <c r="K2087" t="s">
        <v>290</v>
      </c>
      <c r="L2087" t="s">
        <v>285</v>
      </c>
      <c r="M2087" t="str">
        <f t="shared" si="117"/>
        <v>05</v>
      </c>
      <c r="N2087" t="s">
        <v>12</v>
      </c>
    </row>
    <row r="2088" spans="1:14" x14ac:dyDescent="0.25">
      <c r="A2088">
        <v>20160506</v>
      </c>
      <c r="B2088" t="str">
        <f>"063376"</f>
        <v>063376</v>
      </c>
      <c r="C2088" t="str">
        <f>"39422"</f>
        <v>39422</v>
      </c>
      <c r="D2088" t="s">
        <v>1141</v>
      </c>
      <c r="E2088" s="3">
        <v>34.659999999999997</v>
      </c>
      <c r="F2088">
        <v>20160504</v>
      </c>
      <c r="G2088" t="s">
        <v>599</v>
      </c>
      <c r="H2088" t="s">
        <v>1304</v>
      </c>
      <c r="I2088">
        <v>0</v>
      </c>
      <c r="J2088" t="s">
        <v>289</v>
      </c>
      <c r="K2088" t="s">
        <v>290</v>
      </c>
      <c r="L2088" t="s">
        <v>285</v>
      </c>
      <c r="M2088" t="str">
        <f t="shared" si="117"/>
        <v>05</v>
      </c>
      <c r="N2088" t="s">
        <v>12</v>
      </c>
    </row>
    <row r="2089" spans="1:14" x14ac:dyDescent="0.25">
      <c r="A2089">
        <v>20160506</v>
      </c>
      <c r="B2089" t="str">
        <f>"063382"</f>
        <v>063382</v>
      </c>
      <c r="C2089" t="str">
        <f>"45093"</f>
        <v>45093</v>
      </c>
      <c r="D2089" t="s">
        <v>538</v>
      </c>
      <c r="E2089" s="3">
        <v>59.31</v>
      </c>
      <c r="F2089">
        <v>20160504</v>
      </c>
      <c r="G2089" t="s">
        <v>420</v>
      </c>
      <c r="H2089" t="s">
        <v>1366</v>
      </c>
      <c r="I2089">
        <v>0</v>
      </c>
      <c r="J2089" t="s">
        <v>289</v>
      </c>
      <c r="K2089" t="s">
        <v>290</v>
      </c>
      <c r="L2089" t="s">
        <v>285</v>
      </c>
      <c r="M2089" t="str">
        <f t="shared" si="117"/>
        <v>05</v>
      </c>
      <c r="N2089" t="s">
        <v>12</v>
      </c>
    </row>
    <row r="2090" spans="1:14" x14ac:dyDescent="0.25">
      <c r="A2090">
        <v>20160506</v>
      </c>
      <c r="B2090" t="str">
        <f>"063382"</f>
        <v>063382</v>
      </c>
      <c r="C2090" t="str">
        <f>"45093"</f>
        <v>45093</v>
      </c>
      <c r="D2090" t="s">
        <v>538</v>
      </c>
      <c r="E2090" s="3">
        <v>103.49</v>
      </c>
      <c r="F2090">
        <v>20160504</v>
      </c>
      <c r="G2090" t="s">
        <v>467</v>
      </c>
      <c r="H2090" t="s">
        <v>1367</v>
      </c>
      <c r="I2090">
        <v>0</v>
      </c>
      <c r="J2090" t="s">
        <v>289</v>
      </c>
      <c r="K2090" t="s">
        <v>290</v>
      </c>
      <c r="L2090" t="s">
        <v>285</v>
      </c>
      <c r="M2090" t="str">
        <f t="shared" si="117"/>
        <v>05</v>
      </c>
      <c r="N2090" t="s">
        <v>12</v>
      </c>
    </row>
    <row r="2091" spans="1:14" x14ac:dyDescent="0.25">
      <c r="A2091">
        <v>20160506</v>
      </c>
      <c r="B2091" t="str">
        <f>"063382"</f>
        <v>063382</v>
      </c>
      <c r="C2091" t="str">
        <f>"45093"</f>
        <v>45093</v>
      </c>
      <c r="D2091" t="s">
        <v>538</v>
      </c>
      <c r="E2091" s="3">
        <v>70.97</v>
      </c>
      <c r="F2091">
        <v>20160504</v>
      </c>
      <c r="G2091" t="s">
        <v>1024</v>
      </c>
      <c r="H2091" t="s">
        <v>1368</v>
      </c>
      <c r="I2091">
        <v>0</v>
      </c>
      <c r="J2091" t="s">
        <v>289</v>
      </c>
      <c r="K2091" t="s">
        <v>290</v>
      </c>
      <c r="L2091" t="s">
        <v>285</v>
      </c>
      <c r="M2091" t="str">
        <f t="shared" si="117"/>
        <v>05</v>
      </c>
      <c r="N2091" t="s">
        <v>12</v>
      </c>
    </row>
    <row r="2092" spans="1:14" x14ac:dyDescent="0.25">
      <c r="A2092">
        <v>20160506</v>
      </c>
      <c r="B2092" t="str">
        <f>"063382"</f>
        <v>063382</v>
      </c>
      <c r="C2092" t="str">
        <f>"45093"</f>
        <v>45093</v>
      </c>
      <c r="D2092" t="s">
        <v>538</v>
      </c>
      <c r="E2092" s="3">
        <v>109.07</v>
      </c>
      <c r="F2092">
        <v>20160504</v>
      </c>
      <c r="G2092" t="s">
        <v>1024</v>
      </c>
      <c r="H2092" t="s">
        <v>1182</v>
      </c>
      <c r="I2092">
        <v>0</v>
      </c>
      <c r="J2092" t="s">
        <v>289</v>
      </c>
      <c r="K2092" t="s">
        <v>290</v>
      </c>
      <c r="L2092" t="s">
        <v>285</v>
      </c>
      <c r="M2092" t="str">
        <f t="shared" si="117"/>
        <v>05</v>
      </c>
      <c r="N2092" t="s">
        <v>12</v>
      </c>
    </row>
    <row r="2093" spans="1:14" x14ac:dyDescent="0.25">
      <c r="A2093">
        <v>20160506</v>
      </c>
      <c r="B2093" t="str">
        <f>"063392"</f>
        <v>063392</v>
      </c>
      <c r="C2093" t="str">
        <f>"51347"</f>
        <v>51347</v>
      </c>
      <c r="D2093" t="s">
        <v>1096</v>
      </c>
      <c r="E2093" s="3">
        <v>70</v>
      </c>
      <c r="F2093">
        <v>20160504</v>
      </c>
      <c r="G2093" t="s">
        <v>602</v>
      </c>
      <c r="H2093" t="s">
        <v>1369</v>
      </c>
      <c r="I2093">
        <v>0</v>
      </c>
      <c r="J2093" t="s">
        <v>289</v>
      </c>
      <c r="K2093" t="s">
        <v>290</v>
      </c>
      <c r="L2093" t="s">
        <v>285</v>
      </c>
      <c r="M2093" t="str">
        <f t="shared" si="117"/>
        <v>05</v>
      </c>
      <c r="N2093" t="s">
        <v>12</v>
      </c>
    </row>
    <row r="2094" spans="1:14" x14ac:dyDescent="0.25">
      <c r="A2094">
        <v>20160506</v>
      </c>
      <c r="B2094" t="str">
        <f>"063410"</f>
        <v>063410</v>
      </c>
      <c r="C2094" t="str">
        <f>"65239"</f>
        <v>65239</v>
      </c>
      <c r="D2094" t="s">
        <v>1327</v>
      </c>
      <c r="E2094" s="3">
        <v>129.21</v>
      </c>
      <c r="F2094">
        <v>20160505</v>
      </c>
      <c r="G2094" t="s">
        <v>1111</v>
      </c>
      <c r="H2094" t="s">
        <v>1359</v>
      </c>
      <c r="I2094">
        <v>0</v>
      </c>
      <c r="J2094" t="s">
        <v>289</v>
      </c>
      <c r="K2094" t="s">
        <v>290</v>
      </c>
      <c r="L2094" t="s">
        <v>285</v>
      </c>
      <c r="M2094" t="str">
        <f t="shared" si="117"/>
        <v>05</v>
      </c>
      <c r="N2094" t="s">
        <v>12</v>
      </c>
    </row>
    <row r="2095" spans="1:14" x14ac:dyDescent="0.25">
      <c r="A2095">
        <v>20160506</v>
      </c>
      <c r="B2095" t="str">
        <f>"063425"</f>
        <v>063425</v>
      </c>
      <c r="C2095" t="str">
        <f>"80555"</f>
        <v>80555</v>
      </c>
      <c r="D2095" t="s">
        <v>1370</v>
      </c>
      <c r="E2095" s="3">
        <v>40.98</v>
      </c>
      <c r="F2095">
        <v>20160505</v>
      </c>
      <c r="G2095" t="s">
        <v>599</v>
      </c>
      <c r="H2095" t="s">
        <v>1304</v>
      </c>
      <c r="I2095">
        <v>0</v>
      </c>
      <c r="J2095" t="s">
        <v>289</v>
      </c>
      <c r="K2095" t="s">
        <v>290</v>
      </c>
      <c r="L2095" t="s">
        <v>285</v>
      </c>
      <c r="M2095" t="str">
        <f t="shared" si="117"/>
        <v>05</v>
      </c>
      <c r="N2095" t="s">
        <v>12</v>
      </c>
    </row>
    <row r="2096" spans="1:14" x14ac:dyDescent="0.25">
      <c r="A2096">
        <v>20160506</v>
      </c>
      <c r="B2096" t="str">
        <f>"063426"</f>
        <v>063426</v>
      </c>
      <c r="C2096" t="str">
        <f>"80527"</f>
        <v>80527</v>
      </c>
      <c r="D2096" t="s">
        <v>877</v>
      </c>
      <c r="E2096" s="3">
        <v>75</v>
      </c>
      <c r="F2096">
        <v>20160505</v>
      </c>
      <c r="G2096" t="s">
        <v>1069</v>
      </c>
      <c r="H2096" t="s">
        <v>1360</v>
      </c>
      <c r="I2096">
        <v>0</v>
      </c>
      <c r="J2096" t="s">
        <v>289</v>
      </c>
      <c r="K2096" t="s">
        <v>290</v>
      </c>
      <c r="L2096" t="s">
        <v>285</v>
      </c>
      <c r="M2096" t="str">
        <f t="shared" si="117"/>
        <v>05</v>
      </c>
      <c r="N2096" t="s">
        <v>12</v>
      </c>
    </row>
    <row r="2097" spans="1:14" x14ac:dyDescent="0.25">
      <c r="A2097">
        <v>20160506</v>
      </c>
      <c r="B2097" t="str">
        <f>"063427"</f>
        <v>063427</v>
      </c>
      <c r="C2097" t="str">
        <f>"82800"</f>
        <v>82800</v>
      </c>
      <c r="D2097" t="s">
        <v>1371</v>
      </c>
      <c r="E2097" s="3">
        <v>75</v>
      </c>
      <c r="F2097">
        <v>20160505</v>
      </c>
      <c r="G2097" t="s">
        <v>1069</v>
      </c>
      <c r="H2097" t="s">
        <v>1360</v>
      </c>
      <c r="I2097">
        <v>0</v>
      </c>
      <c r="J2097" t="s">
        <v>289</v>
      </c>
      <c r="K2097" t="s">
        <v>290</v>
      </c>
      <c r="L2097" t="s">
        <v>285</v>
      </c>
      <c r="M2097" t="str">
        <f t="shared" si="117"/>
        <v>05</v>
      </c>
      <c r="N2097" t="s">
        <v>12</v>
      </c>
    </row>
    <row r="2098" spans="1:14" x14ac:dyDescent="0.25">
      <c r="A2098">
        <v>20160506</v>
      </c>
      <c r="B2098" t="str">
        <f>"063428"</f>
        <v>063428</v>
      </c>
      <c r="C2098" t="str">
        <f>"83037"</f>
        <v>83037</v>
      </c>
      <c r="D2098" t="s">
        <v>523</v>
      </c>
      <c r="E2098" s="3">
        <v>96</v>
      </c>
      <c r="F2098">
        <v>20160505</v>
      </c>
      <c r="G2098" t="s">
        <v>1111</v>
      </c>
      <c r="H2098" t="s">
        <v>1359</v>
      </c>
      <c r="I2098">
        <v>0</v>
      </c>
      <c r="J2098" t="s">
        <v>289</v>
      </c>
      <c r="K2098" t="s">
        <v>290</v>
      </c>
      <c r="L2098" t="s">
        <v>285</v>
      </c>
      <c r="M2098" t="str">
        <f t="shared" si="117"/>
        <v>05</v>
      </c>
      <c r="N2098" t="s">
        <v>12</v>
      </c>
    </row>
    <row r="2099" spans="1:14" x14ac:dyDescent="0.25">
      <c r="A2099">
        <v>20160506</v>
      </c>
      <c r="B2099" t="str">
        <f>"063430"</f>
        <v>063430</v>
      </c>
      <c r="C2099" t="str">
        <f>"84370"</f>
        <v>84370</v>
      </c>
      <c r="D2099" t="s">
        <v>329</v>
      </c>
      <c r="E2099" s="3">
        <v>101.44</v>
      </c>
      <c r="F2099">
        <v>20160505</v>
      </c>
      <c r="G2099" t="s">
        <v>1032</v>
      </c>
      <c r="H2099" t="s">
        <v>1372</v>
      </c>
      <c r="I2099">
        <v>0</v>
      </c>
      <c r="J2099" t="s">
        <v>289</v>
      </c>
      <c r="K2099" t="s">
        <v>290</v>
      </c>
      <c r="L2099" t="s">
        <v>285</v>
      </c>
      <c r="M2099" t="str">
        <f t="shared" si="117"/>
        <v>05</v>
      </c>
      <c r="N2099" t="s">
        <v>12</v>
      </c>
    </row>
    <row r="2100" spans="1:14" x14ac:dyDescent="0.25">
      <c r="A2100">
        <v>20160506</v>
      </c>
      <c r="B2100" t="str">
        <f>"063430"</f>
        <v>063430</v>
      </c>
      <c r="C2100" t="str">
        <f>"84370"</f>
        <v>84370</v>
      </c>
      <c r="D2100" t="s">
        <v>329</v>
      </c>
      <c r="E2100" s="3">
        <v>152.30000000000001</v>
      </c>
      <c r="F2100">
        <v>20160505</v>
      </c>
      <c r="G2100" t="s">
        <v>1026</v>
      </c>
      <c r="H2100" t="s">
        <v>1373</v>
      </c>
      <c r="I2100">
        <v>0</v>
      </c>
      <c r="J2100" t="s">
        <v>289</v>
      </c>
      <c r="K2100" t="s">
        <v>290</v>
      </c>
      <c r="L2100" t="s">
        <v>285</v>
      </c>
      <c r="M2100" t="str">
        <f t="shared" si="117"/>
        <v>05</v>
      </c>
      <c r="N2100" t="s">
        <v>12</v>
      </c>
    </row>
    <row r="2101" spans="1:14" x14ac:dyDescent="0.25">
      <c r="A2101">
        <v>20160506</v>
      </c>
      <c r="B2101" t="str">
        <f>"063430"</f>
        <v>063430</v>
      </c>
      <c r="C2101" t="str">
        <f>"84370"</f>
        <v>84370</v>
      </c>
      <c r="D2101" t="s">
        <v>329</v>
      </c>
      <c r="E2101" s="3">
        <v>154.9</v>
      </c>
      <c r="F2101">
        <v>20160505</v>
      </c>
      <c r="G2101" t="s">
        <v>1026</v>
      </c>
      <c r="H2101" t="s">
        <v>1374</v>
      </c>
      <c r="I2101">
        <v>0</v>
      </c>
      <c r="J2101" t="s">
        <v>289</v>
      </c>
      <c r="K2101" t="s">
        <v>290</v>
      </c>
      <c r="L2101" t="s">
        <v>285</v>
      </c>
      <c r="M2101" t="str">
        <f t="shared" si="117"/>
        <v>05</v>
      </c>
      <c r="N2101" t="s">
        <v>12</v>
      </c>
    </row>
    <row r="2102" spans="1:14" x14ac:dyDescent="0.25">
      <c r="A2102">
        <v>20160506</v>
      </c>
      <c r="B2102" t="str">
        <f>"063430"</f>
        <v>063430</v>
      </c>
      <c r="C2102" t="str">
        <f>"84370"</f>
        <v>84370</v>
      </c>
      <c r="D2102" t="s">
        <v>329</v>
      </c>
      <c r="E2102" s="3">
        <v>251.47</v>
      </c>
      <c r="F2102">
        <v>20160505</v>
      </c>
      <c r="G2102" t="s">
        <v>1142</v>
      </c>
      <c r="H2102" t="s">
        <v>1375</v>
      </c>
      <c r="I2102">
        <v>0</v>
      </c>
      <c r="J2102" t="s">
        <v>289</v>
      </c>
      <c r="K2102" t="s">
        <v>290</v>
      </c>
      <c r="L2102" t="s">
        <v>285</v>
      </c>
      <c r="M2102" t="str">
        <f t="shared" si="117"/>
        <v>05</v>
      </c>
      <c r="N2102" t="s">
        <v>12</v>
      </c>
    </row>
    <row r="2103" spans="1:14" x14ac:dyDescent="0.25">
      <c r="A2103">
        <v>20160506</v>
      </c>
      <c r="B2103" t="str">
        <f>"063430"</f>
        <v>063430</v>
      </c>
      <c r="C2103" t="str">
        <f>"84370"</f>
        <v>84370</v>
      </c>
      <c r="D2103" t="s">
        <v>329</v>
      </c>
      <c r="E2103" s="3">
        <v>170.01</v>
      </c>
      <c r="F2103">
        <v>20160506</v>
      </c>
      <c r="G2103" t="s">
        <v>1142</v>
      </c>
      <c r="H2103" t="s">
        <v>1376</v>
      </c>
      <c r="I2103">
        <v>0</v>
      </c>
      <c r="J2103" t="s">
        <v>289</v>
      </c>
      <c r="K2103" t="s">
        <v>290</v>
      </c>
      <c r="L2103" t="s">
        <v>285</v>
      </c>
      <c r="M2103" t="str">
        <f t="shared" si="117"/>
        <v>05</v>
      </c>
      <c r="N2103" t="s">
        <v>12</v>
      </c>
    </row>
    <row r="2104" spans="1:14" x14ac:dyDescent="0.25">
      <c r="A2104">
        <v>20160513</v>
      </c>
      <c r="B2104" t="str">
        <f>"063492"</f>
        <v>063492</v>
      </c>
      <c r="C2104" t="str">
        <f>"64007"</f>
        <v>64007</v>
      </c>
      <c r="D2104" t="s">
        <v>1377</v>
      </c>
      <c r="E2104" s="3">
        <v>211.38</v>
      </c>
      <c r="F2104">
        <v>20160512</v>
      </c>
      <c r="G2104" t="s">
        <v>310</v>
      </c>
      <c r="H2104" t="s">
        <v>1378</v>
      </c>
      <c r="I2104">
        <v>0</v>
      </c>
      <c r="J2104" t="s">
        <v>289</v>
      </c>
      <c r="K2104" t="s">
        <v>290</v>
      </c>
      <c r="L2104" t="s">
        <v>285</v>
      </c>
      <c r="M2104" t="str">
        <f t="shared" ref="M2104:M2134" si="118">"05"</f>
        <v>05</v>
      </c>
      <c r="N2104" t="s">
        <v>12</v>
      </c>
    </row>
    <row r="2105" spans="1:14" x14ac:dyDescent="0.25">
      <c r="A2105">
        <v>20160513</v>
      </c>
      <c r="B2105" t="str">
        <f>"063506"</f>
        <v>063506</v>
      </c>
      <c r="C2105" t="str">
        <f>"80755"</f>
        <v>80755</v>
      </c>
      <c r="D2105" t="s">
        <v>723</v>
      </c>
      <c r="E2105" s="3">
        <v>33.979999999999997</v>
      </c>
      <c r="F2105">
        <v>20160512</v>
      </c>
      <c r="G2105" t="s">
        <v>843</v>
      </c>
      <c r="H2105" t="s">
        <v>1379</v>
      </c>
      <c r="I2105">
        <v>0</v>
      </c>
      <c r="J2105" t="s">
        <v>289</v>
      </c>
      <c r="K2105" t="s">
        <v>290</v>
      </c>
      <c r="L2105" t="s">
        <v>285</v>
      </c>
      <c r="M2105" t="str">
        <f t="shared" si="118"/>
        <v>05</v>
      </c>
      <c r="N2105" t="s">
        <v>12</v>
      </c>
    </row>
    <row r="2106" spans="1:14" x14ac:dyDescent="0.25">
      <c r="A2106">
        <v>20160513</v>
      </c>
      <c r="B2106" t="str">
        <f>"063506"</f>
        <v>063506</v>
      </c>
      <c r="C2106" t="str">
        <f>"80755"</f>
        <v>80755</v>
      </c>
      <c r="D2106" t="s">
        <v>723</v>
      </c>
      <c r="E2106" s="3">
        <v>1202.04</v>
      </c>
      <c r="F2106">
        <v>20160512</v>
      </c>
      <c r="G2106" t="s">
        <v>1380</v>
      </c>
      <c r="H2106" t="s">
        <v>1381</v>
      </c>
      <c r="I2106">
        <v>0</v>
      </c>
      <c r="J2106" t="s">
        <v>289</v>
      </c>
      <c r="K2106" t="s">
        <v>290</v>
      </c>
      <c r="L2106" t="s">
        <v>285</v>
      </c>
      <c r="M2106" t="str">
        <f t="shared" si="118"/>
        <v>05</v>
      </c>
      <c r="N2106" t="s">
        <v>12</v>
      </c>
    </row>
    <row r="2107" spans="1:14" x14ac:dyDescent="0.25">
      <c r="A2107">
        <v>20160520</v>
      </c>
      <c r="B2107" t="str">
        <f>"063516"</f>
        <v>063516</v>
      </c>
      <c r="C2107" t="str">
        <f>"10020"</f>
        <v>10020</v>
      </c>
      <c r="D2107" t="s">
        <v>1018</v>
      </c>
      <c r="E2107" s="3">
        <v>432</v>
      </c>
      <c r="F2107">
        <v>20160518</v>
      </c>
      <c r="G2107" t="s">
        <v>788</v>
      </c>
      <c r="H2107" t="s">
        <v>1382</v>
      </c>
      <c r="I2107">
        <v>0</v>
      </c>
      <c r="J2107" t="s">
        <v>289</v>
      </c>
      <c r="K2107" t="s">
        <v>95</v>
      </c>
      <c r="L2107" t="s">
        <v>285</v>
      </c>
      <c r="M2107" t="str">
        <f t="shared" si="118"/>
        <v>05</v>
      </c>
      <c r="N2107" t="s">
        <v>12</v>
      </c>
    </row>
    <row r="2108" spans="1:14" x14ac:dyDescent="0.25">
      <c r="A2108">
        <v>20160520</v>
      </c>
      <c r="B2108" t="str">
        <f>"063516"</f>
        <v>063516</v>
      </c>
      <c r="C2108" t="str">
        <f>"10020"</f>
        <v>10020</v>
      </c>
      <c r="D2108" t="s">
        <v>1018</v>
      </c>
      <c r="E2108" s="3">
        <v>1014.15</v>
      </c>
      <c r="F2108">
        <v>20160518</v>
      </c>
      <c r="G2108" t="s">
        <v>684</v>
      </c>
      <c r="H2108" t="s">
        <v>1383</v>
      </c>
      <c r="I2108">
        <v>0</v>
      </c>
      <c r="J2108" t="s">
        <v>289</v>
      </c>
      <c r="K2108" t="s">
        <v>290</v>
      </c>
      <c r="L2108" t="s">
        <v>285</v>
      </c>
      <c r="M2108" t="str">
        <f t="shared" si="118"/>
        <v>05</v>
      </c>
      <c r="N2108" t="s">
        <v>12</v>
      </c>
    </row>
    <row r="2109" spans="1:14" x14ac:dyDescent="0.25">
      <c r="A2109">
        <v>20160520</v>
      </c>
      <c r="B2109" t="str">
        <f>"063516"</f>
        <v>063516</v>
      </c>
      <c r="C2109" t="str">
        <f>"10020"</f>
        <v>10020</v>
      </c>
      <c r="D2109" t="s">
        <v>1018</v>
      </c>
      <c r="E2109" s="3">
        <v>-20.95</v>
      </c>
      <c r="F2109">
        <v>20160506</v>
      </c>
      <c r="G2109" t="s">
        <v>684</v>
      </c>
      <c r="H2109" t="s">
        <v>1384</v>
      </c>
      <c r="I2109">
        <v>0</v>
      </c>
      <c r="J2109" t="s">
        <v>289</v>
      </c>
      <c r="K2109" t="s">
        <v>290</v>
      </c>
      <c r="L2109" t="s">
        <v>1385</v>
      </c>
      <c r="M2109" t="str">
        <f t="shared" si="118"/>
        <v>05</v>
      </c>
      <c r="N2109" t="s">
        <v>12</v>
      </c>
    </row>
    <row r="2110" spans="1:14" x14ac:dyDescent="0.25">
      <c r="A2110">
        <v>20160520</v>
      </c>
      <c r="B2110" t="str">
        <f>"063517"</f>
        <v>063517</v>
      </c>
      <c r="C2110" t="str">
        <f>"12384"</f>
        <v>12384</v>
      </c>
      <c r="D2110" t="s">
        <v>1386</v>
      </c>
      <c r="E2110" s="3">
        <v>95</v>
      </c>
      <c r="F2110">
        <v>20160518</v>
      </c>
      <c r="G2110" t="s">
        <v>1387</v>
      </c>
      <c r="H2110" t="s">
        <v>1388</v>
      </c>
      <c r="I2110">
        <v>0</v>
      </c>
      <c r="J2110" t="s">
        <v>289</v>
      </c>
      <c r="K2110" t="s">
        <v>290</v>
      </c>
      <c r="L2110" t="s">
        <v>285</v>
      </c>
      <c r="M2110" t="str">
        <f t="shared" si="118"/>
        <v>05</v>
      </c>
      <c r="N2110" t="s">
        <v>12</v>
      </c>
    </row>
    <row r="2111" spans="1:14" x14ac:dyDescent="0.25">
      <c r="A2111">
        <v>20160520</v>
      </c>
      <c r="B2111" t="str">
        <f>"063523"</f>
        <v>063523</v>
      </c>
      <c r="C2111" t="str">
        <f>"20433"</f>
        <v>20433</v>
      </c>
      <c r="D2111" t="s">
        <v>413</v>
      </c>
      <c r="E2111" s="3">
        <v>25</v>
      </c>
      <c r="F2111">
        <v>20160518</v>
      </c>
      <c r="G2111" t="s">
        <v>1387</v>
      </c>
      <c r="H2111" t="s">
        <v>1388</v>
      </c>
      <c r="I2111">
        <v>0</v>
      </c>
      <c r="J2111" t="s">
        <v>289</v>
      </c>
      <c r="K2111" t="s">
        <v>290</v>
      </c>
      <c r="L2111" t="s">
        <v>285</v>
      </c>
      <c r="M2111" t="str">
        <f t="shared" si="118"/>
        <v>05</v>
      </c>
      <c r="N2111" t="s">
        <v>12</v>
      </c>
    </row>
    <row r="2112" spans="1:14" x14ac:dyDescent="0.25">
      <c r="A2112">
        <v>20160520</v>
      </c>
      <c r="B2112" t="str">
        <f>"063526"</f>
        <v>063526</v>
      </c>
      <c r="C2112" t="str">
        <f>"20912"</f>
        <v>20912</v>
      </c>
      <c r="D2112" t="s">
        <v>1317</v>
      </c>
      <c r="E2112" s="3">
        <v>853.4</v>
      </c>
      <c r="F2112">
        <v>20160518</v>
      </c>
      <c r="G2112" t="s">
        <v>1362</v>
      </c>
      <c r="H2112" t="s">
        <v>1389</v>
      </c>
      <c r="I2112">
        <v>0</v>
      </c>
      <c r="J2112" t="s">
        <v>289</v>
      </c>
      <c r="K2112" t="s">
        <v>95</v>
      </c>
      <c r="L2112" t="s">
        <v>285</v>
      </c>
      <c r="M2112" t="str">
        <f t="shared" si="118"/>
        <v>05</v>
      </c>
      <c r="N2112" t="s">
        <v>12</v>
      </c>
    </row>
    <row r="2113" spans="1:14" x14ac:dyDescent="0.25">
      <c r="A2113">
        <v>20160520</v>
      </c>
      <c r="B2113" t="str">
        <f>"063528"</f>
        <v>063528</v>
      </c>
      <c r="C2113" t="str">
        <f>"22132"</f>
        <v>22132</v>
      </c>
      <c r="D2113" t="s">
        <v>1072</v>
      </c>
      <c r="E2113" s="3">
        <v>430.03</v>
      </c>
      <c r="F2113">
        <v>20160518</v>
      </c>
      <c r="G2113" t="s">
        <v>310</v>
      </c>
      <c r="H2113" t="s">
        <v>1390</v>
      </c>
      <c r="I2113">
        <v>0</v>
      </c>
      <c r="J2113" t="s">
        <v>289</v>
      </c>
      <c r="K2113" t="s">
        <v>290</v>
      </c>
      <c r="L2113" t="s">
        <v>285</v>
      </c>
      <c r="M2113" t="str">
        <f t="shared" si="118"/>
        <v>05</v>
      </c>
      <c r="N2113" t="s">
        <v>12</v>
      </c>
    </row>
    <row r="2114" spans="1:14" x14ac:dyDescent="0.25">
      <c r="A2114">
        <v>20160520</v>
      </c>
      <c r="B2114" t="str">
        <f>"063530"</f>
        <v>063530</v>
      </c>
      <c r="C2114" t="str">
        <f>"26337"</f>
        <v>26337</v>
      </c>
      <c r="D2114" t="s">
        <v>383</v>
      </c>
      <c r="E2114" s="3">
        <v>96</v>
      </c>
      <c r="F2114">
        <v>20160518</v>
      </c>
      <c r="G2114" t="s">
        <v>1387</v>
      </c>
      <c r="H2114" t="s">
        <v>1388</v>
      </c>
      <c r="I2114">
        <v>0</v>
      </c>
      <c r="J2114" t="s">
        <v>289</v>
      </c>
      <c r="K2114" t="s">
        <v>290</v>
      </c>
      <c r="L2114" t="s">
        <v>285</v>
      </c>
      <c r="M2114" t="str">
        <f t="shared" si="118"/>
        <v>05</v>
      </c>
      <c r="N2114" t="s">
        <v>12</v>
      </c>
    </row>
    <row r="2115" spans="1:14" x14ac:dyDescent="0.25">
      <c r="A2115">
        <v>20160520</v>
      </c>
      <c r="B2115" t="str">
        <f>"063537"</f>
        <v>063537</v>
      </c>
      <c r="C2115" t="str">
        <f>"33776"</f>
        <v>33776</v>
      </c>
      <c r="D2115" t="s">
        <v>1391</v>
      </c>
      <c r="E2115" s="3">
        <v>95</v>
      </c>
      <c r="F2115">
        <v>20160518</v>
      </c>
      <c r="G2115" t="s">
        <v>1387</v>
      </c>
      <c r="H2115" t="s">
        <v>1388</v>
      </c>
      <c r="I2115">
        <v>0</v>
      </c>
      <c r="J2115" t="s">
        <v>289</v>
      </c>
      <c r="K2115" t="s">
        <v>290</v>
      </c>
      <c r="L2115" t="s">
        <v>285</v>
      </c>
      <c r="M2115" t="str">
        <f t="shared" si="118"/>
        <v>05</v>
      </c>
      <c r="N2115" t="s">
        <v>12</v>
      </c>
    </row>
    <row r="2116" spans="1:14" x14ac:dyDescent="0.25">
      <c r="A2116">
        <v>20160520</v>
      </c>
      <c r="B2116" t="str">
        <f>"063565"</f>
        <v>063565</v>
      </c>
      <c r="C2116" t="str">
        <f>"64839"</f>
        <v>64839</v>
      </c>
      <c r="D2116" t="s">
        <v>1392</v>
      </c>
      <c r="E2116" s="3">
        <v>317.52999999999997</v>
      </c>
      <c r="F2116">
        <v>20160519</v>
      </c>
      <c r="G2116" t="s">
        <v>1387</v>
      </c>
      <c r="H2116" t="s">
        <v>1388</v>
      </c>
      <c r="I2116">
        <v>0</v>
      </c>
      <c r="J2116" t="s">
        <v>289</v>
      </c>
      <c r="K2116" t="s">
        <v>290</v>
      </c>
      <c r="L2116" t="s">
        <v>285</v>
      </c>
      <c r="M2116" t="str">
        <f t="shared" si="118"/>
        <v>05</v>
      </c>
      <c r="N2116" t="s">
        <v>12</v>
      </c>
    </row>
    <row r="2117" spans="1:14" x14ac:dyDescent="0.25">
      <c r="A2117">
        <v>20160527</v>
      </c>
      <c r="B2117" t="str">
        <f>"063596"</f>
        <v>063596</v>
      </c>
      <c r="C2117" t="str">
        <f>"08788"</f>
        <v>08788</v>
      </c>
      <c r="D2117" t="s">
        <v>302</v>
      </c>
      <c r="E2117" s="3">
        <v>1416.8</v>
      </c>
      <c r="F2117">
        <v>20160526</v>
      </c>
      <c r="G2117" t="s">
        <v>481</v>
      </c>
      <c r="H2117" t="s">
        <v>1393</v>
      </c>
      <c r="I2117">
        <v>0</v>
      </c>
      <c r="J2117" t="s">
        <v>289</v>
      </c>
      <c r="K2117" t="s">
        <v>290</v>
      </c>
      <c r="L2117" t="s">
        <v>285</v>
      </c>
      <c r="M2117" t="str">
        <f t="shared" si="118"/>
        <v>05</v>
      </c>
      <c r="N2117" t="s">
        <v>12</v>
      </c>
    </row>
    <row r="2118" spans="1:14" x14ac:dyDescent="0.25">
      <c r="A2118">
        <v>20160527</v>
      </c>
      <c r="B2118" t="str">
        <f>"063596"</f>
        <v>063596</v>
      </c>
      <c r="C2118" t="str">
        <f>"08788"</f>
        <v>08788</v>
      </c>
      <c r="D2118" t="s">
        <v>302</v>
      </c>
      <c r="E2118" s="3">
        <v>735</v>
      </c>
      <c r="F2118">
        <v>20160526</v>
      </c>
      <c r="G2118" t="s">
        <v>517</v>
      </c>
      <c r="H2118" t="s">
        <v>1394</v>
      </c>
      <c r="I2118">
        <v>0</v>
      </c>
      <c r="J2118" t="s">
        <v>289</v>
      </c>
      <c r="K2118" t="s">
        <v>95</v>
      </c>
      <c r="L2118" t="s">
        <v>285</v>
      </c>
      <c r="M2118" t="str">
        <f t="shared" si="118"/>
        <v>05</v>
      </c>
      <c r="N2118" t="s">
        <v>12</v>
      </c>
    </row>
    <row r="2119" spans="1:14" x14ac:dyDescent="0.25">
      <c r="A2119">
        <v>20160527</v>
      </c>
      <c r="B2119" t="str">
        <f>"063596"</f>
        <v>063596</v>
      </c>
      <c r="C2119" t="str">
        <f>"08788"</f>
        <v>08788</v>
      </c>
      <c r="D2119" t="s">
        <v>302</v>
      </c>
      <c r="E2119" s="3">
        <v>49</v>
      </c>
      <c r="F2119">
        <v>20160526</v>
      </c>
      <c r="G2119" t="s">
        <v>517</v>
      </c>
      <c r="H2119" t="s">
        <v>1395</v>
      </c>
      <c r="I2119">
        <v>0</v>
      </c>
      <c r="J2119" t="s">
        <v>289</v>
      </c>
      <c r="K2119" t="s">
        <v>95</v>
      </c>
      <c r="L2119" t="s">
        <v>285</v>
      </c>
      <c r="M2119" t="str">
        <f t="shared" si="118"/>
        <v>05</v>
      </c>
      <c r="N2119" t="s">
        <v>12</v>
      </c>
    </row>
    <row r="2120" spans="1:14" x14ac:dyDescent="0.25">
      <c r="A2120">
        <v>20160527</v>
      </c>
      <c r="B2120" t="str">
        <f>"063616"</f>
        <v>063616</v>
      </c>
      <c r="C2120" t="str">
        <f>"28680"</f>
        <v>28680</v>
      </c>
      <c r="D2120" t="s">
        <v>422</v>
      </c>
      <c r="E2120" s="3">
        <v>107.98</v>
      </c>
      <c r="F2120">
        <v>20160526</v>
      </c>
      <c r="G2120" t="s">
        <v>599</v>
      </c>
      <c r="H2120" t="s">
        <v>1350</v>
      </c>
      <c r="I2120">
        <v>0</v>
      </c>
      <c r="J2120" t="s">
        <v>289</v>
      </c>
      <c r="K2120" t="s">
        <v>290</v>
      </c>
      <c r="L2120" t="s">
        <v>285</v>
      </c>
      <c r="M2120" t="str">
        <f t="shared" si="118"/>
        <v>05</v>
      </c>
      <c r="N2120" t="s">
        <v>12</v>
      </c>
    </row>
    <row r="2121" spans="1:14" x14ac:dyDescent="0.25">
      <c r="A2121">
        <v>20160527</v>
      </c>
      <c r="B2121" t="str">
        <f>"063616"</f>
        <v>063616</v>
      </c>
      <c r="C2121" t="str">
        <f>"28680"</f>
        <v>28680</v>
      </c>
      <c r="D2121" t="s">
        <v>422</v>
      </c>
      <c r="E2121" s="3">
        <v>248.53</v>
      </c>
      <c r="F2121">
        <v>20160526</v>
      </c>
      <c r="G2121" t="s">
        <v>599</v>
      </c>
      <c r="H2121" t="s">
        <v>1077</v>
      </c>
      <c r="I2121">
        <v>0</v>
      </c>
      <c r="J2121" t="s">
        <v>289</v>
      </c>
      <c r="K2121" t="s">
        <v>290</v>
      </c>
      <c r="L2121" t="s">
        <v>285</v>
      </c>
      <c r="M2121" t="str">
        <f t="shared" si="118"/>
        <v>05</v>
      </c>
      <c r="N2121" t="s">
        <v>12</v>
      </c>
    </row>
    <row r="2122" spans="1:14" x14ac:dyDescent="0.25">
      <c r="A2122">
        <v>20160527</v>
      </c>
      <c r="B2122" t="str">
        <f>"063616"</f>
        <v>063616</v>
      </c>
      <c r="C2122" t="str">
        <f>"28680"</f>
        <v>28680</v>
      </c>
      <c r="D2122" t="s">
        <v>422</v>
      </c>
      <c r="E2122" s="3">
        <v>76.23</v>
      </c>
      <c r="F2122">
        <v>20160526</v>
      </c>
      <c r="G2122" t="s">
        <v>599</v>
      </c>
      <c r="H2122" t="s">
        <v>1350</v>
      </c>
      <c r="I2122">
        <v>0</v>
      </c>
      <c r="J2122" t="s">
        <v>289</v>
      </c>
      <c r="K2122" t="s">
        <v>290</v>
      </c>
      <c r="L2122" t="s">
        <v>285</v>
      </c>
      <c r="M2122" t="str">
        <f t="shared" si="118"/>
        <v>05</v>
      </c>
      <c r="N2122" t="s">
        <v>12</v>
      </c>
    </row>
    <row r="2123" spans="1:14" x14ac:dyDescent="0.25">
      <c r="A2123">
        <v>20160527</v>
      </c>
      <c r="B2123" t="str">
        <f>"063622"</f>
        <v>063622</v>
      </c>
      <c r="C2123" t="str">
        <f>"29763"</f>
        <v>29763</v>
      </c>
      <c r="D2123" t="s">
        <v>761</v>
      </c>
      <c r="E2123" s="3">
        <v>48</v>
      </c>
      <c r="F2123">
        <v>20160526</v>
      </c>
      <c r="G2123" t="s">
        <v>762</v>
      </c>
      <c r="H2123" t="s">
        <v>1396</v>
      </c>
      <c r="I2123">
        <v>0</v>
      </c>
      <c r="J2123" t="s">
        <v>289</v>
      </c>
      <c r="K2123" t="s">
        <v>290</v>
      </c>
      <c r="L2123" t="s">
        <v>285</v>
      </c>
      <c r="M2123" t="str">
        <f t="shared" si="118"/>
        <v>05</v>
      </c>
      <c r="N2123" t="s">
        <v>12</v>
      </c>
    </row>
    <row r="2124" spans="1:14" x14ac:dyDescent="0.25">
      <c r="A2124">
        <v>20160527</v>
      </c>
      <c r="B2124" t="str">
        <f>"063622"</f>
        <v>063622</v>
      </c>
      <c r="C2124" t="str">
        <f>"29763"</f>
        <v>29763</v>
      </c>
      <c r="D2124" t="s">
        <v>761</v>
      </c>
      <c r="E2124" s="3">
        <v>210</v>
      </c>
      <c r="F2124">
        <v>20160526</v>
      </c>
      <c r="G2124" t="s">
        <v>762</v>
      </c>
      <c r="H2124" t="s">
        <v>1397</v>
      </c>
      <c r="I2124">
        <v>0</v>
      </c>
      <c r="J2124" t="s">
        <v>289</v>
      </c>
      <c r="K2124" t="s">
        <v>290</v>
      </c>
      <c r="L2124" t="s">
        <v>285</v>
      </c>
      <c r="M2124" t="str">
        <f t="shared" si="118"/>
        <v>05</v>
      </c>
      <c r="N2124" t="s">
        <v>12</v>
      </c>
    </row>
    <row r="2125" spans="1:14" x14ac:dyDescent="0.25">
      <c r="A2125">
        <v>20160527</v>
      </c>
      <c r="B2125" t="str">
        <f>"063622"</f>
        <v>063622</v>
      </c>
      <c r="C2125" t="str">
        <f>"29763"</f>
        <v>29763</v>
      </c>
      <c r="D2125" t="s">
        <v>761</v>
      </c>
      <c r="E2125" s="3">
        <v>143.49</v>
      </c>
      <c r="F2125">
        <v>20160526</v>
      </c>
      <c r="G2125" t="s">
        <v>762</v>
      </c>
      <c r="H2125" t="s">
        <v>1398</v>
      </c>
      <c r="I2125">
        <v>0</v>
      </c>
      <c r="J2125" t="s">
        <v>289</v>
      </c>
      <c r="K2125" t="s">
        <v>290</v>
      </c>
      <c r="L2125" t="s">
        <v>285</v>
      </c>
      <c r="M2125" t="str">
        <f t="shared" si="118"/>
        <v>05</v>
      </c>
      <c r="N2125" t="s">
        <v>12</v>
      </c>
    </row>
    <row r="2126" spans="1:14" x14ac:dyDescent="0.25">
      <c r="A2126">
        <v>20160527</v>
      </c>
      <c r="B2126" t="str">
        <f>"063638"</f>
        <v>063638</v>
      </c>
      <c r="C2126" t="str">
        <f>"40851"</f>
        <v>40851</v>
      </c>
      <c r="D2126" t="s">
        <v>1057</v>
      </c>
      <c r="E2126" s="3">
        <v>904.92</v>
      </c>
      <c r="F2126">
        <v>20160526</v>
      </c>
      <c r="G2126" t="s">
        <v>310</v>
      </c>
      <c r="H2126" t="s">
        <v>1399</v>
      </c>
      <c r="I2126">
        <v>0</v>
      </c>
      <c r="J2126" t="s">
        <v>289</v>
      </c>
      <c r="K2126" t="s">
        <v>290</v>
      </c>
      <c r="L2126" t="s">
        <v>285</v>
      </c>
      <c r="M2126" t="str">
        <f t="shared" si="118"/>
        <v>05</v>
      </c>
      <c r="N2126" t="s">
        <v>12</v>
      </c>
    </row>
    <row r="2127" spans="1:14" x14ac:dyDescent="0.25">
      <c r="A2127">
        <v>20160527</v>
      </c>
      <c r="B2127" t="str">
        <f>"063670"</f>
        <v>063670</v>
      </c>
      <c r="C2127" t="str">
        <f>"72730"</f>
        <v>72730</v>
      </c>
      <c r="D2127" t="s">
        <v>1400</v>
      </c>
      <c r="E2127" s="3">
        <v>84.9</v>
      </c>
      <c r="F2127">
        <v>20160526</v>
      </c>
      <c r="G2127" t="s">
        <v>509</v>
      </c>
      <c r="H2127" t="s">
        <v>1401</v>
      </c>
      <c r="I2127">
        <v>0</v>
      </c>
      <c r="J2127" t="s">
        <v>289</v>
      </c>
      <c r="K2127" t="s">
        <v>290</v>
      </c>
      <c r="L2127" t="s">
        <v>285</v>
      </c>
      <c r="M2127" t="str">
        <f t="shared" si="118"/>
        <v>05</v>
      </c>
      <c r="N2127" t="s">
        <v>12</v>
      </c>
    </row>
    <row r="2128" spans="1:14" x14ac:dyDescent="0.25">
      <c r="A2128">
        <v>20160527</v>
      </c>
      <c r="B2128" t="str">
        <f t="shared" ref="B2128:B2133" si="119">"063678"</f>
        <v>063678</v>
      </c>
      <c r="C2128" t="str">
        <f t="shared" ref="C2128:C2133" si="120">"78311"</f>
        <v>78311</v>
      </c>
      <c r="D2128" t="s">
        <v>458</v>
      </c>
      <c r="E2128" s="3">
        <v>34</v>
      </c>
      <c r="F2128">
        <v>20160526</v>
      </c>
      <c r="G2128" t="s">
        <v>599</v>
      </c>
      <c r="H2128" t="s">
        <v>1309</v>
      </c>
      <c r="I2128">
        <v>0</v>
      </c>
      <c r="J2128" t="s">
        <v>289</v>
      </c>
      <c r="K2128" t="s">
        <v>290</v>
      </c>
      <c r="L2128" t="s">
        <v>285</v>
      </c>
      <c r="M2128" t="str">
        <f t="shared" si="118"/>
        <v>05</v>
      </c>
      <c r="N2128" t="s">
        <v>12</v>
      </c>
    </row>
    <row r="2129" spans="1:14" x14ac:dyDescent="0.25">
      <c r="A2129">
        <v>20160527</v>
      </c>
      <c r="B2129" t="str">
        <f t="shared" si="119"/>
        <v>063678</v>
      </c>
      <c r="C2129" t="str">
        <f t="shared" si="120"/>
        <v>78311</v>
      </c>
      <c r="D2129" t="s">
        <v>458</v>
      </c>
      <c r="E2129" s="3">
        <v>29.41</v>
      </c>
      <c r="F2129">
        <v>20160526</v>
      </c>
      <c r="G2129" t="s">
        <v>599</v>
      </c>
      <c r="H2129" t="s">
        <v>1345</v>
      </c>
      <c r="I2129">
        <v>0</v>
      </c>
      <c r="J2129" t="s">
        <v>289</v>
      </c>
      <c r="K2129" t="s">
        <v>290</v>
      </c>
      <c r="L2129" t="s">
        <v>285</v>
      </c>
      <c r="M2129" t="str">
        <f t="shared" si="118"/>
        <v>05</v>
      </c>
      <c r="N2129" t="s">
        <v>12</v>
      </c>
    </row>
    <row r="2130" spans="1:14" x14ac:dyDescent="0.25">
      <c r="A2130">
        <v>20160527</v>
      </c>
      <c r="B2130" t="str">
        <f t="shared" si="119"/>
        <v>063678</v>
      </c>
      <c r="C2130" t="str">
        <f t="shared" si="120"/>
        <v>78311</v>
      </c>
      <c r="D2130" t="s">
        <v>458</v>
      </c>
      <c r="E2130" s="3">
        <v>9.99</v>
      </c>
      <c r="F2130">
        <v>20160526</v>
      </c>
      <c r="G2130" t="s">
        <v>599</v>
      </c>
      <c r="H2130" t="s">
        <v>1345</v>
      </c>
      <c r="I2130">
        <v>0</v>
      </c>
      <c r="J2130" t="s">
        <v>289</v>
      </c>
      <c r="K2130" t="s">
        <v>290</v>
      </c>
      <c r="L2130" t="s">
        <v>285</v>
      </c>
      <c r="M2130" t="str">
        <f t="shared" si="118"/>
        <v>05</v>
      </c>
      <c r="N2130" t="s">
        <v>12</v>
      </c>
    </row>
    <row r="2131" spans="1:14" x14ac:dyDescent="0.25">
      <c r="A2131">
        <v>20160527</v>
      </c>
      <c r="B2131" t="str">
        <f t="shared" si="119"/>
        <v>063678</v>
      </c>
      <c r="C2131" t="str">
        <f t="shared" si="120"/>
        <v>78311</v>
      </c>
      <c r="D2131" t="s">
        <v>458</v>
      </c>
      <c r="E2131" s="3">
        <v>29.36</v>
      </c>
      <c r="F2131">
        <v>20160526</v>
      </c>
      <c r="G2131" t="s">
        <v>599</v>
      </c>
      <c r="H2131" t="s">
        <v>1358</v>
      </c>
      <c r="I2131">
        <v>0</v>
      </c>
      <c r="J2131" t="s">
        <v>289</v>
      </c>
      <c r="K2131" t="s">
        <v>290</v>
      </c>
      <c r="L2131" t="s">
        <v>285</v>
      </c>
      <c r="M2131" t="str">
        <f t="shared" si="118"/>
        <v>05</v>
      </c>
      <c r="N2131" t="s">
        <v>12</v>
      </c>
    </row>
    <row r="2132" spans="1:14" x14ac:dyDescent="0.25">
      <c r="A2132">
        <v>20160527</v>
      </c>
      <c r="B2132" t="str">
        <f t="shared" si="119"/>
        <v>063678</v>
      </c>
      <c r="C2132" t="str">
        <f t="shared" si="120"/>
        <v>78311</v>
      </c>
      <c r="D2132" t="s">
        <v>458</v>
      </c>
      <c r="E2132" s="3">
        <v>17.579999999999998</v>
      </c>
      <c r="F2132">
        <v>20160526</v>
      </c>
      <c r="G2132" t="s">
        <v>599</v>
      </c>
      <c r="H2132" t="s">
        <v>1358</v>
      </c>
      <c r="I2132">
        <v>0</v>
      </c>
      <c r="J2132" t="s">
        <v>289</v>
      </c>
      <c r="K2132" t="s">
        <v>290</v>
      </c>
      <c r="L2132" t="s">
        <v>285</v>
      </c>
      <c r="M2132" t="str">
        <f t="shared" si="118"/>
        <v>05</v>
      </c>
      <c r="N2132" t="s">
        <v>12</v>
      </c>
    </row>
    <row r="2133" spans="1:14" x14ac:dyDescent="0.25">
      <c r="A2133">
        <v>20160527</v>
      </c>
      <c r="B2133" t="str">
        <f t="shared" si="119"/>
        <v>063678</v>
      </c>
      <c r="C2133" t="str">
        <f t="shared" si="120"/>
        <v>78311</v>
      </c>
      <c r="D2133" t="s">
        <v>458</v>
      </c>
      <c r="E2133" s="3">
        <v>-25.76</v>
      </c>
      <c r="F2133">
        <v>20160503</v>
      </c>
      <c r="G2133" t="s">
        <v>599</v>
      </c>
      <c r="H2133" t="s">
        <v>1402</v>
      </c>
      <c r="I2133">
        <v>0</v>
      </c>
      <c r="J2133" t="s">
        <v>289</v>
      </c>
      <c r="K2133" t="s">
        <v>290</v>
      </c>
      <c r="L2133" t="s">
        <v>1385</v>
      </c>
      <c r="M2133" t="str">
        <f t="shared" si="118"/>
        <v>05</v>
      </c>
      <c r="N2133" t="s">
        <v>12</v>
      </c>
    </row>
    <row r="2134" spans="1:14" x14ac:dyDescent="0.25">
      <c r="A2134">
        <v>20160527</v>
      </c>
      <c r="B2134" t="str">
        <f>"063689"</f>
        <v>063689</v>
      </c>
      <c r="C2134" t="str">
        <f>"83022"</f>
        <v>83022</v>
      </c>
      <c r="D2134" t="s">
        <v>394</v>
      </c>
      <c r="E2134" s="3">
        <v>19.48</v>
      </c>
      <c r="F2134">
        <v>20160526</v>
      </c>
      <c r="G2134" t="s">
        <v>509</v>
      </c>
      <c r="H2134" t="s">
        <v>1403</v>
      </c>
      <c r="I2134">
        <v>0</v>
      </c>
      <c r="J2134" t="s">
        <v>289</v>
      </c>
      <c r="K2134" t="s">
        <v>290</v>
      </c>
      <c r="L2134" t="s">
        <v>285</v>
      </c>
      <c r="M2134" t="str">
        <f t="shared" si="118"/>
        <v>05</v>
      </c>
      <c r="N2134" t="s">
        <v>12</v>
      </c>
    </row>
    <row r="2135" spans="1:14" x14ac:dyDescent="0.25">
      <c r="A2135">
        <v>20160610</v>
      </c>
      <c r="B2135" t="str">
        <f>"063711"</f>
        <v>063711</v>
      </c>
      <c r="C2135" t="str">
        <f>"09170"</f>
        <v>09170</v>
      </c>
      <c r="D2135" t="s">
        <v>596</v>
      </c>
      <c r="E2135" s="3">
        <v>271.86</v>
      </c>
      <c r="F2135">
        <v>20160607</v>
      </c>
      <c r="G2135" t="s">
        <v>509</v>
      </c>
      <c r="H2135" t="s">
        <v>595</v>
      </c>
      <c r="I2135">
        <v>0</v>
      </c>
      <c r="J2135" t="s">
        <v>289</v>
      </c>
      <c r="K2135" t="s">
        <v>290</v>
      </c>
      <c r="L2135" t="s">
        <v>285</v>
      </c>
      <c r="M2135" t="str">
        <f t="shared" ref="M2135:M2165" si="121">"06"</f>
        <v>06</v>
      </c>
      <c r="N2135" t="s">
        <v>12</v>
      </c>
    </row>
    <row r="2136" spans="1:14" x14ac:dyDescent="0.25">
      <c r="A2136">
        <v>20160610</v>
      </c>
      <c r="B2136" t="str">
        <f>"063711"</f>
        <v>063711</v>
      </c>
      <c r="C2136" t="str">
        <f>"09170"</f>
        <v>09170</v>
      </c>
      <c r="D2136" t="s">
        <v>596</v>
      </c>
      <c r="E2136" s="3">
        <v>307.66000000000003</v>
      </c>
      <c r="F2136">
        <v>20160607</v>
      </c>
      <c r="G2136" t="s">
        <v>599</v>
      </c>
      <c r="H2136" t="s">
        <v>1309</v>
      </c>
      <c r="I2136">
        <v>0</v>
      </c>
      <c r="J2136" t="s">
        <v>289</v>
      </c>
      <c r="K2136" t="s">
        <v>290</v>
      </c>
      <c r="L2136" t="s">
        <v>285</v>
      </c>
      <c r="M2136" t="str">
        <f t="shared" si="121"/>
        <v>06</v>
      </c>
      <c r="N2136" t="s">
        <v>12</v>
      </c>
    </row>
    <row r="2137" spans="1:14" x14ac:dyDescent="0.25">
      <c r="A2137">
        <v>20160610</v>
      </c>
      <c r="B2137" t="str">
        <f>"063723"</f>
        <v>063723</v>
      </c>
      <c r="C2137" t="str">
        <f>"08788"</f>
        <v>08788</v>
      </c>
      <c r="D2137" t="s">
        <v>302</v>
      </c>
      <c r="E2137" s="3">
        <v>2054.85</v>
      </c>
      <c r="F2137">
        <v>20160607</v>
      </c>
      <c r="G2137" t="s">
        <v>481</v>
      </c>
      <c r="H2137" t="s">
        <v>1404</v>
      </c>
      <c r="I2137">
        <v>0</v>
      </c>
      <c r="J2137" t="s">
        <v>289</v>
      </c>
      <c r="K2137" t="s">
        <v>290</v>
      </c>
      <c r="L2137" t="s">
        <v>285</v>
      </c>
      <c r="M2137" t="str">
        <f t="shared" si="121"/>
        <v>06</v>
      </c>
      <c r="N2137" t="s">
        <v>12</v>
      </c>
    </row>
    <row r="2138" spans="1:14" x14ac:dyDescent="0.25">
      <c r="A2138">
        <v>20160610</v>
      </c>
      <c r="B2138" t="str">
        <f>"063723"</f>
        <v>063723</v>
      </c>
      <c r="C2138" t="str">
        <f>"08788"</f>
        <v>08788</v>
      </c>
      <c r="D2138" t="s">
        <v>302</v>
      </c>
      <c r="E2138" s="3">
        <v>1042.46</v>
      </c>
      <c r="F2138">
        <v>20160607</v>
      </c>
      <c r="G2138" t="s">
        <v>481</v>
      </c>
      <c r="H2138" t="s">
        <v>1405</v>
      </c>
      <c r="I2138">
        <v>0</v>
      </c>
      <c r="J2138" t="s">
        <v>289</v>
      </c>
      <c r="K2138" t="s">
        <v>290</v>
      </c>
      <c r="L2138" t="s">
        <v>285</v>
      </c>
      <c r="M2138" t="str">
        <f t="shared" si="121"/>
        <v>06</v>
      </c>
      <c r="N2138" t="s">
        <v>12</v>
      </c>
    </row>
    <row r="2139" spans="1:14" x14ac:dyDescent="0.25">
      <c r="A2139">
        <v>20160610</v>
      </c>
      <c r="B2139" t="str">
        <f>"063728"</f>
        <v>063728</v>
      </c>
      <c r="C2139" t="str">
        <f>"19267"</f>
        <v>19267</v>
      </c>
      <c r="D2139" t="s">
        <v>1406</v>
      </c>
      <c r="E2139" s="3">
        <v>117.72</v>
      </c>
      <c r="F2139">
        <v>20160607</v>
      </c>
      <c r="G2139" t="s">
        <v>1111</v>
      </c>
      <c r="H2139" t="s">
        <v>1282</v>
      </c>
      <c r="I2139">
        <v>0</v>
      </c>
      <c r="J2139" t="s">
        <v>289</v>
      </c>
      <c r="K2139" t="s">
        <v>290</v>
      </c>
      <c r="L2139" t="s">
        <v>285</v>
      </c>
      <c r="M2139" t="str">
        <f t="shared" si="121"/>
        <v>06</v>
      </c>
      <c r="N2139" t="s">
        <v>12</v>
      </c>
    </row>
    <row r="2140" spans="1:14" x14ac:dyDescent="0.25">
      <c r="A2140">
        <v>20160610</v>
      </c>
      <c r="B2140" t="str">
        <f>"063731"</f>
        <v>063731</v>
      </c>
      <c r="C2140" t="str">
        <f>"14180"</f>
        <v>14180</v>
      </c>
      <c r="D2140" t="s">
        <v>1407</v>
      </c>
      <c r="E2140" s="3">
        <v>30</v>
      </c>
      <c r="F2140">
        <v>20160607</v>
      </c>
      <c r="G2140" t="s">
        <v>490</v>
      </c>
      <c r="H2140" t="s">
        <v>1408</v>
      </c>
      <c r="I2140">
        <v>0</v>
      </c>
      <c r="J2140" t="s">
        <v>289</v>
      </c>
      <c r="K2140" t="s">
        <v>290</v>
      </c>
      <c r="L2140" t="s">
        <v>285</v>
      </c>
      <c r="M2140" t="str">
        <f t="shared" si="121"/>
        <v>06</v>
      </c>
      <c r="N2140" t="s">
        <v>12</v>
      </c>
    </row>
    <row r="2141" spans="1:14" x14ac:dyDescent="0.25">
      <c r="A2141">
        <v>20160610</v>
      </c>
      <c r="B2141" t="str">
        <f>"063740"</f>
        <v>063740</v>
      </c>
      <c r="C2141" t="str">
        <f>"21627"</f>
        <v>21627</v>
      </c>
      <c r="D2141" t="s">
        <v>1409</v>
      </c>
      <c r="E2141" s="3">
        <v>41.81</v>
      </c>
      <c r="F2141">
        <v>20160607</v>
      </c>
      <c r="G2141" t="s">
        <v>599</v>
      </c>
      <c r="H2141" t="s">
        <v>1304</v>
      </c>
      <c r="I2141">
        <v>0</v>
      </c>
      <c r="J2141" t="s">
        <v>289</v>
      </c>
      <c r="K2141" t="s">
        <v>290</v>
      </c>
      <c r="L2141" t="s">
        <v>285</v>
      </c>
      <c r="M2141" t="str">
        <f t="shared" si="121"/>
        <v>06</v>
      </c>
      <c r="N2141" t="s">
        <v>12</v>
      </c>
    </row>
    <row r="2142" spans="1:14" x14ac:dyDescent="0.25">
      <c r="A2142">
        <v>20160610</v>
      </c>
      <c r="B2142" t="str">
        <f>"063769"</f>
        <v>063769</v>
      </c>
      <c r="C2142" t="str">
        <f>"39422"</f>
        <v>39422</v>
      </c>
      <c r="D2142" t="s">
        <v>1141</v>
      </c>
      <c r="E2142" s="3">
        <v>62.5</v>
      </c>
      <c r="F2142">
        <v>20160607</v>
      </c>
      <c r="G2142" t="s">
        <v>490</v>
      </c>
      <c r="H2142" t="s">
        <v>1410</v>
      </c>
      <c r="I2142">
        <v>0</v>
      </c>
      <c r="J2142" t="s">
        <v>289</v>
      </c>
      <c r="K2142" t="s">
        <v>290</v>
      </c>
      <c r="L2142" t="s">
        <v>285</v>
      </c>
      <c r="M2142" t="str">
        <f t="shared" si="121"/>
        <v>06</v>
      </c>
      <c r="N2142" t="s">
        <v>12</v>
      </c>
    </row>
    <row r="2143" spans="1:14" x14ac:dyDescent="0.25">
      <c r="A2143">
        <v>20160610</v>
      </c>
      <c r="B2143" t="str">
        <f>"063793"</f>
        <v>063793</v>
      </c>
      <c r="C2143" t="str">
        <f>"51347"</f>
        <v>51347</v>
      </c>
      <c r="D2143" t="s">
        <v>1096</v>
      </c>
      <c r="E2143" s="3">
        <v>350</v>
      </c>
      <c r="F2143">
        <v>20160608</v>
      </c>
      <c r="G2143" t="s">
        <v>602</v>
      </c>
      <c r="H2143" t="s">
        <v>1369</v>
      </c>
      <c r="I2143">
        <v>0</v>
      </c>
      <c r="J2143" t="s">
        <v>289</v>
      </c>
      <c r="K2143" t="s">
        <v>290</v>
      </c>
      <c r="L2143" t="s">
        <v>285</v>
      </c>
      <c r="M2143" t="str">
        <f t="shared" si="121"/>
        <v>06</v>
      </c>
      <c r="N2143" t="s">
        <v>12</v>
      </c>
    </row>
    <row r="2144" spans="1:14" x14ac:dyDescent="0.25">
      <c r="A2144">
        <v>20160610</v>
      </c>
      <c r="B2144" t="str">
        <f>"063793"</f>
        <v>063793</v>
      </c>
      <c r="C2144" t="str">
        <f>"51347"</f>
        <v>51347</v>
      </c>
      <c r="D2144" t="s">
        <v>1096</v>
      </c>
      <c r="E2144" s="3">
        <v>1820</v>
      </c>
      <c r="F2144">
        <v>20160608</v>
      </c>
      <c r="G2144" t="s">
        <v>602</v>
      </c>
      <c r="H2144" t="s">
        <v>1097</v>
      </c>
      <c r="I2144">
        <v>0</v>
      </c>
      <c r="J2144" t="s">
        <v>289</v>
      </c>
      <c r="K2144" t="s">
        <v>290</v>
      </c>
      <c r="L2144" t="s">
        <v>285</v>
      </c>
      <c r="M2144" t="str">
        <f t="shared" si="121"/>
        <v>06</v>
      </c>
      <c r="N2144" t="s">
        <v>12</v>
      </c>
    </row>
    <row r="2145" spans="1:14" x14ac:dyDescent="0.25">
      <c r="A2145">
        <v>20160610</v>
      </c>
      <c r="B2145" t="str">
        <f>"063810"</f>
        <v>063810</v>
      </c>
      <c r="C2145" t="str">
        <f>"58207"</f>
        <v>58207</v>
      </c>
      <c r="D2145" t="s">
        <v>296</v>
      </c>
      <c r="E2145" s="3">
        <v>10.01</v>
      </c>
      <c r="F2145">
        <v>20160608</v>
      </c>
      <c r="G2145" t="s">
        <v>599</v>
      </c>
      <c r="H2145" t="s">
        <v>1221</v>
      </c>
      <c r="I2145">
        <v>0</v>
      </c>
      <c r="J2145" t="s">
        <v>289</v>
      </c>
      <c r="K2145" t="s">
        <v>290</v>
      </c>
      <c r="L2145" t="s">
        <v>285</v>
      </c>
      <c r="M2145" t="str">
        <f t="shared" si="121"/>
        <v>06</v>
      </c>
      <c r="N2145" t="s">
        <v>12</v>
      </c>
    </row>
    <row r="2146" spans="1:14" x14ac:dyDescent="0.25">
      <c r="A2146">
        <v>20160610</v>
      </c>
      <c r="B2146" t="str">
        <f>"063820"</f>
        <v>063820</v>
      </c>
      <c r="C2146" t="str">
        <f>"62795"</f>
        <v>62795</v>
      </c>
      <c r="D2146" t="s">
        <v>545</v>
      </c>
      <c r="E2146" s="3">
        <v>2226.7800000000002</v>
      </c>
      <c r="F2146">
        <v>20160608</v>
      </c>
      <c r="G2146" t="s">
        <v>1253</v>
      </c>
      <c r="H2146" t="s">
        <v>1298</v>
      </c>
      <c r="I2146">
        <v>0</v>
      </c>
      <c r="J2146" t="s">
        <v>289</v>
      </c>
      <c r="K2146" t="s">
        <v>290</v>
      </c>
      <c r="L2146" t="s">
        <v>285</v>
      </c>
      <c r="M2146" t="str">
        <f t="shared" si="121"/>
        <v>06</v>
      </c>
      <c r="N2146" t="s">
        <v>12</v>
      </c>
    </row>
    <row r="2147" spans="1:14" x14ac:dyDescent="0.25">
      <c r="A2147">
        <v>20160610</v>
      </c>
      <c r="B2147" t="str">
        <f>"063820"</f>
        <v>063820</v>
      </c>
      <c r="C2147" t="str">
        <f>"62795"</f>
        <v>62795</v>
      </c>
      <c r="D2147" t="s">
        <v>545</v>
      </c>
      <c r="E2147" s="3">
        <v>669.38</v>
      </c>
      <c r="F2147">
        <v>20160608</v>
      </c>
      <c r="G2147" t="s">
        <v>1411</v>
      </c>
      <c r="H2147" t="s">
        <v>1298</v>
      </c>
      <c r="I2147">
        <v>0</v>
      </c>
      <c r="J2147" t="s">
        <v>289</v>
      </c>
      <c r="K2147" t="s">
        <v>290</v>
      </c>
      <c r="L2147" t="s">
        <v>285</v>
      </c>
      <c r="M2147" t="str">
        <f t="shared" si="121"/>
        <v>06</v>
      </c>
      <c r="N2147" t="s">
        <v>12</v>
      </c>
    </row>
    <row r="2148" spans="1:14" x14ac:dyDescent="0.25">
      <c r="A2148">
        <v>20160610</v>
      </c>
      <c r="B2148" t="str">
        <f>"063833"</f>
        <v>063833</v>
      </c>
      <c r="C2148" t="str">
        <f>"68107"</f>
        <v>68107</v>
      </c>
      <c r="D2148" t="s">
        <v>716</v>
      </c>
      <c r="E2148" s="3">
        <v>150</v>
      </c>
      <c r="F2148">
        <v>20160608</v>
      </c>
      <c r="G2148" t="s">
        <v>310</v>
      </c>
      <c r="H2148" t="s">
        <v>1412</v>
      </c>
      <c r="I2148">
        <v>0</v>
      </c>
      <c r="J2148" t="s">
        <v>289</v>
      </c>
      <c r="K2148" t="s">
        <v>290</v>
      </c>
      <c r="L2148" t="s">
        <v>285</v>
      </c>
      <c r="M2148" t="str">
        <f t="shared" si="121"/>
        <v>06</v>
      </c>
      <c r="N2148" t="s">
        <v>12</v>
      </c>
    </row>
    <row r="2149" spans="1:14" x14ac:dyDescent="0.25">
      <c r="A2149">
        <v>20160610</v>
      </c>
      <c r="B2149" t="str">
        <f>"063833"</f>
        <v>063833</v>
      </c>
      <c r="C2149" t="str">
        <f>"68107"</f>
        <v>68107</v>
      </c>
      <c r="D2149" t="s">
        <v>716</v>
      </c>
      <c r="E2149" s="3">
        <v>-150</v>
      </c>
      <c r="F2149">
        <v>20160714</v>
      </c>
      <c r="G2149" t="s">
        <v>310</v>
      </c>
      <c r="H2149" t="s">
        <v>1413</v>
      </c>
      <c r="I2149">
        <v>0</v>
      </c>
      <c r="J2149" t="s">
        <v>289</v>
      </c>
      <c r="K2149" t="s">
        <v>290</v>
      </c>
      <c r="L2149" t="s">
        <v>17</v>
      </c>
      <c r="M2149" t="str">
        <f t="shared" si="121"/>
        <v>06</v>
      </c>
      <c r="N2149" t="s">
        <v>12</v>
      </c>
    </row>
    <row r="2150" spans="1:14" x14ac:dyDescent="0.25">
      <c r="A2150">
        <v>20160610</v>
      </c>
      <c r="B2150" t="str">
        <f>"063841"</f>
        <v>063841</v>
      </c>
      <c r="C2150" t="str">
        <f>"72730"</f>
        <v>72730</v>
      </c>
      <c r="D2150" t="s">
        <v>1400</v>
      </c>
      <c r="E2150" s="3">
        <v>144.88</v>
      </c>
      <c r="F2150">
        <v>20160608</v>
      </c>
      <c r="G2150" t="s">
        <v>509</v>
      </c>
      <c r="H2150" t="s">
        <v>1414</v>
      </c>
      <c r="I2150">
        <v>0</v>
      </c>
      <c r="J2150" t="s">
        <v>289</v>
      </c>
      <c r="K2150" t="s">
        <v>290</v>
      </c>
      <c r="L2150" t="s">
        <v>285</v>
      </c>
      <c r="M2150" t="str">
        <f t="shared" si="121"/>
        <v>06</v>
      </c>
      <c r="N2150" t="s">
        <v>12</v>
      </c>
    </row>
    <row r="2151" spans="1:14" x14ac:dyDescent="0.25">
      <c r="A2151">
        <v>20160610</v>
      </c>
      <c r="B2151" t="str">
        <f>"063851"</f>
        <v>063851</v>
      </c>
      <c r="C2151" t="str">
        <f>"80755"</f>
        <v>80755</v>
      </c>
      <c r="D2151" t="s">
        <v>723</v>
      </c>
      <c r="E2151" s="3">
        <v>481</v>
      </c>
      <c r="F2151">
        <v>20160608</v>
      </c>
      <c r="G2151" t="s">
        <v>821</v>
      </c>
      <c r="H2151" t="s">
        <v>1415</v>
      </c>
      <c r="I2151">
        <v>0</v>
      </c>
      <c r="J2151" t="s">
        <v>289</v>
      </c>
      <c r="K2151" t="s">
        <v>95</v>
      </c>
      <c r="L2151" t="s">
        <v>285</v>
      </c>
      <c r="M2151" t="str">
        <f t="shared" si="121"/>
        <v>06</v>
      </c>
      <c r="N2151" t="s">
        <v>12</v>
      </c>
    </row>
    <row r="2152" spans="1:14" x14ac:dyDescent="0.25">
      <c r="A2152">
        <v>20160610</v>
      </c>
      <c r="B2152" t="str">
        <f>"063851"</f>
        <v>063851</v>
      </c>
      <c r="C2152" t="str">
        <f>"80755"</f>
        <v>80755</v>
      </c>
      <c r="D2152" t="s">
        <v>723</v>
      </c>
      <c r="E2152" s="3">
        <v>1710.26</v>
      </c>
      <c r="F2152">
        <v>20160608</v>
      </c>
      <c r="G2152" t="s">
        <v>1380</v>
      </c>
      <c r="H2152" t="s">
        <v>1416</v>
      </c>
      <c r="I2152">
        <v>0</v>
      </c>
      <c r="J2152" t="s">
        <v>289</v>
      </c>
      <c r="K2152" t="s">
        <v>290</v>
      </c>
      <c r="L2152" t="s">
        <v>285</v>
      </c>
      <c r="M2152" t="str">
        <f t="shared" si="121"/>
        <v>06</v>
      </c>
      <c r="N2152" t="s">
        <v>12</v>
      </c>
    </row>
    <row r="2153" spans="1:14" x14ac:dyDescent="0.25">
      <c r="A2153">
        <v>20160610</v>
      </c>
      <c r="B2153" t="str">
        <f>"063851"</f>
        <v>063851</v>
      </c>
      <c r="C2153" t="str">
        <f>"80755"</f>
        <v>80755</v>
      </c>
      <c r="D2153" t="s">
        <v>723</v>
      </c>
      <c r="E2153" s="3">
        <v>399.7</v>
      </c>
      <c r="F2153">
        <v>20160608</v>
      </c>
      <c r="G2153" t="s">
        <v>1380</v>
      </c>
      <c r="H2153" t="s">
        <v>1417</v>
      </c>
      <c r="I2153">
        <v>0</v>
      </c>
      <c r="J2153" t="s">
        <v>289</v>
      </c>
      <c r="K2153" t="s">
        <v>290</v>
      </c>
      <c r="L2153" t="s">
        <v>285</v>
      </c>
      <c r="M2153" t="str">
        <f t="shared" si="121"/>
        <v>06</v>
      </c>
      <c r="N2153" t="s">
        <v>12</v>
      </c>
    </row>
    <row r="2154" spans="1:14" x14ac:dyDescent="0.25">
      <c r="A2154">
        <v>20160617</v>
      </c>
      <c r="B2154" t="str">
        <f>"063865"</f>
        <v>063865</v>
      </c>
      <c r="C2154" t="str">
        <f>"08788"</f>
        <v>08788</v>
      </c>
      <c r="D2154" t="s">
        <v>302</v>
      </c>
      <c r="E2154" s="3">
        <v>737</v>
      </c>
      <c r="F2154">
        <v>20160615</v>
      </c>
      <c r="G2154" t="s">
        <v>481</v>
      </c>
      <c r="H2154" t="s">
        <v>1418</v>
      </c>
      <c r="I2154">
        <v>0</v>
      </c>
      <c r="J2154" t="s">
        <v>289</v>
      </c>
      <c r="K2154" t="s">
        <v>290</v>
      </c>
      <c r="L2154" t="s">
        <v>285</v>
      </c>
      <c r="M2154" t="str">
        <f t="shared" si="121"/>
        <v>06</v>
      </c>
      <c r="N2154" t="s">
        <v>12</v>
      </c>
    </row>
    <row r="2155" spans="1:14" x14ac:dyDescent="0.25">
      <c r="A2155">
        <v>20160617</v>
      </c>
      <c r="B2155" t="str">
        <f>"063865"</f>
        <v>063865</v>
      </c>
      <c r="C2155" t="str">
        <f>"08788"</f>
        <v>08788</v>
      </c>
      <c r="D2155" t="s">
        <v>302</v>
      </c>
      <c r="E2155" s="3">
        <v>548</v>
      </c>
      <c r="F2155">
        <v>20160615</v>
      </c>
      <c r="G2155" t="s">
        <v>481</v>
      </c>
      <c r="H2155" t="s">
        <v>1418</v>
      </c>
      <c r="I2155">
        <v>0</v>
      </c>
      <c r="J2155" t="s">
        <v>289</v>
      </c>
      <c r="K2155" t="s">
        <v>290</v>
      </c>
      <c r="L2155" t="s">
        <v>285</v>
      </c>
      <c r="M2155" t="str">
        <f t="shared" si="121"/>
        <v>06</v>
      </c>
      <c r="N2155" t="s">
        <v>12</v>
      </c>
    </row>
    <row r="2156" spans="1:14" x14ac:dyDescent="0.25">
      <c r="A2156">
        <v>20160617</v>
      </c>
      <c r="B2156" t="str">
        <f>"063905"</f>
        <v>063905</v>
      </c>
      <c r="C2156" t="str">
        <f>"58931"</f>
        <v>58931</v>
      </c>
      <c r="D2156" t="s">
        <v>541</v>
      </c>
      <c r="E2156" s="3">
        <v>1238.23</v>
      </c>
      <c r="F2156">
        <v>20160615</v>
      </c>
      <c r="G2156" t="s">
        <v>1411</v>
      </c>
      <c r="H2156" t="s">
        <v>1419</v>
      </c>
      <c r="I2156">
        <v>0</v>
      </c>
      <c r="J2156" t="s">
        <v>289</v>
      </c>
      <c r="K2156" t="s">
        <v>290</v>
      </c>
      <c r="L2156" t="s">
        <v>285</v>
      </c>
      <c r="M2156" t="str">
        <f t="shared" si="121"/>
        <v>06</v>
      </c>
      <c r="N2156" t="s">
        <v>12</v>
      </c>
    </row>
    <row r="2157" spans="1:14" x14ac:dyDescent="0.25">
      <c r="A2157">
        <v>20160617</v>
      </c>
      <c r="B2157" t="str">
        <f>"063905"</f>
        <v>063905</v>
      </c>
      <c r="C2157" t="str">
        <f>"58931"</f>
        <v>58931</v>
      </c>
      <c r="D2157" t="s">
        <v>541</v>
      </c>
      <c r="E2157" s="3">
        <v>1236.77</v>
      </c>
      <c r="F2157">
        <v>20160615</v>
      </c>
      <c r="G2157" t="s">
        <v>507</v>
      </c>
      <c r="H2157" t="s">
        <v>1419</v>
      </c>
      <c r="I2157">
        <v>0</v>
      </c>
      <c r="J2157" t="s">
        <v>289</v>
      </c>
      <c r="K2157" t="s">
        <v>290</v>
      </c>
      <c r="L2157" t="s">
        <v>285</v>
      </c>
      <c r="M2157" t="str">
        <f t="shared" si="121"/>
        <v>06</v>
      </c>
      <c r="N2157" t="s">
        <v>12</v>
      </c>
    </row>
    <row r="2158" spans="1:14" x14ac:dyDescent="0.25">
      <c r="A2158">
        <v>20160623</v>
      </c>
      <c r="B2158" t="str">
        <f>"063940"</f>
        <v>063940</v>
      </c>
      <c r="C2158" t="str">
        <f>"11385"</f>
        <v>11385</v>
      </c>
      <c r="D2158" t="s">
        <v>296</v>
      </c>
      <c r="E2158" s="3">
        <v>628.01</v>
      </c>
      <c r="F2158">
        <v>20160622</v>
      </c>
      <c r="G2158" t="s">
        <v>905</v>
      </c>
      <c r="H2158" t="s">
        <v>1420</v>
      </c>
      <c r="I2158">
        <v>0</v>
      </c>
      <c r="J2158" t="s">
        <v>289</v>
      </c>
      <c r="K2158" t="s">
        <v>290</v>
      </c>
      <c r="L2158" t="s">
        <v>285</v>
      </c>
      <c r="M2158" t="str">
        <f t="shared" si="121"/>
        <v>06</v>
      </c>
      <c r="N2158" t="s">
        <v>12</v>
      </c>
    </row>
    <row r="2159" spans="1:14" x14ac:dyDescent="0.25">
      <c r="A2159">
        <v>20160623</v>
      </c>
      <c r="B2159" t="str">
        <f>"063985"</f>
        <v>063985</v>
      </c>
      <c r="C2159" t="str">
        <f>"56217"</f>
        <v>56217</v>
      </c>
      <c r="D2159" t="s">
        <v>1421</v>
      </c>
      <c r="E2159" s="3">
        <v>285.99</v>
      </c>
      <c r="F2159">
        <v>20160622</v>
      </c>
      <c r="G2159" t="s">
        <v>1422</v>
      </c>
      <c r="H2159" t="s">
        <v>1423</v>
      </c>
      <c r="I2159">
        <v>0</v>
      </c>
      <c r="J2159" t="s">
        <v>289</v>
      </c>
      <c r="K2159" t="s">
        <v>290</v>
      </c>
      <c r="L2159" t="s">
        <v>285</v>
      </c>
      <c r="M2159" t="str">
        <f t="shared" si="121"/>
        <v>06</v>
      </c>
      <c r="N2159" t="s">
        <v>12</v>
      </c>
    </row>
    <row r="2160" spans="1:14" x14ac:dyDescent="0.25">
      <c r="A2160">
        <v>20160623</v>
      </c>
      <c r="B2160" t="str">
        <f>"063985"</f>
        <v>063985</v>
      </c>
      <c r="C2160" t="str">
        <f>"56217"</f>
        <v>56217</v>
      </c>
      <c r="D2160" t="s">
        <v>1421</v>
      </c>
      <c r="E2160" s="3">
        <v>175.99</v>
      </c>
      <c r="F2160">
        <v>20160622</v>
      </c>
      <c r="G2160" t="s">
        <v>1422</v>
      </c>
      <c r="H2160" t="s">
        <v>1424</v>
      </c>
      <c r="I2160">
        <v>0</v>
      </c>
      <c r="J2160" t="s">
        <v>289</v>
      </c>
      <c r="K2160" t="s">
        <v>290</v>
      </c>
      <c r="L2160" t="s">
        <v>285</v>
      </c>
      <c r="M2160" t="str">
        <f t="shared" si="121"/>
        <v>06</v>
      </c>
      <c r="N2160" t="s">
        <v>12</v>
      </c>
    </row>
    <row r="2161" spans="1:14" x14ac:dyDescent="0.25">
      <c r="A2161">
        <v>20160623</v>
      </c>
      <c r="B2161" t="str">
        <f>"064001"</f>
        <v>064001</v>
      </c>
      <c r="C2161" t="str">
        <f>"72730"</f>
        <v>72730</v>
      </c>
      <c r="D2161" t="s">
        <v>1400</v>
      </c>
      <c r="E2161" s="3">
        <v>142.19999999999999</v>
      </c>
      <c r="F2161">
        <v>20160622</v>
      </c>
      <c r="G2161" t="s">
        <v>1422</v>
      </c>
      <c r="H2161" t="s">
        <v>1425</v>
      </c>
      <c r="I2161">
        <v>0</v>
      </c>
      <c r="J2161" t="s">
        <v>289</v>
      </c>
      <c r="K2161" t="s">
        <v>290</v>
      </c>
      <c r="L2161" t="s">
        <v>285</v>
      </c>
      <c r="M2161" t="str">
        <f t="shared" si="121"/>
        <v>06</v>
      </c>
      <c r="N2161" t="s">
        <v>12</v>
      </c>
    </row>
    <row r="2162" spans="1:14" x14ac:dyDescent="0.25">
      <c r="A2162">
        <v>20160623</v>
      </c>
      <c r="B2162" t="str">
        <f>"064004"</f>
        <v>064004</v>
      </c>
      <c r="C2162" t="str">
        <f>"77117"</f>
        <v>77117</v>
      </c>
      <c r="D2162" t="s">
        <v>1426</v>
      </c>
      <c r="E2162" s="3">
        <v>260</v>
      </c>
      <c r="F2162">
        <v>20160622</v>
      </c>
      <c r="G2162" t="s">
        <v>490</v>
      </c>
      <c r="H2162" t="s">
        <v>1427</v>
      </c>
      <c r="I2162">
        <v>0</v>
      </c>
      <c r="J2162" t="s">
        <v>289</v>
      </c>
      <c r="K2162" t="s">
        <v>290</v>
      </c>
      <c r="L2162" t="s">
        <v>285</v>
      </c>
      <c r="M2162" t="str">
        <f t="shared" si="121"/>
        <v>06</v>
      </c>
      <c r="N2162" t="s">
        <v>12</v>
      </c>
    </row>
    <row r="2163" spans="1:14" x14ac:dyDescent="0.25">
      <c r="A2163">
        <v>20160623</v>
      </c>
      <c r="B2163" t="str">
        <f>"064005"</f>
        <v>064005</v>
      </c>
      <c r="C2163" t="str">
        <f>"78430"</f>
        <v>78430</v>
      </c>
      <c r="D2163" t="s">
        <v>721</v>
      </c>
      <c r="E2163" s="3">
        <v>707.5</v>
      </c>
      <c r="F2163">
        <v>20160623</v>
      </c>
      <c r="G2163" t="s">
        <v>490</v>
      </c>
      <c r="H2163" t="s">
        <v>1428</v>
      </c>
      <c r="I2163">
        <v>0</v>
      </c>
      <c r="J2163" t="s">
        <v>289</v>
      </c>
      <c r="K2163" t="s">
        <v>290</v>
      </c>
      <c r="L2163" t="s">
        <v>285</v>
      </c>
      <c r="M2163" t="str">
        <f t="shared" si="121"/>
        <v>06</v>
      </c>
      <c r="N2163" t="s">
        <v>12</v>
      </c>
    </row>
    <row r="2164" spans="1:14" x14ac:dyDescent="0.25">
      <c r="A2164">
        <v>20160623</v>
      </c>
      <c r="B2164" t="str">
        <f>"064010"</f>
        <v>064010</v>
      </c>
      <c r="C2164" t="str">
        <f>"83022"</f>
        <v>83022</v>
      </c>
      <c r="D2164" t="s">
        <v>394</v>
      </c>
      <c r="E2164" s="3">
        <v>59.85</v>
      </c>
      <c r="F2164">
        <v>20160623</v>
      </c>
      <c r="G2164" t="s">
        <v>509</v>
      </c>
      <c r="H2164" t="s">
        <v>595</v>
      </c>
      <c r="I2164">
        <v>0</v>
      </c>
      <c r="J2164" t="s">
        <v>289</v>
      </c>
      <c r="K2164" t="s">
        <v>290</v>
      </c>
      <c r="L2164" t="s">
        <v>285</v>
      </c>
      <c r="M2164" t="str">
        <f t="shared" si="121"/>
        <v>06</v>
      </c>
      <c r="N2164" t="s">
        <v>12</v>
      </c>
    </row>
    <row r="2165" spans="1:14" x14ac:dyDescent="0.25">
      <c r="A2165">
        <v>20160628</v>
      </c>
      <c r="B2165" t="str">
        <f>"064015"</f>
        <v>064015</v>
      </c>
      <c r="C2165" t="str">
        <f>"68107"</f>
        <v>68107</v>
      </c>
      <c r="D2165" t="s">
        <v>716</v>
      </c>
      <c r="E2165" s="3">
        <v>150</v>
      </c>
      <c r="F2165">
        <v>20160628</v>
      </c>
      <c r="G2165" t="s">
        <v>310</v>
      </c>
      <c r="H2165" t="s">
        <v>1429</v>
      </c>
      <c r="I2165">
        <v>0</v>
      </c>
      <c r="J2165" t="s">
        <v>289</v>
      </c>
      <c r="K2165" t="s">
        <v>290</v>
      </c>
      <c r="L2165" t="s">
        <v>17</v>
      </c>
      <c r="M2165" t="str">
        <f t="shared" si="121"/>
        <v>06</v>
      </c>
      <c r="N2165" t="s">
        <v>12</v>
      </c>
    </row>
    <row r="2166" spans="1:14" x14ac:dyDescent="0.25">
      <c r="A2166">
        <v>20160715</v>
      </c>
      <c r="B2166" t="str">
        <f>"064019"</f>
        <v>064019</v>
      </c>
      <c r="C2166" t="str">
        <f>"00360"</f>
        <v>00360</v>
      </c>
      <c r="D2166" t="s">
        <v>1430</v>
      </c>
      <c r="E2166" s="3">
        <v>375</v>
      </c>
      <c r="F2166">
        <v>20160713</v>
      </c>
      <c r="G2166" t="s">
        <v>326</v>
      </c>
      <c r="H2166" t="s">
        <v>1431</v>
      </c>
      <c r="I2166">
        <v>0</v>
      </c>
      <c r="J2166" t="s">
        <v>289</v>
      </c>
      <c r="K2166" t="s">
        <v>290</v>
      </c>
      <c r="L2166" t="s">
        <v>285</v>
      </c>
      <c r="M2166" t="str">
        <f t="shared" ref="M2166:M2178" si="122">"07"</f>
        <v>07</v>
      </c>
      <c r="N2166" t="s">
        <v>12</v>
      </c>
    </row>
    <row r="2167" spans="1:14" x14ac:dyDescent="0.25">
      <c r="A2167">
        <v>20160715</v>
      </c>
      <c r="B2167" t="str">
        <f>"064028"</f>
        <v>064028</v>
      </c>
      <c r="C2167" t="str">
        <f>"10020"</f>
        <v>10020</v>
      </c>
      <c r="D2167" t="s">
        <v>1018</v>
      </c>
      <c r="E2167" s="3">
        <v>306.76</v>
      </c>
      <c r="F2167">
        <v>20160713</v>
      </c>
      <c r="G2167" t="s">
        <v>406</v>
      </c>
      <c r="H2167" t="s">
        <v>1432</v>
      </c>
      <c r="I2167">
        <v>0</v>
      </c>
      <c r="J2167" t="s">
        <v>289</v>
      </c>
      <c r="K2167" t="s">
        <v>95</v>
      </c>
      <c r="L2167" t="s">
        <v>285</v>
      </c>
      <c r="M2167" t="str">
        <f t="shared" si="122"/>
        <v>07</v>
      </c>
      <c r="N2167" t="s">
        <v>12</v>
      </c>
    </row>
    <row r="2168" spans="1:14" x14ac:dyDescent="0.25">
      <c r="A2168">
        <v>20160715</v>
      </c>
      <c r="B2168" t="str">
        <f>"064031"</f>
        <v>064031</v>
      </c>
      <c r="C2168" t="str">
        <f>"08788"</f>
        <v>08788</v>
      </c>
      <c r="D2168" t="s">
        <v>302</v>
      </c>
      <c r="E2168" s="3">
        <v>2613.63</v>
      </c>
      <c r="F2168">
        <v>20160713</v>
      </c>
      <c r="G2168" t="s">
        <v>481</v>
      </c>
      <c r="H2168" t="s">
        <v>1433</v>
      </c>
      <c r="I2168">
        <v>0</v>
      </c>
      <c r="J2168" t="s">
        <v>289</v>
      </c>
      <c r="K2168" t="s">
        <v>290</v>
      </c>
      <c r="L2168" t="s">
        <v>285</v>
      </c>
      <c r="M2168" t="str">
        <f t="shared" si="122"/>
        <v>07</v>
      </c>
      <c r="N2168" t="s">
        <v>12</v>
      </c>
    </row>
    <row r="2169" spans="1:14" x14ac:dyDescent="0.25">
      <c r="A2169">
        <v>20160715</v>
      </c>
      <c r="B2169" t="str">
        <f>"064060"</f>
        <v>064060</v>
      </c>
      <c r="C2169" t="str">
        <f>"44261"</f>
        <v>44261</v>
      </c>
      <c r="D2169" t="s">
        <v>1434</v>
      </c>
      <c r="E2169" s="3">
        <v>1583.7</v>
      </c>
      <c r="F2169">
        <v>20160713</v>
      </c>
      <c r="G2169" t="s">
        <v>310</v>
      </c>
      <c r="H2169" t="s">
        <v>1428</v>
      </c>
      <c r="I2169">
        <v>0</v>
      </c>
      <c r="J2169" t="s">
        <v>289</v>
      </c>
      <c r="K2169" t="s">
        <v>290</v>
      </c>
      <c r="L2169" t="s">
        <v>285</v>
      </c>
      <c r="M2169" t="str">
        <f t="shared" si="122"/>
        <v>07</v>
      </c>
      <c r="N2169" t="s">
        <v>12</v>
      </c>
    </row>
    <row r="2170" spans="1:14" x14ac:dyDescent="0.25">
      <c r="A2170">
        <v>20160722</v>
      </c>
      <c r="B2170" t="str">
        <f>"064127"</f>
        <v>064127</v>
      </c>
      <c r="C2170" t="str">
        <f>"22132"</f>
        <v>22132</v>
      </c>
      <c r="D2170" t="s">
        <v>1072</v>
      </c>
      <c r="E2170" s="3">
        <v>110</v>
      </c>
      <c r="F2170">
        <v>20160720</v>
      </c>
      <c r="G2170" t="s">
        <v>326</v>
      </c>
      <c r="H2170" t="s">
        <v>1435</v>
      </c>
      <c r="I2170">
        <v>0</v>
      </c>
      <c r="J2170" t="s">
        <v>289</v>
      </c>
      <c r="K2170" t="s">
        <v>290</v>
      </c>
      <c r="L2170" t="s">
        <v>285</v>
      </c>
      <c r="M2170" t="str">
        <f t="shared" si="122"/>
        <v>07</v>
      </c>
      <c r="N2170" t="s">
        <v>12</v>
      </c>
    </row>
    <row r="2171" spans="1:14" x14ac:dyDescent="0.25">
      <c r="A2171">
        <v>20160722</v>
      </c>
      <c r="B2171" t="str">
        <f>"064143"</f>
        <v>064143</v>
      </c>
      <c r="C2171" t="str">
        <f>"44749"</f>
        <v>44749</v>
      </c>
      <c r="D2171" t="s">
        <v>1436</v>
      </c>
      <c r="E2171" s="3">
        <v>2933</v>
      </c>
      <c r="F2171">
        <v>20160720</v>
      </c>
      <c r="G2171" t="s">
        <v>1437</v>
      </c>
      <c r="H2171" t="s">
        <v>1438</v>
      </c>
      <c r="I2171">
        <v>0</v>
      </c>
      <c r="J2171" t="s">
        <v>289</v>
      </c>
      <c r="K2171" t="s">
        <v>290</v>
      </c>
      <c r="L2171" t="s">
        <v>285</v>
      </c>
      <c r="M2171" t="str">
        <f t="shared" si="122"/>
        <v>07</v>
      </c>
      <c r="N2171" t="s">
        <v>12</v>
      </c>
    </row>
    <row r="2172" spans="1:14" x14ac:dyDescent="0.25">
      <c r="A2172">
        <v>20160722</v>
      </c>
      <c r="B2172" t="str">
        <f>"064151"</f>
        <v>064151</v>
      </c>
      <c r="C2172" t="str">
        <f>"47566"</f>
        <v>47566</v>
      </c>
      <c r="D2172" t="s">
        <v>1439</v>
      </c>
      <c r="E2172" s="3">
        <v>350</v>
      </c>
      <c r="F2172">
        <v>20160720</v>
      </c>
      <c r="G2172" t="s">
        <v>326</v>
      </c>
      <c r="H2172" t="s">
        <v>1440</v>
      </c>
      <c r="I2172">
        <v>0</v>
      </c>
      <c r="J2172" t="s">
        <v>289</v>
      </c>
      <c r="K2172" t="s">
        <v>290</v>
      </c>
      <c r="L2172" t="s">
        <v>285</v>
      </c>
      <c r="M2172" t="str">
        <f t="shared" si="122"/>
        <v>07</v>
      </c>
      <c r="N2172" t="s">
        <v>12</v>
      </c>
    </row>
    <row r="2173" spans="1:14" x14ac:dyDescent="0.25">
      <c r="A2173">
        <v>20160722</v>
      </c>
      <c r="B2173" t="str">
        <f>"064159"</f>
        <v>064159</v>
      </c>
      <c r="C2173" t="str">
        <f>"51347"</f>
        <v>51347</v>
      </c>
      <c r="D2173" t="s">
        <v>1096</v>
      </c>
      <c r="E2173" s="3">
        <v>140</v>
      </c>
      <c r="F2173">
        <v>20160720</v>
      </c>
      <c r="G2173" t="s">
        <v>602</v>
      </c>
      <c r="H2173" t="s">
        <v>1441</v>
      </c>
      <c r="I2173">
        <v>0</v>
      </c>
      <c r="J2173" t="s">
        <v>289</v>
      </c>
      <c r="K2173" t="s">
        <v>290</v>
      </c>
      <c r="L2173" t="s">
        <v>285</v>
      </c>
      <c r="M2173" t="str">
        <f t="shared" si="122"/>
        <v>07</v>
      </c>
      <c r="N2173" t="s">
        <v>12</v>
      </c>
    </row>
    <row r="2174" spans="1:14" x14ac:dyDescent="0.25">
      <c r="A2174">
        <v>20160722</v>
      </c>
      <c r="B2174" t="str">
        <f>"064164"</f>
        <v>064164</v>
      </c>
      <c r="C2174" t="str">
        <f>"58207"</f>
        <v>58207</v>
      </c>
      <c r="D2174" t="s">
        <v>296</v>
      </c>
      <c r="E2174" s="3">
        <v>250</v>
      </c>
      <c r="F2174">
        <v>20160720</v>
      </c>
      <c r="G2174" t="s">
        <v>1442</v>
      </c>
      <c r="H2174" t="s">
        <v>1443</v>
      </c>
      <c r="I2174">
        <v>0</v>
      </c>
      <c r="J2174" t="s">
        <v>289</v>
      </c>
      <c r="K2174" t="s">
        <v>235</v>
      </c>
      <c r="L2174" t="s">
        <v>285</v>
      </c>
      <c r="M2174" t="str">
        <f t="shared" si="122"/>
        <v>07</v>
      </c>
      <c r="N2174" t="s">
        <v>12</v>
      </c>
    </row>
    <row r="2175" spans="1:14" x14ac:dyDescent="0.25">
      <c r="A2175">
        <v>20160729</v>
      </c>
      <c r="B2175" t="str">
        <f>"064194"</f>
        <v>064194</v>
      </c>
      <c r="C2175" t="str">
        <f>"01240"</f>
        <v>01240</v>
      </c>
      <c r="D2175" t="s">
        <v>1059</v>
      </c>
      <c r="E2175" s="3">
        <v>2799</v>
      </c>
      <c r="F2175">
        <v>20160727</v>
      </c>
      <c r="G2175" t="s">
        <v>1060</v>
      </c>
      <c r="H2175" t="s">
        <v>1444</v>
      </c>
      <c r="I2175">
        <v>0</v>
      </c>
      <c r="J2175" t="s">
        <v>289</v>
      </c>
      <c r="K2175" t="s">
        <v>290</v>
      </c>
      <c r="L2175" t="s">
        <v>285</v>
      </c>
      <c r="M2175" t="str">
        <f t="shared" si="122"/>
        <v>07</v>
      </c>
      <c r="N2175" t="s">
        <v>12</v>
      </c>
    </row>
    <row r="2176" spans="1:14" x14ac:dyDescent="0.25">
      <c r="A2176">
        <v>20160729</v>
      </c>
      <c r="B2176" t="str">
        <f>"064206"</f>
        <v>064206</v>
      </c>
      <c r="C2176" t="str">
        <f>"12971"</f>
        <v>12971</v>
      </c>
      <c r="D2176" t="s">
        <v>1445</v>
      </c>
      <c r="E2176" s="3">
        <v>42068</v>
      </c>
      <c r="F2176">
        <v>20160727</v>
      </c>
      <c r="G2176" t="s">
        <v>1446</v>
      </c>
      <c r="H2176" t="s">
        <v>1447</v>
      </c>
      <c r="I2176">
        <v>0</v>
      </c>
      <c r="J2176" t="s">
        <v>289</v>
      </c>
      <c r="K2176" t="s">
        <v>235</v>
      </c>
      <c r="L2176" t="s">
        <v>285</v>
      </c>
      <c r="M2176" t="str">
        <f t="shared" si="122"/>
        <v>07</v>
      </c>
      <c r="N2176" t="s">
        <v>12</v>
      </c>
    </row>
    <row r="2177" spans="1:14" x14ac:dyDescent="0.25">
      <c r="A2177">
        <v>20160729</v>
      </c>
      <c r="B2177" t="str">
        <f>"064232"</f>
        <v>064232</v>
      </c>
      <c r="C2177" t="str">
        <f>"60084"</f>
        <v>60084</v>
      </c>
      <c r="D2177" t="s">
        <v>1448</v>
      </c>
      <c r="E2177" s="3">
        <v>226.04</v>
      </c>
      <c r="F2177">
        <v>20160728</v>
      </c>
      <c r="G2177" t="s">
        <v>310</v>
      </c>
      <c r="H2177" t="s">
        <v>1449</v>
      </c>
      <c r="I2177">
        <v>0</v>
      </c>
      <c r="J2177" t="s">
        <v>289</v>
      </c>
      <c r="K2177" t="s">
        <v>290</v>
      </c>
      <c r="L2177" t="s">
        <v>285</v>
      </c>
      <c r="M2177" t="str">
        <f t="shared" si="122"/>
        <v>07</v>
      </c>
      <c r="N2177" t="s">
        <v>12</v>
      </c>
    </row>
    <row r="2178" spans="1:14" x14ac:dyDescent="0.25">
      <c r="A2178">
        <v>20160729</v>
      </c>
      <c r="B2178" t="str">
        <f>"064238"</f>
        <v>064238</v>
      </c>
      <c r="C2178" t="str">
        <f>"69162"</f>
        <v>69162</v>
      </c>
      <c r="D2178" t="s">
        <v>450</v>
      </c>
      <c r="E2178" s="3">
        <v>239.57</v>
      </c>
      <c r="F2178">
        <v>20160728</v>
      </c>
      <c r="G2178" t="s">
        <v>310</v>
      </c>
      <c r="H2178" t="s">
        <v>1450</v>
      </c>
      <c r="I2178">
        <v>0</v>
      </c>
      <c r="J2178" t="s">
        <v>289</v>
      </c>
      <c r="K2178" t="s">
        <v>290</v>
      </c>
      <c r="L2178" t="s">
        <v>285</v>
      </c>
      <c r="M2178" t="str">
        <f t="shared" si="122"/>
        <v>07</v>
      </c>
      <c r="N2178" t="s">
        <v>12</v>
      </c>
    </row>
    <row r="2179" spans="1:14" x14ac:dyDescent="0.25">
      <c r="A2179">
        <v>20160805</v>
      </c>
      <c r="B2179" t="str">
        <f>"064255"</f>
        <v>064255</v>
      </c>
      <c r="C2179" t="str">
        <f>"03450"</f>
        <v>03450</v>
      </c>
      <c r="D2179" t="s">
        <v>375</v>
      </c>
      <c r="E2179" s="3">
        <v>231.35</v>
      </c>
      <c r="F2179">
        <v>20160804</v>
      </c>
      <c r="G2179" t="s">
        <v>367</v>
      </c>
      <c r="H2179" t="s">
        <v>1451</v>
      </c>
      <c r="I2179">
        <v>0</v>
      </c>
      <c r="J2179" t="s">
        <v>289</v>
      </c>
      <c r="K2179" t="s">
        <v>290</v>
      </c>
      <c r="L2179" t="s">
        <v>285</v>
      </c>
      <c r="M2179" t="str">
        <f t="shared" ref="M2179:M2210" si="123">"08"</f>
        <v>08</v>
      </c>
      <c r="N2179" t="s">
        <v>12</v>
      </c>
    </row>
    <row r="2180" spans="1:14" x14ac:dyDescent="0.25">
      <c r="A2180">
        <v>20160805</v>
      </c>
      <c r="B2180" t="str">
        <f>"064275"</f>
        <v>064275</v>
      </c>
      <c r="C2180" t="str">
        <f>"28680"</f>
        <v>28680</v>
      </c>
      <c r="D2180" t="s">
        <v>422</v>
      </c>
      <c r="E2180" s="3">
        <v>310.16000000000003</v>
      </c>
      <c r="F2180">
        <v>20160804</v>
      </c>
      <c r="G2180" t="s">
        <v>310</v>
      </c>
      <c r="H2180" t="s">
        <v>1428</v>
      </c>
      <c r="I2180">
        <v>0</v>
      </c>
      <c r="J2180" t="s">
        <v>289</v>
      </c>
      <c r="K2180" t="s">
        <v>290</v>
      </c>
      <c r="L2180" t="s">
        <v>285</v>
      </c>
      <c r="M2180" t="str">
        <f t="shared" si="123"/>
        <v>08</v>
      </c>
      <c r="N2180" t="s">
        <v>12</v>
      </c>
    </row>
    <row r="2181" spans="1:14" x14ac:dyDescent="0.25">
      <c r="A2181">
        <v>20160805</v>
      </c>
      <c r="B2181" t="str">
        <f>"064275"</f>
        <v>064275</v>
      </c>
      <c r="C2181" t="str">
        <f>"28680"</f>
        <v>28680</v>
      </c>
      <c r="D2181" t="s">
        <v>422</v>
      </c>
      <c r="E2181" s="3">
        <v>310.16000000000003</v>
      </c>
      <c r="F2181">
        <v>20160804</v>
      </c>
      <c r="G2181" t="s">
        <v>310</v>
      </c>
      <c r="H2181" t="s">
        <v>1428</v>
      </c>
      <c r="I2181">
        <v>0</v>
      </c>
      <c r="J2181" t="s">
        <v>289</v>
      </c>
      <c r="K2181" t="s">
        <v>290</v>
      </c>
      <c r="L2181" t="s">
        <v>285</v>
      </c>
      <c r="M2181" t="str">
        <f t="shared" si="123"/>
        <v>08</v>
      </c>
      <c r="N2181" t="s">
        <v>12</v>
      </c>
    </row>
    <row r="2182" spans="1:14" x14ac:dyDescent="0.25">
      <c r="A2182">
        <v>20160805</v>
      </c>
      <c r="B2182" t="str">
        <f>"064281"</f>
        <v>064281</v>
      </c>
      <c r="C2182" t="str">
        <f>"81632"</f>
        <v>81632</v>
      </c>
      <c r="D2182" t="s">
        <v>1351</v>
      </c>
      <c r="E2182" s="3">
        <v>252</v>
      </c>
      <c r="F2182">
        <v>20160804</v>
      </c>
      <c r="G2182" t="s">
        <v>353</v>
      </c>
      <c r="H2182" t="s">
        <v>1452</v>
      </c>
      <c r="I2182">
        <v>0</v>
      </c>
      <c r="J2182" t="s">
        <v>289</v>
      </c>
      <c r="K2182" t="s">
        <v>290</v>
      </c>
      <c r="L2182" t="s">
        <v>285</v>
      </c>
      <c r="M2182" t="str">
        <f t="shared" si="123"/>
        <v>08</v>
      </c>
      <c r="N2182" t="s">
        <v>12</v>
      </c>
    </row>
    <row r="2183" spans="1:14" x14ac:dyDescent="0.25">
      <c r="A2183">
        <v>20160805</v>
      </c>
      <c r="B2183" t="str">
        <f>"064281"</f>
        <v>064281</v>
      </c>
      <c r="C2183" t="str">
        <f>"81632"</f>
        <v>81632</v>
      </c>
      <c r="D2183" t="s">
        <v>1351</v>
      </c>
      <c r="E2183" s="3">
        <v>-252</v>
      </c>
      <c r="F2183">
        <v>20160817</v>
      </c>
      <c r="G2183" t="s">
        <v>353</v>
      </c>
      <c r="H2183" t="s">
        <v>214</v>
      </c>
      <c r="I2183">
        <v>0</v>
      </c>
      <c r="J2183" t="s">
        <v>289</v>
      </c>
      <c r="K2183" t="s">
        <v>290</v>
      </c>
      <c r="L2183" t="s">
        <v>17</v>
      </c>
      <c r="M2183" t="str">
        <f t="shared" si="123"/>
        <v>08</v>
      </c>
      <c r="N2183" t="s">
        <v>12</v>
      </c>
    </row>
    <row r="2184" spans="1:14" x14ac:dyDescent="0.25">
      <c r="A2184">
        <v>20160805</v>
      </c>
      <c r="B2184" t="str">
        <f>"064282"</f>
        <v>064282</v>
      </c>
      <c r="C2184" t="str">
        <f>"33851"</f>
        <v>33851</v>
      </c>
      <c r="D2184" t="s">
        <v>1453</v>
      </c>
      <c r="E2184" s="3">
        <v>350</v>
      </c>
      <c r="F2184">
        <v>20160804</v>
      </c>
      <c r="G2184" t="s">
        <v>287</v>
      </c>
      <c r="H2184" t="s">
        <v>1454</v>
      </c>
      <c r="I2184">
        <v>0</v>
      </c>
      <c r="J2184" t="s">
        <v>289</v>
      </c>
      <c r="K2184" t="s">
        <v>290</v>
      </c>
      <c r="L2184" t="s">
        <v>285</v>
      </c>
      <c r="M2184" t="str">
        <f t="shared" si="123"/>
        <v>08</v>
      </c>
      <c r="N2184" t="s">
        <v>12</v>
      </c>
    </row>
    <row r="2185" spans="1:14" x14ac:dyDescent="0.25">
      <c r="A2185">
        <v>20160805</v>
      </c>
      <c r="B2185" t="str">
        <f>"064307"</f>
        <v>064307</v>
      </c>
      <c r="C2185" t="str">
        <f>"60084"</f>
        <v>60084</v>
      </c>
      <c r="D2185" t="s">
        <v>1448</v>
      </c>
      <c r="E2185" s="3">
        <v>86.35</v>
      </c>
      <c r="F2185">
        <v>20160804</v>
      </c>
      <c r="G2185" t="s">
        <v>310</v>
      </c>
      <c r="H2185" t="s">
        <v>1455</v>
      </c>
      <c r="I2185">
        <v>0</v>
      </c>
      <c r="J2185" t="s">
        <v>289</v>
      </c>
      <c r="K2185" t="s">
        <v>290</v>
      </c>
      <c r="L2185" t="s">
        <v>285</v>
      </c>
      <c r="M2185" t="str">
        <f t="shared" si="123"/>
        <v>08</v>
      </c>
      <c r="N2185" t="s">
        <v>12</v>
      </c>
    </row>
    <row r="2186" spans="1:14" x14ac:dyDescent="0.25">
      <c r="A2186">
        <v>20160805</v>
      </c>
      <c r="B2186" t="str">
        <f>"064307"</f>
        <v>064307</v>
      </c>
      <c r="C2186" t="str">
        <f>"60084"</f>
        <v>60084</v>
      </c>
      <c r="D2186" t="s">
        <v>1448</v>
      </c>
      <c r="E2186" s="3">
        <v>250.7</v>
      </c>
      <c r="F2186">
        <v>20160804</v>
      </c>
      <c r="G2186" t="s">
        <v>599</v>
      </c>
      <c r="H2186" t="s">
        <v>1455</v>
      </c>
      <c r="I2186">
        <v>0</v>
      </c>
      <c r="J2186" t="s">
        <v>289</v>
      </c>
      <c r="K2186" t="s">
        <v>290</v>
      </c>
      <c r="L2186" t="s">
        <v>285</v>
      </c>
      <c r="M2186" t="str">
        <f t="shared" si="123"/>
        <v>08</v>
      </c>
      <c r="N2186" t="s">
        <v>12</v>
      </c>
    </row>
    <row r="2187" spans="1:14" x14ac:dyDescent="0.25">
      <c r="A2187">
        <v>20160805</v>
      </c>
      <c r="B2187" t="str">
        <f>"064316"</f>
        <v>064316</v>
      </c>
      <c r="C2187" t="str">
        <f>"72321"</f>
        <v>72321</v>
      </c>
      <c r="D2187" t="s">
        <v>1456</v>
      </c>
      <c r="E2187" s="3">
        <v>154.77000000000001</v>
      </c>
      <c r="F2187">
        <v>20160804</v>
      </c>
      <c r="G2187" t="s">
        <v>1411</v>
      </c>
      <c r="H2187" t="s">
        <v>1457</v>
      </c>
      <c r="I2187">
        <v>0</v>
      </c>
      <c r="J2187" t="s">
        <v>289</v>
      </c>
      <c r="K2187" t="s">
        <v>290</v>
      </c>
      <c r="L2187" t="s">
        <v>285</v>
      </c>
      <c r="M2187" t="str">
        <f t="shared" si="123"/>
        <v>08</v>
      </c>
      <c r="N2187" t="s">
        <v>12</v>
      </c>
    </row>
    <row r="2188" spans="1:14" x14ac:dyDescent="0.25">
      <c r="A2188">
        <v>20160812</v>
      </c>
      <c r="B2188" t="str">
        <f>"064356"</f>
        <v>064356</v>
      </c>
      <c r="C2188" t="str">
        <f>"30155"</f>
        <v>30155</v>
      </c>
      <c r="D2188" t="s">
        <v>944</v>
      </c>
      <c r="E2188" s="3">
        <v>200</v>
      </c>
      <c r="F2188">
        <v>20160811</v>
      </c>
      <c r="G2188" t="s">
        <v>326</v>
      </c>
      <c r="H2188" t="s">
        <v>1458</v>
      </c>
      <c r="I2188">
        <v>0</v>
      </c>
      <c r="J2188" t="s">
        <v>289</v>
      </c>
      <c r="K2188" t="s">
        <v>290</v>
      </c>
      <c r="L2188" t="s">
        <v>285</v>
      </c>
      <c r="M2188" t="str">
        <f t="shared" si="123"/>
        <v>08</v>
      </c>
      <c r="N2188" t="s">
        <v>12</v>
      </c>
    </row>
    <row r="2189" spans="1:14" x14ac:dyDescent="0.25">
      <c r="A2189">
        <v>20160812</v>
      </c>
      <c r="B2189" t="str">
        <f>"064359"</f>
        <v>064359</v>
      </c>
      <c r="C2189" t="str">
        <f>"81632"</f>
        <v>81632</v>
      </c>
      <c r="D2189" t="s">
        <v>1351</v>
      </c>
      <c r="E2189" s="3">
        <v>252</v>
      </c>
      <c r="F2189">
        <v>20160811</v>
      </c>
      <c r="G2189" t="s">
        <v>353</v>
      </c>
      <c r="H2189" t="s">
        <v>1459</v>
      </c>
      <c r="I2189">
        <v>0</v>
      </c>
      <c r="J2189" t="s">
        <v>289</v>
      </c>
      <c r="K2189" t="s">
        <v>290</v>
      </c>
      <c r="L2189" t="s">
        <v>285</v>
      </c>
      <c r="M2189" t="str">
        <f t="shared" si="123"/>
        <v>08</v>
      </c>
      <c r="N2189" t="s">
        <v>12</v>
      </c>
    </row>
    <row r="2190" spans="1:14" x14ac:dyDescent="0.25">
      <c r="A2190">
        <v>20160817</v>
      </c>
      <c r="B2190" t="str">
        <f>"064392"</f>
        <v>064392</v>
      </c>
      <c r="C2190" t="str">
        <f>"81632"</f>
        <v>81632</v>
      </c>
      <c r="D2190" t="s">
        <v>1351</v>
      </c>
      <c r="E2190" s="3">
        <v>252</v>
      </c>
      <c r="F2190">
        <v>20160817</v>
      </c>
      <c r="G2190" t="s">
        <v>353</v>
      </c>
      <c r="H2190" t="s">
        <v>1460</v>
      </c>
      <c r="I2190">
        <v>0</v>
      </c>
      <c r="J2190" t="s">
        <v>289</v>
      </c>
      <c r="K2190" t="s">
        <v>290</v>
      </c>
      <c r="L2190" t="s">
        <v>17</v>
      </c>
      <c r="M2190" t="str">
        <f t="shared" si="123"/>
        <v>08</v>
      </c>
      <c r="N2190" t="s">
        <v>12</v>
      </c>
    </row>
    <row r="2191" spans="1:14" x14ac:dyDescent="0.25">
      <c r="A2191">
        <v>20160819</v>
      </c>
      <c r="B2191" t="str">
        <f>"064397"</f>
        <v>064397</v>
      </c>
      <c r="C2191" t="str">
        <f>"03450"</f>
        <v>03450</v>
      </c>
      <c r="D2191" t="s">
        <v>375</v>
      </c>
      <c r="E2191" s="3">
        <v>136.5</v>
      </c>
      <c r="F2191">
        <v>20160818</v>
      </c>
      <c r="G2191" t="s">
        <v>1411</v>
      </c>
      <c r="H2191" t="s">
        <v>1461</v>
      </c>
      <c r="I2191">
        <v>0</v>
      </c>
      <c r="J2191" t="s">
        <v>289</v>
      </c>
      <c r="K2191" t="s">
        <v>290</v>
      </c>
      <c r="L2191" t="s">
        <v>285</v>
      </c>
      <c r="M2191" t="str">
        <f t="shared" si="123"/>
        <v>08</v>
      </c>
      <c r="N2191" t="s">
        <v>12</v>
      </c>
    </row>
    <row r="2192" spans="1:14" x14ac:dyDescent="0.25">
      <c r="A2192">
        <v>20160819</v>
      </c>
      <c r="B2192" t="str">
        <f>"064403"</f>
        <v>064403</v>
      </c>
      <c r="C2192" t="str">
        <f>"11385"</f>
        <v>11385</v>
      </c>
      <c r="D2192" t="s">
        <v>296</v>
      </c>
      <c r="E2192" s="3">
        <v>5000</v>
      </c>
      <c r="F2192">
        <v>20160817</v>
      </c>
      <c r="G2192" t="s">
        <v>299</v>
      </c>
      <c r="H2192" t="s">
        <v>1462</v>
      </c>
      <c r="I2192">
        <v>0</v>
      </c>
      <c r="J2192" t="s">
        <v>289</v>
      </c>
      <c r="K2192" t="s">
        <v>235</v>
      </c>
      <c r="L2192" t="s">
        <v>285</v>
      </c>
      <c r="M2192" t="str">
        <f t="shared" si="123"/>
        <v>08</v>
      </c>
      <c r="N2192" t="s">
        <v>12</v>
      </c>
    </row>
    <row r="2193" spans="1:14" x14ac:dyDescent="0.25">
      <c r="A2193">
        <v>20160819</v>
      </c>
      <c r="B2193" t="str">
        <f>"064404"</f>
        <v>064404</v>
      </c>
      <c r="C2193" t="str">
        <f>"11385"</f>
        <v>11385</v>
      </c>
      <c r="D2193" t="s">
        <v>296</v>
      </c>
      <c r="E2193" s="3">
        <v>71.91</v>
      </c>
      <c r="F2193">
        <v>20160817</v>
      </c>
      <c r="G2193" t="s">
        <v>310</v>
      </c>
      <c r="H2193" t="s">
        <v>1428</v>
      </c>
      <c r="I2193">
        <v>0</v>
      </c>
      <c r="J2193" t="s">
        <v>289</v>
      </c>
      <c r="K2193" t="s">
        <v>290</v>
      </c>
      <c r="L2193" t="s">
        <v>285</v>
      </c>
      <c r="M2193" t="str">
        <f t="shared" si="123"/>
        <v>08</v>
      </c>
      <c r="N2193" t="s">
        <v>12</v>
      </c>
    </row>
    <row r="2194" spans="1:14" x14ac:dyDescent="0.25">
      <c r="A2194">
        <v>20160819</v>
      </c>
      <c r="B2194" t="str">
        <f>"064405"</f>
        <v>064405</v>
      </c>
      <c r="C2194" t="str">
        <f>"12375"</f>
        <v>12375</v>
      </c>
      <c r="D2194" t="s">
        <v>1354</v>
      </c>
      <c r="E2194" s="3">
        <v>55.41</v>
      </c>
      <c r="F2194">
        <v>20160817</v>
      </c>
      <c r="G2194" t="s">
        <v>310</v>
      </c>
      <c r="H2194" t="s">
        <v>1428</v>
      </c>
      <c r="I2194">
        <v>0</v>
      </c>
      <c r="J2194" t="s">
        <v>289</v>
      </c>
      <c r="K2194" t="s">
        <v>290</v>
      </c>
      <c r="L2194" t="s">
        <v>285</v>
      </c>
      <c r="M2194" t="str">
        <f t="shared" si="123"/>
        <v>08</v>
      </c>
      <c r="N2194" t="s">
        <v>12</v>
      </c>
    </row>
    <row r="2195" spans="1:14" x14ac:dyDescent="0.25">
      <c r="A2195">
        <v>20160819</v>
      </c>
      <c r="B2195" t="str">
        <f>"064407"</f>
        <v>064407</v>
      </c>
      <c r="C2195" t="str">
        <f>"13285"</f>
        <v>13285</v>
      </c>
      <c r="D2195" t="s">
        <v>1463</v>
      </c>
      <c r="E2195" s="3">
        <v>49.77</v>
      </c>
      <c r="F2195">
        <v>20160817</v>
      </c>
      <c r="G2195" t="s">
        <v>310</v>
      </c>
      <c r="H2195" t="s">
        <v>1428</v>
      </c>
      <c r="I2195">
        <v>0</v>
      </c>
      <c r="J2195" t="s">
        <v>289</v>
      </c>
      <c r="K2195" t="s">
        <v>290</v>
      </c>
      <c r="L2195" t="s">
        <v>285</v>
      </c>
      <c r="M2195" t="str">
        <f t="shared" si="123"/>
        <v>08</v>
      </c>
      <c r="N2195" t="s">
        <v>12</v>
      </c>
    </row>
    <row r="2196" spans="1:14" x14ac:dyDescent="0.25">
      <c r="A2196">
        <v>20160819</v>
      </c>
      <c r="B2196" t="str">
        <f>"064427"</f>
        <v>064427</v>
      </c>
      <c r="C2196" t="str">
        <f>"30837"</f>
        <v>30837</v>
      </c>
      <c r="D2196" t="s">
        <v>352</v>
      </c>
      <c r="E2196" s="3">
        <v>374.17</v>
      </c>
      <c r="F2196">
        <v>20160818</v>
      </c>
      <c r="G2196" t="s">
        <v>353</v>
      </c>
      <c r="H2196" t="s">
        <v>1464</v>
      </c>
      <c r="I2196">
        <v>0</v>
      </c>
      <c r="J2196" t="s">
        <v>289</v>
      </c>
      <c r="K2196" t="s">
        <v>290</v>
      </c>
      <c r="L2196" t="s">
        <v>285</v>
      </c>
      <c r="M2196" t="str">
        <f t="shared" si="123"/>
        <v>08</v>
      </c>
      <c r="N2196" t="s">
        <v>12</v>
      </c>
    </row>
    <row r="2197" spans="1:14" x14ac:dyDescent="0.25">
      <c r="A2197">
        <v>20160819</v>
      </c>
      <c r="B2197" t="str">
        <f>"064427"</f>
        <v>064427</v>
      </c>
      <c r="C2197" t="str">
        <f>"30837"</f>
        <v>30837</v>
      </c>
      <c r="D2197" t="s">
        <v>352</v>
      </c>
      <c r="E2197" s="3">
        <v>227.5</v>
      </c>
      <c r="F2197">
        <v>20160818</v>
      </c>
      <c r="G2197" t="s">
        <v>353</v>
      </c>
      <c r="H2197" t="s">
        <v>1465</v>
      </c>
      <c r="I2197">
        <v>0</v>
      </c>
      <c r="J2197" t="s">
        <v>289</v>
      </c>
      <c r="K2197" t="s">
        <v>290</v>
      </c>
      <c r="L2197" t="s">
        <v>285</v>
      </c>
      <c r="M2197" t="str">
        <f t="shared" si="123"/>
        <v>08</v>
      </c>
      <c r="N2197" t="s">
        <v>12</v>
      </c>
    </row>
    <row r="2198" spans="1:14" x14ac:dyDescent="0.25">
      <c r="A2198">
        <v>20160819</v>
      </c>
      <c r="B2198" t="str">
        <f>"064434"</f>
        <v>064434</v>
      </c>
      <c r="C2198" t="str">
        <f>"55929"</f>
        <v>55929</v>
      </c>
      <c r="D2198" t="s">
        <v>1003</v>
      </c>
      <c r="E2198" s="3">
        <v>98.7</v>
      </c>
      <c r="F2198">
        <v>20160817</v>
      </c>
      <c r="G2198" t="s">
        <v>1411</v>
      </c>
      <c r="H2198" t="s">
        <v>1466</v>
      </c>
      <c r="I2198">
        <v>0</v>
      </c>
      <c r="J2198" t="s">
        <v>289</v>
      </c>
      <c r="K2198" t="s">
        <v>290</v>
      </c>
      <c r="L2198" t="s">
        <v>285</v>
      </c>
      <c r="M2198" t="str">
        <f t="shared" si="123"/>
        <v>08</v>
      </c>
      <c r="N2198" t="s">
        <v>12</v>
      </c>
    </row>
    <row r="2199" spans="1:14" x14ac:dyDescent="0.25">
      <c r="A2199">
        <v>20160819</v>
      </c>
      <c r="B2199" t="str">
        <f>"064442"</f>
        <v>064442</v>
      </c>
      <c r="C2199" t="str">
        <f>"49955"</f>
        <v>49955</v>
      </c>
      <c r="D2199" t="s">
        <v>918</v>
      </c>
      <c r="E2199" s="3">
        <v>70.37</v>
      </c>
      <c r="F2199">
        <v>20160817</v>
      </c>
      <c r="G2199" t="s">
        <v>310</v>
      </c>
      <c r="H2199" t="s">
        <v>1428</v>
      </c>
      <c r="I2199">
        <v>0</v>
      </c>
      <c r="J2199" t="s">
        <v>289</v>
      </c>
      <c r="K2199" t="s">
        <v>290</v>
      </c>
      <c r="L2199" t="s">
        <v>285</v>
      </c>
      <c r="M2199" t="str">
        <f t="shared" si="123"/>
        <v>08</v>
      </c>
      <c r="N2199" t="s">
        <v>12</v>
      </c>
    </row>
    <row r="2200" spans="1:14" x14ac:dyDescent="0.25">
      <c r="A2200">
        <v>20160819</v>
      </c>
      <c r="B2200" t="str">
        <f>"064445"</f>
        <v>064445</v>
      </c>
      <c r="C2200" t="str">
        <f>"53201"</f>
        <v>53201</v>
      </c>
      <c r="D2200" t="s">
        <v>1034</v>
      </c>
      <c r="E2200" s="3">
        <v>180</v>
      </c>
      <c r="F2200">
        <v>20160817</v>
      </c>
      <c r="G2200" t="s">
        <v>287</v>
      </c>
      <c r="H2200" t="s">
        <v>1467</v>
      </c>
      <c r="I2200">
        <v>0</v>
      </c>
      <c r="J2200" t="s">
        <v>289</v>
      </c>
      <c r="K2200" t="s">
        <v>290</v>
      </c>
      <c r="L2200" t="s">
        <v>285</v>
      </c>
      <c r="M2200" t="str">
        <f t="shared" si="123"/>
        <v>08</v>
      </c>
      <c r="N2200" t="s">
        <v>12</v>
      </c>
    </row>
    <row r="2201" spans="1:14" x14ac:dyDescent="0.25">
      <c r="A2201">
        <v>20160819</v>
      </c>
      <c r="B2201" t="str">
        <f>"064461"</f>
        <v>064461</v>
      </c>
      <c r="C2201" t="str">
        <f>"62686"</f>
        <v>62686</v>
      </c>
      <c r="D2201" t="s">
        <v>1468</v>
      </c>
      <c r="E2201" s="3">
        <v>72.23</v>
      </c>
      <c r="F2201">
        <v>20160817</v>
      </c>
      <c r="G2201" t="s">
        <v>310</v>
      </c>
      <c r="H2201" t="s">
        <v>1428</v>
      </c>
      <c r="I2201">
        <v>0</v>
      </c>
      <c r="J2201" t="s">
        <v>289</v>
      </c>
      <c r="K2201" t="s">
        <v>290</v>
      </c>
      <c r="L2201" t="s">
        <v>285</v>
      </c>
      <c r="M2201" t="str">
        <f t="shared" si="123"/>
        <v>08</v>
      </c>
      <c r="N2201" t="s">
        <v>12</v>
      </c>
    </row>
    <row r="2202" spans="1:14" x14ac:dyDescent="0.25">
      <c r="A2202">
        <v>20160819</v>
      </c>
      <c r="B2202" t="str">
        <f>"064465"</f>
        <v>064465</v>
      </c>
      <c r="C2202" t="str">
        <f>"63974"</f>
        <v>63974</v>
      </c>
      <c r="D2202" t="s">
        <v>1058</v>
      </c>
      <c r="E2202" s="3">
        <v>60.24</v>
      </c>
      <c r="F2202">
        <v>20160817</v>
      </c>
      <c r="G2202" t="s">
        <v>310</v>
      </c>
      <c r="H2202" t="s">
        <v>1428</v>
      </c>
      <c r="I2202">
        <v>0</v>
      </c>
      <c r="J2202" t="s">
        <v>289</v>
      </c>
      <c r="K2202" t="s">
        <v>290</v>
      </c>
      <c r="L2202" t="s">
        <v>285</v>
      </c>
      <c r="M2202" t="str">
        <f t="shared" si="123"/>
        <v>08</v>
      </c>
      <c r="N2202" t="s">
        <v>12</v>
      </c>
    </row>
    <row r="2203" spans="1:14" x14ac:dyDescent="0.25">
      <c r="A2203">
        <v>20160819</v>
      </c>
      <c r="B2203" t="str">
        <f>"064466"</f>
        <v>064466</v>
      </c>
      <c r="C2203" t="str">
        <f>"64007"</f>
        <v>64007</v>
      </c>
      <c r="D2203" t="s">
        <v>1377</v>
      </c>
      <c r="E2203" s="3">
        <v>110.39</v>
      </c>
      <c r="F2203">
        <v>20160817</v>
      </c>
      <c r="G2203" t="s">
        <v>905</v>
      </c>
      <c r="H2203" t="s">
        <v>1469</v>
      </c>
      <c r="I2203">
        <v>0</v>
      </c>
      <c r="J2203" t="s">
        <v>289</v>
      </c>
      <c r="K2203" t="s">
        <v>290</v>
      </c>
      <c r="L2203" t="s">
        <v>285</v>
      </c>
      <c r="M2203" t="str">
        <f t="shared" si="123"/>
        <v>08</v>
      </c>
      <c r="N2203" t="s">
        <v>12</v>
      </c>
    </row>
    <row r="2204" spans="1:14" x14ac:dyDescent="0.25">
      <c r="A2204">
        <v>20160819</v>
      </c>
      <c r="B2204" t="str">
        <f>"064468"</f>
        <v>064468</v>
      </c>
      <c r="C2204" t="str">
        <f>"64824"</f>
        <v>64824</v>
      </c>
      <c r="D2204" t="s">
        <v>1470</v>
      </c>
      <c r="E2204" s="3">
        <v>59.84</v>
      </c>
      <c r="F2204">
        <v>20160817</v>
      </c>
      <c r="G2204" t="s">
        <v>310</v>
      </c>
      <c r="H2204" t="s">
        <v>1428</v>
      </c>
      <c r="I2204">
        <v>0</v>
      </c>
      <c r="J2204" t="s">
        <v>289</v>
      </c>
      <c r="K2204" t="s">
        <v>290</v>
      </c>
      <c r="L2204" t="s">
        <v>285</v>
      </c>
      <c r="M2204" t="str">
        <f t="shared" si="123"/>
        <v>08</v>
      </c>
      <c r="N2204" t="s">
        <v>12</v>
      </c>
    </row>
    <row r="2205" spans="1:14" x14ac:dyDescent="0.25">
      <c r="A2205">
        <v>20160819</v>
      </c>
      <c r="B2205" t="str">
        <f>"064478"</f>
        <v>064478</v>
      </c>
      <c r="C2205" t="str">
        <f>"80555"</f>
        <v>80555</v>
      </c>
      <c r="D2205" t="s">
        <v>1370</v>
      </c>
      <c r="E2205" s="3">
        <v>111.13</v>
      </c>
      <c r="F2205">
        <v>20160817</v>
      </c>
      <c r="G2205" t="s">
        <v>310</v>
      </c>
      <c r="H2205" t="s">
        <v>1428</v>
      </c>
      <c r="I2205">
        <v>0</v>
      </c>
      <c r="J2205" t="s">
        <v>289</v>
      </c>
      <c r="K2205" t="s">
        <v>290</v>
      </c>
      <c r="L2205" t="s">
        <v>285</v>
      </c>
      <c r="M2205" t="str">
        <f t="shared" si="123"/>
        <v>08</v>
      </c>
      <c r="N2205" t="s">
        <v>12</v>
      </c>
    </row>
    <row r="2206" spans="1:14" x14ac:dyDescent="0.25">
      <c r="A2206">
        <v>20160826</v>
      </c>
      <c r="B2206" t="str">
        <f>"064494"</f>
        <v>064494</v>
      </c>
      <c r="C2206" t="str">
        <f>"11385"</f>
        <v>11385</v>
      </c>
      <c r="D2206" t="s">
        <v>296</v>
      </c>
      <c r="E2206" s="3">
        <v>71.2</v>
      </c>
      <c r="F2206">
        <v>20160824</v>
      </c>
      <c r="G2206" t="s">
        <v>905</v>
      </c>
      <c r="H2206" t="s">
        <v>1471</v>
      </c>
      <c r="I2206">
        <v>0</v>
      </c>
      <c r="J2206" t="s">
        <v>289</v>
      </c>
      <c r="K2206" t="s">
        <v>290</v>
      </c>
      <c r="L2206" t="s">
        <v>285</v>
      </c>
      <c r="M2206" t="str">
        <f t="shared" si="123"/>
        <v>08</v>
      </c>
      <c r="N2206" t="s">
        <v>12</v>
      </c>
    </row>
    <row r="2207" spans="1:14" x14ac:dyDescent="0.25">
      <c r="A2207">
        <v>20160826</v>
      </c>
      <c r="B2207" t="str">
        <f>"064496"</f>
        <v>064496</v>
      </c>
      <c r="C2207" t="str">
        <f>"08788"</f>
        <v>08788</v>
      </c>
      <c r="D2207" t="s">
        <v>302</v>
      </c>
      <c r="E2207" s="3">
        <v>533.25</v>
      </c>
      <c r="F2207">
        <v>20160824</v>
      </c>
      <c r="G2207" t="s">
        <v>1411</v>
      </c>
      <c r="H2207" t="s">
        <v>1472</v>
      </c>
      <c r="I2207">
        <v>0</v>
      </c>
      <c r="J2207" t="s">
        <v>289</v>
      </c>
      <c r="K2207" t="s">
        <v>290</v>
      </c>
      <c r="L2207" t="s">
        <v>285</v>
      </c>
      <c r="M2207" t="str">
        <f t="shared" si="123"/>
        <v>08</v>
      </c>
      <c r="N2207" t="s">
        <v>12</v>
      </c>
    </row>
    <row r="2208" spans="1:14" x14ac:dyDescent="0.25">
      <c r="A2208">
        <v>20160826</v>
      </c>
      <c r="B2208" t="str">
        <f>"064509"</f>
        <v>064509</v>
      </c>
      <c r="C2208" t="str">
        <f>"22206"</f>
        <v>22206</v>
      </c>
      <c r="D2208" t="s">
        <v>1473</v>
      </c>
      <c r="E2208" s="3">
        <v>225</v>
      </c>
      <c r="F2208">
        <v>20160825</v>
      </c>
      <c r="G2208" t="s">
        <v>338</v>
      </c>
      <c r="H2208" t="s">
        <v>1474</v>
      </c>
      <c r="I2208">
        <v>0</v>
      </c>
      <c r="J2208" t="s">
        <v>289</v>
      </c>
      <c r="K2208" t="s">
        <v>290</v>
      </c>
      <c r="L2208" t="s">
        <v>285</v>
      </c>
      <c r="M2208" t="str">
        <f t="shared" si="123"/>
        <v>08</v>
      </c>
      <c r="N2208" t="s">
        <v>12</v>
      </c>
    </row>
    <row r="2209" spans="1:14" x14ac:dyDescent="0.25">
      <c r="A2209">
        <v>20160826</v>
      </c>
      <c r="B2209" t="str">
        <f>"064512"</f>
        <v>064512</v>
      </c>
      <c r="C2209" t="str">
        <f>"24120"</f>
        <v>24120</v>
      </c>
      <c r="D2209" t="s">
        <v>908</v>
      </c>
      <c r="E2209" s="3">
        <v>33.06</v>
      </c>
      <c r="F2209">
        <v>20160825</v>
      </c>
      <c r="G2209" t="s">
        <v>310</v>
      </c>
      <c r="H2209" t="s">
        <v>1428</v>
      </c>
      <c r="I2209">
        <v>0</v>
      </c>
      <c r="J2209" t="s">
        <v>289</v>
      </c>
      <c r="K2209" t="s">
        <v>290</v>
      </c>
      <c r="L2209" t="s">
        <v>285</v>
      </c>
      <c r="M2209" t="str">
        <f t="shared" si="123"/>
        <v>08</v>
      </c>
      <c r="N2209" t="s">
        <v>12</v>
      </c>
    </row>
    <row r="2210" spans="1:14" x14ac:dyDescent="0.25">
      <c r="A2210">
        <v>20160826</v>
      </c>
      <c r="B2210" t="str">
        <f>"064529"</f>
        <v>064529</v>
      </c>
      <c r="C2210" t="str">
        <f>"30118"</f>
        <v>30118</v>
      </c>
      <c r="D2210" t="s">
        <v>351</v>
      </c>
      <c r="E2210" s="3">
        <v>70</v>
      </c>
      <c r="F2210">
        <v>20160825</v>
      </c>
      <c r="G2210" t="s">
        <v>336</v>
      </c>
      <c r="H2210" t="s">
        <v>1475</v>
      </c>
      <c r="I2210">
        <v>0</v>
      </c>
      <c r="J2210" t="s">
        <v>289</v>
      </c>
      <c r="K2210" t="s">
        <v>290</v>
      </c>
      <c r="L2210" t="s">
        <v>285</v>
      </c>
      <c r="M2210" t="str">
        <f t="shared" si="123"/>
        <v>08</v>
      </c>
      <c r="N2210" t="s">
        <v>12</v>
      </c>
    </row>
    <row r="2211" spans="1:14" x14ac:dyDescent="0.25">
      <c r="A2211">
        <v>20160826</v>
      </c>
      <c r="B2211" t="str">
        <f>"064542"</f>
        <v>064542</v>
      </c>
      <c r="C2211" t="str">
        <f>"45093"</f>
        <v>45093</v>
      </c>
      <c r="D2211" t="s">
        <v>538</v>
      </c>
      <c r="E2211" s="3">
        <v>122.23</v>
      </c>
      <c r="F2211">
        <v>20160825</v>
      </c>
      <c r="G2211" t="s">
        <v>353</v>
      </c>
      <c r="H2211" t="s">
        <v>1476</v>
      </c>
      <c r="I2211">
        <v>0</v>
      </c>
      <c r="J2211" t="s">
        <v>289</v>
      </c>
      <c r="K2211" t="s">
        <v>290</v>
      </c>
      <c r="L2211" t="s">
        <v>285</v>
      </c>
      <c r="M2211" t="str">
        <f t="shared" ref="M2211:M2242" si="124">"08"</f>
        <v>08</v>
      </c>
      <c r="N2211" t="s">
        <v>12</v>
      </c>
    </row>
    <row r="2212" spans="1:14" x14ac:dyDescent="0.25">
      <c r="A2212">
        <v>20160826</v>
      </c>
      <c r="B2212" t="str">
        <f>"064543"</f>
        <v>064543</v>
      </c>
      <c r="C2212" t="str">
        <f>"45925"</f>
        <v>45925</v>
      </c>
      <c r="D2212" t="s">
        <v>1477</v>
      </c>
      <c r="E2212" s="3">
        <v>116.13</v>
      </c>
      <c r="F2212">
        <v>20160825</v>
      </c>
      <c r="G2212" t="s">
        <v>338</v>
      </c>
      <c r="H2212" t="s">
        <v>1478</v>
      </c>
      <c r="I2212">
        <v>0</v>
      </c>
      <c r="J2212" t="s">
        <v>289</v>
      </c>
      <c r="K2212" t="s">
        <v>290</v>
      </c>
      <c r="L2212" t="s">
        <v>285</v>
      </c>
      <c r="M2212" t="str">
        <f t="shared" si="124"/>
        <v>08</v>
      </c>
      <c r="N2212" t="s">
        <v>12</v>
      </c>
    </row>
    <row r="2213" spans="1:14" x14ac:dyDescent="0.25">
      <c r="A2213">
        <v>20160826</v>
      </c>
      <c r="B2213" t="str">
        <f>"064554"</f>
        <v>064554</v>
      </c>
      <c r="C2213" t="str">
        <f>"54112"</f>
        <v>54112</v>
      </c>
      <c r="D2213" t="s">
        <v>809</v>
      </c>
      <c r="E2213" s="3">
        <v>101.04</v>
      </c>
      <c r="F2213">
        <v>20160825</v>
      </c>
      <c r="G2213" t="s">
        <v>338</v>
      </c>
      <c r="H2213" t="s">
        <v>1478</v>
      </c>
      <c r="I2213">
        <v>0</v>
      </c>
      <c r="J2213" t="s">
        <v>289</v>
      </c>
      <c r="K2213" t="s">
        <v>290</v>
      </c>
      <c r="L2213" t="s">
        <v>285</v>
      </c>
      <c r="M2213" t="str">
        <f t="shared" si="124"/>
        <v>08</v>
      </c>
      <c r="N2213" t="s">
        <v>12</v>
      </c>
    </row>
    <row r="2214" spans="1:14" x14ac:dyDescent="0.25">
      <c r="A2214">
        <v>20160826</v>
      </c>
      <c r="B2214" t="str">
        <f>"064558"</f>
        <v>064558</v>
      </c>
      <c r="C2214" t="str">
        <f>"57318"</f>
        <v>57318</v>
      </c>
      <c r="D2214" t="s">
        <v>389</v>
      </c>
      <c r="E2214" s="3">
        <v>110.6</v>
      </c>
      <c r="F2214">
        <v>20160825</v>
      </c>
      <c r="G2214" t="s">
        <v>338</v>
      </c>
      <c r="H2214" t="s">
        <v>1478</v>
      </c>
      <c r="I2214">
        <v>0</v>
      </c>
      <c r="J2214" t="s">
        <v>289</v>
      </c>
      <c r="K2214" t="s">
        <v>290</v>
      </c>
      <c r="L2214" t="s">
        <v>285</v>
      </c>
      <c r="M2214" t="str">
        <f t="shared" si="124"/>
        <v>08</v>
      </c>
      <c r="N2214" t="s">
        <v>12</v>
      </c>
    </row>
    <row r="2215" spans="1:14" x14ac:dyDescent="0.25">
      <c r="A2215">
        <v>20160826</v>
      </c>
      <c r="B2215" t="str">
        <f>"064565"</f>
        <v>064565</v>
      </c>
      <c r="C2215" t="str">
        <f>"61223"</f>
        <v>61223</v>
      </c>
      <c r="D2215" t="s">
        <v>1479</v>
      </c>
      <c r="E2215" s="3">
        <v>800</v>
      </c>
      <c r="F2215">
        <v>20160825</v>
      </c>
      <c r="G2215" t="s">
        <v>1060</v>
      </c>
      <c r="H2215" t="s">
        <v>1480</v>
      </c>
      <c r="I2215">
        <v>0</v>
      </c>
      <c r="J2215" t="s">
        <v>289</v>
      </c>
      <c r="K2215" t="s">
        <v>290</v>
      </c>
      <c r="L2215" t="s">
        <v>285</v>
      </c>
      <c r="M2215" t="str">
        <f t="shared" si="124"/>
        <v>08</v>
      </c>
      <c r="N2215" t="s">
        <v>12</v>
      </c>
    </row>
    <row r="2216" spans="1:14" x14ac:dyDescent="0.25">
      <c r="A2216">
        <v>20160826</v>
      </c>
      <c r="B2216" t="str">
        <f>"064566"</f>
        <v>064566</v>
      </c>
      <c r="C2216" t="str">
        <f>"61271"</f>
        <v>61271</v>
      </c>
      <c r="D2216" t="s">
        <v>320</v>
      </c>
      <c r="E2216" s="3">
        <v>119.69</v>
      </c>
      <c r="F2216">
        <v>20160825</v>
      </c>
      <c r="G2216" t="s">
        <v>338</v>
      </c>
      <c r="H2216" t="s">
        <v>1478</v>
      </c>
      <c r="I2216">
        <v>0</v>
      </c>
      <c r="J2216" t="s">
        <v>289</v>
      </c>
      <c r="K2216" t="s">
        <v>290</v>
      </c>
      <c r="L2216" t="s">
        <v>285</v>
      </c>
      <c r="M2216" t="str">
        <f t="shared" si="124"/>
        <v>08</v>
      </c>
      <c r="N2216" t="s">
        <v>12</v>
      </c>
    </row>
    <row r="2217" spans="1:14" x14ac:dyDescent="0.25">
      <c r="A2217">
        <v>20160826</v>
      </c>
      <c r="B2217" t="str">
        <f>"064575"</f>
        <v>064575</v>
      </c>
      <c r="C2217" t="str">
        <f>"21387"</f>
        <v>21387</v>
      </c>
      <c r="D2217" t="s">
        <v>1481</v>
      </c>
      <c r="E2217" s="3">
        <v>125</v>
      </c>
      <c r="F2217">
        <v>20160825</v>
      </c>
      <c r="G2217" t="s">
        <v>336</v>
      </c>
      <c r="H2217" t="s">
        <v>1482</v>
      </c>
      <c r="I2217">
        <v>0</v>
      </c>
      <c r="J2217" t="s">
        <v>289</v>
      </c>
      <c r="K2217" t="s">
        <v>290</v>
      </c>
      <c r="L2217" t="s">
        <v>285</v>
      </c>
      <c r="M2217" t="str">
        <f t="shared" si="124"/>
        <v>08</v>
      </c>
      <c r="N2217" t="s">
        <v>12</v>
      </c>
    </row>
    <row r="2218" spans="1:14" x14ac:dyDescent="0.25">
      <c r="A2218">
        <v>20160826</v>
      </c>
      <c r="B2218" t="str">
        <f>"064587"</f>
        <v>064587</v>
      </c>
      <c r="C2218" t="str">
        <f>"83022"</f>
        <v>83022</v>
      </c>
      <c r="D2218" t="s">
        <v>394</v>
      </c>
      <c r="E2218" s="3">
        <v>136.72</v>
      </c>
      <c r="F2218">
        <v>20160825</v>
      </c>
      <c r="G2218" t="s">
        <v>1411</v>
      </c>
      <c r="H2218" t="s">
        <v>1483</v>
      </c>
      <c r="I2218">
        <v>0</v>
      </c>
      <c r="J2218" t="s">
        <v>289</v>
      </c>
      <c r="K2218" t="s">
        <v>290</v>
      </c>
      <c r="L2218" t="s">
        <v>285</v>
      </c>
      <c r="M2218" t="str">
        <f t="shared" si="124"/>
        <v>08</v>
      </c>
      <c r="N2218" t="s">
        <v>12</v>
      </c>
    </row>
    <row r="2219" spans="1:14" x14ac:dyDescent="0.25">
      <c r="A2219">
        <v>20160830</v>
      </c>
      <c r="B2219" t="str">
        <f>"064600"</f>
        <v>064600</v>
      </c>
      <c r="C2219" t="str">
        <f>"10403"</f>
        <v>10403</v>
      </c>
      <c r="D2219" t="s">
        <v>337</v>
      </c>
      <c r="E2219" s="3">
        <v>99.42</v>
      </c>
      <c r="F2219">
        <v>20160830</v>
      </c>
      <c r="G2219" t="s">
        <v>338</v>
      </c>
      <c r="H2219" t="s">
        <v>1484</v>
      </c>
      <c r="I2219">
        <v>0</v>
      </c>
      <c r="J2219" t="s">
        <v>289</v>
      </c>
      <c r="K2219" t="s">
        <v>290</v>
      </c>
      <c r="L2219" t="s">
        <v>285</v>
      </c>
      <c r="M2219" t="str">
        <f t="shared" si="124"/>
        <v>08</v>
      </c>
      <c r="N2219" t="s">
        <v>12</v>
      </c>
    </row>
    <row r="2220" spans="1:14" x14ac:dyDescent="0.25">
      <c r="A2220">
        <v>20160830</v>
      </c>
      <c r="B2220" t="str">
        <f>"064601"</f>
        <v>064601</v>
      </c>
      <c r="C2220" t="str">
        <f>"19056"</f>
        <v>19056</v>
      </c>
      <c r="D2220" t="s">
        <v>864</v>
      </c>
      <c r="E2220" s="3">
        <v>114.5</v>
      </c>
      <c r="F2220">
        <v>20160830</v>
      </c>
      <c r="G2220" t="s">
        <v>338</v>
      </c>
      <c r="H2220" t="s">
        <v>1484</v>
      </c>
      <c r="I2220">
        <v>0</v>
      </c>
      <c r="J2220" t="s">
        <v>289</v>
      </c>
      <c r="K2220" t="s">
        <v>290</v>
      </c>
      <c r="L2220" t="s">
        <v>285</v>
      </c>
      <c r="M2220" t="str">
        <f t="shared" si="124"/>
        <v>08</v>
      </c>
      <c r="N2220" t="s">
        <v>12</v>
      </c>
    </row>
    <row r="2221" spans="1:14" x14ac:dyDescent="0.25">
      <c r="A2221">
        <v>20160830</v>
      </c>
      <c r="B2221" t="str">
        <f>"064603"</f>
        <v>064603</v>
      </c>
      <c r="C2221" t="str">
        <f>"20433"</f>
        <v>20433</v>
      </c>
      <c r="D2221" t="s">
        <v>413</v>
      </c>
      <c r="E2221" s="3">
        <v>45</v>
      </c>
      <c r="F2221">
        <v>20160830</v>
      </c>
      <c r="G2221" t="s">
        <v>336</v>
      </c>
      <c r="H2221" t="s">
        <v>1462</v>
      </c>
      <c r="I2221">
        <v>0</v>
      </c>
      <c r="J2221" t="s">
        <v>289</v>
      </c>
      <c r="K2221" t="s">
        <v>290</v>
      </c>
      <c r="L2221" t="s">
        <v>285</v>
      </c>
      <c r="M2221" t="str">
        <f t="shared" si="124"/>
        <v>08</v>
      </c>
      <c r="N2221" t="s">
        <v>12</v>
      </c>
    </row>
    <row r="2222" spans="1:14" x14ac:dyDescent="0.25">
      <c r="A2222">
        <v>20160830</v>
      </c>
      <c r="B2222" t="str">
        <f>"064604"</f>
        <v>064604</v>
      </c>
      <c r="C2222" t="str">
        <f>"20635"</f>
        <v>20635</v>
      </c>
      <c r="D2222" t="s">
        <v>1485</v>
      </c>
      <c r="E2222" s="3">
        <v>95</v>
      </c>
      <c r="F2222">
        <v>20160830</v>
      </c>
      <c r="G2222" t="s">
        <v>336</v>
      </c>
      <c r="H2222" t="s">
        <v>1462</v>
      </c>
      <c r="I2222">
        <v>0</v>
      </c>
      <c r="J2222" t="s">
        <v>289</v>
      </c>
      <c r="K2222" t="s">
        <v>290</v>
      </c>
      <c r="L2222" t="s">
        <v>285</v>
      </c>
      <c r="M2222" t="str">
        <f t="shared" si="124"/>
        <v>08</v>
      </c>
      <c r="N2222" t="s">
        <v>12</v>
      </c>
    </row>
    <row r="2223" spans="1:14" x14ac:dyDescent="0.25">
      <c r="A2223">
        <v>20160830</v>
      </c>
      <c r="B2223" t="str">
        <f>"064610"</f>
        <v>064610</v>
      </c>
      <c r="C2223" t="str">
        <f>"21776"</f>
        <v>21776</v>
      </c>
      <c r="D2223" t="s">
        <v>559</v>
      </c>
      <c r="E2223" s="3">
        <v>3195</v>
      </c>
      <c r="F2223">
        <v>20160830</v>
      </c>
      <c r="G2223" t="s">
        <v>401</v>
      </c>
      <c r="H2223" t="s">
        <v>1486</v>
      </c>
      <c r="I2223">
        <v>0</v>
      </c>
      <c r="J2223" t="s">
        <v>289</v>
      </c>
      <c r="K2223" t="s">
        <v>290</v>
      </c>
      <c r="L2223" t="s">
        <v>285</v>
      </c>
      <c r="M2223" t="str">
        <f t="shared" si="124"/>
        <v>08</v>
      </c>
      <c r="N2223" t="s">
        <v>12</v>
      </c>
    </row>
    <row r="2224" spans="1:14" x14ac:dyDescent="0.25">
      <c r="A2224">
        <v>20160830</v>
      </c>
      <c r="B2224" t="str">
        <f>"064612"</f>
        <v>064612</v>
      </c>
      <c r="C2224" t="str">
        <f>"23676"</f>
        <v>23676</v>
      </c>
      <c r="D2224" t="s">
        <v>347</v>
      </c>
      <c r="E2224" s="3">
        <v>140</v>
      </c>
      <c r="F2224">
        <v>20160829</v>
      </c>
      <c r="G2224" t="s">
        <v>336</v>
      </c>
      <c r="H2224" t="s">
        <v>1462</v>
      </c>
      <c r="I2224">
        <v>0</v>
      </c>
      <c r="J2224" t="s">
        <v>289</v>
      </c>
      <c r="K2224" t="s">
        <v>290</v>
      </c>
      <c r="L2224" t="s">
        <v>285</v>
      </c>
      <c r="M2224" t="str">
        <f t="shared" si="124"/>
        <v>08</v>
      </c>
      <c r="N2224" t="s">
        <v>12</v>
      </c>
    </row>
    <row r="2225" spans="1:14" x14ac:dyDescent="0.25">
      <c r="A2225">
        <v>20160830</v>
      </c>
      <c r="B2225" t="str">
        <f>"064614"</f>
        <v>064614</v>
      </c>
      <c r="C2225" t="str">
        <f>"26337"</f>
        <v>26337</v>
      </c>
      <c r="D2225" t="s">
        <v>383</v>
      </c>
      <c r="E2225" s="3">
        <v>140</v>
      </c>
      <c r="F2225">
        <v>20160829</v>
      </c>
      <c r="G2225" t="s">
        <v>336</v>
      </c>
      <c r="H2225" t="s">
        <v>1462</v>
      </c>
      <c r="I2225">
        <v>0</v>
      </c>
      <c r="J2225" t="s">
        <v>289</v>
      </c>
      <c r="K2225" t="s">
        <v>290</v>
      </c>
      <c r="L2225" t="s">
        <v>285</v>
      </c>
      <c r="M2225" t="str">
        <f t="shared" si="124"/>
        <v>08</v>
      </c>
      <c r="N2225" t="s">
        <v>12</v>
      </c>
    </row>
    <row r="2226" spans="1:14" x14ac:dyDescent="0.25">
      <c r="A2226">
        <v>20160830</v>
      </c>
      <c r="B2226" t="str">
        <f>"064621"</f>
        <v>064621</v>
      </c>
      <c r="C2226" t="str">
        <f>"30118"</f>
        <v>30118</v>
      </c>
      <c r="D2226" t="s">
        <v>351</v>
      </c>
      <c r="E2226" s="3">
        <v>140</v>
      </c>
      <c r="F2226">
        <v>20160829</v>
      </c>
      <c r="G2226" t="s">
        <v>336</v>
      </c>
      <c r="H2226" t="s">
        <v>1462</v>
      </c>
      <c r="I2226">
        <v>0</v>
      </c>
      <c r="J2226" t="s">
        <v>289</v>
      </c>
      <c r="K2226" t="s">
        <v>290</v>
      </c>
      <c r="L2226" t="s">
        <v>285</v>
      </c>
      <c r="M2226" t="str">
        <f t="shared" si="124"/>
        <v>08</v>
      </c>
      <c r="N2226" t="s">
        <v>12</v>
      </c>
    </row>
    <row r="2227" spans="1:14" x14ac:dyDescent="0.25">
      <c r="A2227">
        <v>20160830</v>
      </c>
      <c r="B2227" t="str">
        <f>"064621"</f>
        <v>064621</v>
      </c>
      <c r="C2227" t="str">
        <f>"30118"</f>
        <v>30118</v>
      </c>
      <c r="D2227" t="s">
        <v>351</v>
      </c>
      <c r="E2227" s="3">
        <v>105</v>
      </c>
      <c r="F2227">
        <v>20160830</v>
      </c>
      <c r="G2227" t="s">
        <v>338</v>
      </c>
      <c r="H2227" t="s">
        <v>1484</v>
      </c>
      <c r="I2227">
        <v>0</v>
      </c>
      <c r="J2227" t="s">
        <v>289</v>
      </c>
      <c r="K2227" t="s">
        <v>290</v>
      </c>
      <c r="L2227" t="s">
        <v>285</v>
      </c>
      <c r="M2227" t="str">
        <f t="shared" si="124"/>
        <v>08</v>
      </c>
      <c r="N2227" t="s">
        <v>12</v>
      </c>
    </row>
    <row r="2228" spans="1:14" x14ac:dyDescent="0.25">
      <c r="A2228">
        <v>20160830</v>
      </c>
      <c r="B2228" t="str">
        <f>"064622"</f>
        <v>064622</v>
      </c>
      <c r="C2228" t="str">
        <f>"30488"</f>
        <v>30488</v>
      </c>
      <c r="D2228" t="s">
        <v>1487</v>
      </c>
      <c r="E2228" s="3">
        <v>118.58</v>
      </c>
      <c r="F2228">
        <v>20160830</v>
      </c>
      <c r="G2228" t="s">
        <v>336</v>
      </c>
      <c r="H2228" t="s">
        <v>1462</v>
      </c>
      <c r="I2228">
        <v>0</v>
      </c>
      <c r="J2228" t="s">
        <v>289</v>
      </c>
      <c r="K2228" t="s">
        <v>290</v>
      </c>
      <c r="L2228" t="s">
        <v>285</v>
      </c>
      <c r="M2228" t="str">
        <f t="shared" si="124"/>
        <v>08</v>
      </c>
      <c r="N2228" t="s">
        <v>12</v>
      </c>
    </row>
    <row r="2229" spans="1:14" x14ac:dyDescent="0.25">
      <c r="A2229">
        <v>20160830</v>
      </c>
      <c r="B2229" t="str">
        <f>"064623"</f>
        <v>064623</v>
      </c>
      <c r="C2229" t="str">
        <f>"31310"</f>
        <v>31310</v>
      </c>
      <c r="D2229" t="s">
        <v>425</v>
      </c>
      <c r="E2229" s="3">
        <v>113.53</v>
      </c>
      <c r="F2229">
        <v>20160830</v>
      </c>
      <c r="G2229" t="s">
        <v>338</v>
      </c>
      <c r="H2229" t="s">
        <v>1484</v>
      </c>
      <c r="I2229">
        <v>0</v>
      </c>
      <c r="J2229" t="s">
        <v>289</v>
      </c>
      <c r="K2229" t="s">
        <v>290</v>
      </c>
      <c r="L2229" t="s">
        <v>285</v>
      </c>
      <c r="M2229" t="str">
        <f t="shared" si="124"/>
        <v>08</v>
      </c>
      <c r="N2229" t="s">
        <v>12</v>
      </c>
    </row>
    <row r="2230" spans="1:14" x14ac:dyDescent="0.25">
      <c r="A2230">
        <v>20160830</v>
      </c>
      <c r="B2230" t="str">
        <f>"064624"</f>
        <v>064624</v>
      </c>
      <c r="C2230" t="str">
        <f>"33775"</f>
        <v>33775</v>
      </c>
      <c r="D2230" t="s">
        <v>1488</v>
      </c>
      <c r="E2230" s="3">
        <v>95</v>
      </c>
      <c r="F2230">
        <v>20160830</v>
      </c>
      <c r="G2230" t="s">
        <v>331</v>
      </c>
      <c r="H2230" t="s">
        <v>1462</v>
      </c>
      <c r="I2230">
        <v>0</v>
      </c>
      <c r="J2230" t="s">
        <v>289</v>
      </c>
      <c r="K2230" t="s">
        <v>290</v>
      </c>
      <c r="L2230" t="s">
        <v>285</v>
      </c>
      <c r="M2230" t="str">
        <f t="shared" si="124"/>
        <v>08</v>
      </c>
      <c r="N2230" t="s">
        <v>12</v>
      </c>
    </row>
    <row r="2231" spans="1:14" x14ac:dyDescent="0.25">
      <c r="A2231">
        <v>20160830</v>
      </c>
      <c r="B2231" t="str">
        <f>"064629"</f>
        <v>064629</v>
      </c>
      <c r="C2231" t="str">
        <f>"45860"</f>
        <v>45860</v>
      </c>
      <c r="D2231" t="s">
        <v>1489</v>
      </c>
      <c r="E2231" s="3">
        <v>33</v>
      </c>
      <c r="F2231">
        <v>20160829</v>
      </c>
      <c r="G2231" t="s">
        <v>310</v>
      </c>
      <c r="H2231" t="s">
        <v>1490</v>
      </c>
      <c r="I2231">
        <v>0</v>
      </c>
      <c r="J2231" t="s">
        <v>289</v>
      </c>
      <c r="K2231" t="s">
        <v>290</v>
      </c>
      <c r="L2231" t="s">
        <v>285</v>
      </c>
      <c r="M2231" t="str">
        <f t="shared" si="124"/>
        <v>08</v>
      </c>
      <c r="N2231" t="s">
        <v>12</v>
      </c>
    </row>
    <row r="2232" spans="1:14" x14ac:dyDescent="0.25">
      <c r="A2232">
        <v>20160830</v>
      </c>
      <c r="B2232" t="str">
        <f>"064632"</f>
        <v>064632</v>
      </c>
      <c r="C2232" t="str">
        <f>"46938"</f>
        <v>46938</v>
      </c>
      <c r="D2232" t="s">
        <v>1491</v>
      </c>
      <c r="E2232" s="3">
        <v>95</v>
      </c>
      <c r="F2232">
        <v>20160830</v>
      </c>
      <c r="G2232" t="s">
        <v>336</v>
      </c>
      <c r="H2232" t="s">
        <v>1462</v>
      </c>
      <c r="I2232">
        <v>0</v>
      </c>
      <c r="J2232" t="s">
        <v>289</v>
      </c>
      <c r="K2232" t="s">
        <v>290</v>
      </c>
      <c r="L2232" t="s">
        <v>285</v>
      </c>
      <c r="M2232" t="str">
        <f t="shared" si="124"/>
        <v>08</v>
      </c>
      <c r="N2232" t="s">
        <v>12</v>
      </c>
    </row>
    <row r="2233" spans="1:14" x14ac:dyDescent="0.25">
      <c r="A2233">
        <v>20160830</v>
      </c>
      <c r="B2233" t="str">
        <f>"064634"</f>
        <v>064634</v>
      </c>
      <c r="C2233" t="str">
        <f>"48074"</f>
        <v>48074</v>
      </c>
      <c r="D2233" t="s">
        <v>502</v>
      </c>
      <c r="E2233" s="3">
        <v>99.42</v>
      </c>
      <c r="F2233">
        <v>20160830</v>
      </c>
      <c r="G2233" t="s">
        <v>338</v>
      </c>
      <c r="H2233" t="s">
        <v>1484</v>
      </c>
      <c r="I2233">
        <v>0</v>
      </c>
      <c r="J2233" t="s">
        <v>289</v>
      </c>
      <c r="K2233" t="s">
        <v>290</v>
      </c>
      <c r="L2233" t="s">
        <v>285</v>
      </c>
      <c r="M2233" t="str">
        <f t="shared" si="124"/>
        <v>08</v>
      </c>
      <c r="N2233" t="s">
        <v>12</v>
      </c>
    </row>
    <row r="2234" spans="1:14" x14ac:dyDescent="0.25">
      <c r="A2234">
        <v>20160830</v>
      </c>
      <c r="B2234" t="str">
        <f>"064635"</f>
        <v>064635</v>
      </c>
      <c r="C2234" t="str">
        <f>"48307"</f>
        <v>48307</v>
      </c>
      <c r="D2234" t="s">
        <v>1325</v>
      </c>
      <c r="E2234" s="3">
        <v>232.34</v>
      </c>
      <c r="F2234">
        <v>20160830</v>
      </c>
      <c r="G2234" t="s">
        <v>331</v>
      </c>
      <c r="H2234" t="s">
        <v>1492</v>
      </c>
      <c r="I2234">
        <v>0</v>
      </c>
      <c r="J2234" t="s">
        <v>289</v>
      </c>
      <c r="K2234" t="s">
        <v>290</v>
      </c>
      <c r="L2234" t="s">
        <v>285</v>
      </c>
      <c r="M2234" t="str">
        <f t="shared" si="124"/>
        <v>08</v>
      </c>
      <c r="N2234" t="s">
        <v>12</v>
      </c>
    </row>
    <row r="2235" spans="1:14" x14ac:dyDescent="0.25">
      <c r="A2235">
        <v>20160830</v>
      </c>
      <c r="B2235" t="str">
        <f>"064635"</f>
        <v>064635</v>
      </c>
      <c r="C2235" t="str">
        <f>"48307"</f>
        <v>48307</v>
      </c>
      <c r="D2235" t="s">
        <v>1325</v>
      </c>
      <c r="E2235" s="3">
        <v>262.58</v>
      </c>
      <c r="F2235">
        <v>20160830</v>
      </c>
      <c r="G2235" t="s">
        <v>331</v>
      </c>
      <c r="H2235" t="s">
        <v>1493</v>
      </c>
      <c r="I2235">
        <v>0</v>
      </c>
      <c r="J2235" t="s">
        <v>289</v>
      </c>
      <c r="K2235" t="s">
        <v>290</v>
      </c>
      <c r="L2235" t="s">
        <v>285</v>
      </c>
      <c r="M2235" t="str">
        <f t="shared" si="124"/>
        <v>08</v>
      </c>
      <c r="N2235" t="s">
        <v>12</v>
      </c>
    </row>
    <row r="2236" spans="1:14" x14ac:dyDescent="0.25">
      <c r="A2236">
        <v>20160830</v>
      </c>
      <c r="B2236" t="str">
        <f>"064640"</f>
        <v>064640</v>
      </c>
      <c r="C2236" t="str">
        <f>"54084"</f>
        <v>54084</v>
      </c>
      <c r="D2236" t="s">
        <v>1494</v>
      </c>
      <c r="E2236" s="3">
        <v>95</v>
      </c>
      <c r="F2236">
        <v>20160830</v>
      </c>
      <c r="G2236" t="s">
        <v>336</v>
      </c>
      <c r="H2236" t="s">
        <v>1462</v>
      </c>
      <c r="I2236">
        <v>0</v>
      </c>
      <c r="J2236" t="s">
        <v>289</v>
      </c>
      <c r="K2236" t="s">
        <v>290</v>
      </c>
      <c r="L2236" t="s">
        <v>285</v>
      </c>
      <c r="M2236" t="str">
        <f t="shared" si="124"/>
        <v>08</v>
      </c>
      <c r="N2236" t="s">
        <v>12</v>
      </c>
    </row>
    <row r="2237" spans="1:14" x14ac:dyDescent="0.25">
      <c r="A2237">
        <v>20160830</v>
      </c>
      <c r="B2237" t="str">
        <f>"064642"</f>
        <v>064642</v>
      </c>
      <c r="C2237" t="str">
        <f>"57974"</f>
        <v>57974</v>
      </c>
      <c r="D2237" t="s">
        <v>586</v>
      </c>
      <c r="E2237" s="3">
        <v>140</v>
      </c>
      <c r="F2237">
        <v>20160830</v>
      </c>
      <c r="G2237" t="s">
        <v>336</v>
      </c>
      <c r="H2237" t="s">
        <v>1495</v>
      </c>
      <c r="I2237">
        <v>0</v>
      </c>
      <c r="J2237" t="s">
        <v>289</v>
      </c>
      <c r="K2237" t="s">
        <v>290</v>
      </c>
      <c r="L2237" t="s">
        <v>285</v>
      </c>
      <c r="M2237" t="str">
        <f t="shared" si="124"/>
        <v>08</v>
      </c>
      <c r="N2237" t="s">
        <v>12</v>
      </c>
    </row>
    <row r="2238" spans="1:14" x14ac:dyDescent="0.25">
      <c r="A2238">
        <v>20160830</v>
      </c>
      <c r="B2238" t="str">
        <f>"064646"</f>
        <v>064646</v>
      </c>
      <c r="C2238" t="str">
        <f>"59091"</f>
        <v>59091</v>
      </c>
      <c r="D2238" t="s">
        <v>513</v>
      </c>
      <c r="E2238" s="3">
        <v>95</v>
      </c>
      <c r="F2238">
        <v>20160830</v>
      </c>
      <c r="G2238" t="s">
        <v>336</v>
      </c>
      <c r="H2238" t="s">
        <v>1462</v>
      </c>
      <c r="I2238">
        <v>0</v>
      </c>
      <c r="J2238" t="s">
        <v>289</v>
      </c>
      <c r="K2238" t="s">
        <v>290</v>
      </c>
      <c r="L2238" t="s">
        <v>285</v>
      </c>
      <c r="M2238" t="str">
        <f t="shared" si="124"/>
        <v>08</v>
      </c>
      <c r="N2238" t="s">
        <v>12</v>
      </c>
    </row>
    <row r="2239" spans="1:14" x14ac:dyDescent="0.25">
      <c r="A2239">
        <v>20160830</v>
      </c>
      <c r="B2239" t="str">
        <f>"064651"</f>
        <v>064651</v>
      </c>
      <c r="C2239" t="str">
        <f>"69162"</f>
        <v>69162</v>
      </c>
      <c r="D2239" t="s">
        <v>450</v>
      </c>
      <c r="E2239" s="3">
        <v>34</v>
      </c>
      <c r="F2239">
        <v>20160830</v>
      </c>
      <c r="G2239" t="s">
        <v>310</v>
      </c>
      <c r="H2239" t="s">
        <v>1496</v>
      </c>
      <c r="I2239">
        <v>0</v>
      </c>
      <c r="J2239" t="s">
        <v>289</v>
      </c>
      <c r="K2239" t="s">
        <v>290</v>
      </c>
      <c r="L2239" t="s">
        <v>285</v>
      </c>
      <c r="M2239" t="str">
        <f t="shared" si="124"/>
        <v>08</v>
      </c>
      <c r="N2239" t="s">
        <v>12</v>
      </c>
    </row>
    <row r="2240" spans="1:14" x14ac:dyDescent="0.25">
      <c r="A2240">
        <v>20160830</v>
      </c>
      <c r="B2240" t="str">
        <f>"064653"</f>
        <v>064653</v>
      </c>
      <c r="C2240" t="str">
        <f>"73574"</f>
        <v>73574</v>
      </c>
      <c r="D2240" t="s">
        <v>1497</v>
      </c>
      <c r="E2240" s="3">
        <v>176.81</v>
      </c>
      <c r="F2240">
        <v>20160830</v>
      </c>
      <c r="G2240" t="s">
        <v>336</v>
      </c>
      <c r="H2240" t="s">
        <v>1462</v>
      </c>
      <c r="I2240">
        <v>0</v>
      </c>
      <c r="J2240" t="s">
        <v>289</v>
      </c>
      <c r="K2240" t="s">
        <v>290</v>
      </c>
      <c r="L2240" t="s">
        <v>285</v>
      </c>
      <c r="M2240" t="str">
        <f t="shared" si="124"/>
        <v>08</v>
      </c>
      <c r="N2240" t="s">
        <v>12</v>
      </c>
    </row>
    <row r="2241" spans="1:14" x14ac:dyDescent="0.25">
      <c r="A2241">
        <v>20160830</v>
      </c>
      <c r="B2241" t="str">
        <f>"064654"</f>
        <v>064654</v>
      </c>
      <c r="C2241" t="str">
        <f>"74240"</f>
        <v>74240</v>
      </c>
      <c r="D2241" t="s">
        <v>456</v>
      </c>
      <c r="E2241" s="3">
        <v>275</v>
      </c>
      <c r="F2241">
        <v>20160830</v>
      </c>
      <c r="G2241" t="s">
        <v>457</v>
      </c>
      <c r="H2241" t="s">
        <v>1498</v>
      </c>
      <c r="I2241">
        <v>0</v>
      </c>
      <c r="J2241" t="s">
        <v>289</v>
      </c>
      <c r="K2241" t="s">
        <v>290</v>
      </c>
      <c r="L2241" t="s">
        <v>285</v>
      </c>
      <c r="M2241" t="str">
        <f t="shared" si="124"/>
        <v>08</v>
      </c>
      <c r="N2241" t="s">
        <v>12</v>
      </c>
    </row>
    <row r="2242" spans="1:14" x14ac:dyDescent="0.25">
      <c r="A2242">
        <v>20160830</v>
      </c>
      <c r="B2242" t="str">
        <f>"064654"</f>
        <v>064654</v>
      </c>
      <c r="C2242" t="str">
        <f>"74240"</f>
        <v>74240</v>
      </c>
      <c r="D2242" t="s">
        <v>456</v>
      </c>
      <c r="E2242" s="3">
        <v>275</v>
      </c>
      <c r="F2242">
        <v>20160830</v>
      </c>
      <c r="G2242" t="s">
        <v>457</v>
      </c>
      <c r="H2242" t="s">
        <v>1462</v>
      </c>
      <c r="I2242">
        <v>0</v>
      </c>
      <c r="J2242" t="s">
        <v>289</v>
      </c>
      <c r="K2242" t="s">
        <v>290</v>
      </c>
      <c r="L2242" t="s">
        <v>285</v>
      </c>
      <c r="M2242" t="str">
        <f t="shared" si="124"/>
        <v>08</v>
      </c>
      <c r="N2242" t="s">
        <v>12</v>
      </c>
    </row>
    <row r="2243" spans="1:14" x14ac:dyDescent="0.25">
      <c r="A2243">
        <v>20160830</v>
      </c>
      <c r="B2243" t="str">
        <f>"064657"</f>
        <v>064657</v>
      </c>
      <c r="C2243" t="str">
        <f>"80342"</f>
        <v>80342</v>
      </c>
      <c r="D2243" t="s">
        <v>1499</v>
      </c>
      <c r="E2243" s="3">
        <v>30</v>
      </c>
      <c r="F2243">
        <v>20160830</v>
      </c>
      <c r="G2243" t="s">
        <v>336</v>
      </c>
      <c r="H2243" t="s">
        <v>1462</v>
      </c>
      <c r="I2243">
        <v>0</v>
      </c>
      <c r="J2243" t="s">
        <v>289</v>
      </c>
      <c r="K2243" t="s">
        <v>290</v>
      </c>
      <c r="L2243" t="s">
        <v>285</v>
      </c>
      <c r="M2243" t="str">
        <f t="shared" ref="M2243:M2258" si="125">"08"</f>
        <v>08</v>
      </c>
      <c r="N2243" t="s">
        <v>12</v>
      </c>
    </row>
    <row r="2244" spans="1:14" x14ac:dyDescent="0.25">
      <c r="A2244">
        <v>20160830</v>
      </c>
      <c r="B2244" t="str">
        <f t="shared" ref="B2244:B2253" si="126">"064659"</f>
        <v>064659</v>
      </c>
      <c r="C2244" t="str">
        <f t="shared" ref="C2244:C2258" si="127">"84370"</f>
        <v>84370</v>
      </c>
      <c r="D2244" t="s">
        <v>329</v>
      </c>
      <c r="E2244" s="3">
        <v>155.04</v>
      </c>
      <c r="F2244">
        <v>20160830</v>
      </c>
      <c r="G2244" t="s">
        <v>380</v>
      </c>
      <c r="H2244" t="s">
        <v>1500</v>
      </c>
      <c r="I2244">
        <v>0</v>
      </c>
      <c r="J2244" t="s">
        <v>289</v>
      </c>
      <c r="K2244" t="s">
        <v>290</v>
      </c>
      <c r="L2244" t="s">
        <v>285</v>
      </c>
      <c r="M2244" t="str">
        <f t="shared" si="125"/>
        <v>08</v>
      </c>
      <c r="N2244" t="s">
        <v>12</v>
      </c>
    </row>
    <row r="2245" spans="1:14" x14ac:dyDescent="0.25">
      <c r="A2245">
        <v>20160830</v>
      </c>
      <c r="B2245" t="str">
        <f t="shared" si="126"/>
        <v>064659</v>
      </c>
      <c r="C2245" t="str">
        <f t="shared" si="127"/>
        <v>84370</v>
      </c>
      <c r="D2245" t="s">
        <v>329</v>
      </c>
      <c r="E2245" s="3">
        <v>86.58</v>
      </c>
      <c r="F2245">
        <v>20160830</v>
      </c>
      <c r="G2245" t="s">
        <v>380</v>
      </c>
      <c r="H2245" t="s">
        <v>1501</v>
      </c>
      <c r="I2245">
        <v>0</v>
      </c>
      <c r="J2245" t="s">
        <v>289</v>
      </c>
      <c r="K2245" t="s">
        <v>290</v>
      </c>
      <c r="L2245" t="s">
        <v>285</v>
      </c>
      <c r="M2245" t="str">
        <f t="shared" si="125"/>
        <v>08</v>
      </c>
      <c r="N2245" t="s">
        <v>12</v>
      </c>
    </row>
    <row r="2246" spans="1:14" x14ac:dyDescent="0.25">
      <c r="A2246">
        <v>20160830</v>
      </c>
      <c r="B2246" t="str">
        <f t="shared" si="126"/>
        <v>064659</v>
      </c>
      <c r="C2246" t="str">
        <f t="shared" si="127"/>
        <v>84370</v>
      </c>
      <c r="D2246" t="s">
        <v>329</v>
      </c>
      <c r="E2246" s="3">
        <v>195.37</v>
      </c>
      <c r="F2246">
        <v>20160830</v>
      </c>
      <c r="G2246" t="s">
        <v>380</v>
      </c>
      <c r="H2246" t="s">
        <v>1501</v>
      </c>
      <c r="I2246">
        <v>0</v>
      </c>
      <c r="J2246" t="s">
        <v>289</v>
      </c>
      <c r="K2246" t="s">
        <v>290</v>
      </c>
      <c r="L2246" t="s">
        <v>285</v>
      </c>
      <c r="M2246" t="str">
        <f t="shared" si="125"/>
        <v>08</v>
      </c>
      <c r="N2246" t="s">
        <v>12</v>
      </c>
    </row>
    <row r="2247" spans="1:14" x14ac:dyDescent="0.25">
      <c r="A2247">
        <v>20160830</v>
      </c>
      <c r="B2247" t="str">
        <f t="shared" si="126"/>
        <v>064659</v>
      </c>
      <c r="C2247" t="str">
        <f t="shared" si="127"/>
        <v>84370</v>
      </c>
      <c r="D2247" t="s">
        <v>329</v>
      </c>
      <c r="E2247" s="3">
        <v>-86.58</v>
      </c>
      <c r="F2247">
        <v>20160830</v>
      </c>
      <c r="G2247" t="s">
        <v>380</v>
      </c>
      <c r="H2247" t="s">
        <v>1502</v>
      </c>
      <c r="I2247">
        <v>0</v>
      </c>
      <c r="J2247" t="s">
        <v>289</v>
      </c>
      <c r="K2247" t="s">
        <v>290</v>
      </c>
      <c r="L2247" t="s">
        <v>17</v>
      </c>
      <c r="M2247" t="str">
        <f t="shared" si="125"/>
        <v>08</v>
      </c>
      <c r="N2247" t="s">
        <v>12</v>
      </c>
    </row>
    <row r="2248" spans="1:14" x14ac:dyDescent="0.25">
      <c r="A2248">
        <v>20160830</v>
      </c>
      <c r="B2248" t="str">
        <f t="shared" si="126"/>
        <v>064659</v>
      </c>
      <c r="C2248" t="str">
        <f t="shared" si="127"/>
        <v>84370</v>
      </c>
      <c r="D2248" t="s">
        <v>329</v>
      </c>
      <c r="E2248" s="3">
        <v>-195.37</v>
      </c>
      <c r="F2248">
        <v>20160830</v>
      </c>
      <c r="G2248" t="s">
        <v>380</v>
      </c>
      <c r="H2248" t="s">
        <v>1502</v>
      </c>
      <c r="I2248">
        <v>0</v>
      </c>
      <c r="J2248" t="s">
        <v>289</v>
      </c>
      <c r="K2248" t="s">
        <v>290</v>
      </c>
      <c r="L2248" t="s">
        <v>17</v>
      </c>
      <c r="M2248" t="str">
        <f t="shared" si="125"/>
        <v>08</v>
      </c>
      <c r="N2248" t="s">
        <v>12</v>
      </c>
    </row>
    <row r="2249" spans="1:14" x14ac:dyDescent="0.25">
      <c r="A2249">
        <v>20160830</v>
      </c>
      <c r="B2249" t="str">
        <f t="shared" si="126"/>
        <v>064659</v>
      </c>
      <c r="C2249" t="str">
        <f t="shared" si="127"/>
        <v>84370</v>
      </c>
      <c r="D2249" t="s">
        <v>329</v>
      </c>
      <c r="E2249" s="3">
        <v>-155.04</v>
      </c>
      <c r="F2249">
        <v>20160830</v>
      </c>
      <c r="G2249" t="s">
        <v>380</v>
      </c>
      <c r="H2249" t="s">
        <v>1502</v>
      </c>
      <c r="I2249">
        <v>0</v>
      </c>
      <c r="J2249" t="s">
        <v>289</v>
      </c>
      <c r="K2249" t="s">
        <v>290</v>
      </c>
      <c r="L2249" t="s">
        <v>17</v>
      </c>
      <c r="M2249" t="str">
        <f t="shared" si="125"/>
        <v>08</v>
      </c>
      <c r="N2249" t="s">
        <v>12</v>
      </c>
    </row>
    <row r="2250" spans="1:14" x14ac:dyDescent="0.25">
      <c r="A2250">
        <v>20160830</v>
      </c>
      <c r="B2250" t="str">
        <f t="shared" si="126"/>
        <v>064659</v>
      </c>
      <c r="C2250" t="str">
        <f t="shared" si="127"/>
        <v>84370</v>
      </c>
      <c r="D2250" t="s">
        <v>329</v>
      </c>
      <c r="E2250" s="3">
        <v>966</v>
      </c>
      <c r="F2250">
        <v>20160830</v>
      </c>
      <c r="G2250" t="s">
        <v>331</v>
      </c>
      <c r="H2250" t="s">
        <v>1503</v>
      </c>
      <c r="I2250">
        <v>0</v>
      </c>
      <c r="J2250" t="s">
        <v>289</v>
      </c>
      <c r="K2250" t="s">
        <v>290</v>
      </c>
      <c r="L2250" t="s">
        <v>285</v>
      </c>
      <c r="M2250" t="str">
        <f t="shared" si="125"/>
        <v>08</v>
      </c>
      <c r="N2250" t="s">
        <v>12</v>
      </c>
    </row>
    <row r="2251" spans="1:14" x14ac:dyDescent="0.25">
      <c r="A2251">
        <v>20160830</v>
      </c>
      <c r="B2251" t="str">
        <f t="shared" si="126"/>
        <v>064659</v>
      </c>
      <c r="C2251" t="str">
        <f t="shared" si="127"/>
        <v>84370</v>
      </c>
      <c r="D2251" t="s">
        <v>329</v>
      </c>
      <c r="E2251" s="3">
        <v>-966</v>
      </c>
      <c r="F2251">
        <v>20160830</v>
      </c>
      <c r="G2251" t="s">
        <v>331</v>
      </c>
      <c r="H2251" t="s">
        <v>1502</v>
      </c>
      <c r="I2251">
        <v>0</v>
      </c>
      <c r="J2251" t="s">
        <v>289</v>
      </c>
      <c r="K2251" t="s">
        <v>290</v>
      </c>
      <c r="L2251" t="s">
        <v>17</v>
      </c>
      <c r="M2251" t="str">
        <f t="shared" si="125"/>
        <v>08</v>
      </c>
      <c r="N2251" t="s">
        <v>12</v>
      </c>
    </row>
    <row r="2252" spans="1:14" x14ac:dyDescent="0.25">
      <c r="A2252">
        <v>20160830</v>
      </c>
      <c r="B2252" t="str">
        <f t="shared" si="126"/>
        <v>064659</v>
      </c>
      <c r="C2252" t="str">
        <f t="shared" si="127"/>
        <v>84370</v>
      </c>
      <c r="D2252" t="s">
        <v>329</v>
      </c>
      <c r="E2252" s="3">
        <v>232.37</v>
      </c>
      <c r="F2252">
        <v>20160830</v>
      </c>
      <c r="G2252" t="s">
        <v>353</v>
      </c>
      <c r="H2252" t="s">
        <v>1504</v>
      </c>
      <c r="I2252">
        <v>0</v>
      </c>
      <c r="J2252" t="s">
        <v>289</v>
      </c>
      <c r="K2252" t="s">
        <v>290</v>
      </c>
      <c r="L2252" t="s">
        <v>285</v>
      </c>
      <c r="M2252" t="str">
        <f t="shared" si="125"/>
        <v>08</v>
      </c>
      <c r="N2252" t="s">
        <v>12</v>
      </c>
    </row>
    <row r="2253" spans="1:14" x14ac:dyDescent="0.25">
      <c r="A2253">
        <v>20160830</v>
      </c>
      <c r="B2253" t="str">
        <f t="shared" si="126"/>
        <v>064659</v>
      </c>
      <c r="C2253" t="str">
        <f t="shared" si="127"/>
        <v>84370</v>
      </c>
      <c r="D2253" t="s">
        <v>329</v>
      </c>
      <c r="E2253" s="3">
        <v>-232.37</v>
      </c>
      <c r="F2253">
        <v>20160830</v>
      </c>
      <c r="G2253" t="s">
        <v>353</v>
      </c>
      <c r="H2253" t="s">
        <v>1502</v>
      </c>
      <c r="I2253">
        <v>0</v>
      </c>
      <c r="J2253" t="s">
        <v>289</v>
      </c>
      <c r="K2253" t="s">
        <v>290</v>
      </c>
      <c r="L2253" t="s">
        <v>17</v>
      </c>
      <c r="M2253" t="str">
        <f t="shared" si="125"/>
        <v>08</v>
      </c>
      <c r="N2253" t="s">
        <v>12</v>
      </c>
    </row>
    <row r="2254" spans="1:14" x14ac:dyDescent="0.25">
      <c r="A2254">
        <v>20160830</v>
      </c>
      <c r="B2254" t="str">
        <f>"064660"</f>
        <v>064660</v>
      </c>
      <c r="C2254" t="str">
        <f t="shared" si="127"/>
        <v>84370</v>
      </c>
      <c r="D2254" t="s">
        <v>329</v>
      </c>
      <c r="E2254" s="3">
        <v>86.58</v>
      </c>
      <c r="F2254">
        <v>20160831</v>
      </c>
      <c r="G2254" t="s">
        <v>380</v>
      </c>
      <c r="H2254" t="s">
        <v>1505</v>
      </c>
      <c r="I2254">
        <v>0</v>
      </c>
      <c r="J2254" t="s">
        <v>289</v>
      </c>
      <c r="K2254" t="s">
        <v>290</v>
      </c>
      <c r="L2254" t="s">
        <v>17</v>
      </c>
      <c r="M2254" t="str">
        <f t="shared" si="125"/>
        <v>08</v>
      </c>
      <c r="N2254" t="s">
        <v>12</v>
      </c>
    </row>
    <row r="2255" spans="1:14" x14ac:dyDescent="0.25">
      <c r="A2255">
        <v>20160830</v>
      </c>
      <c r="B2255" t="str">
        <f>"064660"</f>
        <v>064660</v>
      </c>
      <c r="C2255" t="str">
        <f t="shared" si="127"/>
        <v>84370</v>
      </c>
      <c r="D2255" t="s">
        <v>329</v>
      </c>
      <c r="E2255" s="3">
        <v>155.04</v>
      </c>
      <c r="F2255">
        <v>20160831</v>
      </c>
      <c r="G2255" t="s">
        <v>380</v>
      </c>
      <c r="H2255" t="s">
        <v>1506</v>
      </c>
      <c r="I2255">
        <v>0</v>
      </c>
      <c r="J2255" t="s">
        <v>289</v>
      </c>
      <c r="K2255" t="s">
        <v>290</v>
      </c>
      <c r="L2255" t="s">
        <v>17</v>
      </c>
      <c r="M2255" t="str">
        <f t="shared" si="125"/>
        <v>08</v>
      </c>
      <c r="N2255" t="s">
        <v>12</v>
      </c>
    </row>
    <row r="2256" spans="1:14" x14ac:dyDescent="0.25">
      <c r="A2256">
        <v>20160830</v>
      </c>
      <c r="B2256" t="str">
        <f>"064660"</f>
        <v>064660</v>
      </c>
      <c r="C2256" t="str">
        <f t="shared" si="127"/>
        <v>84370</v>
      </c>
      <c r="D2256" t="s">
        <v>329</v>
      </c>
      <c r="E2256" s="3">
        <v>195.37</v>
      </c>
      <c r="F2256">
        <v>20160831</v>
      </c>
      <c r="G2256" t="s">
        <v>380</v>
      </c>
      <c r="H2256" t="s">
        <v>1505</v>
      </c>
      <c r="I2256">
        <v>0</v>
      </c>
      <c r="J2256" t="s">
        <v>289</v>
      </c>
      <c r="K2256" t="s">
        <v>290</v>
      </c>
      <c r="L2256" t="s">
        <v>17</v>
      </c>
      <c r="M2256" t="str">
        <f t="shared" si="125"/>
        <v>08</v>
      </c>
      <c r="N2256" t="s">
        <v>12</v>
      </c>
    </row>
    <row r="2257" spans="1:14" x14ac:dyDescent="0.25">
      <c r="A2257">
        <v>20160830</v>
      </c>
      <c r="B2257" t="str">
        <f>"064660"</f>
        <v>064660</v>
      </c>
      <c r="C2257" t="str">
        <f t="shared" si="127"/>
        <v>84370</v>
      </c>
      <c r="D2257" t="s">
        <v>329</v>
      </c>
      <c r="E2257" s="3">
        <v>966</v>
      </c>
      <c r="F2257">
        <v>20160831</v>
      </c>
      <c r="G2257" t="s">
        <v>331</v>
      </c>
      <c r="H2257" t="s">
        <v>1507</v>
      </c>
      <c r="I2257">
        <v>0</v>
      </c>
      <c r="J2257" t="s">
        <v>289</v>
      </c>
      <c r="K2257" t="s">
        <v>290</v>
      </c>
      <c r="L2257" t="s">
        <v>17</v>
      </c>
      <c r="M2257" t="str">
        <f t="shared" si="125"/>
        <v>08</v>
      </c>
      <c r="N2257" t="s">
        <v>12</v>
      </c>
    </row>
    <row r="2258" spans="1:14" x14ac:dyDescent="0.25">
      <c r="A2258">
        <v>20160830</v>
      </c>
      <c r="B2258" t="str">
        <f>"064660"</f>
        <v>064660</v>
      </c>
      <c r="C2258" t="str">
        <f t="shared" si="127"/>
        <v>84370</v>
      </c>
      <c r="D2258" t="s">
        <v>329</v>
      </c>
      <c r="E2258" s="3">
        <v>232.37</v>
      </c>
      <c r="F2258">
        <v>20160831</v>
      </c>
      <c r="G2258" t="s">
        <v>353</v>
      </c>
      <c r="H2258" t="s">
        <v>1508</v>
      </c>
      <c r="I2258">
        <v>0</v>
      </c>
      <c r="J2258" t="s">
        <v>289</v>
      </c>
      <c r="K2258" t="s">
        <v>290</v>
      </c>
      <c r="L2258" t="s">
        <v>17</v>
      </c>
      <c r="M2258" t="str">
        <f t="shared" si="125"/>
        <v>08</v>
      </c>
      <c r="N2258" t="s">
        <v>12</v>
      </c>
    </row>
    <row r="2259" spans="1:14" x14ac:dyDescent="0.25">
      <c r="A2259">
        <v>20151113</v>
      </c>
      <c r="B2259" t="str">
        <f>"111315"</f>
        <v>111315</v>
      </c>
      <c r="C2259" t="str">
        <f>"78311"</f>
        <v>78311</v>
      </c>
      <c r="D2259" t="s">
        <v>458</v>
      </c>
      <c r="E2259" s="3">
        <v>25.46</v>
      </c>
      <c r="F2259">
        <v>20151204</v>
      </c>
      <c r="G2259" t="s">
        <v>599</v>
      </c>
      <c r="H2259" t="s">
        <v>600</v>
      </c>
      <c r="I2259">
        <v>0</v>
      </c>
      <c r="J2259" t="s">
        <v>289</v>
      </c>
      <c r="K2259" t="s">
        <v>290</v>
      </c>
      <c r="L2259" t="s">
        <v>17</v>
      </c>
      <c r="M2259" t="str">
        <f>"11"</f>
        <v>11</v>
      </c>
      <c r="N2259" t="s">
        <v>12</v>
      </c>
    </row>
    <row r="2260" spans="1:14" x14ac:dyDescent="0.25">
      <c r="A2260">
        <v>20151113</v>
      </c>
      <c r="B2260" t="str">
        <f>"111315"</f>
        <v>111315</v>
      </c>
      <c r="C2260" t="str">
        <f>"78311"</f>
        <v>78311</v>
      </c>
      <c r="D2260" t="s">
        <v>458</v>
      </c>
      <c r="E2260" s="3">
        <v>14.5</v>
      </c>
      <c r="F2260">
        <v>20151204</v>
      </c>
      <c r="G2260" t="s">
        <v>599</v>
      </c>
      <c r="H2260" t="s">
        <v>600</v>
      </c>
      <c r="I2260">
        <v>0</v>
      </c>
      <c r="J2260" t="s">
        <v>289</v>
      </c>
      <c r="K2260" t="s">
        <v>290</v>
      </c>
      <c r="L2260" t="s">
        <v>17</v>
      </c>
      <c r="M2260" t="str">
        <f>"11"</f>
        <v>11</v>
      </c>
      <c r="N2260" t="s">
        <v>12</v>
      </c>
    </row>
    <row r="2261" spans="1:14" x14ac:dyDescent="0.25">
      <c r="A2261">
        <v>20151218</v>
      </c>
      <c r="B2261" t="str">
        <f>"061509"</f>
        <v>061509</v>
      </c>
      <c r="C2261" t="str">
        <f>"10385"</f>
        <v>10385</v>
      </c>
      <c r="D2261" t="s">
        <v>1509</v>
      </c>
      <c r="E2261" s="3">
        <v>100</v>
      </c>
      <c r="F2261">
        <v>20151217</v>
      </c>
      <c r="G2261" t="s">
        <v>1510</v>
      </c>
      <c r="H2261" t="s">
        <v>1511</v>
      </c>
      <c r="I2261">
        <v>0</v>
      </c>
      <c r="J2261" t="s">
        <v>1512</v>
      </c>
      <c r="K2261" t="s">
        <v>290</v>
      </c>
      <c r="L2261" t="s">
        <v>285</v>
      </c>
      <c r="M2261" t="str">
        <f>"12"</f>
        <v>12</v>
      </c>
      <c r="N2261" t="s">
        <v>12</v>
      </c>
    </row>
    <row r="2262" spans="1:14" x14ac:dyDescent="0.25">
      <c r="A2262">
        <v>20151218</v>
      </c>
      <c r="B2262" t="str">
        <f>"061553"</f>
        <v>061553</v>
      </c>
      <c r="C2262" t="str">
        <f>"29516"</f>
        <v>29516</v>
      </c>
      <c r="D2262" t="s">
        <v>1513</v>
      </c>
      <c r="E2262" s="3">
        <v>261.58</v>
      </c>
      <c r="F2262">
        <v>20151217</v>
      </c>
      <c r="G2262" t="s">
        <v>1510</v>
      </c>
      <c r="H2262" t="s">
        <v>1511</v>
      </c>
      <c r="I2262">
        <v>0</v>
      </c>
      <c r="J2262" t="s">
        <v>1512</v>
      </c>
      <c r="K2262" t="s">
        <v>290</v>
      </c>
      <c r="L2262" t="s">
        <v>285</v>
      </c>
      <c r="M2262" t="str">
        <f>"12"</f>
        <v>12</v>
      </c>
      <c r="N2262" t="s">
        <v>12</v>
      </c>
    </row>
    <row r="2263" spans="1:14" x14ac:dyDescent="0.25">
      <c r="A2263">
        <v>20151218</v>
      </c>
      <c r="B2263" t="str">
        <f>"061572"</f>
        <v>061572</v>
      </c>
      <c r="C2263" t="str">
        <f>"39390"</f>
        <v>39390</v>
      </c>
      <c r="D2263" t="s">
        <v>1514</v>
      </c>
      <c r="E2263" s="3">
        <v>65</v>
      </c>
      <c r="F2263">
        <v>20151217</v>
      </c>
      <c r="G2263" t="s">
        <v>1510</v>
      </c>
      <c r="H2263" t="s">
        <v>1511</v>
      </c>
      <c r="I2263">
        <v>0</v>
      </c>
      <c r="J2263" t="s">
        <v>1512</v>
      </c>
      <c r="K2263" t="s">
        <v>290</v>
      </c>
      <c r="L2263" t="s">
        <v>285</v>
      </c>
      <c r="M2263" t="str">
        <f>"12"</f>
        <v>12</v>
      </c>
      <c r="N2263" t="s">
        <v>12</v>
      </c>
    </row>
    <row r="2264" spans="1:14" x14ac:dyDescent="0.25">
      <c r="A2264">
        <v>20151218</v>
      </c>
      <c r="B2264" t="str">
        <f>"061622"</f>
        <v>061622</v>
      </c>
      <c r="C2264" t="str">
        <f>"62878"</f>
        <v>62878</v>
      </c>
      <c r="D2264" t="s">
        <v>1515</v>
      </c>
      <c r="E2264" s="3">
        <v>65</v>
      </c>
      <c r="F2264">
        <v>20151217</v>
      </c>
      <c r="G2264" t="s">
        <v>1510</v>
      </c>
      <c r="H2264" t="s">
        <v>1511</v>
      </c>
      <c r="I2264">
        <v>0</v>
      </c>
      <c r="J2264" t="s">
        <v>1512</v>
      </c>
      <c r="K2264" t="s">
        <v>290</v>
      </c>
      <c r="L2264" t="s">
        <v>285</v>
      </c>
      <c r="M2264" t="str">
        <f>"12"</f>
        <v>12</v>
      </c>
      <c r="N2264" t="s">
        <v>12</v>
      </c>
    </row>
    <row r="2265" spans="1:14" x14ac:dyDescent="0.25">
      <c r="A2265">
        <v>20151218</v>
      </c>
      <c r="B2265" t="str">
        <f>"061648"</f>
        <v>061648</v>
      </c>
      <c r="C2265" t="str">
        <f>"87100"</f>
        <v>87100</v>
      </c>
      <c r="D2265" t="s">
        <v>837</v>
      </c>
      <c r="E2265" s="3">
        <v>96</v>
      </c>
      <c r="F2265">
        <v>20151217</v>
      </c>
      <c r="G2265" t="s">
        <v>1510</v>
      </c>
      <c r="H2265" t="s">
        <v>1511</v>
      </c>
      <c r="I2265">
        <v>0</v>
      </c>
      <c r="J2265" t="s">
        <v>1512</v>
      </c>
      <c r="K2265" t="s">
        <v>290</v>
      </c>
      <c r="L2265" t="s">
        <v>285</v>
      </c>
      <c r="M2265" t="str">
        <f>"12"</f>
        <v>12</v>
      </c>
      <c r="N2265" t="s">
        <v>12</v>
      </c>
    </row>
    <row r="2266" spans="1:14" x14ac:dyDescent="0.25">
      <c r="A2266">
        <v>20160324</v>
      </c>
      <c r="B2266" t="str">
        <f>"062886"</f>
        <v>062886</v>
      </c>
      <c r="C2266" t="str">
        <f>"82131"</f>
        <v>82131</v>
      </c>
      <c r="D2266" t="s">
        <v>1516</v>
      </c>
      <c r="E2266" s="3">
        <v>30.88</v>
      </c>
      <c r="F2266">
        <v>20160323</v>
      </c>
      <c r="G2266" t="s">
        <v>1517</v>
      </c>
      <c r="H2266" t="s">
        <v>1518</v>
      </c>
      <c r="I2266">
        <v>0</v>
      </c>
      <c r="J2266" t="s">
        <v>1512</v>
      </c>
      <c r="K2266" t="s">
        <v>1519</v>
      </c>
      <c r="L2266" t="s">
        <v>285</v>
      </c>
      <c r="M2266" t="str">
        <f>"03"</f>
        <v>03</v>
      </c>
      <c r="N2266" t="s">
        <v>12</v>
      </c>
    </row>
    <row r="2267" spans="1:14" x14ac:dyDescent="0.25">
      <c r="A2267">
        <v>20160407</v>
      </c>
      <c r="B2267" t="str">
        <f>"063013"</f>
        <v>063013</v>
      </c>
      <c r="C2267" t="str">
        <f>"49983"</f>
        <v>49983</v>
      </c>
      <c r="D2267" t="s">
        <v>1520</v>
      </c>
      <c r="E2267" s="3">
        <v>133.18</v>
      </c>
      <c r="F2267">
        <v>20160406</v>
      </c>
      <c r="G2267" t="s">
        <v>1521</v>
      </c>
      <c r="H2267" t="s">
        <v>1522</v>
      </c>
      <c r="I2267">
        <v>0</v>
      </c>
      <c r="J2267" t="s">
        <v>1512</v>
      </c>
      <c r="K2267" t="s">
        <v>290</v>
      </c>
      <c r="L2267" t="s">
        <v>285</v>
      </c>
      <c r="M2267" t="str">
        <f>"04"</f>
        <v>04</v>
      </c>
      <c r="N2267" t="s">
        <v>12</v>
      </c>
    </row>
    <row r="2268" spans="1:14" x14ac:dyDescent="0.25">
      <c r="A2268">
        <v>20160407</v>
      </c>
      <c r="B2268" t="str">
        <f>"063026"</f>
        <v>063026</v>
      </c>
      <c r="C2268" t="str">
        <f>"67514"</f>
        <v>67514</v>
      </c>
      <c r="D2268" t="s">
        <v>1523</v>
      </c>
      <c r="E2268" s="3">
        <v>133.18</v>
      </c>
      <c r="F2268">
        <v>20160406</v>
      </c>
      <c r="G2268" t="s">
        <v>1521</v>
      </c>
      <c r="H2268" t="s">
        <v>1522</v>
      </c>
      <c r="I2268">
        <v>0</v>
      </c>
      <c r="J2268" t="s">
        <v>1512</v>
      </c>
      <c r="K2268" t="s">
        <v>290</v>
      </c>
      <c r="L2268" t="s">
        <v>285</v>
      </c>
      <c r="M2268" t="str">
        <f>"04"</f>
        <v>04</v>
      </c>
      <c r="N2268" t="s">
        <v>12</v>
      </c>
    </row>
    <row r="2269" spans="1:14" x14ac:dyDescent="0.25">
      <c r="A2269">
        <v>20160407</v>
      </c>
      <c r="B2269" t="str">
        <f>"063029"</f>
        <v>063029</v>
      </c>
      <c r="C2269" t="str">
        <f>"67592"</f>
        <v>67592</v>
      </c>
      <c r="D2269" t="s">
        <v>1524</v>
      </c>
      <c r="E2269" s="3">
        <v>171.36</v>
      </c>
      <c r="F2269">
        <v>20160406</v>
      </c>
      <c r="G2269" t="s">
        <v>1521</v>
      </c>
      <c r="H2269" t="s">
        <v>1522</v>
      </c>
      <c r="I2269">
        <v>0</v>
      </c>
      <c r="J2269" t="s">
        <v>1512</v>
      </c>
      <c r="K2269" t="s">
        <v>290</v>
      </c>
      <c r="L2269" t="s">
        <v>285</v>
      </c>
      <c r="M2269" t="str">
        <f>"04"</f>
        <v>04</v>
      </c>
      <c r="N2269" t="s">
        <v>12</v>
      </c>
    </row>
    <row r="2270" spans="1:14" x14ac:dyDescent="0.25">
      <c r="A2270">
        <v>20160415</v>
      </c>
      <c r="B2270" t="str">
        <f>"063173"</f>
        <v>063173</v>
      </c>
      <c r="C2270" t="str">
        <f>"83037"</f>
        <v>83037</v>
      </c>
      <c r="D2270" t="s">
        <v>523</v>
      </c>
      <c r="E2270" s="3">
        <v>96</v>
      </c>
      <c r="F2270">
        <v>20160413</v>
      </c>
      <c r="G2270" t="s">
        <v>1521</v>
      </c>
      <c r="H2270" t="s">
        <v>1522</v>
      </c>
      <c r="I2270">
        <v>0</v>
      </c>
      <c r="J2270" t="s">
        <v>1512</v>
      </c>
      <c r="K2270" t="s">
        <v>290</v>
      </c>
      <c r="L2270" t="s">
        <v>285</v>
      </c>
      <c r="M2270" t="str">
        <f>"04"</f>
        <v>04</v>
      </c>
      <c r="N2270" t="s">
        <v>12</v>
      </c>
    </row>
    <row r="2271" spans="1:14" x14ac:dyDescent="0.25">
      <c r="A2271">
        <v>20160610</v>
      </c>
      <c r="B2271" t="str">
        <f>"063702"</f>
        <v>063702</v>
      </c>
      <c r="C2271" t="str">
        <f>"04406"</f>
        <v>04406</v>
      </c>
      <c r="D2271" t="s">
        <v>1525</v>
      </c>
      <c r="E2271" s="3">
        <v>99.63</v>
      </c>
      <c r="F2271">
        <v>20160607</v>
      </c>
      <c r="G2271" t="s">
        <v>1526</v>
      </c>
      <c r="H2271" t="s">
        <v>1527</v>
      </c>
      <c r="I2271">
        <v>0</v>
      </c>
      <c r="J2271" t="s">
        <v>1512</v>
      </c>
      <c r="K2271" t="s">
        <v>290</v>
      </c>
      <c r="L2271" t="s">
        <v>285</v>
      </c>
      <c r="M2271" t="str">
        <f t="shared" ref="M2271:M2299" si="128">"06"</f>
        <v>06</v>
      </c>
      <c r="N2271" t="s">
        <v>12</v>
      </c>
    </row>
    <row r="2272" spans="1:14" x14ac:dyDescent="0.25">
      <c r="A2272">
        <v>20160610</v>
      </c>
      <c r="B2272" t="str">
        <f>"063722"</f>
        <v>063722</v>
      </c>
      <c r="C2272" t="str">
        <f>"12993"</f>
        <v>12993</v>
      </c>
      <c r="D2272" t="s">
        <v>1229</v>
      </c>
      <c r="E2272" s="3">
        <v>102.05</v>
      </c>
      <c r="F2272">
        <v>20160607</v>
      </c>
      <c r="G2272" t="s">
        <v>1528</v>
      </c>
      <c r="H2272" t="s">
        <v>1529</v>
      </c>
      <c r="I2272">
        <v>0</v>
      </c>
      <c r="J2272" t="s">
        <v>1512</v>
      </c>
      <c r="K2272" t="s">
        <v>290</v>
      </c>
      <c r="L2272" t="s">
        <v>285</v>
      </c>
      <c r="M2272" t="str">
        <f t="shared" si="128"/>
        <v>06</v>
      </c>
      <c r="N2272" t="s">
        <v>12</v>
      </c>
    </row>
    <row r="2273" spans="1:14" x14ac:dyDescent="0.25">
      <c r="A2273">
        <v>20160610</v>
      </c>
      <c r="B2273" t="str">
        <f>"063722"</f>
        <v>063722</v>
      </c>
      <c r="C2273" t="str">
        <f>"12993"</f>
        <v>12993</v>
      </c>
      <c r="D2273" t="s">
        <v>1229</v>
      </c>
      <c r="E2273" s="3">
        <v>85</v>
      </c>
      <c r="F2273">
        <v>20160607</v>
      </c>
      <c r="G2273" t="s">
        <v>1528</v>
      </c>
      <c r="H2273" t="s">
        <v>1529</v>
      </c>
      <c r="I2273">
        <v>0</v>
      </c>
      <c r="J2273" t="s">
        <v>1512</v>
      </c>
      <c r="K2273" t="s">
        <v>290</v>
      </c>
      <c r="L2273" t="s">
        <v>285</v>
      </c>
      <c r="M2273" t="str">
        <f t="shared" si="128"/>
        <v>06</v>
      </c>
      <c r="N2273" t="s">
        <v>12</v>
      </c>
    </row>
    <row r="2274" spans="1:14" x14ac:dyDescent="0.25">
      <c r="A2274">
        <v>20160610</v>
      </c>
      <c r="B2274" t="str">
        <f>"063727"</f>
        <v>063727</v>
      </c>
      <c r="C2274" t="str">
        <f>"19079"</f>
        <v>19079</v>
      </c>
      <c r="D2274" t="s">
        <v>341</v>
      </c>
      <c r="E2274" s="3">
        <v>96</v>
      </c>
      <c r="F2274">
        <v>20160607</v>
      </c>
      <c r="G2274" t="s">
        <v>1526</v>
      </c>
      <c r="H2274" t="s">
        <v>1527</v>
      </c>
      <c r="I2274">
        <v>0</v>
      </c>
      <c r="J2274" t="s">
        <v>1512</v>
      </c>
      <c r="K2274" t="s">
        <v>290</v>
      </c>
      <c r="L2274" t="s">
        <v>285</v>
      </c>
      <c r="M2274" t="str">
        <f t="shared" si="128"/>
        <v>06</v>
      </c>
      <c r="N2274" t="s">
        <v>12</v>
      </c>
    </row>
    <row r="2275" spans="1:14" x14ac:dyDescent="0.25">
      <c r="A2275">
        <v>20160610</v>
      </c>
      <c r="B2275" t="str">
        <f>"063729"</f>
        <v>063729</v>
      </c>
      <c r="C2275" t="str">
        <f>"19308"</f>
        <v>19308</v>
      </c>
      <c r="D2275" t="s">
        <v>1530</v>
      </c>
      <c r="E2275" s="3">
        <v>189.12</v>
      </c>
      <c r="F2275">
        <v>20160607</v>
      </c>
      <c r="G2275" t="s">
        <v>1531</v>
      </c>
      <c r="H2275" t="s">
        <v>1532</v>
      </c>
      <c r="I2275">
        <v>0</v>
      </c>
      <c r="J2275" t="s">
        <v>1512</v>
      </c>
      <c r="K2275" t="s">
        <v>290</v>
      </c>
      <c r="L2275" t="s">
        <v>285</v>
      </c>
      <c r="M2275" t="str">
        <f t="shared" si="128"/>
        <v>06</v>
      </c>
      <c r="N2275" t="s">
        <v>12</v>
      </c>
    </row>
    <row r="2276" spans="1:14" x14ac:dyDescent="0.25">
      <c r="A2276">
        <v>20160610</v>
      </c>
      <c r="B2276" t="str">
        <f>"063749"</f>
        <v>063749</v>
      </c>
      <c r="C2276" t="str">
        <f>"26337"</f>
        <v>26337</v>
      </c>
      <c r="D2276" t="s">
        <v>383</v>
      </c>
      <c r="E2276" s="3">
        <v>96</v>
      </c>
      <c r="F2276">
        <v>20160607</v>
      </c>
      <c r="G2276" t="s">
        <v>1533</v>
      </c>
      <c r="H2276" t="s">
        <v>1534</v>
      </c>
      <c r="I2276">
        <v>0</v>
      </c>
      <c r="J2276" t="s">
        <v>1512</v>
      </c>
      <c r="K2276" t="s">
        <v>290</v>
      </c>
      <c r="L2276" t="s">
        <v>285</v>
      </c>
      <c r="M2276" t="str">
        <f t="shared" si="128"/>
        <v>06</v>
      </c>
      <c r="N2276" t="s">
        <v>12</v>
      </c>
    </row>
    <row r="2277" spans="1:14" x14ac:dyDescent="0.25">
      <c r="A2277">
        <v>20160610</v>
      </c>
      <c r="B2277" t="str">
        <f>"063749"</f>
        <v>063749</v>
      </c>
      <c r="C2277" t="str">
        <f>"26337"</f>
        <v>26337</v>
      </c>
      <c r="D2277" t="s">
        <v>383</v>
      </c>
      <c r="E2277" s="3">
        <v>96</v>
      </c>
      <c r="F2277">
        <v>20160607</v>
      </c>
      <c r="G2277" t="s">
        <v>1526</v>
      </c>
      <c r="H2277" t="s">
        <v>1527</v>
      </c>
      <c r="I2277">
        <v>0</v>
      </c>
      <c r="J2277" t="s">
        <v>1512</v>
      </c>
      <c r="K2277" t="s">
        <v>290</v>
      </c>
      <c r="L2277" t="s">
        <v>285</v>
      </c>
      <c r="M2277" t="str">
        <f t="shared" si="128"/>
        <v>06</v>
      </c>
      <c r="N2277" t="s">
        <v>12</v>
      </c>
    </row>
    <row r="2278" spans="1:14" x14ac:dyDescent="0.25">
      <c r="A2278">
        <v>20160610</v>
      </c>
      <c r="B2278" t="str">
        <f>"063749"</f>
        <v>063749</v>
      </c>
      <c r="C2278" t="str">
        <f>"26337"</f>
        <v>26337</v>
      </c>
      <c r="D2278" t="s">
        <v>383</v>
      </c>
      <c r="E2278" s="3">
        <v>96</v>
      </c>
      <c r="F2278">
        <v>20160607</v>
      </c>
      <c r="G2278" t="s">
        <v>1528</v>
      </c>
      <c r="H2278" t="s">
        <v>1529</v>
      </c>
      <c r="I2278">
        <v>0</v>
      </c>
      <c r="J2278" t="s">
        <v>1512</v>
      </c>
      <c r="K2278" t="s">
        <v>290</v>
      </c>
      <c r="L2278" t="s">
        <v>285</v>
      </c>
      <c r="M2278" t="str">
        <f t="shared" si="128"/>
        <v>06</v>
      </c>
      <c r="N2278" t="s">
        <v>12</v>
      </c>
    </row>
    <row r="2279" spans="1:14" x14ac:dyDescent="0.25">
      <c r="A2279">
        <v>20160610</v>
      </c>
      <c r="B2279" t="str">
        <f>"063752"</f>
        <v>063752</v>
      </c>
      <c r="C2279" t="str">
        <f>"28708"</f>
        <v>28708</v>
      </c>
      <c r="D2279" t="s">
        <v>1271</v>
      </c>
      <c r="E2279" s="3">
        <v>85</v>
      </c>
      <c r="F2279">
        <v>20160607</v>
      </c>
      <c r="G2279" t="s">
        <v>1531</v>
      </c>
      <c r="H2279" t="s">
        <v>1532</v>
      </c>
      <c r="I2279">
        <v>0</v>
      </c>
      <c r="J2279" t="s">
        <v>1512</v>
      </c>
      <c r="K2279" t="s">
        <v>290</v>
      </c>
      <c r="L2279" t="s">
        <v>285</v>
      </c>
      <c r="M2279" t="str">
        <f t="shared" si="128"/>
        <v>06</v>
      </c>
      <c r="N2279" t="s">
        <v>12</v>
      </c>
    </row>
    <row r="2280" spans="1:14" x14ac:dyDescent="0.25">
      <c r="A2280">
        <v>20160610</v>
      </c>
      <c r="B2280" t="str">
        <f>"063757"</f>
        <v>063757</v>
      </c>
      <c r="C2280" t="str">
        <f>"30118"</f>
        <v>30118</v>
      </c>
      <c r="D2280" t="s">
        <v>351</v>
      </c>
      <c r="E2280" s="3">
        <v>96</v>
      </c>
      <c r="F2280">
        <v>20160607</v>
      </c>
      <c r="G2280" t="s">
        <v>1528</v>
      </c>
      <c r="H2280" t="s">
        <v>1529</v>
      </c>
      <c r="I2280">
        <v>0</v>
      </c>
      <c r="J2280" t="s">
        <v>1512</v>
      </c>
      <c r="K2280" t="s">
        <v>290</v>
      </c>
      <c r="L2280" t="s">
        <v>285</v>
      </c>
      <c r="M2280" t="str">
        <f t="shared" si="128"/>
        <v>06</v>
      </c>
      <c r="N2280" t="s">
        <v>12</v>
      </c>
    </row>
    <row r="2281" spans="1:14" x14ac:dyDescent="0.25">
      <c r="A2281">
        <v>20160610</v>
      </c>
      <c r="B2281" t="str">
        <f>"063758"</f>
        <v>063758</v>
      </c>
      <c r="C2281" t="str">
        <f>"30145"</f>
        <v>30145</v>
      </c>
      <c r="D2281" t="s">
        <v>1535</v>
      </c>
      <c r="E2281" s="3">
        <v>95</v>
      </c>
      <c r="F2281">
        <v>20160607</v>
      </c>
      <c r="G2281" t="s">
        <v>1528</v>
      </c>
      <c r="H2281" t="s">
        <v>1529</v>
      </c>
      <c r="I2281">
        <v>0</v>
      </c>
      <c r="J2281" t="s">
        <v>1512</v>
      </c>
      <c r="K2281" t="s">
        <v>290</v>
      </c>
      <c r="L2281" t="s">
        <v>285</v>
      </c>
      <c r="M2281" t="str">
        <f t="shared" si="128"/>
        <v>06</v>
      </c>
      <c r="N2281" t="s">
        <v>12</v>
      </c>
    </row>
    <row r="2282" spans="1:14" x14ac:dyDescent="0.25">
      <c r="A2282">
        <v>20160610</v>
      </c>
      <c r="B2282" t="str">
        <f>"063758"</f>
        <v>063758</v>
      </c>
      <c r="C2282" t="str">
        <f>"30145"</f>
        <v>30145</v>
      </c>
      <c r="D2282" t="s">
        <v>1535</v>
      </c>
      <c r="E2282" s="3">
        <v>85</v>
      </c>
      <c r="F2282">
        <v>20160607</v>
      </c>
      <c r="G2282" t="s">
        <v>1528</v>
      </c>
      <c r="H2282" t="s">
        <v>1529</v>
      </c>
      <c r="I2282">
        <v>0</v>
      </c>
      <c r="J2282" t="s">
        <v>1512</v>
      </c>
      <c r="K2282" t="s">
        <v>290</v>
      </c>
      <c r="L2282" t="s">
        <v>285</v>
      </c>
      <c r="M2282" t="str">
        <f t="shared" si="128"/>
        <v>06</v>
      </c>
      <c r="N2282" t="s">
        <v>12</v>
      </c>
    </row>
    <row r="2283" spans="1:14" x14ac:dyDescent="0.25">
      <c r="A2283">
        <v>20160610</v>
      </c>
      <c r="B2283" t="str">
        <f>"063759"</f>
        <v>063759</v>
      </c>
      <c r="C2283" t="str">
        <f>"30170"</f>
        <v>30170</v>
      </c>
      <c r="D2283" t="s">
        <v>1272</v>
      </c>
      <c r="E2283" s="3">
        <v>90.29</v>
      </c>
      <c r="F2283">
        <v>20160607</v>
      </c>
      <c r="G2283" t="s">
        <v>1526</v>
      </c>
      <c r="H2283" t="s">
        <v>1527</v>
      </c>
      <c r="I2283">
        <v>0</v>
      </c>
      <c r="J2283" t="s">
        <v>1512</v>
      </c>
      <c r="K2283" t="s">
        <v>290</v>
      </c>
      <c r="L2283" t="s">
        <v>285</v>
      </c>
      <c r="M2283" t="str">
        <f t="shared" si="128"/>
        <v>06</v>
      </c>
      <c r="N2283" t="s">
        <v>12</v>
      </c>
    </row>
    <row r="2284" spans="1:14" x14ac:dyDescent="0.25">
      <c r="A2284">
        <v>20160610</v>
      </c>
      <c r="B2284" t="str">
        <f>"063759"</f>
        <v>063759</v>
      </c>
      <c r="C2284" t="str">
        <f>"30170"</f>
        <v>30170</v>
      </c>
      <c r="D2284" t="s">
        <v>1272</v>
      </c>
      <c r="E2284" s="3">
        <v>90.29</v>
      </c>
      <c r="F2284">
        <v>20160607</v>
      </c>
      <c r="G2284" t="s">
        <v>1526</v>
      </c>
      <c r="H2284" t="s">
        <v>1527</v>
      </c>
      <c r="I2284">
        <v>0</v>
      </c>
      <c r="J2284" t="s">
        <v>1512</v>
      </c>
      <c r="K2284" t="s">
        <v>290</v>
      </c>
      <c r="L2284" t="s">
        <v>285</v>
      </c>
      <c r="M2284" t="str">
        <f t="shared" si="128"/>
        <v>06</v>
      </c>
      <c r="N2284" t="s">
        <v>12</v>
      </c>
    </row>
    <row r="2285" spans="1:14" x14ac:dyDescent="0.25">
      <c r="A2285">
        <v>20160610</v>
      </c>
      <c r="B2285" t="str">
        <f>"063785"</f>
        <v>063785</v>
      </c>
      <c r="C2285" t="str">
        <f>"47715"</f>
        <v>47715</v>
      </c>
      <c r="D2285" t="s">
        <v>1246</v>
      </c>
      <c r="E2285" s="3">
        <v>85</v>
      </c>
      <c r="F2285">
        <v>20160607</v>
      </c>
      <c r="G2285" t="s">
        <v>1531</v>
      </c>
      <c r="H2285" t="s">
        <v>1532</v>
      </c>
      <c r="I2285">
        <v>0</v>
      </c>
      <c r="J2285" t="s">
        <v>1512</v>
      </c>
      <c r="K2285" t="s">
        <v>290</v>
      </c>
      <c r="L2285" t="s">
        <v>285</v>
      </c>
      <c r="M2285" t="str">
        <f t="shared" si="128"/>
        <v>06</v>
      </c>
      <c r="N2285" t="s">
        <v>12</v>
      </c>
    </row>
    <row r="2286" spans="1:14" x14ac:dyDescent="0.25">
      <c r="A2286">
        <v>20160610</v>
      </c>
      <c r="B2286" t="str">
        <f>"063789"</f>
        <v>063789</v>
      </c>
      <c r="C2286" t="str">
        <f>"49834"</f>
        <v>49834</v>
      </c>
      <c r="D2286" t="s">
        <v>670</v>
      </c>
      <c r="E2286" s="3">
        <v>99.56</v>
      </c>
      <c r="F2286">
        <v>20160608</v>
      </c>
      <c r="G2286" t="s">
        <v>1528</v>
      </c>
      <c r="H2286" t="s">
        <v>1529</v>
      </c>
      <c r="I2286">
        <v>0</v>
      </c>
      <c r="J2286" t="s">
        <v>1512</v>
      </c>
      <c r="K2286" t="s">
        <v>290</v>
      </c>
      <c r="L2286" t="s">
        <v>285</v>
      </c>
      <c r="M2286" t="str">
        <f t="shared" si="128"/>
        <v>06</v>
      </c>
      <c r="N2286" t="s">
        <v>12</v>
      </c>
    </row>
    <row r="2287" spans="1:14" x14ac:dyDescent="0.25">
      <c r="A2287">
        <v>20160610</v>
      </c>
      <c r="B2287" t="str">
        <f>"063789"</f>
        <v>063789</v>
      </c>
      <c r="C2287" t="str">
        <f>"49834"</f>
        <v>49834</v>
      </c>
      <c r="D2287" t="s">
        <v>670</v>
      </c>
      <c r="E2287" s="3">
        <v>102.11</v>
      </c>
      <c r="F2287">
        <v>20160608</v>
      </c>
      <c r="G2287" t="s">
        <v>1528</v>
      </c>
      <c r="H2287" t="s">
        <v>1529</v>
      </c>
      <c r="I2287">
        <v>0</v>
      </c>
      <c r="J2287" t="s">
        <v>1512</v>
      </c>
      <c r="K2287" t="s">
        <v>290</v>
      </c>
      <c r="L2287" t="s">
        <v>285</v>
      </c>
      <c r="M2287" t="str">
        <f t="shared" si="128"/>
        <v>06</v>
      </c>
      <c r="N2287" t="s">
        <v>12</v>
      </c>
    </row>
    <row r="2288" spans="1:14" x14ac:dyDescent="0.25">
      <c r="A2288">
        <v>20160610</v>
      </c>
      <c r="B2288" t="str">
        <f>"063791"</f>
        <v>063791</v>
      </c>
      <c r="C2288" t="str">
        <f>"49988"</f>
        <v>49988</v>
      </c>
      <c r="D2288" t="s">
        <v>1536</v>
      </c>
      <c r="E2288" s="3">
        <v>90.47</v>
      </c>
      <c r="F2288">
        <v>20160608</v>
      </c>
      <c r="G2288" t="s">
        <v>1526</v>
      </c>
      <c r="H2288" t="s">
        <v>1527</v>
      </c>
      <c r="I2288">
        <v>0</v>
      </c>
      <c r="J2288" t="s">
        <v>1512</v>
      </c>
      <c r="K2288" t="s">
        <v>290</v>
      </c>
      <c r="L2288" t="s">
        <v>285</v>
      </c>
      <c r="M2288" t="str">
        <f t="shared" si="128"/>
        <v>06</v>
      </c>
      <c r="N2288" t="s">
        <v>12</v>
      </c>
    </row>
    <row r="2289" spans="1:14" x14ac:dyDescent="0.25">
      <c r="A2289">
        <v>20160610</v>
      </c>
      <c r="B2289" t="str">
        <f>"063795"</f>
        <v>063795</v>
      </c>
      <c r="C2289" t="str">
        <f>"54425"</f>
        <v>54425</v>
      </c>
      <c r="D2289" t="s">
        <v>1537</v>
      </c>
      <c r="E2289" s="3">
        <v>214.24</v>
      </c>
      <c r="F2289">
        <v>20160608</v>
      </c>
      <c r="G2289" t="s">
        <v>1533</v>
      </c>
      <c r="H2289" t="s">
        <v>1534</v>
      </c>
      <c r="I2289">
        <v>0</v>
      </c>
      <c r="J2289" t="s">
        <v>1512</v>
      </c>
      <c r="K2289" t="s">
        <v>290</v>
      </c>
      <c r="L2289" t="s">
        <v>285</v>
      </c>
      <c r="M2289" t="str">
        <f t="shared" si="128"/>
        <v>06</v>
      </c>
      <c r="N2289" t="s">
        <v>12</v>
      </c>
    </row>
    <row r="2290" spans="1:14" x14ac:dyDescent="0.25">
      <c r="A2290">
        <v>20160610</v>
      </c>
      <c r="B2290" t="str">
        <f>"063821"</f>
        <v>063821</v>
      </c>
      <c r="C2290" t="str">
        <f>"63885"</f>
        <v>63885</v>
      </c>
      <c r="D2290" t="s">
        <v>1538</v>
      </c>
      <c r="E2290" s="3">
        <v>189.2</v>
      </c>
      <c r="F2290">
        <v>20160608</v>
      </c>
      <c r="G2290" t="s">
        <v>1531</v>
      </c>
      <c r="H2290" t="s">
        <v>1532</v>
      </c>
      <c r="I2290">
        <v>0</v>
      </c>
      <c r="J2290" t="s">
        <v>1512</v>
      </c>
      <c r="K2290" t="s">
        <v>290</v>
      </c>
      <c r="L2290" t="s">
        <v>285</v>
      </c>
      <c r="M2290" t="str">
        <f t="shared" si="128"/>
        <v>06</v>
      </c>
      <c r="N2290" t="s">
        <v>12</v>
      </c>
    </row>
    <row r="2291" spans="1:14" x14ac:dyDescent="0.25">
      <c r="A2291">
        <v>20160610</v>
      </c>
      <c r="B2291" t="str">
        <f>"063822"</f>
        <v>063822</v>
      </c>
      <c r="C2291" t="str">
        <f>"64006"</f>
        <v>64006</v>
      </c>
      <c r="D2291" t="s">
        <v>1539</v>
      </c>
      <c r="E2291" s="3">
        <v>75</v>
      </c>
      <c r="F2291">
        <v>20160608</v>
      </c>
      <c r="G2291" t="s">
        <v>1526</v>
      </c>
      <c r="H2291" t="s">
        <v>1527</v>
      </c>
      <c r="I2291">
        <v>0</v>
      </c>
      <c r="J2291" t="s">
        <v>1512</v>
      </c>
      <c r="K2291" t="s">
        <v>290</v>
      </c>
      <c r="L2291" t="s">
        <v>285</v>
      </c>
      <c r="M2291" t="str">
        <f t="shared" si="128"/>
        <v>06</v>
      </c>
      <c r="N2291" t="s">
        <v>12</v>
      </c>
    </row>
    <row r="2292" spans="1:14" x14ac:dyDescent="0.25">
      <c r="A2292">
        <v>20160610</v>
      </c>
      <c r="B2292" t="str">
        <f>"063822"</f>
        <v>063822</v>
      </c>
      <c r="C2292" t="str">
        <f>"64006"</f>
        <v>64006</v>
      </c>
      <c r="D2292" t="s">
        <v>1539</v>
      </c>
      <c r="E2292" s="3">
        <v>75</v>
      </c>
      <c r="F2292">
        <v>20160608</v>
      </c>
      <c r="G2292" t="s">
        <v>1526</v>
      </c>
      <c r="H2292" t="s">
        <v>1527</v>
      </c>
      <c r="I2292">
        <v>0</v>
      </c>
      <c r="J2292" t="s">
        <v>1512</v>
      </c>
      <c r="K2292" t="s">
        <v>290</v>
      </c>
      <c r="L2292" t="s">
        <v>285</v>
      </c>
      <c r="M2292" t="str">
        <f t="shared" si="128"/>
        <v>06</v>
      </c>
      <c r="N2292" t="s">
        <v>12</v>
      </c>
    </row>
    <row r="2293" spans="1:14" x14ac:dyDescent="0.25">
      <c r="A2293">
        <v>20160610</v>
      </c>
      <c r="B2293" t="str">
        <f>"063822"</f>
        <v>063822</v>
      </c>
      <c r="C2293" t="str">
        <f>"64006"</f>
        <v>64006</v>
      </c>
      <c r="D2293" t="s">
        <v>1539</v>
      </c>
      <c r="E2293" s="3">
        <v>75</v>
      </c>
      <c r="F2293">
        <v>20160608</v>
      </c>
      <c r="G2293" t="s">
        <v>1528</v>
      </c>
      <c r="H2293" t="s">
        <v>1529</v>
      </c>
      <c r="I2293">
        <v>0</v>
      </c>
      <c r="J2293" t="s">
        <v>1512</v>
      </c>
      <c r="K2293" t="s">
        <v>290</v>
      </c>
      <c r="L2293" t="s">
        <v>285</v>
      </c>
      <c r="M2293" t="str">
        <f t="shared" si="128"/>
        <v>06</v>
      </c>
      <c r="N2293" t="s">
        <v>12</v>
      </c>
    </row>
    <row r="2294" spans="1:14" x14ac:dyDescent="0.25">
      <c r="A2294">
        <v>20160610</v>
      </c>
      <c r="B2294" t="str">
        <f>"063825"</f>
        <v>063825</v>
      </c>
      <c r="C2294" t="str">
        <f>"64818"</f>
        <v>64818</v>
      </c>
      <c r="D2294" t="s">
        <v>1470</v>
      </c>
      <c r="E2294" s="3">
        <v>50.7</v>
      </c>
      <c r="F2294">
        <v>20160608</v>
      </c>
      <c r="G2294" t="s">
        <v>1526</v>
      </c>
      <c r="H2294" t="s">
        <v>1527</v>
      </c>
      <c r="I2294">
        <v>0</v>
      </c>
      <c r="J2294" t="s">
        <v>1512</v>
      </c>
      <c r="K2294" t="s">
        <v>290</v>
      </c>
      <c r="L2294" t="s">
        <v>285</v>
      </c>
      <c r="M2294" t="str">
        <f t="shared" si="128"/>
        <v>06</v>
      </c>
      <c r="N2294" t="s">
        <v>12</v>
      </c>
    </row>
    <row r="2295" spans="1:14" x14ac:dyDescent="0.25">
      <c r="A2295">
        <v>20160610</v>
      </c>
      <c r="B2295" t="str">
        <f>"063825"</f>
        <v>063825</v>
      </c>
      <c r="C2295" t="str">
        <f>"64818"</f>
        <v>64818</v>
      </c>
      <c r="D2295" t="s">
        <v>1470</v>
      </c>
      <c r="E2295" s="3">
        <v>50.69</v>
      </c>
      <c r="F2295">
        <v>20160608</v>
      </c>
      <c r="G2295" t="s">
        <v>1526</v>
      </c>
      <c r="H2295" t="s">
        <v>1527</v>
      </c>
      <c r="I2295">
        <v>0</v>
      </c>
      <c r="J2295" t="s">
        <v>1512</v>
      </c>
      <c r="K2295" t="s">
        <v>290</v>
      </c>
      <c r="L2295" t="s">
        <v>285</v>
      </c>
      <c r="M2295" t="str">
        <f t="shared" si="128"/>
        <v>06</v>
      </c>
      <c r="N2295" t="s">
        <v>12</v>
      </c>
    </row>
    <row r="2296" spans="1:14" x14ac:dyDescent="0.25">
      <c r="A2296">
        <v>20160610</v>
      </c>
      <c r="B2296" t="str">
        <f>"063827"</f>
        <v>063827</v>
      </c>
      <c r="C2296" t="str">
        <f>"65221"</f>
        <v>65221</v>
      </c>
      <c r="D2296" t="s">
        <v>1540</v>
      </c>
      <c r="E2296" s="3">
        <v>220.54</v>
      </c>
      <c r="F2296">
        <v>20160608</v>
      </c>
      <c r="G2296" t="s">
        <v>1533</v>
      </c>
      <c r="H2296" t="s">
        <v>1534</v>
      </c>
      <c r="I2296">
        <v>0</v>
      </c>
      <c r="J2296" t="s">
        <v>1512</v>
      </c>
      <c r="K2296" t="s">
        <v>290</v>
      </c>
      <c r="L2296" t="s">
        <v>285</v>
      </c>
      <c r="M2296" t="str">
        <f t="shared" si="128"/>
        <v>06</v>
      </c>
      <c r="N2296" t="s">
        <v>12</v>
      </c>
    </row>
    <row r="2297" spans="1:14" x14ac:dyDescent="0.25">
      <c r="A2297">
        <v>20160610</v>
      </c>
      <c r="B2297" t="str">
        <f>"063859"</f>
        <v>063859</v>
      </c>
      <c r="C2297" t="str">
        <f>"84400"</f>
        <v>84400</v>
      </c>
      <c r="D2297" t="s">
        <v>477</v>
      </c>
      <c r="E2297" s="3">
        <v>105.57</v>
      </c>
      <c r="F2297">
        <v>20160608</v>
      </c>
      <c r="G2297" t="s">
        <v>1528</v>
      </c>
      <c r="H2297" t="s">
        <v>1529</v>
      </c>
      <c r="I2297">
        <v>0</v>
      </c>
      <c r="J2297" t="s">
        <v>1512</v>
      </c>
      <c r="K2297" t="s">
        <v>290</v>
      </c>
      <c r="L2297" t="s">
        <v>285</v>
      </c>
      <c r="M2297" t="str">
        <f t="shared" si="128"/>
        <v>06</v>
      </c>
      <c r="N2297" t="s">
        <v>12</v>
      </c>
    </row>
    <row r="2298" spans="1:14" x14ac:dyDescent="0.25">
      <c r="A2298">
        <v>20160610</v>
      </c>
      <c r="B2298" t="str">
        <f>"063859"</f>
        <v>063859</v>
      </c>
      <c r="C2298" t="str">
        <f>"84400"</f>
        <v>84400</v>
      </c>
      <c r="D2298" t="s">
        <v>477</v>
      </c>
      <c r="E2298" s="3">
        <v>110.84</v>
      </c>
      <c r="F2298">
        <v>20160608</v>
      </c>
      <c r="G2298" t="s">
        <v>1528</v>
      </c>
      <c r="H2298" t="s">
        <v>1529</v>
      </c>
      <c r="I2298">
        <v>0</v>
      </c>
      <c r="J2298" t="s">
        <v>1512</v>
      </c>
      <c r="K2298" t="s">
        <v>290</v>
      </c>
      <c r="L2298" t="s">
        <v>285</v>
      </c>
      <c r="M2298" t="str">
        <f t="shared" si="128"/>
        <v>06</v>
      </c>
      <c r="N2298" t="s">
        <v>12</v>
      </c>
    </row>
    <row r="2299" spans="1:14" x14ac:dyDescent="0.25">
      <c r="A2299">
        <v>20160628</v>
      </c>
      <c r="B2299" t="str">
        <f>"064014"</f>
        <v>064014</v>
      </c>
      <c r="C2299" t="str">
        <f>"64818"</f>
        <v>64818</v>
      </c>
      <c r="D2299" t="s">
        <v>1470</v>
      </c>
      <c r="E2299" s="3">
        <v>101.39</v>
      </c>
      <c r="F2299">
        <v>20160628</v>
      </c>
      <c r="G2299" t="s">
        <v>1526</v>
      </c>
      <c r="H2299" t="s">
        <v>1527</v>
      </c>
      <c r="I2299">
        <v>0</v>
      </c>
      <c r="J2299" t="s">
        <v>1512</v>
      </c>
      <c r="K2299" t="s">
        <v>290</v>
      </c>
      <c r="L2299" t="s">
        <v>17</v>
      </c>
      <c r="M2299" t="str">
        <f t="shared" si="128"/>
        <v>06</v>
      </c>
      <c r="N2299" t="s">
        <v>12</v>
      </c>
    </row>
    <row r="2300" spans="1:14" x14ac:dyDescent="0.25">
      <c r="A2300">
        <v>20160715</v>
      </c>
      <c r="B2300" t="str">
        <f>"064074"</f>
        <v>064074</v>
      </c>
      <c r="C2300" t="str">
        <f>"49988"</f>
        <v>49988</v>
      </c>
      <c r="D2300" t="s">
        <v>1536</v>
      </c>
      <c r="E2300" s="3">
        <v>90.47</v>
      </c>
      <c r="F2300">
        <v>20160713</v>
      </c>
      <c r="G2300" t="s">
        <v>1526</v>
      </c>
      <c r="H2300" t="s">
        <v>1527</v>
      </c>
      <c r="I2300">
        <v>0</v>
      </c>
      <c r="J2300" t="s">
        <v>1512</v>
      </c>
      <c r="K2300" t="s">
        <v>290</v>
      </c>
      <c r="L2300" t="s">
        <v>285</v>
      </c>
      <c r="M2300" t="str">
        <f>"07"</f>
        <v>07</v>
      </c>
      <c r="N2300" t="s">
        <v>12</v>
      </c>
    </row>
    <row r="2301" spans="1:14" x14ac:dyDescent="0.25">
      <c r="A2301">
        <v>20150911</v>
      </c>
      <c r="B2301" t="str">
        <f>"060217"</f>
        <v>060217</v>
      </c>
      <c r="C2301" t="str">
        <f>"24208"</f>
        <v>24208</v>
      </c>
      <c r="D2301" t="s">
        <v>1541</v>
      </c>
      <c r="E2301" s="3">
        <v>150</v>
      </c>
      <c r="F2301">
        <v>20150909</v>
      </c>
      <c r="G2301" t="s">
        <v>1542</v>
      </c>
      <c r="H2301" t="s">
        <v>1543</v>
      </c>
      <c r="I2301">
        <v>0</v>
      </c>
      <c r="J2301" t="s">
        <v>1544</v>
      </c>
      <c r="K2301" t="s">
        <v>235</v>
      </c>
      <c r="L2301" t="s">
        <v>285</v>
      </c>
      <c r="M2301" t="str">
        <f t="shared" ref="M2301:M2306" si="129">"09"</f>
        <v>09</v>
      </c>
      <c r="N2301" t="s">
        <v>12</v>
      </c>
    </row>
    <row r="2302" spans="1:14" x14ac:dyDescent="0.25">
      <c r="A2302">
        <v>20150911</v>
      </c>
      <c r="B2302" t="str">
        <f>"060217"</f>
        <v>060217</v>
      </c>
      <c r="C2302" t="str">
        <f>"24208"</f>
        <v>24208</v>
      </c>
      <c r="D2302" t="s">
        <v>1541</v>
      </c>
      <c r="E2302" s="3">
        <v>95</v>
      </c>
      <c r="F2302">
        <v>20150909</v>
      </c>
      <c r="G2302" t="s">
        <v>1542</v>
      </c>
      <c r="H2302" t="s">
        <v>1545</v>
      </c>
      <c r="I2302">
        <v>0</v>
      </c>
      <c r="J2302" t="s">
        <v>1544</v>
      </c>
      <c r="K2302" t="s">
        <v>235</v>
      </c>
      <c r="L2302" t="s">
        <v>285</v>
      </c>
      <c r="M2302" t="str">
        <f t="shared" si="129"/>
        <v>09</v>
      </c>
      <c r="N2302" t="s">
        <v>12</v>
      </c>
    </row>
    <row r="2303" spans="1:14" x14ac:dyDescent="0.25">
      <c r="A2303">
        <v>20150911</v>
      </c>
      <c r="B2303" t="str">
        <f>"060220"</f>
        <v>060220</v>
      </c>
      <c r="C2303" t="str">
        <f>"08134"</f>
        <v>08134</v>
      </c>
      <c r="D2303" t="s">
        <v>1546</v>
      </c>
      <c r="E2303" s="3">
        <v>233.98</v>
      </c>
      <c r="F2303">
        <v>20150909</v>
      </c>
      <c r="G2303" t="s">
        <v>1542</v>
      </c>
      <c r="H2303" t="s">
        <v>1547</v>
      </c>
      <c r="I2303">
        <v>0</v>
      </c>
      <c r="J2303" t="s">
        <v>1544</v>
      </c>
      <c r="K2303" t="s">
        <v>235</v>
      </c>
      <c r="L2303" t="s">
        <v>285</v>
      </c>
      <c r="M2303" t="str">
        <f t="shared" si="129"/>
        <v>09</v>
      </c>
      <c r="N2303" t="s">
        <v>12</v>
      </c>
    </row>
    <row r="2304" spans="1:14" x14ac:dyDescent="0.25">
      <c r="A2304">
        <v>20150911</v>
      </c>
      <c r="B2304" t="str">
        <f>"060220"</f>
        <v>060220</v>
      </c>
      <c r="C2304" t="str">
        <f>"08134"</f>
        <v>08134</v>
      </c>
      <c r="D2304" t="s">
        <v>1546</v>
      </c>
      <c r="E2304" s="3">
        <v>569.98</v>
      </c>
      <c r="F2304">
        <v>20150909</v>
      </c>
      <c r="G2304" t="s">
        <v>1542</v>
      </c>
      <c r="H2304" t="s">
        <v>1548</v>
      </c>
      <c r="I2304">
        <v>0</v>
      </c>
      <c r="J2304" t="s">
        <v>1544</v>
      </c>
      <c r="K2304" t="s">
        <v>235</v>
      </c>
      <c r="L2304" t="s">
        <v>285</v>
      </c>
      <c r="M2304" t="str">
        <f t="shared" si="129"/>
        <v>09</v>
      </c>
      <c r="N2304" t="s">
        <v>12</v>
      </c>
    </row>
    <row r="2305" spans="1:14" x14ac:dyDescent="0.25">
      <c r="A2305">
        <v>20150918</v>
      </c>
      <c r="B2305" t="str">
        <f>"060335"</f>
        <v>060335</v>
      </c>
      <c r="C2305" t="str">
        <f>"56007"</f>
        <v>56007</v>
      </c>
      <c r="D2305" t="s">
        <v>1549</v>
      </c>
      <c r="E2305" s="3">
        <v>4585.5600000000004</v>
      </c>
      <c r="F2305">
        <v>20150917</v>
      </c>
      <c r="G2305" t="s">
        <v>1550</v>
      </c>
      <c r="H2305" t="s">
        <v>1551</v>
      </c>
      <c r="I2305">
        <v>0</v>
      </c>
      <c r="J2305" t="s">
        <v>1544</v>
      </c>
      <c r="K2305" t="s">
        <v>1552</v>
      </c>
      <c r="L2305" t="s">
        <v>285</v>
      </c>
      <c r="M2305" t="str">
        <f t="shared" si="129"/>
        <v>09</v>
      </c>
      <c r="N2305" t="s">
        <v>12</v>
      </c>
    </row>
    <row r="2306" spans="1:14" x14ac:dyDescent="0.25">
      <c r="A2306">
        <v>20150925</v>
      </c>
      <c r="B2306" t="str">
        <f>"060432"</f>
        <v>060432</v>
      </c>
      <c r="C2306" t="str">
        <f>"03710"</f>
        <v>03710</v>
      </c>
      <c r="D2306" t="s">
        <v>1553</v>
      </c>
      <c r="E2306" s="3">
        <v>1102.92</v>
      </c>
      <c r="F2306">
        <v>20150923</v>
      </c>
      <c r="G2306" t="s">
        <v>1542</v>
      </c>
      <c r="H2306" t="s">
        <v>1554</v>
      </c>
      <c r="I2306">
        <v>0</v>
      </c>
      <c r="J2306" t="s">
        <v>1544</v>
      </c>
      <c r="K2306" t="s">
        <v>235</v>
      </c>
      <c r="L2306" t="s">
        <v>285</v>
      </c>
      <c r="M2306" t="str">
        <f t="shared" si="129"/>
        <v>09</v>
      </c>
      <c r="N2306" t="s">
        <v>12</v>
      </c>
    </row>
    <row r="2307" spans="1:14" x14ac:dyDescent="0.25">
      <c r="A2307">
        <v>20151009</v>
      </c>
      <c r="B2307" t="str">
        <f>"060516"</f>
        <v>060516</v>
      </c>
      <c r="C2307" t="str">
        <f>"06509"</f>
        <v>06509</v>
      </c>
      <c r="D2307" t="s">
        <v>1555</v>
      </c>
      <c r="E2307" s="3">
        <v>976</v>
      </c>
      <c r="F2307">
        <v>20151008</v>
      </c>
      <c r="G2307" t="s">
        <v>1556</v>
      </c>
      <c r="H2307" t="s">
        <v>1557</v>
      </c>
      <c r="I2307">
        <v>0</v>
      </c>
      <c r="J2307" t="s">
        <v>1544</v>
      </c>
      <c r="K2307" t="s">
        <v>1558</v>
      </c>
      <c r="L2307" t="s">
        <v>285</v>
      </c>
      <c r="M2307" t="str">
        <f t="shared" ref="M2307:M2321" si="130">"10"</f>
        <v>10</v>
      </c>
      <c r="N2307" t="s">
        <v>12</v>
      </c>
    </row>
    <row r="2308" spans="1:14" x14ac:dyDescent="0.25">
      <c r="A2308">
        <v>20151009</v>
      </c>
      <c r="B2308" t="str">
        <f>"060516"</f>
        <v>060516</v>
      </c>
      <c r="C2308" t="str">
        <f>"06509"</f>
        <v>06509</v>
      </c>
      <c r="D2308" t="s">
        <v>1555</v>
      </c>
      <c r="E2308" s="3">
        <v>849</v>
      </c>
      <c r="F2308">
        <v>20151008</v>
      </c>
      <c r="G2308" t="s">
        <v>1556</v>
      </c>
      <c r="H2308" t="s">
        <v>1559</v>
      </c>
      <c r="I2308">
        <v>0</v>
      </c>
      <c r="J2308" t="s">
        <v>1544</v>
      </c>
      <c r="K2308" t="s">
        <v>1558</v>
      </c>
      <c r="L2308" t="s">
        <v>285</v>
      </c>
      <c r="M2308" t="str">
        <f t="shared" si="130"/>
        <v>10</v>
      </c>
      <c r="N2308" t="s">
        <v>12</v>
      </c>
    </row>
    <row r="2309" spans="1:14" x14ac:dyDescent="0.25">
      <c r="A2309">
        <v>20151009</v>
      </c>
      <c r="B2309" t="str">
        <f>"060516"</f>
        <v>060516</v>
      </c>
      <c r="C2309" t="str">
        <f>"06509"</f>
        <v>06509</v>
      </c>
      <c r="D2309" t="s">
        <v>1555</v>
      </c>
      <c r="E2309" s="3">
        <v>5088</v>
      </c>
      <c r="F2309">
        <v>20151008</v>
      </c>
      <c r="G2309" t="s">
        <v>1556</v>
      </c>
      <c r="H2309" t="s">
        <v>1559</v>
      </c>
      <c r="I2309">
        <v>0</v>
      </c>
      <c r="J2309" t="s">
        <v>1544</v>
      </c>
      <c r="K2309" t="s">
        <v>1558</v>
      </c>
      <c r="L2309" t="s">
        <v>285</v>
      </c>
      <c r="M2309" t="str">
        <f t="shared" si="130"/>
        <v>10</v>
      </c>
      <c r="N2309" t="s">
        <v>12</v>
      </c>
    </row>
    <row r="2310" spans="1:14" x14ac:dyDescent="0.25">
      <c r="A2310">
        <v>20151009</v>
      </c>
      <c r="B2310" t="str">
        <f>"060527"</f>
        <v>060527</v>
      </c>
      <c r="C2310" t="str">
        <f>"16807"</f>
        <v>16807</v>
      </c>
      <c r="D2310" t="s">
        <v>1560</v>
      </c>
      <c r="E2310" s="3">
        <v>139.81</v>
      </c>
      <c r="F2310">
        <v>20151008</v>
      </c>
      <c r="G2310" t="s">
        <v>1556</v>
      </c>
      <c r="H2310" t="s">
        <v>1561</v>
      </c>
      <c r="I2310">
        <v>0</v>
      </c>
      <c r="J2310" t="s">
        <v>1544</v>
      </c>
      <c r="K2310" t="s">
        <v>1558</v>
      </c>
      <c r="L2310" t="s">
        <v>285</v>
      </c>
      <c r="M2310" t="str">
        <f t="shared" si="130"/>
        <v>10</v>
      </c>
      <c r="N2310" t="s">
        <v>12</v>
      </c>
    </row>
    <row r="2311" spans="1:14" x14ac:dyDescent="0.25">
      <c r="A2311">
        <v>20151009</v>
      </c>
      <c r="B2311" t="str">
        <f>"060527"</f>
        <v>060527</v>
      </c>
      <c r="C2311" t="str">
        <f>"16807"</f>
        <v>16807</v>
      </c>
      <c r="D2311" t="s">
        <v>1560</v>
      </c>
      <c r="E2311" s="3">
        <v>191.21</v>
      </c>
      <c r="F2311">
        <v>20151008</v>
      </c>
      <c r="G2311" t="s">
        <v>1556</v>
      </c>
      <c r="H2311" t="s">
        <v>1562</v>
      </c>
      <c r="I2311">
        <v>0</v>
      </c>
      <c r="J2311" t="s">
        <v>1544</v>
      </c>
      <c r="K2311" t="s">
        <v>1558</v>
      </c>
      <c r="L2311" t="s">
        <v>285</v>
      </c>
      <c r="M2311" t="str">
        <f t="shared" si="130"/>
        <v>10</v>
      </c>
      <c r="N2311" t="s">
        <v>12</v>
      </c>
    </row>
    <row r="2312" spans="1:14" x14ac:dyDescent="0.25">
      <c r="A2312">
        <v>20151009</v>
      </c>
      <c r="B2312" t="str">
        <f>"060547"</f>
        <v>060547</v>
      </c>
      <c r="C2312" t="str">
        <f>"25165"</f>
        <v>25165</v>
      </c>
      <c r="D2312" t="s">
        <v>1563</v>
      </c>
      <c r="E2312" s="3">
        <v>1033.6400000000001</v>
      </c>
      <c r="F2312">
        <v>20151008</v>
      </c>
      <c r="G2312" t="s">
        <v>1556</v>
      </c>
      <c r="H2312" t="s">
        <v>1564</v>
      </c>
      <c r="I2312">
        <v>0</v>
      </c>
      <c r="J2312" t="s">
        <v>1544</v>
      </c>
      <c r="K2312" t="s">
        <v>1558</v>
      </c>
      <c r="L2312" t="s">
        <v>285</v>
      </c>
      <c r="M2312" t="str">
        <f t="shared" si="130"/>
        <v>10</v>
      </c>
      <c r="N2312" t="s">
        <v>12</v>
      </c>
    </row>
    <row r="2313" spans="1:14" x14ac:dyDescent="0.25">
      <c r="A2313">
        <v>20151016</v>
      </c>
      <c r="B2313" t="str">
        <f>"060715"</f>
        <v>060715</v>
      </c>
      <c r="C2313" t="str">
        <f>"25319"</f>
        <v>25319</v>
      </c>
      <c r="D2313" t="s">
        <v>1565</v>
      </c>
      <c r="E2313" s="3">
        <v>159</v>
      </c>
      <c r="F2313">
        <v>20151015</v>
      </c>
      <c r="G2313" t="s">
        <v>1566</v>
      </c>
      <c r="H2313" t="s">
        <v>1567</v>
      </c>
      <c r="I2313">
        <v>0</v>
      </c>
      <c r="J2313" t="s">
        <v>1544</v>
      </c>
      <c r="K2313" t="s">
        <v>1558</v>
      </c>
      <c r="L2313" t="s">
        <v>285</v>
      </c>
      <c r="M2313" t="str">
        <f t="shared" si="130"/>
        <v>10</v>
      </c>
      <c r="N2313" t="s">
        <v>12</v>
      </c>
    </row>
    <row r="2314" spans="1:14" x14ac:dyDescent="0.25">
      <c r="A2314">
        <v>20151016</v>
      </c>
      <c r="B2314" t="str">
        <f>"060754"</f>
        <v>060754</v>
      </c>
      <c r="C2314" t="str">
        <f>"56007"</f>
        <v>56007</v>
      </c>
      <c r="D2314" t="s">
        <v>1549</v>
      </c>
      <c r="E2314" s="3">
        <v>4585.5600000000004</v>
      </c>
      <c r="F2314">
        <v>20151016</v>
      </c>
      <c r="G2314" t="s">
        <v>1550</v>
      </c>
      <c r="H2314" t="s">
        <v>1551</v>
      </c>
      <c r="I2314">
        <v>0</v>
      </c>
      <c r="J2314" t="s">
        <v>1544</v>
      </c>
      <c r="K2314" t="s">
        <v>1552</v>
      </c>
      <c r="L2314" t="s">
        <v>285</v>
      </c>
      <c r="M2314" t="str">
        <f t="shared" si="130"/>
        <v>10</v>
      </c>
      <c r="N2314" t="s">
        <v>12</v>
      </c>
    </row>
    <row r="2315" spans="1:14" x14ac:dyDescent="0.25">
      <c r="A2315">
        <v>20151016</v>
      </c>
      <c r="B2315" t="str">
        <f>"060781"</f>
        <v>060781</v>
      </c>
      <c r="C2315" t="str">
        <f>"65106"</f>
        <v>65106</v>
      </c>
      <c r="D2315" t="s">
        <v>1568</v>
      </c>
      <c r="E2315" s="3">
        <v>246.62</v>
      </c>
      <c r="F2315">
        <v>20151016</v>
      </c>
      <c r="G2315" t="s">
        <v>1556</v>
      </c>
      <c r="H2315" t="s">
        <v>1569</v>
      </c>
      <c r="I2315">
        <v>0</v>
      </c>
      <c r="J2315" t="s">
        <v>1544</v>
      </c>
      <c r="K2315" t="s">
        <v>1558</v>
      </c>
      <c r="L2315" t="s">
        <v>285</v>
      </c>
      <c r="M2315" t="str">
        <f t="shared" si="130"/>
        <v>10</v>
      </c>
      <c r="N2315" t="s">
        <v>12</v>
      </c>
    </row>
    <row r="2316" spans="1:14" x14ac:dyDescent="0.25">
      <c r="A2316">
        <v>20151016</v>
      </c>
      <c r="B2316" t="str">
        <f>"060781"</f>
        <v>060781</v>
      </c>
      <c r="C2316" t="str">
        <f>"65106"</f>
        <v>65106</v>
      </c>
      <c r="D2316" t="s">
        <v>1568</v>
      </c>
      <c r="E2316" s="3">
        <v>232.7</v>
      </c>
      <c r="F2316">
        <v>20151016</v>
      </c>
      <c r="G2316" t="s">
        <v>1570</v>
      </c>
      <c r="H2316" t="s">
        <v>1571</v>
      </c>
      <c r="I2316">
        <v>0</v>
      </c>
      <c r="J2316" t="s">
        <v>1544</v>
      </c>
      <c r="K2316" t="s">
        <v>1558</v>
      </c>
      <c r="L2316" t="s">
        <v>285</v>
      </c>
      <c r="M2316" t="str">
        <f t="shared" si="130"/>
        <v>10</v>
      </c>
      <c r="N2316" t="s">
        <v>12</v>
      </c>
    </row>
    <row r="2317" spans="1:14" x14ac:dyDescent="0.25">
      <c r="A2317">
        <v>20151023</v>
      </c>
      <c r="B2317" t="str">
        <f>"060813"</f>
        <v>060813</v>
      </c>
      <c r="C2317" t="str">
        <f>"03710"</f>
        <v>03710</v>
      </c>
      <c r="D2317" t="s">
        <v>1553</v>
      </c>
      <c r="E2317" s="3">
        <v>793.55</v>
      </c>
      <c r="F2317">
        <v>20151021</v>
      </c>
      <c r="G2317" t="s">
        <v>1570</v>
      </c>
      <c r="H2317" t="s">
        <v>1572</v>
      </c>
      <c r="I2317">
        <v>0</v>
      </c>
      <c r="J2317" t="s">
        <v>1544</v>
      </c>
      <c r="K2317" t="s">
        <v>1558</v>
      </c>
      <c r="L2317" t="s">
        <v>285</v>
      </c>
      <c r="M2317" t="str">
        <f t="shared" si="130"/>
        <v>10</v>
      </c>
      <c r="N2317" t="s">
        <v>12</v>
      </c>
    </row>
    <row r="2318" spans="1:14" x14ac:dyDescent="0.25">
      <c r="A2318">
        <v>20151023</v>
      </c>
      <c r="B2318" t="str">
        <f>"060853"</f>
        <v>060853</v>
      </c>
      <c r="C2318" t="str">
        <f>"31284"</f>
        <v>31284</v>
      </c>
      <c r="D2318" t="s">
        <v>1573</v>
      </c>
      <c r="E2318" s="3">
        <v>36.33</v>
      </c>
      <c r="F2318">
        <v>20151021</v>
      </c>
      <c r="G2318" t="s">
        <v>1574</v>
      </c>
      <c r="H2318" t="s">
        <v>1575</v>
      </c>
      <c r="I2318">
        <v>0</v>
      </c>
      <c r="J2318" t="s">
        <v>1544</v>
      </c>
      <c r="K2318" t="s">
        <v>1558</v>
      </c>
      <c r="L2318" t="s">
        <v>285</v>
      </c>
      <c r="M2318" t="str">
        <f t="shared" si="130"/>
        <v>10</v>
      </c>
      <c r="N2318" t="s">
        <v>12</v>
      </c>
    </row>
    <row r="2319" spans="1:14" x14ac:dyDescent="0.25">
      <c r="A2319">
        <v>20151023</v>
      </c>
      <c r="B2319" t="str">
        <f>"060858"</f>
        <v>060858</v>
      </c>
      <c r="C2319" t="str">
        <f>"39140"</f>
        <v>39140</v>
      </c>
      <c r="D2319" t="s">
        <v>1576</v>
      </c>
      <c r="E2319" s="3">
        <v>33.11</v>
      </c>
      <c r="F2319">
        <v>20151021</v>
      </c>
      <c r="G2319" t="s">
        <v>1574</v>
      </c>
      <c r="H2319" t="s">
        <v>1575</v>
      </c>
      <c r="I2319">
        <v>0</v>
      </c>
      <c r="J2319" t="s">
        <v>1544</v>
      </c>
      <c r="K2319" t="s">
        <v>1558</v>
      </c>
      <c r="L2319" t="s">
        <v>285</v>
      </c>
      <c r="M2319" t="str">
        <f t="shared" si="130"/>
        <v>10</v>
      </c>
      <c r="N2319" t="s">
        <v>12</v>
      </c>
    </row>
    <row r="2320" spans="1:14" x14ac:dyDescent="0.25">
      <c r="A2320">
        <v>20151023</v>
      </c>
      <c r="B2320" t="str">
        <f>"060870"</f>
        <v>060870</v>
      </c>
      <c r="C2320" t="str">
        <f>"50453"</f>
        <v>50453</v>
      </c>
      <c r="D2320" t="s">
        <v>1577</v>
      </c>
      <c r="E2320" s="3">
        <v>36.64</v>
      </c>
      <c r="F2320">
        <v>20151021</v>
      </c>
      <c r="G2320" t="s">
        <v>1574</v>
      </c>
      <c r="H2320" t="s">
        <v>1575</v>
      </c>
      <c r="I2320">
        <v>0</v>
      </c>
      <c r="J2320" t="s">
        <v>1544</v>
      </c>
      <c r="K2320" t="s">
        <v>1558</v>
      </c>
      <c r="L2320" t="s">
        <v>285</v>
      </c>
      <c r="M2320" t="str">
        <f t="shared" si="130"/>
        <v>10</v>
      </c>
      <c r="N2320" t="s">
        <v>12</v>
      </c>
    </row>
    <row r="2321" spans="1:14" x14ac:dyDescent="0.25">
      <c r="A2321">
        <v>20151023</v>
      </c>
      <c r="B2321" t="str">
        <f>"060873"</f>
        <v>060873</v>
      </c>
      <c r="C2321" t="str">
        <f>"56564"</f>
        <v>56564</v>
      </c>
      <c r="D2321" t="s">
        <v>1578</v>
      </c>
      <c r="E2321" s="3">
        <v>61.42</v>
      </c>
      <c r="F2321">
        <v>20151021</v>
      </c>
      <c r="G2321" t="s">
        <v>1570</v>
      </c>
      <c r="H2321" t="s">
        <v>1579</v>
      </c>
      <c r="I2321">
        <v>0</v>
      </c>
      <c r="J2321" t="s">
        <v>1544</v>
      </c>
      <c r="K2321" t="s">
        <v>1558</v>
      </c>
      <c r="L2321" t="s">
        <v>285</v>
      </c>
      <c r="M2321" t="str">
        <f t="shared" si="130"/>
        <v>10</v>
      </c>
      <c r="N2321" t="s">
        <v>12</v>
      </c>
    </row>
    <row r="2322" spans="1:14" x14ac:dyDescent="0.25">
      <c r="A2322">
        <v>20151106</v>
      </c>
      <c r="B2322" t="str">
        <f>"061004"</f>
        <v>061004</v>
      </c>
      <c r="C2322" t="str">
        <f>"09170"</f>
        <v>09170</v>
      </c>
      <c r="D2322" t="s">
        <v>596</v>
      </c>
      <c r="E2322" s="3">
        <v>433.72</v>
      </c>
      <c r="F2322">
        <v>20151104</v>
      </c>
      <c r="G2322" t="s">
        <v>1574</v>
      </c>
      <c r="H2322" t="s">
        <v>1575</v>
      </c>
      <c r="I2322">
        <v>0</v>
      </c>
      <c r="J2322" t="s">
        <v>1544</v>
      </c>
      <c r="K2322" t="s">
        <v>1558</v>
      </c>
      <c r="L2322" t="s">
        <v>285</v>
      </c>
      <c r="M2322" t="str">
        <f t="shared" ref="M2322:M2336" si="131">"11"</f>
        <v>11</v>
      </c>
      <c r="N2322" t="s">
        <v>12</v>
      </c>
    </row>
    <row r="2323" spans="1:14" x14ac:dyDescent="0.25">
      <c r="A2323">
        <v>20151106</v>
      </c>
      <c r="B2323" t="str">
        <f>"061004"</f>
        <v>061004</v>
      </c>
      <c r="C2323" t="str">
        <f>"09170"</f>
        <v>09170</v>
      </c>
      <c r="D2323" t="s">
        <v>596</v>
      </c>
      <c r="E2323" s="3">
        <v>552</v>
      </c>
      <c r="F2323">
        <v>20151104</v>
      </c>
      <c r="G2323" t="s">
        <v>1566</v>
      </c>
      <c r="H2323" t="s">
        <v>1567</v>
      </c>
      <c r="I2323">
        <v>0</v>
      </c>
      <c r="J2323" t="s">
        <v>1544</v>
      </c>
      <c r="K2323" t="s">
        <v>1558</v>
      </c>
      <c r="L2323" t="s">
        <v>285</v>
      </c>
      <c r="M2323" t="str">
        <f t="shared" si="131"/>
        <v>11</v>
      </c>
      <c r="N2323" t="s">
        <v>12</v>
      </c>
    </row>
    <row r="2324" spans="1:14" x14ac:dyDescent="0.25">
      <c r="A2324">
        <v>20151106</v>
      </c>
      <c r="B2324" t="str">
        <f>"061004"</f>
        <v>061004</v>
      </c>
      <c r="C2324" t="str">
        <f>"09170"</f>
        <v>09170</v>
      </c>
      <c r="D2324" t="s">
        <v>596</v>
      </c>
      <c r="E2324" s="3">
        <v>522.01</v>
      </c>
      <c r="F2324">
        <v>20151104</v>
      </c>
      <c r="G2324" t="s">
        <v>1566</v>
      </c>
      <c r="H2324" t="s">
        <v>1580</v>
      </c>
      <c r="I2324">
        <v>0</v>
      </c>
      <c r="J2324" t="s">
        <v>1544</v>
      </c>
      <c r="K2324" t="s">
        <v>1558</v>
      </c>
      <c r="L2324" t="s">
        <v>285</v>
      </c>
      <c r="M2324" t="str">
        <f t="shared" si="131"/>
        <v>11</v>
      </c>
      <c r="N2324" t="s">
        <v>12</v>
      </c>
    </row>
    <row r="2325" spans="1:14" x14ac:dyDescent="0.25">
      <c r="A2325">
        <v>20151106</v>
      </c>
      <c r="B2325" t="str">
        <f>"061016"</f>
        <v>061016</v>
      </c>
      <c r="C2325" t="str">
        <f>"23974"</f>
        <v>23974</v>
      </c>
      <c r="D2325" t="s">
        <v>1581</v>
      </c>
      <c r="E2325" s="3">
        <v>1600</v>
      </c>
      <c r="F2325">
        <v>20151105</v>
      </c>
      <c r="G2325" t="s">
        <v>1582</v>
      </c>
      <c r="H2325" t="s">
        <v>1583</v>
      </c>
      <c r="I2325">
        <v>0</v>
      </c>
      <c r="J2325" t="s">
        <v>1544</v>
      </c>
      <c r="K2325" t="s">
        <v>95</v>
      </c>
      <c r="L2325" t="s">
        <v>285</v>
      </c>
      <c r="M2325" t="str">
        <f t="shared" si="131"/>
        <v>11</v>
      </c>
      <c r="N2325" t="s">
        <v>12</v>
      </c>
    </row>
    <row r="2326" spans="1:14" x14ac:dyDescent="0.25">
      <c r="A2326">
        <v>20151106</v>
      </c>
      <c r="B2326" t="str">
        <f>"061016"</f>
        <v>061016</v>
      </c>
      <c r="C2326" t="str">
        <f>"23974"</f>
        <v>23974</v>
      </c>
      <c r="D2326" t="s">
        <v>1581</v>
      </c>
      <c r="E2326" s="3">
        <v>9900</v>
      </c>
      <c r="F2326">
        <v>20151105</v>
      </c>
      <c r="G2326" t="s">
        <v>1584</v>
      </c>
      <c r="H2326" t="s">
        <v>1585</v>
      </c>
      <c r="I2326">
        <v>0</v>
      </c>
      <c r="J2326" t="s">
        <v>1544</v>
      </c>
      <c r="K2326" t="s">
        <v>95</v>
      </c>
      <c r="L2326" t="s">
        <v>285</v>
      </c>
      <c r="M2326" t="str">
        <f t="shared" si="131"/>
        <v>11</v>
      </c>
      <c r="N2326" t="s">
        <v>12</v>
      </c>
    </row>
    <row r="2327" spans="1:14" x14ac:dyDescent="0.25">
      <c r="A2327">
        <v>20151106</v>
      </c>
      <c r="B2327" t="str">
        <f>"061019"</f>
        <v>061019</v>
      </c>
      <c r="C2327" t="str">
        <f>"25165"</f>
        <v>25165</v>
      </c>
      <c r="D2327" t="s">
        <v>1563</v>
      </c>
      <c r="E2327" s="3">
        <v>1211.45</v>
      </c>
      <c r="F2327">
        <v>20151103</v>
      </c>
      <c r="G2327" t="s">
        <v>1556</v>
      </c>
      <c r="H2327" t="s">
        <v>1586</v>
      </c>
      <c r="I2327">
        <v>0</v>
      </c>
      <c r="J2327" t="s">
        <v>1544</v>
      </c>
      <c r="K2327" t="s">
        <v>1558</v>
      </c>
      <c r="L2327" t="s">
        <v>285</v>
      </c>
      <c r="M2327" t="str">
        <f t="shared" si="131"/>
        <v>11</v>
      </c>
      <c r="N2327" t="s">
        <v>12</v>
      </c>
    </row>
    <row r="2328" spans="1:14" x14ac:dyDescent="0.25">
      <c r="A2328">
        <v>20151113</v>
      </c>
      <c r="B2328" t="str">
        <f>"061084"</f>
        <v>061084</v>
      </c>
      <c r="C2328" t="str">
        <f>"28654"</f>
        <v>28654</v>
      </c>
      <c r="D2328" t="s">
        <v>1587</v>
      </c>
      <c r="E2328" s="3">
        <v>142.87</v>
      </c>
      <c r="F2328">
        <v>20151112</v>
      </c>
      <c r="G2328" t="s">
        <v>1588</v>
      </c>
      <c r="H2328" t="s">
        <v>1589</v>
      </c>
      <c r="I2328">
        <v>0</v>
      </c>
      <c r="J2328" t="s">
        <v>1544</v>
      </c>
      <c r="K2328" t="s">
        <v>1558</v>
      </c>
      <c r="L2328" t="s">
        <v>285</v>
      </c>
      <c r="M2328" t="str">
        <f t="shared" si="131"/>
        <v>11</v>
      </c>
      <c r="N2328" t="s">
        <v>12</v>
      </c>
    </row>
    <row r="2329" spans="1:14" x14ac:dyDescent="0.25">
      <c r="A2329">
        <v>20151113</v>
      </c>
      <c r="B2329" t="str">
        <f>"061089"</f>
        <v>061089</v>
      </c>
      <c r="C2329" t="str">
        <f>"45158"</f>
        <v>45158</v>
      </c>
      <c r="D2329" t="s">
        <v>1590</v>
      </c>
      <c r="E2329" s="3">
        <v>445.5</v>
      </c>
      <c r="F2329">
        <v>20151112</v>
      </c>
      <c r="G2329" t="s">
        <v>1591</v>
      </c>
      <c r="H2329" t="s">
        <v>1592</v>
      </c>
      <c r="I2329">
        <v>0</v>
      </c>
      <c r="J2329" t="s">
        <v>1544</v>
      </c>
      <c r="K2329" t="s">
        <v>1593</v>
      </c>
      <c r="L2329" t="s">
        <v>285</v>
      </c>
      <c r="M2329" t="str">
        <f t="shared" si="131"/>
        <v>11</v>
      </c>
      <c r="N2329" t="s">
        <v>12</v>
      </c>
    </row>
    <row r="2330" spans="1:14" x14ac:dyDescent="0.25">
      <c r="A2330">
        <v>20151113</v>
      </c>
      <c r="B2330" t="str">
        <f>"061099"</f>
        <v>061099</v>
      </c>
      <c r="C2330" t="str">
        <f>"58174"</f>
        <v>58174</v>
      </c>
      <c r="D2330" t="s">
        <v>1594</v>
      </c>
      <c r="E2330" s="3">
        <v>199.99</v>
      </c>
      <c r="F2330">
        <v>20151112</v>
      </c>
      <c r="G2330" t="s">
        <v>1588</v>
      </c>
      <c r="H2330" t="s">
        <v>1589</v>
      </c>
      <c r="I2330">
        <v>0</v>
      </c>
      <c r="J2330" t="s">
        <v>1544</v>
      </c>
      <c r="K2330" t="s">
        <v>1558</v>
      </c>
      <c r="L2330" t="s">
        <v>285</v>
      </c>
      <c r="M2330" t="str">
        <f t="shared" si="131"/>
        <v>11</v>
      </c>
      <c r="N2330" t="s">
        <v>12</v>
      </c>
    </row>
    <row r="2331" spans="1:14" x14ac:dyDescent="0.25">
      <c r="A2331">
        <v>20151120</v>
      </c>
      <c r="B2331" t="str">
        <f>"061113"</f>
        <v>061113</v>
      </c>
      <c r="C2331" t="str">
        <f>"03710"</f>
        <v>03710</v>
      </c>
      <c r="D2331" t="s">
        <v>1553</v>
      </c>
      <c r="E2331" s="3">
        <v>116.28</v>
      </c>
      <c r="F2331">
        <v>20151118</v>
      </c>
      <c r="G2331" t="s">
        <v>1595</v>
      </c>
      <c r="H2331" t="s">
        <v>595</v>
      </c>
      <c r="I2331">
        <v>0</v>
      </c>
      <c r="J2331" t="s">
        <v>1544</v>
      </c>
      <c r="K2331" t="s">
        <v>1593</v>
      </c>
      <c r="L2331" t="s">
        <v>285</v>
      </c>
      <c r="M2331" t="str">
        <f t="shared" si="131"/>
        <v>11</v>
      </c>
      <c r="N2331" t="s">
        <v>12</v>
      </c>
    </row>
    <row r="2332" spans="1:14" x14ac:dyDescent="0.25">
      <c r="A2332">
        <v>20151120</v>
      </c>
      <c r="B2332" t="str">
        <f>"061153"</f>
        <v>061153</v>
      </c>
      <c r="C2332" t="str">
        <f>"27900"</f>
        <v>27900</v>
      </c>
      <c r="D2332" t="s">
        <v>1596</v>
      </c>
      <c r="E2332" s="3">
        <v>40</v>
      </c>
      <c r="F2332">
        <v>20151119</v>
      </c>
      <c r="G2332" t="s">
        <v>1588</v>
      </c>
      <c r="H2332" t="s">
        <v>1597</v>
      </c>
      <c r="I2332">
        <v>0</v>
      </c>
      <c r="J2332" t="s">
        <v>1544</v>
      </c>
      <c r="K2332" t="s">
        <v>1558</v>
      </c>
      <c r="L2332" t="s">
        <v>285</v>
      </c>
      <c r="M2332" t="str">
        <f t="shared" si="131"/>
        <v>11</v>
      </c>
      <c r="N2332" t="s">
        <v>12</v>
      </c>
    </row>
    <row r="2333" spans="1:14" x14ac:dyDescent="0.25">
      <c r="A2333">
        <v>20151120</v>
      </c>
      <c r="B2333" t="str">
        <f>"061154"</f>
        <v>061154</v>
      </c>
      <c r="C2333" t="str">
        <f>"28680"</f>
        <v>28680</v>
      </c>
      <c r="D2333" t="s">
        <v>422</v>
      </c>
      <c r="E2333" s="3">
        <v>123.98</v>
      </c>
      <c r="F2333">
        <v>20151118</v>
      </c>
      <c r="G2333" t="s">
        <v>1574</v>
      </c>
      <c r="H2333" t="s">
        <v>1598</v>
      </c>
      <c r="I2333">
        <v>0</v>
      </c>
      <c r="J2333" t="s">
        <v>1544</v>
      </c>
      <c r="K2333" t="s">
        <v>1558</v>
      </c>
      <c r="L2333" t="s">
        <v>285</v>
      </c>
      <c r="M2333" t="str">
        <f t="shared" si="131"/>
        <v>11</v>
      </c>
      <c r="N2333" t="s">
        <v>12</v>
      </c>
    </row>
    <row r="2334" spans="1:14" x14ac:dyDescent="0.25">
      <c r="A2334">
        <v>20151120</v>
      </c>
      <c r="B2334" t="str">
        <f>"061154"</f>
        <v>061154</v>
      </c>
      <c r="C2334" t="str">
        <f>"28680"</f>
        <v>28680</v>
      </c>
      <c r="D2334" t="s">
        <v>422</v>
      </c>
      <c r="E2334" s="3">
        <v>123.98</v>
      </c>
      <c r="F2334">
        <v>20151118</v>
      </c>
      <c r="G2334" t="s">
        <v>1574</v>
      </c>
      <c r="H2334" t="s">
        <v>1599</v>
      </c>
      <c r="I2334">
        <v>0</v>
      </c>
      <c r="J2334" t="s">
        <v>1544</v>
      </c>
      <c r="K2334" t="s">
        <v>1558</v>
      </c>
      <c r="L2334" t="s">
        <v>285</v>
      </c>
      <c r="M2334" t="str">
        <f t="shared" si="131"/>
        <v>11</v>
      </c>
      <c r="N2334" t="s">
        <v>12</v>
      </c>
    </row>
    <row r="2335" spans="1:14" x14ac:dyDescent="0.25">
      <c r="A2335">
        <v>20151120</v>
      </c>
      <c r="B2335" t="str">
        <f>"061154"</f>
        <v>061154</v>
      </c>
      <c r="C2335" t="str">
        <f>"28680"</f>
        <v>28680</v>
      </c>
      <c r="D2335" t="s">
        <v>422</v>
      </c>
      <c r="E2335" s="3">
        <v>123.98</v>
      </c>
      <c r="F2335">
        <v>20151118</v>
      </c>
      <c r="G2335" t="s">
        <v>1574</v>
      </c>
      <c r="H2335" t="s">
        <v>1600</v>
      </c>
      <c r="I2335">
        <v>0</v>
      </c>
      <c r="J2335" t="s">
        <v>1544</v>
      </c>
      <c r="K2335" t="s">
        <v>1558</v>
      </c>
      <c r="L2335" t="s">
        <v>285</v>
      </c>
      <c r="M2335" t="str">
        <f t="shared" si="131"/>
        <v>11</v>
      </c>
      <c r="N2335" t="s">
        <v>12</v>
      </c>
    </row>
    <row r="2336" spans="1:14" x14ac:dyDescent="0.25">
      <c r="A2336">
        <v>20151120</v>
      </c>
      <c r="B2336" t="str">
        <f>"061252"</f>
        <v>061252</v>
      </c>
      <c r="C2336" t="str">
        <f>"85890"</f>
        <v>85890</v>
      </c>
      <c r="D2336" t="s">
        <v>1601</v>
      </c>
      <c r="E2336" s="3">
        <v>29.6</v>
      </c>
      <c r="F2336">
        <v>20151118</v>
      </c>
      <c r="G2336" t="s">
        <v>1574</v>
      </c>
      <c r="H2336" t="s">
        <v>1575</v>
      </c>
      <c r="I2336">
        <v>0</v>
      </c>
      <c r="J2336" t="s">
        <v>1544</v>
      </c>
      <c r="K2336" t="s">
        <v>1558</v>
      </c>
      <c r="L2336" t="s">
        <v>285</v>
      </c>
      <c r="M2336" t="str">
        <f t="shared" si="131"/>
        <v>11</v>
      </c>
      <c r="N2336" t="s">
        <v>12</v>
      </c>
    </row>
    <row r="2337" spans="1:14" x14ac:dyDescent="0.25">
      <c r="A2337">
        <v>20151204</v>
      </c>
      <c r="B2337" t="str">
        <f>"061267"</f>
        <v>061267</v>
      </c>
      <c r="C2337" t="str">
        <f>"09170"</f>
        <v>09170</v>
      </c>
      <c r="D2337" t="s">
        <v>596</v>
      </c>
      <c r="E2337" s="3">
        <v>444.35</v>
      </c>
      <c r="F2337">
        <v>20151203</v>
      </c>
      <c r="G2337" t="s">
        <v>1570</v>
      </c>
      <c r="H2337" t="s">
        <v>1602</v>
      </c>
      <c r="I2337">
        <v>0</v>
      </c>
      <c r="J2337" t="s">
        <v>1544</v>
      </c>
      <c r="K2337" t="s">
        <v>1558</v>
      </c>
      <c r="L2337" t="s">
        <v>285</v>
      </c>
      <c r="M2337" t="str">
        <f t="shared" ref="M2337:M2351" si="132">"12"</f>
        <v>12</v>
      </c>
      <c r="N2337" t="s">
        <v>12</v>
      </c>
    </row>
    <row r="2338" spans="1:14" x14ac:dyDescent="0.25">
      <c r="A2338">
        <v>20151204</v>
      </c>
      <c r="B2338" t="str">
        <f>"061267"</f>
        <v>061267</v>
      </c>
      <c r="C2338" t="str">
        <f>"09170"</f>
        <v>09170</v>
      </c>
      <c r="D2338" t="s">
        <v>596</v>
      </c>
      <c r="E2338" s="3">
        <v>1350</v>
      </c>
      <c r="F2338">
        <v>20151203</v>
      </c>
      <c r="G2338" t="s">
        <v>1588</v>
      </c>
      <c r="H2338" t="s">
        <v>1603</v>
      </c>
      <c r="I2338">
        <v>0</v>
      </c>
      <c r="J2338" t="s">
        <v>1544</v>
      </c>
      <c r="K2338" t="s">
        <v>1558</v>
      </c>
      <c r="L2338" t="s">
        <v>285</v>
      </c>
      <c r="M2338" t="str">
        <f t="shared" si="132"/>
        <v>12</v>
      </c>
      <c r="N2338" t="s">
        <v>12</v>
      </c>
    </row>
    <row r="2339" spans="1:14" x14ac:dyDescent="0.25">
      <c r="A2339">
        <v>20151204</v>
      </c>
      <c r="B2339" t="str">
        <f>"061267"</f>
        <v>061267</v>
      </c>
      <c r="C2339" t="str">
        <f>"09170"</f>
        <v>09170</v>
      </c>
      <c r="D2339" t="s">
        <v>596</v>
      </c>
      <c r="E2339" s="3">
        <v>225</v>
      </c>
      <c r="F2339">
        <v>20151203</v>
      </c>
      <c r="G2339" t="s">
        <v>1566</v>
      </c>
      <c r="H2339" t="s">
        <v>1603</v>
      </c>
      <c r="I2339">
        <v>0</v>
      </c>
      <c r="J2339" t="s">
        <v>1544</v>
      </c>
      <c r="K2339" t="s">
        <v>1558</v>
      </c>
      <c r="L2339" t="s">
        <v>285</v>
      </c>
      <c r="M2339" t="str">
        <f t="shared" si="132"/>
        <v>12</v>
      </c>
      <c r="N2339" t="s">
        <v>12</v>
      </c>
    </row>
    <row r="2340" spans="1:14" x14ac:dyDescent="0.25">
      <c r="A2340">
        <v>20151204</v>
      </c>
      <c r="B2340" t="str">
        <f>"061267"</f>
        <v>061267</v>
      </c>
      <c r="C2340" t="str">
        <f>"09170"</f>
        <v>09170</v>
      </c>
      <c r="D2340" t="s">
        <v>596</v>
      </c>
      <c r="E2340" s="3">
        <v>325</v>
      </c>
      <c r="F2340">
        <v>20151203</v>
      </c>
      <c r="G2340" t="s">
        <v>1566</v>
      </c>
      <c r="H2340" t="s">
        <v>1580</v>
      </c>
      <c r="I2340">
        <v>0</v>
      </c>
      <c r="J2340" t="s">
        <v>1544</v>
      </c>
      <c r="K2340" t="s">
        <v>1558</v>
      </c>
      <c r="L2340" t="s">
        <v>285</v>
      </c>
      <c r="M2340" t="str">
        <f t="shared" si="132"/>
        <v>12</v>
      </c>
      <c r="N2340" t="s">
        <v>12</v>
      </c>
    </row>
    <row r="2341" spans="1:14" x14ac:dyDescent="0.25">
      <c r="A2341">
        <v>20151204</v>
      </c>
      <c r="B2341" t="str">
        <f>"061329"</f>
        <v>061329</v>
      </c>
      <c r="C2341" t="str">
        <f>"56007"</f>
        <v>56007</v>
      </c>
      <c r="D2341" t="s">
        <v>1549</v>
      </c>
      <c r="E2341" s="3">
        <v>3493.76</v>
      </c>
      <c r="F2341">
        <v>20151203</v>
      </c>
      <c r="G2341" t="s">
        <v>1550</v>
      </c>
      <c r="H2341" t="s">
        <v>1604</v>
      </c>
      <c r="I2341">
        <v>0</v>
      </c>
      <c r="J2341" t="s">
        <v>1544</v>
      </c>
      <c r="K2341" t="s">
        <v>1552</v>
      </c>
      <c r="L2341" t="s">
        <v>285</v>
      </c>
      <c r="M2341" t="str">
        <f t="shared" si="132"/>
        <v>12</v>
      </c>
      <c r="N2341" t="s">
        <v>12</v>
      </c>
    </row>
    <row r="2342" spans="1:14" x14ac:dyDescent="0.25">
      <c r="A2342">
        <v>20151204</v>
      </c>
      <c r="B2342" t="str">
        <f>"061337"</f>
        <v>061337</v>
      </c>
      <c r="C2342" t="str">
        <f>"58103"</f>
        <v>58103</v>
      </c>
      <c r="D2342" t="s">
        <v>1605</v>
      </c>
      <c r="E2342" s="3">
        <v>75.900000000000006</v>
      </c>
      <c r="F2342">
        <v>20151204</v>
      </c>
      <c r="G2342" t="s">
        <v>1606</v>
      </c>
      <c r="H2342" t="s">
        <v>1607</v>
      </c>
      <c r="I2342">
        <v>0</v>
      </c>
      <c r="J2342" t="s">
        <v>1544</v>
      </c>
      <c r="K2342" t="s">
        <v>290</v>
      </c>
      <c r="L2342" t="s">
        <v>285</v>
      </c>
      <c r="M2342" t="str">
        <f t="shared" si="132"/>
        <v>12</v>
      </c>
      <c r="N2342" t="s">
        <v>12</v>
      </c>
    </row>
    <row r="2343" spans="1:14" x14ac:dyDescent="0.25">
      <c r="A2343">
        <v>20151204</v>
      </c>
      <c r="B2343" t="str">
        <f>"061348"</f>
        <v>061348</v>
      </c>
      <c r="C2343" t="str">
        <f>"69033"</f>
        <v>69033</v>
      </c>
      <c r="D2343" t="s">
        <v>1608</v>
      </c>
      <c r="E2343" s="3">
        <v>1463</v>
      </c>
      <c r="F2343">
        <v>20151204</v>
      </c>
      <c r="G2343" t="s">
        <v>1570</v>
      </c>
      <c r="H2343" t="s">
        <v>1609</v>
      </c>
      <c r="I2343">
        <v>0</v>
      </c>
      <c r="J2343" t="s">
        <v>1544</v>
      </c>
      <c r="K2343" t="s">
        <v>1558</v>
      </c>
      <c r="L2343" t="s">
        <v>285</v>
      </c>
      <c r="M2343" t="str">
        <f t="shared" si="132"/>
        <v>12</v>
      </c>
      <c r="N2343" t="s">
        <v>12</v>
      </c>
    </row>
    <row r="2344" spans="1:14" x14ac:dyDescent="0.25">
      <c r="A2344">
        <v>20151218</v>
      </c>
      <c r="B2344" t="str">
        <f>"061503"</f>
        <v>061503</v>
      </c>
      <c r="C2344" t="str">
        <f>"08876"</f>
        <v>08876</v>
      </c>
      <c r="D2344" t="s">
        <v>1610</v>
      </c>
      <c r="E2344" s="3">
        <v>140</v>
      </c>
      <c r="F2344">
        <v>20151217</v>
      </c>
      <c r="G2344" t="s">
        <v>1588</v>
      </c>
      <c r="H2344" t="s">
        <v>1589</v>
      </c>
      <c r="I2344">
        <v>0</v>
      </c>
      <c r="J2344" t="s">
        <v>1544</v>
      </c>
      <c r="K2344" t="s">
        <v>1558</v>
      </c>
      <c r="L2344" t="s">
        <v>285</v>
      </c>
      <c r="M2344" t="str">
        <f t="shared" si="132"/>
        <v>12</v>
      </c>
      <c r="N2344" t="s">
        <v>12</v>
      </c>
    </row>
    <row r="2345" spans="1:14" x14ac:dyDescent="0.25">
      <c r="A2345">
        <v>20151218</v>
      </c>
      <c r="B2345" t="str">
        <f>"061507"</f>
        <v>061507</v>
      </c>
      <c r="C2345" t="str">
        <f>"10033"</f>
        <v>10033</v>
      </c>
      <c r="D2345" t="s">
        <v>1611</v>
      </c>
      <c r="E2345" s="3">
        <v>87.04</v>
      </c>
      <c r="F2345">
        <v>20151216</v>
      </c>
      <c r="G2345" t="s">
        <v>1595</v>
      </c>
      <c r="H2345" t="s">
        <v>1612</v>
      </c>
      <c r="I2345">
        <v>0</v>
      </c>
      <c r="J2345" t="s">
        <v>1544</v>
      </c>
      <c r="K2345" t="s">
        <v>1593</v>
      </c>
      <c r="L2345" t="s">
        <v>285</v>
      </c>
      <c r="M2345" t="str">
        <f t="shared" si="132"/>
        <v>12</v>
      </c>
      <c r="N2345" t="s">
        <v>12</v>
      </c>
    </row>
    <row r="2346" spans="1:14" x14ac:dyDescent="0.25">
      <c r="A2346">
        <v>20151218</v>
      </c>
      <c r="B2346" t="str">
        <f>"061564"</f>
        <v>061564</v>
      </c>
      <c r="C2346" t="str">
        <f>"56208"</f>
        <v>56208</v>
      </c>
      <c r="D2346" t="s">
        <v>1613</v>
      </c>
      <c r="E2346" s="3">
        <v>18750</v>
      </c>
      <c r="F2346">
        <v>20151217</v>
      </c>
      <c r="G2346" t="s">
        <v>1614</v>
      </c>
      <c r="H2346" t="s">
        <v>1615</v>
      </c>
      <c r="I2346">
        <v>0</v>
      </c>
      <c r="J2346" t="s">
        <v>1544</v>
      </c>
      <c r="K2346" t="s">
        <v>290</v>
      </c>
      <c r="L2346" t="s">
        <v>285</v>
      </c>
      <c r="M2346" t="str">
        <f t="shared" si="132"/>
        <v>12</v>
      </c>
      <c r="N2346" t="s">
        <v>12</v>
      </c>
    </row>
    <row r="2347" spans="1:14" x14ac:dyDescent="0.25">
      <c r="A2347">
        <v>20151218</v>
      </c>
      <c r="B2347" t="str">
        <f>"061564"</f>
        <v>061564</v>
      </c>
      <c r="C2347" t="str">
        <f>"56208"</f>
        <v>56208</v>
      </c>
      <c r="D2347" t="s">
        <v>1613</v>
      </c>
      <c r="E2347" s="3">
        <v>12500</v>
      </c>
      <c r="F2347">
        <v>20151217</v>
      </c>
      <c r="G2347" t="s">
        <v>1616</v>
      </c>
      <c r="H2347" t="s">
        <v>1615</v>
      </c>
      <c r="I2347">
        <v>0</v>
      </c>
      <c r="J2347" t="s">
        <v>1544</v>
      </c>
      <c r="K2347" t="s">
        <v>1558</v>
      </c>
      <c r="L2347" t="s">
        <v>285</v>
      </c>
      <c r="M2347" t="str">
        <f t="shared" si="132"/>
        <v>12</v>
      </c>
      <c r="N2347" t="s">
        <v>12</v>
      </c>
    </row>
    <row r="2348" spans="1:14" x14ac:dyDescent="0.25">
      <c r="A2348">
        <v>20151218</v>
      </c>
      <c r="B2348" t="str">
        <f>"061579"</f>
        <v>061579</v>
      </c>
      <c r="C2348" t="str">
        <f>"45158"</f>
        <v>45158</v>
      </c>
      <c r="D2348" t="s">
        <v>1590</v>
      </c>
      <c r="E2348" s="3">
        <v>445.5</v>
      </c>
      <c r="F2348">
        <v>20151216</v>
      </c>
      <c r="G2348" t="s">
        <v>1566</v>
      </c>
      <c r="H2348" t="s">
        <v>1592</v>
      </c>
      <c r="I2348">
        <v>0</v>
      </c>
      <c r="J2348" t="s">
        <v>1544</v>
      </c>
      <c r="K2348" t="s">
        <v>1558</v>
      </c>
      <c r="L2348" t="s">
        <v>285</v>
      </c>
      <c r="M2348" t="str">
        <f t="shared" si="132"/>
        <v>12</v>
      </c>
      <c r="N2348" t="s">
        <v>12</v>
      </c>
    </row>
    <row r="2349" spans="1:14" x14ac:dyDescent="0.25">
      <c r="A2349">
        <v>20151218</v>
      </c>
      <c r="B2349" t="str">
        <f>"061600"</f>
        <v>061600</v>
      </c>
      <c r="C2349" t="str">
        <f>"54149"</f>
        <v>54149</v>
      </c>
      <c r="D2349" t="s">
        <v>1617</v>
      </c>
      <c r="E2349" s="3">
        <v>363.46</v>
      </c>
      <c r="F2349">
        <v>20151216</v>
      </c>
      <c r="G2349" t="s">
        <v>1570</v>
      </c>
      <c r="H2349" t="s">
        <v>1618</v>
      </c>
      <c r="I2349">
        <v>0</v>
      </c>
      <c r="J2349" t="s">
        <v>1544</v>
      </c>
      <c r="K2349" t="s">
        <v>1558</v>
      </c>
      <c r="L2349" t="s">
        <v>285</v>
      </c>
      <c r="M2349" t="str">
        <f t="shared" si="132"/>
        <v>12</v>
      </c>
      <c r="N2349" t="s">
        <v>12</v>
      </c>
    </row>
    <row r="2350" spans="1:14" x14ac:dyDescent="0.25">
      <c r="A2350">
        <v>20151218</v>
      </c>
      <c r="B2350" t="str">
        <f>"061605"</f>
        <v>061605</v>
      </c>
      <c r="C2350" t="str">
        <f>"56007"</f>
        <v>56007</v>
      </c>
      <c r="D2350" t="s">
        <v>1549</v>
      </c>
      <c r="E2350" s="3">
        <v>3057.04</v>
      </c>
      <c r="F2350">
        <v>20151216</v>
      </c>
      <c r="G2350" t="s">
        <v>1550</v>
      </c>
      <c r="H2350" t="s">
        <v>1619</v>
      </c>
      <c r="I2350">
        <v>0</v>
      </c>
      <c r="J2350" t="s">
        <v>1544</v>
      </c>
      <c r="K2350" t="s">
        <v>1552</v>
      </c>
      <c r="L2350" t="s">
        <v>285</v>
      </c>
      <c r="M2350" t="str">
        <f t="shared" si="132"/>
        <v>12</v>
      </c>
      <c r="N2350" t="s">
        <v>12</v>
      </c>
    </row>
    <row r="2351" spans="1:14" x14ac:dyDescent="0.25">
      <c r="A2351">
        <v>20151218</v>
      </c>
      <c r="B2351" t="str">
        <f>"061624"</f>
        <v>061624</v>
      </c>
      <c r="C2351" t="str">
        <f>"65106"</f>
        <v>65106</v>
      </c>
      <c r="D2351" t="s">
        <v>1568</v>
      </c>
      <c r="E2351" s="3">
        <v>48.88</v>
      </c>
      <c r="F2351">
        <v>20151216</v>
      </c>
      <c r="G2351" t="s">
        <v>1570</v>
      </c>
      <c r="H2351" t="s">
        <v>595</v>
      </c>
      <c r="I2351">
        <v>0</v>
      </c>
      <c r="J2351" t="s">
        <v>1544</v>
      </c>
      <c r="K2351" t="s">
        <v>1558</v>
      </c>
      <c r="L2351" t="s">
        <v>285</v>
      </c>
      <c r="M2351" t="str">
        <f t="shared" si="132"/>
        <v>12</v>
      </c>
      <c r="N2351" t="s">
        <v>12</v>
      </c>
    </row>
    <row r="2352" spans="1:14" x14ac:dyDescent="0.25">
      <c r="A2352">
        <v>20160107</v>
      </c>
      <c r="B2352" t="str">
        <f>"061653"</f>
        <v>061653</v>
      </c>
      <c r="C2352" t="str">
        <f>"56451"</f>
        <v>56451</v>
      </c>
      <c r="D2352" t="s">
        <v>1620</v>
      </c>
      <c r="E2352" s="3">
        <v>395.38</v>
      </c>
      <c r="F2352">
        <v>20160113</v>
      </c>
      <c r="G2352" t="s">
        <v>1591</v>
      </c>
      <c r="H2352" t="s">
        <v>1592</v>
      </c>
      <c r="I2352">
        <v>0</v>
      </c>
      <c r="J2352" t="s">
        <v>1544</v>
      </c>
      <c r="K2352" t="s">
        <v>1593</v>
      </c>
      <c r="L2352" t="s">
        <v>17</v>
      </c>
      <c r="M2352" t="str">
        <f t="shared" ref="M2352:M2362" si="133">"01"</f>
        <v>01</v>
      </c>
      <c r="N2352" t="s">
        <v>12</v>
      </c>
    </row>
    <row r="2353" spans="1:14" x14ac:dyDescent="0.25">
      <c r="A2353">
        <v>20160107</v>
      </c>
      <c r="B2353" t="str">
        <f>"061654"</f>
        <v>061654</v>
      </c>
      <c r="C2353" t="str">
        <f>"56451"</f>
        <v>56451</v>
      </c>
      <c r="D2353" t="s">
        <v>1620</v>
      </c>
      <c r="E2353" s="3">
        <v>395.38</v>
      </c>
      <c r="F2353">
        <v>20160113</v>
      </c>
      <c r="G2353" t="s">
        <v>1566</v>
      </c>
      <c r="H2353" t="s">
        <v>1592</v>
      </c>
      <c r="I2353">
        <v>0</v>
      </c>
      <c r="J2353" t="s">
        <v>1544</v>
      </c>
      <c r="K2353" t="s">
        <v>1558</v>
      </c>
      <c r="L2353" t="s">
        <v>17</v>
      </c>
      <c r="M2353" t="str">
        <f t="shared" si="133"/>
        <v>01</v>
      </c>
      <c r="N2353" t="s">
        <v>12</v>
      </c>
    </row>
    <row r="2354" spans="1:14" x14ac:dyDescent="0.25">
      <c r="A2354">
        <v>20160113</v>
      </c>
      <c r="B2354" t="str">
        <f>"061754"</f>
        <v>061754</v>
      </c>
      <c r="C2354" t="str">
        <f>"22245"</f>
        <v>22245</v>
      </c>
      <c r="D2354" t="s">
        <v>1621</v>
      </c>
      <c r="E2354" s="3">
        <v>117.72</v>
      </c>
      <c r="F2354">
        <v>20160113</v>
      </c>
      <c r="G2354" t="s">
        <v>1588</v>
      </c>
      <c r="H2354" t="s">
        <v>1603</v>
      </c>
      <c r="I2354">
        <v>0</v>
      </c>
      <c r="J2354" t="s">
        <v>1544</v>
      </c>
      <c r="K2354" t="s">
        <v>1558</v>
      </c>
      <c r="L2354" t="s">
        <v>285</v>
      </c>
      <c r="M2354" t="str">
        <f t="shared" si="133"/>
        <v>01</v>
      </c>
      <c r="N2354" t="s">
        <v>12</v>
      </c>
    </row>
    <row r="2355" spans="1:14" x14ac:dyDescent="0.25">
      <c r="A2355">
        <v>20160113</v>
      </c>
      <c r="B2355" t="str">
        <f>"061754"</f>
        <v>061754</v>
      </c>
      <c r="C2355" t="str">
        <f>"22245"</f>
        <v>22245</v>
      </c>
      <c r="D2355" t="s">
        <v>1621</v>
      </c>
      <c r="E2355" s="3">
        <v>117.72</v>
      </c>
      <c r="F2355">
        <v>20160113</v>
      </c>
      <c r="G2355" t="s">
        <v>1566</v>
      </c>
      <c r="H2355" t="s">
        <v>1603</v>
      </c>
      <c r="I2355">
        <v>0</v>
      </c>
      <c r="J2355" t="s">
        <v>1544</v>
      </c>
      <c r="K2355" t="s">
        <v>1558</v>
      </c>
      <c r="L2355" t="s">
        <v>285</v>
      </c>
      <c r="M2355" t="str">
        <f t="shared" si="133"/>
        <v>01</v>
      </c>
      <c r="N2355" t="s">
        <v>12</v>
      </c>
    </row>
    <row r="2356" spans="1:14" x14ac:dyDescent="0.25">
      <c r="A2356">
        <v>20160113</v>
      </c>
      <c r="B2356" t="str">
        <f>"061755"</f>
        <v>061755</v>
      </c>
      <c r="C2356" t="str">
        <f>"22245"</f>
        <v>22245</v>
      </c>
      <c r="D2356" t="s">
        <v>1621</v>
      </c>
      <c r="E2356" s="3">
        <v>235.44</v>
      </c>
      <c r="F2356">
        <v>20160113</v>
      </c>
      <c r="G2356" t="s">
        <v>1588</v>
      </c>
      <c r="H2356" t="s">
        <v>1603</v>
      </c>
      <c r="I2356">
        <v>0</v>
      </c>
      <c r="J2356" t="s">
        <v>1544</v>
      </c>
      <c r="K2356" t="s">
        <v>1558</v>
      </c>
      <c r="L2356" t="s">
        <v>285</v>
      </c>
      <c r="M2356" t="str">
        <f t="shared" si="133"/>
        <v>01</v>
      </c>
      <c r="N2356" t="s">
        <v>12</v>
      </c>
    </row>
    <row r="2357" spans="1:14" x14ac:dyDescent="0.25">
      <c r="A2357">
        <v>20160113</v>
      </c>
      <c r="B2357" t="str">
        <f>"061756"</f>
        <v>061756</v>
      </c>
      <c r="C2357" t="str">
        <f>"22245"</f>
        <v>22245</v>
      </c>
      <c r="D2357" t="s">
        <v>1621</v>
      </c>
      <c r="E2357" s="3">
        <v>235.44</v>
      </c>
      <c r="F2357">
        <v>20160113</v>
      </c>
      <c r="G2357" t="s">
        <v>1588</v>
      </c>
      <c r="H2357" t="s">
        <v>1603</v>
      </c>
      <c r="I2357">
        <v>0</v>
      </c>
      <c r="J2357" t="s">
        <v>1544</v>
      </c>
      <c r="K2357" t="s">
        <v>1558</v>
      </c>
      <c r="L2357" t="s">
        <v>285</v>
      </c>
      <c r="M2357" t="str">
        <f t="shared" si="133"/>
        <v>01</v>
      </c>
      <c r="N2357" t="s">
        <v>12</v>
      </c>
    </row>
    <row r="2358" spans="1:14" x14ac:dyDescent="0.25">
      <c r="A2358">
        <v>20160113</v>
      </c>
      <c r="B2358" t="str">
        <f>"061757"</f>
        <v>061757</v>
      </c>
      <c r="C2358" t="str">
        <f>"22245"</f>
        <v>22245</v>
      </c>
      <c r="D2358" t="s">
        <v>1621</v>
      </c>
      <c r="E2358" s="3">
        <v>235.44</v>
      </c>
      <c r="F2358">
        <v>20160113</v>
      </c>
      <c r="G2358" t="s">
        <v>1588</v>
      </c>
      <c r="H2358" t="s">
        <v>1603</v>
      </c>
      <c r="I2358">
        <v>0</v>
      </c>
      <c r="J2358" t="s">
        <v>1544</v>
      </c>
      <c r="K2358" t="s">
        <v>1558</v>
      </c>
      <c r="L2358" t="s">
        <v>285</v>
      </c>
      <c r="M2358" t="str">
        <f t="shared" si="133"/>
        <v>01</v>
      </c>
      <c r="N2358" t="s">
        <v>12</v>
      </c>
    </row>
    <row r="2359" spans="1:14" x14ac:dyDescent="0.25">
      <c r="A2359">
        <v>20160122</v>
      </c>
      <c r="B2359" t="str">
        <f>"061867"</f>
        <v>061867</v>
      </c>
      <c r="C2359" t="str">
        <f>"56007"</f>
        <v>56007</v>
      </c>
      <c r="D2359" t="s">
        <v>1549</v>
      </c>
      <c r="E2359" s="3">
        <v>4148.84</v>
      </c>
      <c r="F2359">
        <v>20160121</v>
      </c>
      <c r="G2359" t="s">
        <v>1550</v>
      </c>
      <c r="H2359" t="s">
        <v>1622</v>
      </c>
      <c r="I2359">
        <v>0</v>
      </c>
      <c r="J2359" t="s">
        <v>1544</v>
      </c>
      <c r="K2359" t="s">
        <v>1552</v>
      </c>
      <c r="L2359" t="s">
        <v>285</v>
      </c>
      <c r="M2359" t="str">
        <f t="shared" si="133"/>
        <v>01</v>
      </c>
      <c r="N2359" t="s">
        <v>12</v>
      </c>
    </row>
    <row r="2360" spans="1:14" x14ac:dyDescent="0.25">
      <c r="A2360">
        <v>20160129</v>
      </c>
      <c r="B2360" t="str">
        <f>"061912"</f>
        <v>061912</v>
      </c>
      <c r="C2360" t="str">
        <f>"03710"</f>
        <v>03710</v>
      </c>
      <c r="D2360" t="s">
        <v>1553</v>
      </c>
      <c r="E2360" s="3">
        <v>433.66</v>
      </c>
      <c r="F2360">
        <v>20160127</v>
      </c>
      <c r="G2360" t="s">
        <v>1595</v>
      </c>
      <c r="H2360" t="s">
        <v>1623</v>
      </c>
      <c r="I2360">
        <v>0</v>
      </c>
      <c r="J2360" t="s">
        <v>1544</v>
      </c>
      <c r="K2360" t="s">
        <v>1593</v>
      </c>
      <c r="L2360" t="s">
        <v>285</v>
      </c>
      <c r="M2360" t="str">
        <f t="shared" si="133"/>
        <v>01</v>
      </c>
      <c r="N2360" t="s">
        <v>12</v>
      </c>
    </row>
    <row r="2361" spans="1:14" x14ac:dyDescent="0.25">
      <c r="A2361">
        <v>20160129</v>
      </c>
      <c r="B2361" t="str">
        <f>"061977"</f>
        <v>061977</v>
      </c>
      <c r="C2361" t="str">
        <f>"50453"</f>
        <v>50453</v>
      </c>
      <c r="D2361" t="s">
        <v>1577</v>
      </c>
      <c r="E2361" s="3">
        <v>232.03</v>
      </c>
      <c r="F2361">
        <v>20160128</v>
      </c>
      <c r="G2361" t="s">
        <v>1566</v>
      </c>
      <c r="H2361" t="s">
        <v>1592</v>
      </c>
      <c r="I2361">
        <v>0</v>
      </c>
      <c r="J2361" t="s">
        <v>1544</v>
      </c>
      <c r="K2361" t="s">
        <v>1558</v>
      </c>
      <c r="L2361" t="s">
        <v>285</v>
      </c>
      <c r="M2361" t="str">
        <f t="shared" si="133"/>
        <v>01</v>
      </c>
      <c r="N2361" t="s">
        <v>12</v>
      </c>
    </row>
    <row r="2362" spans="1:14" x14ac:dyDescent="0.25">
      <c r="A2362">
        <v>20160129</v>
      </c>
      <c r="B2362" t="str">
        <f>"061997"</f>
        <v>061997</v>
      </c>
      <c r="C2362" t="str">
        <f>"60610"</f>
        <v>60610</v>
      </c>
      <c r="D2362" t="s">
        <v>1624</v>
      </c>
      <c r="E2362" s="3">
        <v>211.68</v>
      </c>
      <c r="F2362">
        <v>20160128</v>
      </c>
      <c r="G2362" t="s">
        <v>1591</v>
      </c>
      <c r="H2362" t="s">
        <v>1592</v>
      </c>
      <c r="I2362">
        <v>0</v>
      </c>
      <c r="J2362" t="s">
        <v>1544</v>
      </c>
      <c r="K2362" t="s">
        <v>1593</v>
      </c>
      <c r="L2362" t="s">
        <v>285</v>
      </c>
      <c r="M2362" t="str">
        <f t="shared" si="133"/>
        <v>01</v>
      </c>
      <c r="N2362" t="s">
        <v>12</v>
      </c>
    </row>
    <row r="2363" spans="1:14" x14ac:dyDescent="0.25">
      <c r="A2363">
        <v>20160212</v>
      </c>
      <c r="B2363" t="str">
        <f t="shared" ref="B2363:B2368" si="134">"062288"</f>
        <v>062288</v>
      </c>
      <c r="C2363" t="str">
        <f t="shared" ref="C2363:C2368" si="135">"27900"</f>
        <v>27900</v>
      </c>
      <c r="D2363" t="s">
        <v>1596</v>
      </c>
      <c r="E2363" s="3">
        <v>102.58</v>
      </c>
      <c r="F2363">
        <v>20160211</v>
      </c>
      <c r="G2363" t="s">
        <v>1625</v>
      </c>
      <c r="H2363" t="s">
        <v>1626</v>
      </c>
      <c r="I2363">
        <v>0</v>
      </c>
      <c r="J2363" t="s">
        <v>1544</v>
      </c>
      <c r="K2363" t="s">
        <v>1558</v>
      </c>
      <c r="L2363" t="s">
        <v>285</v>
      </c>
      <c r="M2363" t="str">
        <f t="shared" ref="M2363:M2375" si="136">"02"</f>
        <v>02</v>
      </c>
      <c r="N2363" t="s">
        <v>12</v>
      </c>
    </row>
    <row r="2364" spans="1:14" x14ac:dyDescent="0.25">
      <c r="A2364">
        <v>20160212</v>
      </c>
      <c r="B2364" t="str">
        <f t="shared" si="134"/>
        <v>062288</v>
      </c>
      <c r="C2364" t="str">
        <f t="shared" si="135"/>
        <v>27900</v>
      </c>
      <c r="D2364" t="s">
        <v>1596</v>
      </c>
      <c r="E2364" s="3">
        <v>77.959999999999994</v>
      </c>
      <c r="F2364">
        <v>20160211</v>
      </c>
      <c r="G2364" t="s">
        <v>1625</v>
      </c>
      <c r="H2364" t="s">
        <v>1627</v>
      </c>
      <c r="I2364">
        <v>0</v>
      </c>
      <c r="J2364" t="s">
        <v>1544</v>
      </c>
      <c r="K2364" t="s">
        <v>1558</v>
      </c>
      <c r="L2364" t="s">
        <v>285</v>
      </c>
      <c r="M2364" t="str">
        <f t="shared" si="136"/>
        <v>02</v>
      </c>
      <c r="N2364" t="s">
        <v>12</v>
      </c>
    </row>
    <row r="2365" spans="1:14" x14ac:dyDescent="0.25">
      <c r="A2365">
        <v>20160212</v>
      </c>
      <c r="B2365" t="str">
        <f t="shared" si="134"/>
        <v>062288</v>
      </c>
      <c r="C2365" t="str">
        <f t="shared" si="135"/>
        <v>27900</v>
      </c>
      <c r="D2365" t="s">
        <v>1596</v>
      </c>
      <c r="E2365" s="3">
        <v>172.24</v>
      </c>
      <c r="F2365">
        <v>20160211</v>
      </c>
      <c r="G2365" t="s">
        <v>1625</v>
      </c>
      <c r="H2365" t="s">
        <v>1628</v>
      </c>
      <c r="I2365">
        <v>0</v>
      </c>
      <c r="J2365" t="s">
        <v>1544</v>
      </c>
      <c r="K2365" t="s">
        <v>1558</v>
      </c>
      <c r="L2365" t="s">
        <v>285</v>
      </c>
      <c r="M2365" t="str">
        <f t="shared" si="136"/>
        <v>02</v>
      </c>
      <c r="N2365" t="s">
        <v>12</v>
      </c>
    </row>
    <row r="2366" spans="1:14" x14ac:dyDescent="0.25">
      <c r="A2366">
        <v>20160212</v>
      </c>
      <c r="B2366" t="str">
        <f t="shared" si="134"/>
        <v>062288</v>
      </c>
      <c r="C2366" t="str">
        <f t="shared" si="135"/>
        <v>27900</v>
      </c>
      <c r="D2366" t="s">
        <v>1596</v>
      </c>
      <c r="E2366" s="3">
        <v>63.86</v>
      </c>
      <c r="F2366">
        <v>20160211</v>
      </c>
      <c r="G2366" t="s">
        <v>1625</v>
      </c>
      <c r="H2366" t="s">
        <v>1629</v>
      </c>
      <c r="I2366">
        <v>0</v>
      </c>
      <c r="J2366" t="s">
        <v>1544</v>
      </c>
      <c r="K2366" t="s">
        <v>1558</v>
      </c>
      <c r="L2366" t="s">
        <v>285</v>
      </c>
      <c r="M2366" t="str">
        <f t="shared" si="136"/>
        <v>02</v>
      </c>
      <c r="N2366" t="s">
        <v>12</v>
      </c>
    </row>
    <row r="2367" spans="1:14" x14ac:dyDescent="0.25">
      <c r="A2367">
        <v>20160212</v>
      </c>
      <c r="B2367" t="str">
        <f t="shared" si="134"/>
        <v>062288</v>
      </c>
      <c r="C2367" t="str">
        <f t="shared" si="135"/>
        <v>27900</v>
      </c>
      <c r="D2367" t="s">
        <v>1596</v>
      </c>
      <c r="E2367" s="3">
        <v>250</v>
      </c>
      <c r="F2367">
        <v>20160211</v>
      </c>
      <c r="G2367" t="s">
        <v>1588</v>
      </c>
      <c r="H2367" t="s">
        <v>1630</v>
      </c>
      <c r="I2367">
        <v>0</v>
      </c>
      <c r="J2367" t="s">
        <v>1544</v>
      </c>
      <c r="K2367" t="s">
        <v>1558</v>
      </c>
      <c r="L2367" t="s">
        <v>285</v>
      </c>
      <c r="M2367" t="str">
        <f t="shared" si="136"/>
        <v>02</v>
      </c>
      <c r="N2367" t="s">
        <v>12</v>
      </c>
    </row>
    <row r="2368" spans="1:14" x14ac:dyDescent="0.25">
      <c r="A2368">
        <v>20160212</v>
      </c>
      <c r="B2368" t="str">
        <f t="shared" si="134"/>
        <v>062288</v>
      </c>
      <c r="C2368" t="str">
        <f t="shared" si="135"/>
        <v>27900</v>
      </c>
      <c r="D2368" t="s">
        <v>1596</v>
      </c>
      <c r="E2368" s="3">
        <v>35</v>
      </c>
      <c r="F2368">
        <v>20160211</v>
      </c>
      <c r="G2368" t="s">
        <v>1588</v>
      </c>
      <c r="H2368" t="s">
        <v>1631</v>
      </c>
      <c r="I2368">
        <v>0</v>
      </c>
      <c r="J2368" t="s">
        <v>1544</v>
      </c>
      <c r="K2368" t="s">
        <v>1558</v>
      </c>
      <c r="L2368" t="s">
        <v>285</v>
      </c>
      <c r="M2368" t="str">
        <f t="shared" si="136"/>
        <v>02</v>
      </c>
      <c r="N2368" t="s">
        <v>12</v>
      </c>
    </row>
    <row r="2369" spans="1:14" x14ac:dyDescent="0.25">
      <c r="A2369">
        <v>20160212</v>
      </c>
      <c r="B2369" t="str">
        <f>"062334"</f>
        <v>062334</v>
      </c>
      <c r="C2369" t="str">
        <f>"56007"</f>
        <v>56007</v>
      </c>
      <c r="D2369" t="s">
        <v>1549</v>
      </c>
      <c r="E2369" s="3">
        <v>4585.5600000000004</v>
      </c>
      <c r="F2369">
        <v>20160212</v>
      </c>
      <c r="G2369" t="s">
        <v>1550</v>
      </c>
      <c r="H2369" t="s">
        <v>1551</v>
      </c>
      <c r="I2369">
        <v>0</v>
      </c>
      <c r="J2369" t="s">
        <v>1544</v>
      </c>
      <c r="K2369" t="s">
        <v>1552</v>
      </c>
      <c r="L2369" t="s">
        <v>285</v>
      </c>
      <c r="M2369" t="str">
        <f t="shared" si="136"/>
        <v>02</v>
      </c>
      <c r="N2369" t="s">
        <v>12</v>
      </c>
    </row>
    <row r="2370" spans="1:14" x14ac:dyDescent="0.25">
      <c r="A2370">
        <v>20160219</v>
      </c>
      <c r="B2370" t="str">
        <f>"062387"</f>
        <v>062387</v>
      </c>
      <c r="C2370" t="str">
        <f>"12975"</f>
        <v>12975</v>
      </c>
      <c r="D2370" t="s">
        <v>1632</v>
      </c>
      <c r="E2370" s="3">
        <v>66.14</v>
      </c>
      <c r="F2370">
        <v>20160217</v>
      </c>
      <c r="G2370" t="s">
        <v>1588</v>
      </c>
      <c r="H2370" t="s">
        <v>1603</v>
      </c>
      <c r="I2370">
        <v>0</v>
      </c>
      <c r="J2370" t="s">
        <v>1544</v>
      </c>
      <c r="K2370" t="s">
        <v>1558</v>
      </c>
      <c r="L2370" t="s">
        <v>285</v>
      </c>
      <c r="M2370" t="str">
        <f t="shared" si="136"/>
        <v>02</v>
      </c>
      <c r="N2370" t="s">
        <v>12</v>
      </c>
    </row>
    <row r="2371" spans="1:14" x14ac:dyDescent="0.25">
      <c r="A2371">
        <v>20160219</v>
      </c>
      <c r="B2371" t="str">
        <f>"062425"</f>
        <v>062425</v>
      </c>
      <c r="C2371" t="str">
        <f>"33772"</f>
        <v>33772</v>
      </c>
      <c r="D2371" t="s">
        <v>1365</v>
      </c>
      <c r="E2371" s="3">
        <v>272.47000000000003</v>
      </c>
      <c r="F2371">
        <v>20160217</v>
      </c>
      <c r="G2371" t="s">
        <v>1588</v>
      </c>
      <c r="H2371" t="s">
        <v>1603</v>
      </c>
      <c r="I2371">
        <v>0</v>
      </c>
      <c r="J2371" t="s">
        <v>1544</v>
      </c>
      <c r="K2371" t="s">
        <v>1558</v>
      </c>
      <c r="L2371" t="s">
        <v>285</v>
      </c>
      <c r="M2371" t="str">
        <f t="shared" si="136"/>
        <v>02</v>
      </c>
      <c r="N2371" t="s">
        <v>12</v>
      </c>
    </row>
    <row r="2372" spans="1:14" x14ac:dyDescent="0.25">
      <c r="A2372">
        <v>20160219</v>
      </c>
      <c r="B2372" t="str">
        <f>"062450"</f>
        <v>062450</v>
      </c>
      <c r="C2372" t="str">
        <f>"50453"</f>
        <v>50453</v>
      </c>
      <c r="D2372" t="s">
        <v>1577</v>
      </c>
      <c r="E2372" s="3">
        <v>288.3</v>
      </c>
      <c r="F2372">
        <v>20160217</v>
      </c>
      <c r="G2372" t="s">
        <v>1566</v>
      </c>
      <c r="H2372" t="s">
        <v>1603</v>
      </c>
      <c r="I2372">
        <v>0</v>
      </c>
      <c r="J2372" t="s">
        <v>1544</v>
      </c>
      <c r="K2372" t="s">
        <v>1558</v>
      </c>
      <c r="L2372" t="s">
        <v>285</v>
      </c>
      <c r="M2372" t="str">
        <f t="shared" si="136"/>
        <v>02</v>
      </c>
      <c r="N2372" t="s">
        <v>12</v>
      </c>
    </row>
    <row r="2373" spans="1:14" x14ac:dyDescent="0.25">
      <c r="A2373">
        <v>20160219</v>
      </c>
      <c r="B2373" t="str">
        <f>"062451"</f>
        <v>062451</v>
      </c>
      <c r="C2373" t="str">
        <f>"51600"</f>
        <v>51600</v>
      </c>
      <c r="D2373" t="s">
        <v>1633</v>
      </c>
      <c r="E2373" s="3">
        <v>46.2</v>
      </c>
      <c r="F2373">
        <v>20160217</v>
      </c>
      <c r="G2373" t="s">
        <v>1588</v>
      </c>
      <c r="H2373" t="s">
        <v>1603</v>
      </c>
      <c r="I2373">
        <v>0</v>
      </c>
      <c r="J2373" t="s">
        <v>1544</v>
      </c>
      <c r="K2373" t="s">
        <v>1558</v>
      </c>
      <c r="L2373" t="s">
        <v>285</v>
      </c>
      <c r="M2373" t="str">
        <f t="shared" si="136"/>
        <v>02</v>
      </c>
      <c r="N2373" t="s">
        <v>12</v>
      </c>
    </row>
    <row r="2374" spans="1:14" x14ac:dyDescent="0.25">
      <c r="A2374">
        <v>20160219</v>
      </c>
      <c r="B2374" t="str">
        <f>"062476"</f>
        <v>062476</v>
      </c>
      <c r="C2374" t="str">
        <f>"62686"</f>
        <v>62686</v>
      </c>
      <c r="D2374" t="s">
        <v>1468</v>
      </c>
      <c r="E2374" s="3">
        <v>75</v>
      </c>
      <c r="F2374">
        <v>20160218</v>
      </c>
      <c r="G2374" t="s">
        <v>1588</v>
      </c>
      <c r="H2374" t="s">
        <v>1603</v>
      </c>
      <c r="I2374">
        <v>0</v>
      </c>
      <c r="J2374" t="s">
        <v>1544</v>
      </c>
      <c r="K2374" t="s">
        <v>1558</v>
      </c>
      <c r="L2374" t="s">
        <v>285</v>
      </c>
      <c r="M2374" t="str">
        <f t="shared" si="136"/>
        <v>02</v>
      </c>
      <c r="N2374" t="s">
        <v>12</v>
      </c>
    </row>
    <row r="2375" spans="1:14" x14ac:dyDescent="0.25">
      <c r="A2375">
        <v>20160219</v>
      </c>
      <c r="B2375" t="str">
        <f>"062512"</f>
        <v>062512</v>
      </c>
      <c r="C2375" t="str">
        <f>"85890"</f>
        <v>85890</v>
      </c>
      <c r="D2375" t="s">
        <v>1601</v>
      </c>
      <c r="E2375" s="3">
        <v>31.76</v>
      </c>
      <c r="F2375">
        <v>20160218</v>
      </c>
      <c r="G2375" t="s">
        <v>1588</v>
      </c>
      <c r="H2375" t="s">
        <v>1603</v>
      </c>
      <c r="I2375">
        <v>0</v>
      </c>
      <c r="J2375" t="s">
        <v>1544</v>
      </c>
      <c r="K2375" t="s">
        <v>1558</v>
      </c>
      <c r="L2375" t="s">
        <v>285</v>
      </c>
      <c r="M2375" t="str">
        <f t="shared" si="136"/>
        <v>02</v>
      </c>
      <c r="N2375" t="s">
        <v>12</v>
      </c>
    </row>
    <row r="2376" spans="1:14" x14ac:dyDescent="0.25">
      <c r="A2376">
        <v>20160304</v>
      </c>
      <c r="B2376" t="str">
        <f>"062531"</f>
        <v>062531</v>
      </c>
      <c r="C2376" t="str">
        <f>"09170"</f>
        <v>09170</v>
      </c>
      <c r="D2376" t="s">
        <v>596</v>
      </c>
      <c r="E2376" s="3">
        <v>3118.5</v>
      </c>
      <c r="F2376">
        <v>20160302</v>
      </c>
      <c r="G2376" t="s">
        <v>1588</v>
      </c>
      <c r="H2376" t="s">
        <v>1634</v>
      </c>
      <c r="I2376">
        <v>0</v>
      </c>
      <c r="J2376" t="s">
        <v>1544</v>
      </c>
      <c r="K2376" t="s">
        <v>1558</v>
      </c>
      <c r="L2376" t="s">
        <v>285</v>
      </c>
      <c r="M2376" t="str">
        <f t="shared" ref="M2376:M2387" si="137">"03"</f>
        <v>03</v>
      </c>
      <c r="N2376" t="s">
        <v>12</v>
      </c>
    </row>
    <row r="2377" spans="1:14" x14ac:dyDescent="0.25">
      <c r="A2377">
        <v>20160304</v>
      </c>
      <c r="B2377" t="str">
        <f>"062531"</f>
        <v>062531</v>
      </c>
      <c r="C2377" t="str">
        <f>"09170"</f>
        <v>09170</v>
      </c>
      <c r="D2377" t="s">
        <v>596</v>
      </c>
      <c r="E2377" s="3">
        <v>445.5</v>
      </c>
      <c r="F2377">
        <v>20160302</v>
      </c>
      <c r="G2377" t="s">
        <v>1566</v>
      </c>
      <c r="H2377" t="s">
        <v>1634</v>
      </c>
      <c r="I2377">
        <v>0</v>
      </c>
      <c r="J2377" t="s">
        <v>1544</v>
      </c>
      <c r="K2377" t="s">
        <v>1558</v>
      </c>
      <c r="L2377" t="s">
        <v>285</v>
      </c>
      <c r="M2377" t="str">
        <f t="shared" si="137"/>
        <v>03</v>
      </c>
      <c r="N2377" t="s">
        <v>12</v>
      </c>
    </row>
    <row r="2378" spans="1:14" x14ac:dyDescent="0.25">
      <c r="A2378">
        <v>20160304</v>
      </c>
      <c r="B2378" t="str">
        <f>"062548"</f>
        <v>062548</v>
      </c>
      <c r="C2378" t="str">
        <f>"25165"</f>
        <v>25165</v>
      </c>
      <c r="D2378" t="s">
        <v>1563</v>
      </c>
      <c r="E2378" s="3">
        <v>1211.45</v>
      </c>
      <c r="F2378">
        <v>20160303</v>
      </c>
      <c r="G2378" t="s">
        <v>1635</v>
      </c>
      <c r="H2378" t="s">
        <v>1586</v>
      </c>
      <c r="I2378">
        <v>0</v>
      </c>
      <c r="J2378" t="s">
        <v>1544</v>
      </c>
      <c r="K2378" t="s">
        <v>1593</v>
      </c>
      <c r="L2378" t="s">
        <v>285</v>
      </c>
      <c r="M2378" t="str">
        <f t="shared" si="137"/>
        <v>03</v>
      </c>
      <c r="N2378" t="s">
        <v>12</v>
      </c>
    </row>
    <row r="2379" spans="1:14" x14ac:dyDescent="0.25">
      <c r="A2379">
        <v>20160304</v>
      </c>
      <c r="B2379" t="str">
        <f>"062606"</f>
        <v>062606</v>
      </c>
      <c r="C2379" t="str">
        <f>"49860"</f>
        <v>49860</v>
      </c>
      <c r="D2379" t="s">
        <v>1636</v>
      </c>
      <c r="E2379" s="3">
        <v>640.20000000000005</v>
      </c>
      <c r="F2379">
        <v>20160303</v>
      </c>
      <c r="G2379" t="s">
        <v>1566</v>
      </c>
      <c r="H2379" t="s">
        <v>1637</v>
      </c>
      <c r="I2379">
        <v>0</v>
      </c>
      <c r="J2379" t="s">
        <v>1544</v>
      </c>
      <c r="K2379" t="s">
        <v>1558</v>
      </c>
      <c r="L2379" t="s">
        <v>285</v>
      </c>
      <c r="M2379" t="str">
        <f t="shared" si="137"/>
        <v>03</v>
      </c>
      <c r="N2379" t="s">
        <v>12</v>
      </c>
    </row>
    <row r="2380" spans="1:14" x14ac:dyDescent="0.25">
      <c r="A2380">
        <v>20160311</v>
      </c>
      <c r="B2380" t="str">
        <f>"062650"</f>
        <v>062650</v>
      </c>
      <c r="C2380" t="str">
        <f>"27900"</f>
        <v>27900</v>
      </c>
      <c r="D2380" t="s">
        <v>1596</v>
      </c>
      <c r="E2380" s="3">
        <v>86.8</v>
      </c>
      <c r="F2380">
        <v>20160310</v>
      </c>
      <c r="G2380" t="s">
        <v>1625</v>
      </c>
      <c r="H2380" t="s">
        <v>1638</v>
      </c>
      <c r="I2380">
        <v>0</v>
      </c>
      <c r="J2380" t="s">
        <v>1544</v>
      </c>
      <c r="K2380" t="s">
        <v>1558</v>
      </c>
      <c r="L2380" t="s">
        <v>285</v>
      </c>
      <c r="M2380" t="str">
        <f t="shared" si="137"/>
        <v>03</v>
      </c>
      <c r="N2380" t="s">
        <v>12</v>
      </c>
    </row>
    <row r="2381" spans="1:14" x14ac:dyDescent="0.25">
      <c r="A2381">
        <v>20160311</v>
      </c>
      <c r="B2381" t="str">
        <f>"062650"</f>
        <v>062650</v>
      </c>
      <c r="C2381" t="str">
        <f>"27900"</f>
        <v>27900</v>
      </c>
      <c r="D2381" t="s">
        <v>1596</v>
      </c>
      <c r="E2381" s="3">
        <v>100</v>
      </c>
      <c r="F2381">
        <v>20160310</v>
      </c>
      <c r="G2381" t="s">
        <v>1639</v>
      </c>
      <c r="H2381" t="s">
        <v>1640</v>
      </c>
      <c r="I2381">
        <v>0</v>
      </c>
      <c r="J2381" t="s">
        <v>1544</v>
      </c>
      <c r="K2381" t="s">
        <v>290</v>
      </c>
      <c r="L2381" t="s">
        <v>285</v>
      </c>
      <c r="M2381" t="str">
        <f t="shared" si="137"/>
        <v>03</v>
      </c>
      <c r="N2381" t="s">
        <v>12</v>
      </c>
    </row>
    <row r="2382" spans="1:14" x14ac:dyDescent="0.25">
      <c r="A2382">
        <v>20160311</v>
      </c>
      <c r="B2382" t="str">
        <f>"062650"</f>
        <v>062650</v>
      </c>
      <c r="C2382" t="str">
        <f>"27900"</f>
        <v>27900</v>
      </c>
      <c r="D2382" t="s">
        <v>1596</v>
      </c>
      <c r="E2382" s="3">
        <v>100</v>
      </c>
      <c r="F2382">
        <v>20160310</v>
      </c>
      <c r="G2382" t="s">
        <v>1641</v>
      </c>
      <c r="H2382" t="s">
        <v>1642</v>
      </c>
      <c r="I2382">
        <v>0</v>
      </c>
      <c r="J2382" t="s">
        <v>1544</v>
      </c>
      <c r="K2382" t="s">
        <v>1643</v>
      </c>
      <c r="L2382" t="s">
        <v>285</v>
      </c>
      <c r="M2382" t="str">
        <f t="shared" si="137"/>
        <v>03</v>
      </c>
      <c r="N2382" t="s">
        <v>12</v>
      </c>
    </row>
    <row r="2383" spans="1:14" x14ac:dyDescent="0.25">
      <c r="A2383">
        <v>20160311</v>
      </c>
      <c r="B2383" t="str">
        <f>"062676"</f>
        <v>062676</v>
      </c>
      <c r="C2383" t="str">
        <f>"51600"</f>
        <v>51600</v>
      </c>
      <c r="D2383" t="s">
        <v>1633</v>
      </c>
      <c r="E2383" s="3">
        <v>99</v>
      </c>
      <c r="F2383">
        <v>20160310</v>
      </c>
      <c r="G2383" t="s">
        <v>1570</v>
      </c>
      <c r="H2383" t="s">
        <v>1644</v>
      </c>
      <c r="I2383">
        <v>0</v>
      </c>
      <c r="J2383" t="s">
        <v>1544</v>
      </c>
      <c r="K2383" t="s">
        <v>1558</v>
      </c>
      <c r="L2383" t="s">
        <v>285</v>
      </c>
      <c r="M2383" t="str">
        <f t="shared" si="137"/>
        <v>03</v>
      </c>
      <c r="N2383" t="s">
        <v>12</v>
      </c>
    </row>
    <row r="2384" spans="1:14" x14ac:dyDescent="0.25">
      <c r="A2384">
        <v>20160311</v>
      </c>
      <c r="B2384" t="str">
        <f>"062685"</f>
        <v>062685</v>
      </c>
      <c r="C2384" t="str">
        <f>"56007"</f>
        <v>56007</v>
      </c>
      <c r="D2384" t="s">
        <v>1549</v>
      </c>
      <c r="E2384" s="3">
        <v>3712.12</v>
      </c>
      <c r="F2384">
        <v>20160310</v>
      </c>
      <c r="G2384" t="s">
        <v>1550</v>
      </c>
      <c r="H2384" t="s">
        <v>1645</v>
      </c>
      <c r="I2384">
        <v>0</v>
      </c>
      <c r="J2384" t="s">
        <v>1544</v>
      </c>
      <c r="K2384" t="s">
        <v>1552</v>
      </c>
      <c r="L2384" t="s">
        <v>285</v>
      </c>
      <c r="M2384" t="str">
        <f t="shared" si="137"/>
        <v>03</v>
      </c>
      <c r="N2384" t="s">
        <v>12</v>
      </c>
    </row>
    <row r="2385" spans="1:14" x14ac:dyDescent="0.25">
      <c r="A2385">
        <v>20160318</v>
      </c>
      <c r="B2385" t="str">
        <f>"062739"</f>
        <v>062739</v>
      </c>
      <c r="C2385" t="str">
        <f>"22253"</f>
        <v>22253</v>
      </c>
      <c r="D2385" t="s">
        <v>1646</v>
      </c>
      <c r="E2385" s="3">
        <v>184.65</v>
      </c>
      <c r="F2385">
        <v>20160316</v>
      </c>
      <c r="G2385" t="s">
        <v>1570</v>
      </c>
      <c r="H2385" t="s">
        <v>1647</v>
      </c>
      <c r="I2385">
        <v>0</v>
      </c>
      <c r="J2385" t="s">
        <v>1544</v>
      </c>
      <c r="K2385" t="s">
        <v>1558</v>
      </c>
      <c r="L2385" t="s">
        <v>285</v>
      </c>
      <c r="M2385" t="str">
        <f t="shared" si="137"/>
        <v>03</v>
      </c>
      <c r="N2385" t="s">
        <v>12</v>
      </c>
    </row>
    <row r="2386" spans="1:14" x14ac:dyDescent="0.25">
      <c r="A2386">
        <v>20160318</v>
      </c>
      <c r="B2386" t="str">
        <f>"062739"</f>
        <v>062739</v>
      </c>
      <c r="C2386" t="str">
        <f>"22253"</f>
        <v>22253</v>
      </c>
      <c r="D2386" t="s">
        <v>1646</v>
      </c>
      <c r="E2386" s="3">
        <v>447.25</v>
      </c>
      <c r="F2386">
        <v>20160316</v>
      </c>
      <c r="G2386" t="s">
        <v>1570</v>
      </c>
      <c r="H2386" t="s">
        <v>1647</v>
      </c>
      <c r="I2386">
        <v>0</v>
      </c>
      <c r="J2386" t="s">
        <v>1544</v>
      </c>
      <c r="K2386" t="s">
        <v>1558</v>
      </c>
      <c r="L2386" t="s">
        <v>285</v>
      </c>
      <c r="M2386" t="str">
        <f t="shared" si="137"/>
        <v>03</v>
      </c>
      <c r="N2386" t="s">
        <v>12</v>
      </c>
    </row>
    <row r="2387" spans="1:14" x14ac:dyDescent="0.25">
      <c r="A2387">
        <v>20160331</v>
      </c>
      <c r="B2387" t="str">
        <f>"062911"</f>
        <v>062911</v>
      </c>
      <c r="C2387" t="str">
        <f>"09170"</f>
        <v>09170</v>
      </c>
      <c r="D2387" t="s">
        <v>596</v>
      </c>
      <c r="E2387" s="3">
        <v>445.5</v>
      </c>
      <c r="F2387">
        <v>20160329</v>
      </c>
      <c r="G2387" t="s">
        <v>1591</v>
      </c>
      <c r="H2387" t="s">
        <v>1648</v>
      </c>
      <c r="I2387">
        <v>0</v>
      </c>
      <c r="J2387" t="s">
        <v>1544</v>
      </c>
      <c r="K2387" t="s">
        <v>1593</v>
      </c>
      <c r="L2387" t="s">
        <v>285</v>
      </c>
      <c r="M2387" t="str">
        <f t="shared" si="137"/>
        <v>03</v>
      </c>
      <c r="N2387" t="s">
        <v>12</v>
      </c>
    </row>
    <row r="2388" spans="1:14" x14ac:dyDescent="0.25">
      <c r="A2388">
        <v>20160415</v>
      </c>
      <c r="B2388" t="str">
        <f>"063071"</f>
        <v>063071</v>
      </c>
      <c r="C2388" t="str">
        <f>"28680"</f>
        <v>28680</v>
      </c>
      <c r="D2388" t="s">
        <v>422</v>
      </c>
      <c r="E2388" s="3">
        <v>262.57</v>
      </c>
      <c r="F2388">
        <v>20160412</v>
      </c>
      <c r="G2388" t="s">
        <v>1566</v>
      </c>
      <c r="H2388" t="s">
        <v>1649</v>
      </c>
      <c r="I2388">
        <v>0</v>
      </c>
      <c r="J2388" t="s">
        <v>1544</v>
      </c>
      <c r="K2388" t="s">
        <v>1558</v>
      </c>
      <c r="L2388" t="s">
        <v>285</v>
      </c>
      <c r="M2388" t="str">
        <f>"04"</f>
        <v>04</v>
      </c>
      <c r="N2388" t="s">
        <v>12</v>
      </c>
    </row>
    <row r="2389" spans="1:14" x14ac:dyDescent="0.25">
      <c r="A2389">
        <v>20160415</v>
      </c>
      <c r="B2389" t="str">
        <f>"063121"</f>
        <v>063121</v>
      </c>
      <c r="C2389" t="str">
        <f>"56007"</f>
        <v>56007</v>
      </c>
      <c r="D2389" t="s">
        <v>1549</v>
      </c>
      <c r="E2389" s="3">
        <v>8734.4</v>
      </c>
      <c r="F2389">
        <v>20160413</v>
      </c>
      <c r="G2389" t="s">
        <v>1550</v>
      </c>
      <c r="H2389" t="s">
        <v>1650</v>
      </c>
      <c r="I2389">
        <v>0</v>
      </c>
      <c r="J2389" t="s">
        <v>1544</v>
      </c>
      <c r="K2389" t="s">
        <v>1552</v>
      </c>
      <c r="L2389" t="s">
        <v>285</v>
      </c>
      <c r="M2389" t="str">
        <f>"04"</f>
        <v>04</v>
      </c>
      <c r="N2389" t="s">
        <v>12</v>
      </c>
    </row>
    <row r="2390" spans="1:14" x14ac:dyDescent="0.25">
      <c r="A2390">
        <v>20160429</v>
      </c>
      <c r="B2390" t="str">
        <f>"063281"</f>
        <v>063281</v>
      </c>
      <c r="C2390" t="str">
        <f>"09170"</f>
        <v>09170</v>
      </c>
      <c r="D2390" t="s">
        <v>596</v>
      </c>
      <c r="E2390" s="3">
        <v>445.5</v>
      </c>
      <c r="F2390">
        <v>20160427</v>
      </c>
      <c r="G2390" t="s">
        <v>1588</v>
      </c>
      <c r="H2390" t="s">
        <v>1648</v>
      </c>
      <c r="I2390">
        <v>0</v>
      </c>
      <c r="J2390" t="s">
        <v>1544</v>
      </c>
      <c r="K2390" t="s">
        <v>1558</v>
      </c>
      <c r="L2390" t="s">
        <v>285</v>
      </c>
      <c r="M2390" t="str">
        <f>"04"</f>
        <v>04</v>
      </c>
      <c r="N2390" t="s">
        <v>12</v>
      </c>
    </row>
    <row r="2391" spans="1:14" x14ac:dyDescent="0.25">
      <c r="A2391">
        <v>20160429</v>
      </c>
      <c r="B2391" t="str">
        <f>"063281"</f>
        <v>063281</v>
      </c>
      <c r="C2391" t="str">
        <f>"09170"</f>
        <v>09170</v>
      </c>
      <c r="D2391" t="s">
        <v>596</v>
      </c>
      <c r="E2391" s="3">
        <v>185.98</v>
      </c>
      <c r="F2391">
        <v>20160427</v>
      </c>
      <c r="G2391" t="s">
        <v>1566</v>
      </c>
      <c r="H2391" t="s">
        <v>1651</v>
      </c>
      <c r="I2391">
        <v>0</v>
      </c>
      <c r="J2391" t="s">
        <v>1544</v>
      </c>
      <c r="K2391" t="s">
        <v>1558</v>
      </c>
      <c r="L2391" t="s">
        <v>285</v>
      </c>
      <c r="M2391" t="str">
        <f>"04"</f>
        <v>04</v>
      </c>
      <c r="N2391" t="s">
        <v>12</v>
      </c>
    </row>
    <row r="2392" spans="1:14" x14ac:dyDescent="0.25">
      <c r="A2392">
        <v>20160506</v>
      </c>
      <c r="B2392" t="str">
        <f>"063375"</f>
        <v>063375</v>
      </c>
      <c r="C2392" t="str">
        <f>"37500"</f>
        <v>37500</v>
      </c>
      <c r="D2392" t="s">
        <v>1652</v>
      </c>
      <c r="E2392" s="3">
        <v>27.1</v>
      </c>
      <c r="F2392">
        <v>20160505</v>
      </c>
      <c r="G2392" t="s">
        <v>1606</v>
      </c>
      <c r="H2392" t="s">
        <v>1653</v>
      </c>
      <c r="I2392">
        <v>0</v>
      </c>
      <c r="J2392" t="s">
        <v>1544</v>
      </c>
      <c r="K2392" t="s">
        <v>290</v>
      </c>
      <c r="L2392" t="s">
        <v>285</v>
      </c>
      <c r="M2392" t="str">
        <f>"05"</f>
        <v>05</v>
      </c>
      <c r="N2392" t="s">
        <v>12</v>
      </c>
    </row>
    <row r="2393" spans="1:14" x14ac:dyDescent="0.25">
      <c r="A2393">
        <v>20160520</v>
      </c>
      <c r="B2393" t="str">
        <f>"063556"</f>
        <v>063556</v>
      </c>
      <c r="C2393" t="str">
        <f>"56007"</f>
        <v>56007</v>
      </c>
      <c r="D2393" t="s">
        <v>1549</v>
      </c>
      <c r="E2393" s="3">
        <v>7205.88</v>
      </c>
      <c r="F2393">
        <v>20160519</v>
      </c>
      <c r="G2393" t="s">
        <v>1550</v>
      </c>
      <c r="H2393" t="s">
        <v>1654</v>
      </c>
      <c r="I2393">
        <v>0</v>
      </c>
      <c r="J2393" t="s">
        <v>1544</v>
      </c>
      <c r="K2393" t="s">
        <v>1552</v>
      </c>
      <c r="L2393" t="s">
        <v>285</v>
      </c>
      <c r="M2393" t="str">
        <f>"05"</f>
        <v>05</v>
      </c>
      <c r="N2393" t="s">
        <v>12</v>
      </c>
    </row>
    <row r="2394" spans="1:14" x14ac:dyDescent="0.25">
      <c r="A2394">
        <v>20160610</v>
      </c>
      <c r="B2394" t="str">
        <f>"063711"</f>
        <v>063711</v>
      </c>
      <c r="C2394" t="str">
        <f>"09170"</f>
        <v>09170</v>
      </c>
      <c r="D2394" t="s">
        <v>596</v>
      </c>
      <c r="E2394" s="3">
        <v>454.64</v>
      </c>
      <c r="F2394">
        <v>20160607</v>
      </c>
      <c r="G2394" t="s">
        <v>1570</v>
      </c>
      <c r="H2394" t="s">
        <v>1655</v>
      </c>
      <c r="I2394">
        <v>0</v>
      </c>
      <c r="J2394" t="s">
        <v>1544</v>
      </c>
      <c r="K2394" t="s">
        <v>1558</v>
      </c>
      <c r="L2394" t="s">
        <v>285</v>
      </c>
      <c r="M2394" t="str">
        <f t="shared" ref="M2394:M2403" si="138">"06"</f>
        <v>06</v>
      </c>
      <c r="N2394" t="s">
        <v>12</v>
      </c>
    </row>
    <row r="2395" spans="1:14" x14ac:dyDescent="0.25">
      <c r="A2395">
        <v>20160610</v>
      </c>
      <c r="B2395" t="str">
        <f>"063743"</f>
        <v>063743</v>
      </c>
      <c r="C2395" t="str">
        <f>"24207"</f>
        <v>24207</v>
      </c>
      <c r="D2395" t="s">
        <v>1656</v>
      </c>
      <c r="E2395" s="3">
        <v>2160.15</v>
      </c>
      <c r="F2395">
        <v>20160607</v>
      </c>
      <c r="G2395" t="s">
        <v>1570</v>
      </c>
      <c r="H2395" t="s">
        <v>1657</v>
      </c>
      <c r="I2395">
        <v>0</v>
      </c>
      <c r="J2395" t="s">
        <v>1544</v>
      </c>
      <c r="K2395" t="s">
        <v>1558</v>
      </c>
      <c r="L2395" t="s">
        <v>285</v>
      </c>
      <c r="M2395" t="str">
        <f t="shared" si="138"/>
        <v>06</v>
      </c>
      <c r="N2395" t="s">
        <v>12</v>
      </c>
    </row>
    <row r="2396" spans="1:14" x14ac:dyDescent="0.25">
      <c r="A2396">
        <v>20160610</v>
      </c>
      <c r="B2396" t="str">
        <f>"063801"</f>
        <v>063801</v>
      </c>
      <c r="C2396" t="str">
        <f>"56451"</f>
        <v>56451</v>
      </c>
      <c r="D2396" t="s">
        <v>1620</v>
      </c>
      <c r="E2396" s="3">
        <v>1714.44</v>
      </c>
      <c r="F2396">
        <v>20160608</v>
      </c>
      <c r="G2396" t="s">
        <v>1588</v>
      </c>
      <c r="H2396" t="s">
        <v>1648</v>
      </c>
      <c r="I2396">
        <v>0</v>
      </c>
      <c r="J2396" t="s">
        <v>1544</v>
      </c>
      <c r="K2396" t="s">
        <v>1558</v>
      </c>
      <c r="L2396" t="s">
        <v>285</v>
      </c>
      <c r="M2396" t="str">
        <f t="shared" si="138"/>
        <v>06</v>
      </c>
      <c r="N2396" t="s">
        <v>12</v>
      </c>
    </row>
    <row r="2397" spans="1:14" x14ac:dyDescent="0.25">
      <c r="A2397">
        <v>20160610</v>
      </c>
      <c r="B2397" t="str">
        <f>"063801"</f>
        <v>063801</v>
      </c>
      <c r="C2397" t="str">
        <f>"56451"</f>
        <v>56451</v>
      </c>
      <c r="D2397" t="s">
        <v>1620</v>
      </c>
      <c r="E2397" s="3">
        <v>214.31</v>
      </c>
      <c r="F2397">
        <v>20160608</v>
      </c>
      <c r="G2397" t="s">
        <v>1566</v>
      </c>
      <c r="H2397" t="s">
        <v>1648</v>
      </c>
      <c r="I2397">
        <v>0</v>
      </c>
      <c r="J2397" t="s">
        <v>1544</v>
      </c>
      <c r="K2397" t="s">
        <v>1558</v>
      </c>
      <c r="L2397" t="s">
        <v>285</v>
      </c>
      <c r="M2397" t="str">
        <f t="shared" si="138"/>
        <v>06</v>
      </c>
      <c r="N2397" t="s">
        <v>12</v>
      </c>
    </row>
    <row r="2398" spans="1:14" x14ac:dyDescent="0.25">
      <c r="A2398">
        <v>20160610</v>
      </c>
      <c r="B2398" t="str">
        <f>"063801"</f>
        <v>063801</v>
      </c>
      <c r="C2398" t="str">
        <f>"56451"</f>
        <v>56451</v>
      </c>
      <c r="D2398" t="s">
        <v>1620</v>
      </c>
      <c r="E2398" s="3">
        <v>214.3</v>
      </c>
      <c r="F2398">
        <v>20160608</v>
      </c>
      <c r="G2398" t="s">
        <v>1658</v>
      </c>
      <c r="H2398" t="s">
        <v>1648</v>
      </c>
      <c r="I2398">
        <v>0</v>
      </c>
      <c r="J2398" t="s">
        <v>1544</v>
      </c>
      <c r="K2398" t="s">
        <v>1558</v>
      </c>
      <c r="L2398" t="s">
        <v>285</v>
      </c>
      <c r="M2398" t="str">
        <f t="shared" si="138"/>
        <v>06</v>
      </c>
      <c r="N2398" t="s">
        <v>12</v>
      </c>
    </row>
    <row r="2399" spans="1:14" x14ac:dyDescent="0.25">
      <c r="A2399">
        <v>20160610</v>
      </c>
      <c r="B2399" t="str">
        <f>"063802"</f>
        <v>063802</v>
      </c>
      <c r="C2399" t="str">
        <f>"56451"</f>
        <v>56451</v>
      </c>
      <c r="D2399" t="s">
        <v>1620</v>
      </c>
      <c r="E2399" s="3">
        <v>428.6</v>
      </c>
      <c r="F2399">
        <v>20160608</v>
      </c>
      <c r="G2399" t="s">
        <v>1591</v>
      </c>
      <c r="H2399" t="s">
        <v>1648</v>
      </c>
      <c r="I2399">
        <v>0</v>
      </c>
      <c r="J2399" t="s">
        <v>1544</v>
      </c>
      <c r="K2399" t="s">
        <v>1593</v>
      </c>
      <c r="L2399" t="s">
        <v>285</v>
      </c>
      <c r="M2399" t="str">
        <f t="shared" si="138"/>
        <v>06</v>
      </c>
      <c r="N2399" t="s">
        <v>12</v>
      </c>
    </row>
    <row r="2400" spans="1:14" x14ac:dyDescent="0.25">
      <c r="A2400">
        <v>20160610</v>
      </c>
      <c r="B2400" t="str">
        <f>"063834"</f>
        <v>063834</v>
      </c>
      <c r="C2400" t="str">
        <f>"69033"</f>
        <v>69033</v>
      </c>
      <c r="D2400" t="s">
        <v>1608</v>
      </c>
      <c r="E2400" s="3">
        <v>1188</v>
      </c>
      <c r="F2400">
        <v>20160608</v>
      </c>
      <c r="G2400" t="s">
        <v>1606</v>
      </c>
      <c r="H2400" t="s">
        <v>1659</v>
      </c>
      <c r="I2400">
        <v>0</v>
      </c>
      <c r="J2400" t="s">
        <v>1544</v>
      </c>
      <c r="K2400" t="s">
        <v>290</v>
      </c>
      <c r="L2400" t="s">
        <v>285</v>
      </c>
      <c r="M2400" t="str">
        <f t="shared" si="138"/>
        <v>06</v>
      </c>
      <c r="N2400" t="s">
        <v>12</v>
      </c>
    </row>
    <row r="2401" spans="1:14" x14ac:dyDescent="0.25">
      <c r="A2401">
        <v>20160617</v>
      </c>
      <c r="B2401" t="str">
        <f>"063868"</f>
        <v>063868</v>
      </c>
      <c r="C2401" t="str">
        <f>"16807"</f>
        <v>16807</v>
      </c>
      <c r="D2401" t="s">
        <v>1560</v>
      </c>
      <c r="E2401" s="3">
        <v>79.650000000000006</v>
      </c>
      <c r="F2401">
        <v>20160615</v>
      </c>
      <c r="G2401" t="s">
        <v>1660</v>
      </c>
      <c r="H2401" t="s">
        <v>1661</v>
      </c>
      <c r="I2401">
        <v>0</v>
      </c>
      <c r="J2401" t="s">
        <v>1544</v>
      </c>
      <c r="K2401" t="s">
        <v>95</v>
      </c>
      <c r="L2401" t="s">
        <v>285</v>
      </c>
      <c r="M2401" t="str">
        <f t="shared" si="138"/>
        <v>06</v>
      </c>
      <c r="N2401" t="s">
        <v>12</v>
      </c>
    </row>
    <row r="2402" spans="1:14" x14ac:dyDescent="0.25">
      <c r="A2402">
        <v>20160617</v>
      </c>
      <c r="B2402" t="str">
        <f>"063919"</f>
        <v>063919</v>
      </c>
      <c r="C2402" t="str">
        <f>"65866"</f>
        <v>65866</v>
      </c>
      <c r="D2402" t="s">
        <v>1662</v>
      </c>
      <c r="E2402" s="3">
        <v>6570</v>
      </c>
      <c r="F2402">
        <v>20160615</v>
      </c>
      <c r="G2402" t="s">
        <v>1663</v>
      </c>
      <c r="H2402" t="s">
        <v>1664</v>
      </c>
      <c r="I2402">
        <v>0</v>
      </c>
      <c r="J2402" t="s">
        <v>1544</v>
      </c>
      <c r="K2402" t="s">
        <v>1558</v>
      </c>
      <c r="L2402" t="s">
        <v>285</v>
      </c>
      <c r="M2402" t="str">
        <f t="shared" si="138"/>
        <v>06</v>
      </c>
      <c r="N2402" t="s">
        <v>12</v>
      </c>
    </row>
    <row r="2403" spans="1:14" x14ac:dyDescent="0.25">
      <c r="A2403">
        <v>20160617</v>
      </c>
      <c r="B2403" t="str">
        <f>"063923"</f>
        <v>063923</v>
      </c>
      <c r="C2403" t="str">
        <f>"77400"</f>
        <v>77400</v>
      </c>
      <c r="D2403" t="s">
        <v>1665</v>
      </c>
      <c r="E2403" s="3">
        <v>315.36</v>
      </c>
      <c r="F2403">
        <v>20160615</v>
      </c>
      <c r="G2403" t="s">
        <v>1570</v>
      </c>
      <c r="H2403" t="s">
        <v>1666</v>
      </c>
      <c r="I2403">
        <v>0</v>
      </c>
      <c r="J2403" t="s">
        <v>1544</v>
      </c>
      <c r="K2403" t="s">
        <v>1558</v>
      </c>
      <c r="L2403" t="s">
        <v>285</v>
      </c>
      <c r="M2403" t="str">
        <f t="shared" si="138"/>
        <v>06</v>
      </c>
      <c r="N2403" t="s">
        <v>12</v>
      </c>
    </row>
    <row r="2404" spans="1:14" x14ac:dyDescent="0.25">
      <c r="A2404">
        <v>20160715</v>
      </c>
      <c r="B2404" t="str">
        <f>"064023"</f>
        <v>064023</v>
      </c>
      <c r="C2404" t="str">
        <f>"06509"</f>
        <v>06509</v>
      </c>
      <c r="D2404" t="s">
        <v>1555</v>
      </c>
      <c r="E2404" s="3">
        <v>146</v>
      </c>
      <c r="F2404">
        <v>20160713</v>
      </c>
      <c r="G2404" t="s">
        <v>1667</v>
      </c>
      <c r="H2404" t="s">
        <v>1668</v>
      </c>
      <c r="I2404">
        <v>0</v>
      </c>
      <c r="J2404" t="s">
        <v>1544</v>
      </c>
      <c r="K2404" t="s">
        <v>1558</v>
      </c>
      <c r="L2404" t="s">
        <v>285</v>
      </c>
      <c r="M2404" t="str">
        <f t="shared" ref="M2404:M2418" si="139">"07"</f>
        <v>07</v>
      </c>
      <c r="N2404" t="s">
        <v>12</v>
      </c>
    </row>
    <row r="2405" spans="1:14" x14ac:dyDescent="0.25">
      <c r="A2405">
        <v>20160722</v>
      </c>
      <c r="B2405" t="str">
        <f>"064111"</f>
        <v>064111</v>
      </c>
      <c r="C2405" t="str">
        <f>"08876"</f>
        <v>08876</v>
      </c>
      <c r="D2405" t="s">
        <v>1610</v>
      </c>
      <c r="E2405" s="3">
        <v>60.12</v>
      </c>
      <c r="F2405">
        <v>20160720</v>
      </c>
      <c r="G2405" t="s">
        <v>1588</v>
      </c>
      <c r="H2405" t="s">
        <v>1648</v>
      </c>
      <c r="I2405">
        <v>0</v>
      </c>
      <c r="J2405" t="s">
        <v>1544</v>
      </c>
      <c r="K2405" t="s">
        <v>1558</v>
      </c>
      <c r="L2405" t="s">
        <v>285</v>
      </c>
      <c r="M2405" t="str">
        <f t="shared" si="139"/>
        <v>07</v>
      </c>
      <c r="N2405" t="s">
        <v>12</v>
      </c>
    </row>
    <row r="2406" spans="1:14" x14ac:dyDescent="0.25">
      <c r="A2406">
        <v>20160722</v>
      </c>
      <c r="B2406" t="str">
        <f>"064117"</f>
        <v>064117</v>
      </c>
      <c r="C2406" t="str">
        <f>"12975"</f>
        <v>12975</v>
      </c>
      <c r="D2406" t="s">
        <v>1632</v>
      </c>
      <c r="E2406" s="3">
        <v>84.67</v>
      </c>
      <c r="F2406">
        <v>20160720</v>
      </c>
      <c r="G2406" t="s">
        <v>1588</v>
      </c>
      <c r="H2406" t="s">
        <v>1648</v>
      </c>
      <c r="I2406">
        <v>0</v>
      </c>
      <c r="J2406" t="s">
        <v>1544</v>
      </c>
      <c r="K2406" t="s">
        <v>1558</v>
      </c>
      <c r="L2406" t="s">
        <v>285</v>
      </c>
      <c r="M2406" t="str">
        <f t="shared" si="139"/>
        <v>07</v>
      </c>
      <c r="N2406" t="s">
        <v>12</v>
      </c>
    </row>
    <row r="2407" spans="1:14" x14ac:dyDescent="0.25">
      <c r="A2407">
        <v>20160722</v>
      </c>
      <c r="B2407" t="str">
        <f>"064118"</f>
        <v>064118</v>
      </c>
      <c r="C2407" t="str">
        <f>"14142"</f>
        <v>14142</v>
      </c>
      <c r="D2407" t="s">
        <v>1669</v>
      </c>
      <c r="E2407" s="3">
        <v>33</v>
      </c>
      <c r="F2407">
        <v>20160720</v>
      </c>
      <c r="G2407" t="s">
        <v>1588</v>
      </c>
      <c r="H2407" t="s">
        <v>1648</v>
      </c>
      <c r="I2407">
        <v>0</v>
      </c>
      <c r="J2407" t="s">
        <v>1544</v>
      </c>
      <c r="K2407" t="s">
        <v>1558</v>
      </c>
      <c r="L2407" t="s">
        <v>285</v>
      </c>
      <c r="M2407" t="str">
        <f t="shared" si="139"/>
        <v>07</v>
      </c>
      <c r="N2407" t="s">
        <v>12</v>
      </c>
    </row>
    <row r="2408" spans="1:14" x14ac:dyDescent="0.25">
      <c r="A2408">
        <v>20160722</v>
      </c>
      <c r="B2408" t="str">
        <f>"064122"</f>
        <v>064122</v>
      </c>
      <c r="C2408" t="str">
        <f>"05591"</f>
        <v>05591</v>
      </c>
      <c r="D2408" t="s">
        <v>1670</v>
      </c>
      <c r="E2408" s="3">
        <v>1684.75</v>
      </c>
      <c r="F2408">
        <v>20160720</v>
      </c>
      <c r="G2408" t="s">
        <v>1570</v>
      </c>
      <c r="H2408" t="s">
        <v>1671</v>
      </c>
      <c r="I2408">
        <v>0</v>
      </c>
      <c r="J2408" t="s">
        <v>1544</v>
      </c>
      <c r="K2408" t="s">
        <v>1558</v>
      </c>
      <c r="L2408" t="s">
        <v>285</v>
      </c>
      <c r="M2408" t="str">
        <f t="shared" si="139"/>
        <v>07</v>
      </c>
      <c r="N2408" t="s">
        <v>12</v>
      </c>
    </row>
    <row r="2409" spans="1:14" x14ac:dyDescent="0.25">
      <c r="A2409">
        <v>20160722</v>
      </c>
      <c r="B2409" t="str">
        <f>"064122"</f>
        <v>064122</v>
      </c>
      <c r="C2409" t="str">
        <f>"05591"</f>
        <v>05591</v>
      </c>
      <c r="D2409" t="s">
        <v>1670</v>
      </c>
      <c r="E2409" s="3">
        <v>3900</v>
      </c>
      <c r="F2409">
        <v>20160720</v>
      </c>
      <c r="G2409" t="s">
        <v>1672</v>
      </c>
      <c r="H2409" t="s">
        <v>1671</v>
      </c>
      <c r="I2409">
        <v>0</v>
      </c>
      <c r="J2409" t="s">
        <v>1544</v>
      </c>
      <c r="K2409" t="s">
        <v>1558</v>
      </c>
      <c r="L2409" t="s">
        <v>285</v>
      </c>
      <c r="M2409" t="str">
        <f t="shared" si="139"/>
        <v>07</v>
      </c>
      <c r="N2409" t="s">
        <v>12</v>
      </c>
    </row>
    <row r="2410" spans="1:14" x14ac:dyDescent="0.25">
      <c r="A2410">
        <v>20160722</v>
      </c>
      <c r="B2410" t="str">
        <f>"064125"</f>
        <v>064125</v>
      </c>
      <c r="C2410" t="str">
        <f>"21297"</f>
        <v>21297</v>
      </c>
      <c r="D2410" t="s">
        <v>1673</v>
      </c>
      <c r="E2410" s="3">
        <v>61.35</v>
      </c>
      <c r="F2410">
        <v>20160720</v>
      </c>
      <c r="G2410" t="s">
        <v>1588</v>
      </c>
      <c r="H2410" t="s">
        <v>1648</v>
      </c>
      <c r="I2410">
        <v>0</v>
      </c>
      <c r="J2410" t="s">
        <v>1544</v>
      </c>
      <c r="K2410" t="s">
        <v>1558</v>
      </c>
      <c r="L2410" t="s">
        <v>285</v>
      </c>
      <c r="M2410" t="str">
        <f t="shared" si="139"/>
        <v>07</v>
      </c>
      <c r="N2410" t="s">
        <v>12</v>
      </c>
    </row>
    <row r="2411" spans="1:14" x14ac:dyDescent="0.25">
      <c r="A2411">
        <v>20160722</v>
      </c>
      <c r="B2411" t="str">
        <f>"064157"</f>
        <v>064157</v>
      </c>
      <c r="C2411" t="str">
        <f>"50453"</f>
        <v>50453</v>
      </c>
      <c r="D2411" t="s">
        <v>1577</v>
      </c>
      <c r="E2411" s="3">
        <v>235.22</v>
      </c>
      <c r="F2411">
        <v>20160720</v>
      </c>
      <c r="G2411" t="s">
        <v>1566</v>
      </c>
      <c r="H2411" t="s">
        <v>1648</v>
      </c>
      <c r="I2411">
        <v>0</v>
      </c>
      <c r="J2411" t="s">
        <v>1544</v>
      </c>
      <c r="K2411" t="s">
        <v>1558</v>
      </c>
      <c r="L2411" t="s">
        <v>285</v>
      </c>
      <c r="M2411" t="str">
        <f t="shared" si="139"/>
        <v>07</v>
      </c>
      <c r="N2411" t="s">
        <v>12</v>
      </c>
    </row>
    <row r="2412" spans="1:14" x14ac:dyDescent="0.25">
      <c r="A2412">
        <v>20160722</v>
      </c>
      <c r="B2412" t="str">
        <f>"064160"</f>
        <v>064160</v>
      </c>
      <c r="C2412" t="str">
        <f>"51600"</f>
        <v>51600</v>
      </c>
      <c r="D2412" t="s">
        <v>1633</v>
      </c>
      <c r="E2412" s="3">
        <v>74.83</v>
      </c>
      <c r="F2412">
        <v>20160720</v>
      </c>
      <c r="G2412" t="s">
        <v>1588</v>
      </c>
      <c r="H2412" t="s">
        <v>1648</v>
      </c>
      <c r="I2412">
        <v>0</v>
      </c>
      <c r="J2412" t="s">
        <v>1544</v>
      </c>
      <c r="K2412" t="s">
        <v>1558</v>
      </c>
      <c r="L2412" t="s">
        <v>285</v>
      </c>
      <c r="M2412" t="str">
        <f t="shared" si="139"/>
        <v>07</v>
      </c>
      <c r="N2412" t="s">
        <v>12</v>
      </c>
    </row>
    <row r="2413" spans="1:14" x14ac:dyDescent="0.25">
      <c r="A2413">
        <v>20160722</v>
      </c>
      <c r="B2413" t="str">
        <f>"064169"</f>
        <v>064169</v>
      </c>
      <c r="C2413" t="str">
        <f>"60610"</f>
        <v>60610</v>
      </c>
      <c r="D2413" t="s">
        <v>1624</v>
      </c>
      <c r="E2413" s="3">
        <v>168.72</v>
      </c>
      <c r="F2413">
        <v>20160720</v>
      </c>
      <c r="G2413" t="s">
        <v>1591</v>
      </c>
      <c r="H2413" t="s">
        <v>1648</v>
      </c>
      <c r="I2413">
        <v>0</v>
      </c>
      <c r="J2413" t="s">
        <v>1544</v>
      </c>
      <c r="K2413" t="s">
        <v>1593</v>
      </c>
      <c r="L2413" t="s">
        <v>285</v>
      </c>
      <c r="M2413" t="str">
        <f t="shared" si="139"/>
        <v>07</v>
      </c>
      <c r="N2413" t="s">
        <v>12</v>
      </c>
    </row>
    <row r="2414" spans="1:14" x14ac:dyDescent="0.25">
      <c r="A2414">
        <v>20160722</v>
      </c>
      <c r="B2414" t="str">
        <f>"064175"</f>
        <v>064175</v>
      </c>
      <c r="C2414" t="str">
        <f>"62686"</f>
        <v>62686</v>
      </c>
      <c r="D2414" t="s">
        <v>1468</v>
      </c>
      <c r="E2414" s="3">
        <v>240.76</v>
      </c>
      <c r="F2414">
        <v>20160720</v>
      </c>
      <c r="G2414" t="s">
        <v>1588</v>
      </c>
      <c r="H2414" t="s">
        <v>1648</v>
      </c>
      <c r="I2414">
        <v>0</v>
      </c>
      <c r="J2414" t="s">
        <v>1544</v>
      </c>
      <c r="K2414" t="s">
        <v>1558</v>
      </c>
      <c r="L2414" t="s">
        <v>285</v>
      </c>
      <c r="M2414" t="str">
        <f t="shared" si="139"/>
        <v>07</v>
      </c>
      <c r="N2414" t="s">
        <v>12</v>
      </c>
    </row>
    <row r="2415" spans="1:14" x14ac:dyDescent="0.25">
      <c r="A2415">
        <v>20160722</v>
      </c>
      <c r="B2415" t="str">
        <f>"064180"</f>
        <v>064180</v>
      </c>
      <c r="C2415" t="str">
        <f>"64840"</f>
        <v>64840</v>
      </c>
      <c r="D2415" t="s">
        <v>1470</v>
      </c>
      <c r="E2415" s="3">
        <v>88.08</v>
      </c>
      <c r="F2415">
        <v>20160720</v>
      </c>
      <c r="G2415" t="s">
        <v>1588</v>
      </c>
      <c r="H2415" t="s">
        <v>1648</v>
      </c>
      <c r="I2415">
        <v>0</v>
      </c>
      <c r="J2415" t="s">
        <v>1544</v>
      </c>
      <c r="K2415" t="s">
        <v>1558</v>
      </c>
      <c r="L2415" t="s">
        <v>285</v>
      </c>
      <c r="M2415" t="str">
        <f t="shared" si="139"/>
        <v>07</v>
      </c>
      <c r="N2415" t="s">
        <v>12</v>
      </c>
    </row>
    <row r="2416" spans="1:14" x14ac:dyDescent="0.25">
      <c r="A2416">
        <v>20160722</v>
      </c>
      <c r="B2416" t="str">
        <f>"064181"</f>
        <v>064181</v>
      </c>
      <c r="C2416" t="str">
        <f>"65106"</f>
        <v>65106</v>
      </c>
      <c r="D2416" t="s">
        <v>1568</v>
      </c>
      <c r="E2416" s="3">
        <v>258.68</v>
      </c>
      <c r="F2416">
        <v>20160720</v>
      </c>
      <c r="G2416" t="s">
        <v>1667</v>
      </c>
      <c r="H2416" t="s">
        <v>1674</v>
      </c>
      <c r="I2416">
        <v>0</v>
      </c>
      <c r="J2416" t="s">
        <v>1544</v>
      </c>
      <c r="K2416" t="s">
        <v>1558</v>
      </c>
      <c r="L2416" t="s">
        <v>285</v>
      </c>
      <c r="M2416" t="str">
        <f t="shared" si="139"/>
        <v>07</v>
      </c>
      <c r="N2416" t="s">
        <v>12</v>
      </c>
    </row>
    <row r="2417" spans="1:14" x14ac:dyDescent="0.25">
      <c r="A2417">
        <v>20160729</v>
      </c>
      <c r="B2417" t="str">
        <f>"064233"</f>
        <v>064233</v>
      </c>
      <c r="C2417" t="str">
        <f>"62299"</f>
        <v>62299</v>
      </c>
      <c r="D2417" t="s">
        <v>1675</v>
      </c>
      <c r="E2417" s="3">
        <v>65.22</v>
      </c>
      <c r="F2417">
        <v>20160728</v>
      </c>
      <c r="G2417" t="s">
        <v>1676</v>
      </c>
      <c r="H2417" t="s">
        <v>1677</v>
      </c>
      <c r="I2417">
        <v>0</v>
      </c>
      <c r="J2417" t="s">
        <v>1544</v>
      </c>
      <c r="K2417" t="s">
        <v>1558</v>
      </c>
      <c r="L2417" t="s">
        <v>285</v>
      </c>
      <c r="M2417" t="str">
        <f t="shared" si="139"/>
        <v>07</v>
      </c>
      <c r="N2417" t="s">
        <v>12</v>
      </c>
    </row>
    <row r="2418" spans="1:14" x14ac:dyDescent="0.25">
      <c r="A2418">
        <v>20160729</v>
      </c>
      <c r="B2418" t="str">
        <f>"064245"</f>
        <v>064245</v>
      </c>
      <c r="C2418" t="str">
        <f>"83022"</f>
        <v>83022</v>
      </c>
      <c r="D2418" t="s">
        <v>394</v>
      </c>
      <c r="E2418" s="3">
        <v>369.84</v>
      </c>
      <c r="F2418">
        <v>20160728</v>
      </c>
      <c r="G2418" t="s">
        <v>1570</v>
      </c>
      <c r="H2418" t="s">
        <v>1678</v>
      </c>
      <c r="I2418">
        <v>0</v>
      </c>
      <c r="J2418" t="s">
        <v>1544</v>
      </c>
      <c r="K2418" t="s">
        <v>1558</v>
      </c>
      <c r="L2418" t="s">
        <v>285</v>
      </c>
      <c r="M2418" t="str">
        <f t="shared" si="139"/>
        <v>07</v>
      </c>
      <c r="N2418" t="s">
        <v>12</v>
      </c>
    </row>
    <row r="2419" spans="1:14" x14ac:dyDescent="0.25">
      <c r="A2419">
        <v>20160805</v>
      </c>
      <c r="B2419" t="str">
        <f>"064266"</f>
        <v>064266</v>
      </c>
      <c r="C2419" t="str">
        <f>"05591"</f>
        <v>05591</v>
      </c>
      <c r="D2419" t="s">
        <v>1670</v>
      </c>
      <c r="E2419" s="3">
        <v>1640</v>
      </c>
      <c r="F2419">
        <v>20160804</v>
      </c>
      <c r="G2419" t="s">
        <v>1672</v>
      </c>
      <c r="H2419" t="s">
        <v>1679</v>
      </c>
      <c r="I2419">
        <v>0</v>
      </c>
      <c r="J2419" t="s">
        <v>1544</v>
      </c>
      <c r="K2419" t="s">
        <v>1558</v>
      </c>
      <c r="L2419" t="s">
        <v>285</v>
      </c>
      <c r="M2419" t="str">
        <f t="shared" ref="M2419:M2431" si="140">"08"</f>
        <v>08</v>
      </c>
      <c r="N2419" t="s">
        <v>12</v>
      </c>
    </row>
    <row r="2420" spans="1:14" x14ac:dyDescent="0.25">
      <c r="A2420">
        <v>20160812</v>
      </c>
      <c r="B2420" t="str">
        <f>"064332"</f>
        <v>064332</v>
      </c>
      <c r="C2420" t="str">
        <f>"06509"</f>
        <v>06509</v>
      </c>
      <c r="D2420" t="s">
        <v>1555</v>
      </c>
      <c r="E2420" s="3">
        <v>1011</v>
      </c>
      <c r="F2420">
        <v>20160810</v>
      </c>
      <c r="G2420" t="s">
        <v>1570</v>
      </c>
      <c r="H2420" t="s">
        <v>1680</v>
      </c>
      <c r="I2420">
        <v>0</v>
      </c>
      <c r="J2420" t="s">
        <v>1544</v>
      </c>
      <c r="K2420" t="s">
        <v>1558</v>
      </c>
      <c r="L2420" t="s">
        <v>285</v>
      </c>
      <c r="M2420" t="str">
        <f t="shared" si="140"/>
        <v>08</v>
      </c>
      <c r="N2420" t="s">
        <v>12</v>
      </c>
    </row>
    <row r="2421" spans="1:14" x14ac:dyDescent="0.25">
      <c r="A2421">
        <v>20160812</v>
      </c>
      <c r="B2421" t="str">
        <f>"064350"</f>
        <v>064350</v>
      </c>
      <c r="C2421" t="str">
        <f>"25165"</f>
        <v>25165</v>
      </c>
      <c r="D2421" t="s">
        <v>1563</v>
      </c>
      <c r="E2421" s="3">
        <v>36520</v>
      </c>
      <c r="F2421">
        <v>20160810</v>
      </c>
      <c r="G2421" t="s">
        <v>1681</v>
      </c>
      <c r="H2421" t="s">
        <v>1682</v>
      </c>
      <c r="I2421">
        <v>0</v>
      </c>
      <c r="J2421" t="s">
        <v>1544</v>
      </c>
      <c r="K2421" t="s">
        <v>290</v>
      </c>
      <c r="L2421" t="s">
        <v>285</v>
      </c>
      <c r="M2421" t="str">
        <f t="shared" si="140"/>
        <v>08</v>
      </c>
      <c r="N2421" t="s">
        <v>12</v>
      </c>
    </row>
    <row r="2422" spans="1:14" x14ac:dyDescent="0.25">
      <c r="A2422">
        <v>20160812</v>
      </c>
      <c r="B2422" t="str">
        <f>"064361"</f>
        <v>064361</v>
      </c>
      <c r="C2422" t="str">
        <f>"34680"</f>
        <v>34680</v>
      </c>
      <c r="D2422" t="s">
        <v>1683</v>
      </c>
      <c r="E2422" s="3">
        <v>603.73</v>
      </c>
      <c r="F2422">
        <v>20160811</v>
      </c>
      <c r="G2422" t="s">
        <v>1570</v>
      </c>
      <c r="H2422" t="s">
        <v>1684</v>
      </c>
      <c r="I2422">
        <v>0</v>
      </c>
      <c r="J2422" t="s">
        <v>1544</v>
      </c>
      <c r="K2422" t="s">
        <v>1558</v>
      </c>
      <c r="L2422" t="s">
        <v>285</v>
      </c>
      <c r="M2422" t="str">
        <f t="shared" si="140"/>
        <v>08</v>
      </c>
      <c r="N2422" t="s">
        <v>12</v>
      </c>
    </row>
    <row r="2423" spans="1:14" x14ac:dyDescent="0.25">
      <c r="A2423">
        <v>20160819</v>
      </c>
      <c r="B2423" t="str">
        <f>"064393"</f>
        <v>064393</v>
      </c>
      <c r="C2423" t="str">
        <f>"03710"</f>
        <v>03710</v>
      </c>
      <c r="D2423" t="s">
        <v>1553</v>
      </c>
      <c r="E2423" s="3">
        <v>47.42</v>
      </c>
      <c r="F2423">
        <v>20160817</v>
      </c>
      <c r="G2423" t="s">
        <v>1667</v>
      </c>
      <c r="H2423" t="s">
        <v>1685</v>
      </c>
      <c r="I2423">
        <v>0</v>
      </c>
      <c r="J2423" t="s">
        <v>1544</v>
      </c>
      <c r="K2423" t="s">
        <v>1558</v>
      </c>
      <c r="L2423" t="s">
        <v>285</v>
      </c>
      <c r="M2423" t="str">
        <f t="shared" si="140"/>
        <v>08</v>
      </c>
      <c r="N2423" t="s">
        <v>12</v>
      </c>
    </row>
    <row r="2424" spans="1:14" x14ac:dyDescent="0.25">
      <c r="A2424">
        <v>20160819</v>
      </c>
      <c r="B2424" t="str">
        <f>"064393"</f>
        <v>064393</v>
      </c>
      <c r="C2424" t="str">
        <f>"03710"</f>
        <v>03710</v>
      </c>
      <c r="D2424" t="s">
        <v>1553</v>
      </c>
      <c r="E2424" s="3">
        <v>27</v>
      </c>
      <c r="F2424">
        <v>20160817</v>
      </c>
      <c r="G2424" t="s">
        <v>1570</v>
      </c>
      <c r="H2424" t="s">
        <v>1685</v>
      </c>
      <c r="I2424">
        <v>0</v>
      </c>
      <c r="J2424" t="s">
        <v>1544</v>
      </c>
      <c r="K2424" t="s">
        <v>1558</v>
      </c>
      <c r="L2424" t="s">
        <v>285</v>
      </c>
      <c r="M2424" t="str">
        <f t="shared" si="140"/>
        <v>08</v>
      </c>
      <c r="N2424" t="s">
        <v>12</v>
      </c>
    </row>
    <row r="2425" spans="1:14" x14ac:dyDescent="0.25">
      <c r="A2425">
        <v>20160819</v>
      </c>
      <c r="B2425" t="str">
        <f>"064409"</f>
        <v>064409</v>
      </c>
      <c r="C2425" t="str">
        <f>"16807"</f>
        <v>16807</v>
      </c>
      <c r="D2425" t="s">
        <v>1560</v>
      </c>
      <c r="E2425" s="3">
        <v>2218.5</v>
      </c>
      <c r="F2425">
        <v>20160818</v>
      </c>
      <c r="G2425" t="s">
        <v>1681</v>
      </c>
      <c r="H2425" t="s">
        <v>1686</v>
      </c>
      <c r="I2425">
        <v>0</v>
      </c>
      <c r="J2425" t="s">
        <v>1544</v>
      </c>
      <c r="K2425" t="s">
        <v>290</v>
      </c>
      <c r="L2425" t="s">
        <v>285</v>
      </c>
      <c r="M2425" t="str">
        <f t="shared" si="140"/>
        <v>08</v>
      </c>
      <c r="N2425" t="s">
        <v>12</v>
      </c>
    </row>
    <row r="2426" spans="1:14" x14ac:dyDescent="0.25">
      <c r="A2426">
        <v>20160819</v>
      </c>
      <c r="B2426" t="str">
        <f>"064419"</f>
        <v>064419</v>
      </c>
      <c r="C2426" t="str">
        <f>"27900"</f>
        <v>27900</v>
      </c>
      <c r="D2426" t="s">
        <v>1596</v>
      </c>
      <c r="E2426" s="3">
        <v>100</v>
      </c>
      <c r="F2426">
        <v>20160818</v>
      </c>
      <c r="G2426" t="s">
        <v>1588</v>
      </c>
      <c r="H2426" t="s">
        <v>1687</v>
      </c>
      <c r="I2426">
        <v>0</v>
      </c>
      <c r="J2426" t="s">
        <v>1544</v>
      </c>
      <c r="K2426" t="s">
        <v>1558</v>
      </c>
      <c r="L2426" t="s">
        <v>285</v>
      </c>
      <c r="M2426" t="str">
        <f t="shared" si="140"/>
        <v>08</v>
      </c>
      <c r="N2426" t="s">
        <v>12</v>
      </c>
    </row>
    <row r="2427" spans="1:14" x14ac:dyDescent="0.25">
      <c r="A2427">
        <v>20160826</v>
      </c>
      <c r="B2427" t="str">
        <f>"064500"</f>
        <v>064500</v>
      </c>
      <c r="C2427" t="str">
        <f>"05591"</f>
        <v>05591</v>
      </c>
      <c r="D2427" t="s">
        <v>1670</v>
      </c>
      <c r="E2427" s="3">
        <v>1160</v>
      </c>
      <c r="F2427">
        <v>20160825</v>
      </c>
      <c r="G2427" t="s">
        <v>1672</v>
      </c>
      <c r="H2427" t="s">
        <v>1688</v>
      </c>
      <c r="I2427">
        <v>0</v>
      </c>
      <c r="J2427" t="s">
        <v>1544</v>
      </c>
      <c r="K2427" t="s">
        <v>1558</v>
      </c>
      <c r="L2427" t="s">
        <v>285</v>
      </c>
      <c r="M2427" t="str">
        <f t="shared" si="140"/>
        <v>08</v>
      </c>
      <c r="N2427" t="s">
        <v>12</v>
      </c>
    </row>
    <row r="2428" spans="1:14" x14ac:dyDescent="0.25">
      <c r="A2428">
        <v>20160826</v>
      </c>
      <c r="B2428" t="str">
        <f>"064547"</f>
        <v>064547</v>
      </c>
      <c r="C2428" t="str">
        <f>"50453"</f>
        <v>50453</v>
      </c>
      <c r="D2428" t="s">
        <v>1577</v>
      </c>
      <c r="E2428" s="3">
        <v>72.77</v>
      </c>
      <c r="F2428">
        <v>20160825</v>
      </c>
      <c r="G2428" t="s">
        <v>1574</v>
      </c>
      <c r="H2428" t="s">
        <v>1689</v>
      </c>
      <c r="I2428">
        <v>0</v>
      </c>
      <c r="J2428" t="s">
        <v>1544</v>
      </c>
      <c r="K2428" t="s">
        <v>1558</v>
      </c>
      <c r="L2428" t="s">
        <v>285</v>
      </c>
      <c r="M2428" t="str">
        <f t="shared" si="140"/>
        <v>08</v>
      </c>
      <c r="N2428" t="s">
        <v>12</v>
      </c>
    </row>
    <row r="2429" spans="1:14" x14ac:dyDescent="0.25">
      <c r="A2429">
        <v>20160826</v>
      </c>
      <c r="B2429" t="str">
        <f>"064547"</f>
        <v>064547</v>
      </c>
      <c r="C2429" t="str">
        <f>"50453"</f>
        <v>50453</v>
      </c>
      <c r="D2429" t="s">
        <v>1577</v>
      </c>
      <c r="E2429" s="3">
        <v>354.28</v>
      </c>
      <c r="F2429">
        <v>20160825</v>
      </c>
      <c r="G2429" t="s">
        <v>1566</v>
      </c>
      <c r="H2429" t="s">
        <v>1689</v>
      </c>
      <c r="I2429">
        <v>0</v>
      </c>
      <c r="J2429" t="s">
        <v>1544</v>
      </c>
      <c r="K2429" t="s">
        <v>1558</v>
      </c>
      <c r="L2429" t="s">
        <v>285</v>
      </c>
      <c r="M2429" t="str">
        <f t="shared" si="140"/>
        <v>08</v>
      </c>
      <c r="N2429" t="s">
        <v>12</v>
      </c>
    </row>
    <row r="2430" spans="1:14" x14ac:dyDescent="0.25">
      <c r="A2430">
        <v>20160826</v>
      </c>
      <c r="B2430" t="str">
        <f>"064552"</f>
        <v>064552</v>
      </c>
      <c r="C2430" t="str">
        <f>"53451"</f>
        <v>53451</v>
      </c>
      <c r="D2430" t="s">
        <v>1690</v>
      </c>
      <c r="E2430" s="3">
        <v>9.6999999999999993</v>
      </c>
      <c r="F2430">
        <v>20160825</v>
      </c>
      <c r="G2430" t="s">
        <v>1691</v>
      </c>
      <c r="H2430" t="s">
        <v>1692</v>
      </c>
      <c r="I2430">
        <v>0</v>
      </c>
      <c r="J2430" t="s">
        <v>1544</v>
      </c>
      <c r="K2430" t="s">
        <v>1593</v>
      </c>
      <c r="L2430" t="s">
        <v>285</v>
      </c>
      <c r="M2430" t="str">
        <f t="shared" si="140"/>
        <v>08</v>
      </c>
      <c r="N2430" t="s">
        <v>12</v>
      </c>
    </row>
    <row r="2431" spans="1:14" x14ac:dyDescent="0.25">
      <c r="A2431">
        <v>20160826</v>
      </c>
      <c r="B2431" t="str">
        <f>"064556"</f>
        <v>064556</v>
      </c>
      <c r="C2431" t="str">
        <f>"56007"</f>
        <v>56007</v>
      </c>
      <c r="D2431" t="s">
        <v>1549</v>
      </c>
      <c r="E2431" s="3">
        <v>1746.88</v>
      </c>
      <c r="F2431">
        <v>20160825</v>
      </c>
      <c r="G2431" t="s">
        <v>1550</v>
      </c>
      <c r="H2431" t="s">
        <v>1693</v>
      </c>
      <c r="I2431">
        <v>0</v>
      </c>
      <c r="J2431" t="s">
        <v>1544</v>
      </c>
      <c r="K2431" t="s">
        <v>1552</v>
      </c>
      <c r="L2431" t="s">
        <v>285</v>
      </c>
      <c r="M2431" t="str">
        <f t="shared" si="140"/>
        <v>08</v>
      </c>
      <c r="N2431" t="s">
        <v>12</v>
      </c>
    </row>
    <row r="2432" spans="1:14" x14ac:dyDescent="0.25">
      <c r="A2432">
        <v>20151106</v>
      </c>
      <c r="B2432" t="str">
        <f>"060998"</f>
        <v>060998</v>
      </c>
      <c r="C2432" t="str">
        <f>"04350"</f>
        <v>04350</v>
      </c>
      <c r="D2432" t="s">
        <v>1694</v>
      </c>
      <c r="E2432" s="3">
        <v>11756</v>
      </c>
      <c r="F2432">
        <v>20151104</v>
      </c>
      <c r="G2432" t="s">
        <v>1695</v>
      </c>
      <c r="H2432" t="s">
        <v>1696</v>
      </c>
      <c r="I2432">
        <v>0</v>
      </c>
      <c r="J2432" t="s">
        <v>1697</v>
      </c>
      <c r="K2432" t="s">
        <v>290</v>
      </c>
      <c r="L2432" t="s">
        <v>285</v>
      </c>
      <c r="M2432" t="str">
        <f>"11"</f>
        <v>11</v>
      </c>
      <c r="N2432" t="s">
        <v>12</v>
      </c>
    </row>
    <row r="2433" spans="1:14" x14ac:dyDescent="0.25">
      <c r="A2433">
        <v>20151120</v>
      </c>
      <c r="B2433" t="str">
        <f>"061254"</f>
        <v>061254</v>
      </c>
      <c r="C2433" t="str">
        <f>"29500"</f>
        <v>29500</v>
      </c>
      <c r="D2433" t="s">
        <v>1698</v>
      </c>
      <c r="E2433" s="3">
        <v>9000</v>
      </c>
      <c r="F2433">
        <v>20151120</v>
      </c>
      <c r="G2433" t="s">
        <v>1699</v>
      </c>
      <c r="H2433" t="s">
        <v>1700</v>
      </c>
      <c r="I2433">
        <v>0</v>
      </c>
      <c r="J2433" t="s">
        <v>1697</v>
      </c>
      <c r="K2433" t="s">
        <v>290</v>
      </c>
      <c r="L2433" t="s">
        <v>17</v>
      </c>
      <c r="M2433" t="str">
        <f>"11"</f>
        <v>11</v>
      </c>
      <c r="N2433" t="s">
        <v>12</v>
      </c>
    </row>
    <row r="2434" spans="1:14" x14ac:dyDescent="0.25">
      <c r="A2434">
        <v>20151218</v>
      </c>
      <c r="B2434" t="str">
        <f>"061506"</f>
        <v>061506</v>
      </c>
      <c r="C2434" t="str">
        <f>"10024"</f>
        <v>10024</v>
      </c>
      <c r="D2434" t="s">
        <v>1701</v>
      </c>
      <c r="E2434" s="3">
        <v>4198.26</v>
      </c>
      <c r="F2434">
        <v>20151217</v>
      </c>
      <c r="G2434" t="s">
        <v>1702</v>
      </c>
      <c r="H2434" t="s">
        <v>1703</v>
      </c>
      <c r="I2434">
        <v>0</v>
      </c>
      <c r="J2434" t="s">
        <v>1697</v>
      </c>
      <c r="K2434" t="s">
        <v>290</v>
      </c>
      <c r="L2434" t="s">
        <v>285</v>
      </c>
      <c r="M2434" t="str">
        <f>"12"</f>
        <v>12</v>
      </c>
      <c r="N2434" t="s">
        <v>12</v>
      </c>
    </row>
    <row r="2435" spans="1:14" x14ac:dyDescent="0.25">
      <c r="A2435">
        <v>20151218</v>
      </c>
      <c r="B2435" t="str">
        <f>"061565"</f>
        <v>061565</v>
      </c>
      <c r="C2435" t="str">
        <f>"34271"</f>
        <v>34271</v>
      </c>
      <c r="D2435" t="s">
        <v>1704</v>
      </c>
      <c r="E2435" s="3">
        <v>1500</v>
      </c>
      <c r="F2435">
        <v>20151217</v>
      </c>
      <c r="G2435" t="s">
        <v>1705</v>
      </c>
      <c r="H2435" t="s">
        <v>1706</v>
      </c>
      <c r="I2435">
        <v>0</v>
      </c>
      <c r="J2435" t="s">
        <v>1697</v>
      </c>
      <c r="K2435" t="s">
        <v>95</v>
      </c>
      <c r="L2435" t="s">
        <v>285</v>
      </c>
      <c r="M2435" t="str">
        <f>"12"</f>
        <v>12</v>
      </c>
      <c r="N2435" t="s">
        <v>12</v>
      </c>
    </row>
    <row r="2436" spans="1:14" x14ac:dyDescent="0.25">
      <c r="A2436">
        <v>20160217</v>
      </c>
      <c r="B2436" t="str">
        <f>"021716"</f>
        <v>021716</v>
      </c>
      <c r="C2436" t="str">
        <f t="shared" ref="C2436:C2444" si="141">"78311"</f>
        <v>78311</v>
      </c>
      <c r="D2436" t="s">
        <v>458</v>
      </c>
      <c r="E2436" s="3">
        <v>30.07</v>
      </c>
      <c r="F2436">
        <v>20160229</v>
      </c>
      <c r="G2436" t="s">
        <v>1707</v>
      </c>
      <c r="H2436" t="s">
        <v>1708</v>
      </c>
      <c r="I2436">
        <v>0</v>
      </c>
      <c r="J2436" t="s">
        <v>1709</v>
      </c>
      <c r="K2436" t="s">
        <v>290</v>
      </c>
      <c r="L2436" t="s">
        <v>17</v>
      </c>
      <c r="M2436" t="str">
        <f t="shared" ref="M2436:M2444" si="142">"02"</f>
        <v>02</v>
      </c>
      <c r="N2436" t="s">
        <v>12</v>
      </c>
    </row>
    <row r="2437" spans="1:14" x14ac:dyDescent="0.25">
      <c r="A2437">
        <v>20160217</v>
      </c>
      <c r="B2437" t="str">
        <f>"021716"</f>
        <v>021716</v>
      </c>
      <c r="C2437" t="str">
        <f t="shared" si="141"/>
        <v>78311</v>
      </c>
      <c r="D2437" t="s">
        <v>458</v>
      </c>
      <c r="E2437" s="3">
        <v>27.8</v>
      </c>
      <c r="F2437">
        <v>20160229</v>
      </c>
      <c r="G2437" t="s">
        <v>1707</v>
      </c>
      <c r="H2437" t="s">
        <v>1708</v>
      </c>
      <c r="I2437">
        <v>0</v>
      </c>
      <c r="J2437" t="s">
        <v>1709</v>
      </c>
      <c r="K2437" t="s">
        <v>290</v>
      </c>
      <c r="L2437" t="s">
        <v>17</v>
      </c>
      <c r="M2437" t="str">
        <f t="shared" si="142"/>
        <v>02</v>
      </c>
      <c r="N2437" t="s">
        <v>12</v>
      </c>
    </row>
    <row r="2438" spans="1:14" x14ac:dyDescent="0.25">
      <c r="A2438">
        <v>20160217</v>
      </c>
      <c r="B2438" t="str">
        <f>"021716"</f>
        <v>021716</v>
      </c>
      <c r="C2438" t="str">
        <f t="shared" si="141"/>
        <v>78311</v>
      </c>
      <c r="D2438" t="s">
        <v>458</v>
      </c>
      <c r="E2438" s="3">
        <v>29.87</v>
      </c>
      <c r="F2438">
        <v>20160229</v>
      </c>
      <c r="G2438" t="s">
        <v>1710</v>
      </c>
      <c r="H2438" t="s">
        <v>1711</v>
      </c>
      <c r="I2438">
        <v>0</v>
      </c>
      <c r="J2438" t="s">
        <v>1709</v>
      </c>
      <c r="K2438" t="s">
        <v>290</v>
      </c>
      <c r="L2438" t="s">
        <v>17</v>
      </c>
      <c r="M2438" t="str">
        <f t="shared" si="142"/>
        <v>02</v>
      </c>
      <c r="N2438" t="s">
        <v>12</v>
      </c>
    </row>
    <row r="2439" spans="1:14" x14ac:dyDescent="0.25">
      <c r="A2439">
        <v>20160225</v>
      </c>
      <c r="B2439" t="str">
        <f t="shared" ref="B2439:B2444" si="143">"022516"</f>
        <v>022516</v>
      </c>
      <c r="C2439" t="str">
        <f t="shared" si="141"/>
        <v>78311</v>
      </c>
      <c r="D2439" t="s">
        <v>458</v>
      </c>
      <c r="E2439" s="3">
        <v>24.62</v>
      </c>
      <c r="F2439">
        <v>20160229</v>
      </c>
      <c r="G2439" t="s">
        <v>1712</v>
      </c>
      <c r="H2439" t="s">
        <v>1713</v>
      </c>
      <c r="I2439">
        <v>0</v>
      </c>
      <c r="J2439" t="s">
        <v>1709</v>
      </c>
      <c r="K2439" t="s">
        <v>290</v>
      </c>
      <c r="L2439" t="s">
        <v>17</v>
      </c>
      <c r="M2439" t="str">
        <f t="shared" si="142"/>
        <v>02</v>
      </c>
      <c r="N2439" t="s">
        <v>12</v>
      </c>
    </row>
    <row r="2440" spans="1:14" x14ac:dyDescent="0.25">
      <c r="A2440">
        <v>20160225</v>
      </c>
      <c r="B2440" t="str">
        <f t="shared" si="143"/>
        <v>022516</v>
      </c>
      <c r="C2440" t="str">
        <f t="shared" si="141"/>
        <v>78311</v>
      </c>
      <c r="D2440" t="s">
        <v>458</v>
      </c>
      <c r="E2440" s="3">
        <v>28.1</v>
      </c>
      <c r="F2440">
        <v>20160229</v>
      </c>
      <c r="G2440" t="s">
        <v>1712</v>
      </c>
      <c r="H2440" t="s">
        <v>1713</v>
      </c>
      <c r="I2440">
        <v>0</v>
      </c>
      <c r="J2440" t="s">
        <v>1709</v>
      </c>
      <c r="K2440" t="s">
        <v>290</v>
      </c>
      <c r="L2440" t="s">
        <v>17</v>
      </c>
      <c r="M2440" t="str">
        <f t="shared" si="142"/>
        <v>02</v>
      </c>
      <c r="N2440" t="s">
        <v>12</v>
      </c>
    </row>
    <row r="2441" spans="1:14" x14ac:dyDescent="0.25">
      <c r="A2441">
        <v>20160225</v>
      </c>
      <c r="B2441" t="str">
        <f t="shared" si="143"/>
        <v>022516</v>
      </c>
      <c r="C2441" t="str">
        <f t="shared" si="141"/>
        <v>78311</v>
      </c>
      <c r="D2441" t="s">
        <v>458</v>
      </c>
      <c r="E2441" s="3">
        <v>-24.62</v>
      </c>
      <c r="F2441">
        <v>20160307</v>
      </c>
      <c r="G2441" t="s">
        <v>1712</v>
      </c>
      <c r="H2441" t="s">
        <v>214</v>
      </c>
      <c r="I2441">
        <v>0</v>
      </c>
      <c r="J2441" t="s">
        <v>1709</v>
      </c>
      <c r="K2441" t="s">
        <v>290</v>
      </c>
      <c r="L2441" t="s">
        <v>17</v>
      </c>
      <c r="M2441" t="str">
        <f t="shared" si="142"/>
        <v>02</v>
      </c>
      <c r="N2441" t="s">
        <v>12</v>
      </c>
    </row>
    <row r="2442" spans="1:14" x14ac:dyDescent="0.25">
      <c r="A2442">
        <v>20160225</v>
      </c>
      <c r="B2442" t="str">
        <f t="shared" si="143"/>
        <v>022516</v>
      </c>
      <c r="C2442" t="str">
        <f t="shared" si="141"/>
        <v>78311</v>
      </c>
      <c r="D2442" t="s">
        <v>458</v>
      </c>
      <c r="E2442" s="3">
        <v>-28.1</v>
      </c>
      <c r="F2442">
        <v>20160307</v>
      </c>
      <c r="G2442" t="s">
        <v>1712</v>
      </c>
      <c r="H2442" t="s">
        <v>214</v>
      </c>
      <c r="I2442">
        <v>0</v>
      </c>
      <c r="J2442" t="s">
        <v>1709</v>
      </c>
      <c r="K2442" t="s">
        <v>290</v>
      </c>
      <c r="L2442" t="s">
        <v>17</v>
      </c>
      <c r="M2442" t="str">
        <f t="shared" si="142"/>
        <v>02</v>
      </c>
      <c r="N2442" t="s">
        <v>12</v>
      </c>
    </row>
    <row r="2443" spans="1:14" x14ac:dyDescent="0.25">
      <c r="A2443">
        <v>20160225</v>
      </c>
      <c r="B2443" t="str">
        <f t="shared" si="143"/>
        <v>022516</v>
      </c>
      <c r="C2443" t="str">
        <f t="shared" si="141"/>
        <v>78311</v>
      </c>
      <c r="D2443" t="s">
        <v>458</v>
      </c>
      <c r="E2443" s="3">
        <v>24.62</v>
      </c>
      <c r="F2443">
        <v>20160307</v>
      </c>
      <c r="G2443" t="s">
        <v>1712</v>
      </c>
      <c r="H2443" t="s">
        <v>1713</v>
      </c>
      <c r="I2443">
        <v>0</v>
      </c>
      <c r="J2443" t="s">
        <v>1709</v>
      </c>
      <c r="K2443" t="s">
        <v>290</v>
      </c>
      <c r="L2443" t="s">
        <v>17</v>
      </c>
      <c r="M2443" t="str">
        <f t="shared" si="142"/>
        <v>02</v>
      </c>
      <c r="N2443" t="s">
        <v>12</v>
      </c>
    </row>
    <row r="2444" spans="1:14" x14ac:dyDescent="0.25">
      <c r="A2444">
        <v>20160225</v>
      </c>
      <c r="B2444" t="str">
        <f t="shared" si="143"/>
        <v>022516</v>
      </c>
      <c r="C2444" t="str">
        <f t="shared" si="141"/>
        <v>78311</v>
      </c>
      <c r="D2444" t="s">
        <v>458</v>
      </c>
      <c r="E2444" s="3">
        <v>28.1</v>
      </c>
      <c r="F2444">
        <v>20160307</v>
      </c>
      <c r="G2444" t="s">
        <v>1712</v>
      </c>
      <c r="H2444" t="s">
        <v>1713</v>
      </c>
      <c r="I2444">
        <v>0</v>
      </c>
      <c r="J2444" t="s">
        <v>1709</v>
      </c>
      <c r="K2444" t="s">
        <v>290</v>
      </c>
      <c r="L2444" t="s">
        <v>17</v>
      </c>
      <c r="M2444" t="str">
        <f t="shared" si="142"/>
        <v>02</v>
      </c>
      <c r="N2444" t="s">
        <v>12</v>
      </c>
    </row>
    <row r="2445" spans="1:14" x14ac:dyDescent="0.25">
      <c r="A2445">
        <v>20150929</v>
      </c>
      <c r="B2445" t="str">
        <f>"059124"</f>
        <v>059124</v>
      </c>
      <c r="C2445" t="str">
        <f>"73540"</f>
        <v>73540</v>
      </c>
      <c r="D2445" t="s">
        <v>1714</v>
      </c>
      <c r="E2445" s="3">
        <v>350</v>
      </c>
      <c r="F2445">
        <v>20150929</v>
      </c>
      <c r="G2445" t="s">
        <v>1715</v>
      </c>
      <c r="H2445" t="s">
        <v>1716</v>
      </c>
      <c r="I2445">
        <v>0</v>
      </c>
      <c r="J2445" t="s">
        <v>1709</v>
      </c>
      <c r="K2445" t="s">
        <v>290</v>
      </c>
      <c r="L2445" t="s">
        <v>17</v>
      </c>
      <c r="M2445" t="str">
        <f t="shared" ref="M2445:M2460" si="144">"09"</f>
        <v>09</v>
      </c>
      <c r="N2445" t="s">
        <v>12</v>
      </c>
    </row>
    <row r="2446" spans="1:14" x14ac:dyDescent="0.25">
      <c r="A2446">
        <v>20150903</v>
      </c>
      <c r="B2446" t="str">
        <f>"060172"</f>
        <v>060172</v>
      </c>
      <c r="C2446" t="str">
        <f>"00390"</f>
        <v>00390</v>
      </c>
      <c r="D2446" t="s">
        <v>1717</v>
      </c>
      <c r="E2446" s="3">
        <v>5927.38</v>
      </c>
      <c r="F2446">
        <v>20150903</v>
      </c>
      <c r="G2446" t="s">
        <v>1718</v>
      </c>
      <c r="H2446" t="s">
        <v>1719</v>
      </c>
      <c r="I2446">
        <v>0</v>
      </c>
      <c r="J2446" t="s">
        <v>1709</v>
      </c>
      <c r="K2446" t="s">
        <v>235</v>
      </c>
      <c r="L2446" t="s">
        <v>285</v>
      </c>
      <c r="M2446" t="str">
        <f t="shared" si="144"/>
        <v>09</v>
      </c>
      <c r="N2446" t="s">
        <v>12</v>
      </c>
    </row>
    <row r="2447" spans="1:14" x14ac:dyDescent="0.25">
      <c r="A2447">
        <v>20150903</v>
      </c>
      <c r="B2447" t="str">
        <f>"060172"</f>
        <v>060172</v>
      </c>
      <c r="C2447" t="str">
        <f>"00390"</f>
        <v>00390</v>
      </c>
      <c r="D2447" t="s">
        <v>1717</v>
      </c>
      <c r="E2447" s="3">
        <v>111.48</v>
      </c>
      <c r="F2447">
        <v>20150903</v>
      </c>
      <c r="G2447" t="s">
        <v>1718</v>
      </c>
      <c r="H2447" t="s">
        <v>1720</v>
      </c>
      <c r="I2447">
        <v>0</v>
      </c>
      <c r="J2447" t="s">
        <v>1709</v>
      </c>
      <c r="K2447" t="s">
        <v>235</v>
      </c>
      <c r="L2447" t="s">
        <v>285</v>
      </c>
      <c r="M2447" t="str">
        <f t="shared" si="144"/>
        <v>09</v>
      </c>
      <c r="N2447" t="s">
        <v>12</v>
      </c>
    </row>
    <row r="2448" spans="1:14" x14ac:dyDescent="0.25">
      <c r="A2448">
        <v>20150903</v>
      </c>
      <c r="B2448" t="str">
        <f>"060175"</f>
        <v>060175</v>
      </c>
      <c r="C2448" t="str">
        <f>"21158"</f>
        <v>21158</v>
      </c>
      <c r="D2448" t="s">
        <v>1721</v>
      </c>
      <c r="E2448" s="3">
        <v>42</v>
      </c>
      <c r="F2448">
        <v>20150903</v>
      </c>
      <c r="G2448" t="s">
        <v>1718</v>
      </c>
      <c r="H2448" t="s">
        <v>1722</v>
      </c>
      <c r="I2448">
        <v>0</v>
      </c>
      <c r="J2448" t="s">
        <v>1709</v>
      </c>
      <c r="K2448" t="s">
        <v>235</v>
      </c>
      <c r="L2448" t="s">
        <v>285</v>
      </c>
      <c r="M2448" t="str">
        <f t="shared" si="144"/>
        <v>09</v>
      </c>
      <c r="N2448" t="s">
        <v>12</v>
      </c>
    </row>
    <row r="2449" spans="1:14" x14ac:dyDescent="0.25">
      <c r="A2449">
        <v>20150903</v>
      </c>
      <c r="B2449" t="str">
        <f>"060177"</f>
        <v>060177</v>
      </c>
      <c r="C2449" t="str">
        <f>"19208"</f>
        <v>19208</v>
      </c>
      <c r="D2449" t="s">
        <v>294</v>
      </c>
      <c r="E2449" s="3">
        <v>145</v>
      </c>
      <c r="F2449">
        <v>20150903</v>
      </c>
      <c r="G2449" t="s">
        <v>1723</v>
      </c>
      <c r="H2449" t="s">
        <v>1724</v>
      </c>
      <c r="I2449">
        <v>0</v>
      </c>
      <c r="J2449" t="s">
        <v>1709</v>
      </c>
      <c r="K2449" t="s">
        <v>290</v>
      </c>
      <c r="L2449" t="s">
        <v>285</v>
      </c>
      <c r="M2449" t="str">
        <f t="shared" si="144"/>
        <v>09</v>
      </c>
      <c r="N2449" t="s">
        <v>12</v>
      </c>
    </row>
    <row r="2450" spans="1:14" x14ac:dyDescent="0.25">
      <c r="A2450">
        <v>20150903</v>
      </c>
      <c r="B2450" t="str">
        <f>"060178"</f>
        <v>060178</v>
      </c>
      <c r="C2450" t="str">
        <f>"19208"</f>
        <v>19208</v>
      </c>
      <c r="D2450" t="s">
        <v>294</v>
      </c>
      <c r="E2450" s="3">
        <v>90</v>
      </c>
      <c r="F2450">
        <v>20150903</v>
      </c>
      <c r="G2450" t="s">
        <v>1725</v>
      </c>
      <c r="H2450" t="s">
        <v>1726</v>
      </c>
      <c r="I2450">
        <v>0</v>
      </c>
      <c r="J2450" t="s">
        <v>1709</v>
      </c>
      <c r="K2450" t="s">
        <v>290</v>
      </c>
      <c r="L2450" t="s">
        <v>285</v>
      </c>
      <c r="M2450" t="str">
        <f t="shared" si="144"/>
        <v>09</v>
      </c>
      <c r="N2450" t="s">
        <v>12</v>
      </c>
    </row>
    <row r="2451" spans="1:14" x14ac:dyDescent="0.25">
      <c r="A2451">
        <v>20150903</v>
      </c>
      <c r="B2451" t="str">
        <f>"060179"</f>
        <v>060179</v>
      </c>
      <c r="C2451" t="str">
        <f>"20416"</f>
        <v>20416</v>
      </c>
      <c r="D2451" t="s">
        <v>1727</v>
      </c>
      <c r="E2451" s="3">
        <v>650</v>
      </c>
      <c r="F2451">
        <v>20150903</v>
      </c>
      <c r="G2451" t="s">
        <v>1728</v>
      </c>
      <c r="H2451" t="s">
        <v>1729</v>
      </c>
      <c r="I2451">
        <v>0</v>
      </c>
      <c r="J2451" t="s">
        <v>1709</v>
      </c>
      <c r="K2451" t="s">
        <v>290</v>
      </c>
      <c r="L2451" t="s">
        <v>285</v>
      </c>
      <c r="M2451" t="str">
        <f t="shared" si="144"/>
        <v>09</v>
      </c>
      <c r="N2451" t="s">
        <v>12</v>
      </c>
    </row>
    <row r="2452" spans="1:14" x14ac:dyDescent="0.25">
      <c r="A2452">
        <v>20150903</v>
      </c>
      <c r="B2452" t="str">
        <f>"060180"</f>
        <v>060180</v>
      </c>
      <c r="C2452" t="str">
        <f>"20416"</f>
        <v>20416</v>
      </c>
      <c r="D2452" t="s">
        <v>1727</v>
      </c>
      <c r="E2452" s="3">
        <v>650</v>
      </c>
      <c r="F2452">
        <v>20150903</v>
      </c>
      <c r="G2452" t="s">
        <v>1728</v>
      </c>
      <c r="H2452" t="s">
        <v>1730</v>
      </c>
      <c r="I2452">
        <v>0</v>
      </c>
      <c r="J2452" t="s">
        <v>1709</v>
      </c>
      <c r="K2452" t="s">
        <v>290</v>
      </c>
      <c r="L2452" t="s">
        <v>285</v>
      </c>
      <c r="M2452" t="str">
        <f t="shared" si="144"/>
        <v>09</v>
      </c>
      <c r="N2452" t="s">
        <v>12</v>
      </c>
    </row>
    <row r="2453" spans="1:14" x14ac:dyDescent="0.25">
      <c r="A2453">
        <v>20150903</v>
      </c>
      <c r="B2453" t="str">
        <f>"060181"</f>
        <v>060181</v>
      </c>
      <c r="C2453" t="str">
        <f>"28646"</f>
        <v>28646</v>
      </c>
      <c r="D2453" t="s">
        <v>1731</v>
      </c>
      <c r="E2453" s="3">
        <v>300.83999999999997</v>
      </c>
      <c r="F2453">
        <v>20150903</v>
      </c>
      <c r="G2453" t="s">
        <v>1732</v>
      </c>
      <c r="H2453" t="s">
        <v>1733</v>
      </c>
      <c r="I2453">
        <v>0</v>
      </c>
      <c r="J2453" t="s">
        <v>1709</v>
      </c>
      <c r="K2453" t="s">
        <v>290</v>
      </c>
      <c r="L2453" t="s">
        <v>285</v>
      </c>
      <c r="M2453" t="str">
        <f t="shared" si="144"/>
        <v>09</v>
      </c>
      <c r="N2453" t="s">
        <v>12</v>
      </c>
    </row>
    <row r="2454" spans="1:14" x14ac:dyDescent="0.25">
      <c r="A2454">
        <v>20150903</v>
      </c>
      <c r="B2454" t="str">
        <f>"060183"</f>
        <v>060183</v>
      </c>
      <c r="C2454" t="str">
        <f>"29622"</f>
        <v>29622</v>
      </c>
      <c r="D2454" t="s">
        <v>1734</v>
      </c>
      <c r="E2454" s="3">
        <v>54.1</v>
      </c>
      <c r="F2454">
        <v>20150903</v>
      </c>
      <c r="G2454" t="s">
        <v>1718</v>
      </c>
      <c r="H2454" t="s">
        <v>1735</v>
      </c>
      <c r="I2454">
        <v>0</v>
      </c>
      <c r="J2454" t="s">
        <v>1709</v>
      </c>
      <c r="K2454" t="s">
        <v>235</v>
      </c>
      <c r="L2454" t="s">
        <v>285</v>
      </c>
      <c r="M2454" t="str">
        <f t="shared" si="144"/>
        <v>09</v>
      </c>
      <c r="N2454" t="s">
        <v>12</v>
      </c>
    </row>
    <row r="2455" spans="1:14" x14ac:dyDescent="0.25">
      <c r="A2455">
        <v>20150903</v>
      </c>
      <c r="B2455" t="str">
        <f>"060184"</f>
        <v>060184</v>
      </c>
      <c r="C2455" t="str">
        <f>"34954"</f>
        <v>34954</v>
      </c>
      <c r="D2455" t="s">
        <v>1736</v>
      </c>
      <c r="E2455" s="3">
        <v>370</v>
      </c>
      <c r="F2455">
        <v>20150903</v>
      </c>
      <c r="G2455" t="s">
        <v>1710</v>
      </c>
      <c r="H2455" t="s">
        <v>1730</v>
      </c>
      <c r="I2455">
        <v>0</v>
      </c>
      <c r="J2455" t="s">
        <v>1709</v>
      </c>
      <c r="K2455" t="s">
        <v>290</v>
      </c>
      <c r="L2455" t="s">
        <v>285</v>
      </c>
      <c r="M2455" t="str">
        <f t="shared" si="144"/>
        <v>09</v>
      </c>
      <c r="N2455" t="s">
        <v>12</v>
      </c>
    </row>
    <row r="2456" spans="1:14" x14ac:dyDescent="0.25">
      <c r="A2456">
        <v>20150903</v>
      </c>
      <c r="B2456" t="str">
        <f>"060185"</f>
        <v>060185</v>
      </c>
      <c r="C2456" t="str">
        <f>"37805"</f>
        <v>37805</v>
      </c>
      <c r="D2456" t="s">
        <v>1737</v>
      </c>
      <c r="E2456" s="3">
        <v>8.33</v>
      </c>
      <c r="F2456">
        <v>20150903</v>
      </c>
      <c r="G2456" t="s">
        <v>1738</v>
      </c>
      <c r="H2456" t="s">
        <v>1726</v>
      </c>
      <c r="I2456">
        <v>0</v>
      </c>
      <c r="J2456" t="s">
        <v>1709</v>
      </c>
      <c r="K2456" t="s">
        <v>290</v>
      </c>
      <c r="L2456" t="s">
        <v>285</v>
      </c>
      <c r="M2456" t="str">
        <f t="shared" si="144"/>
        <v>09</v>
      </c>
      <c r="N2456" t="s">
        <v>12</v>
      </c>
    </row>
    <row r="2457" spans="1:14" x14ac:dyDescent="0.25">
      <c r="A2457">
        <v>20150903</v>
      </c>
      <c r="B2457" t="str">
        <f>"060185"</f>
        <v>060185</v>
      </c>
      <c r="C2457" t="str">
        <f>"37805"</f>
        <v>37805</v>
      </c>
      <c r="D2457" t="s">
        <v>1737</v>
      </c>
      <c r="E2457" s="3">
        <v>125</v>
      </c>
      <c r="F2457">
        <v>20150903</v>
      </c>
      <c r="G2457" t="s">
        <v>1739</v>
      </c>
      <c r="H2457" t="s">
        <v>1726</v>
      </c>
      <c r="I2457">
        <v>0</v>
      </c>
      <c r="J2457" t="s">
        <v>1709</v>
      </c>
      <c r="K2457" t="s">
        <v>290</v>
      </c>
      <c r="L2457" t="s">
        <v>285</v>
      </c>
      <c r="M2457" t="str">
        <f t="shared" si="144"/>
        <v>09</v>
      </c>
      <c r="N2457" t="s">
        <v>12</v>
      </c>
    </row>
    <row r="2458" spans="1:14" x14ac:dyDescent="0.25">
      <c r="A2458">
        <v>20150903</v>
      </c>
      <c r="B2458" t="str">
        <f>"060186"</f>
        <v>060186</v>
      </c>
      <c r="C2458" t="str">
        <f>"49959"</f>
        <v>49959</v>
      </c>
      <c r="D2458" t="s">
        <v>361</v>
      </c>
      <c r="E2458" s="3">
        <v>300</v>
      </c>
      <c r="F2458">
        <v>20150903</v>
      </c>
      <c r="G2458" t="s">
        <v>1718</v>
      </c>
      <c r="H2458" t="s">
        <v>1740</v>
      </c>
      <c r="I2458">
        <v>0</v>
      </c>
      <c r="J2458" t="s">
        <v>1709</v>
      </c>
      <c r="K2458" t="s">
        <v>235</v>
      </c>
      <c r="L2458" t="s">
        <v>285</v>
      </c>
      <c r="M2458" t="str">
        <f t="shared" si="144"/>
        <v>09</v>
      </c>
      <c r="N2458" t="s">
        <v>12</v>
      </c>
    </row>
    <row r="2459" spans="1:14" x14ac:dyDescent="0.25">
      <c r="A2459">
        <v>20150903</v>
      </c>
      <c r="B2459" t="str">
        <f>"060187"</f>
        <v>060187</v>
      </c>
      <c r="C2459" t="str">
        <f>"51596"</f>
        <v>51596</v>
      </c>
      <c r="D2459" t="s">
        <v>1741</v>
      </c>
      <c r="E2459" s="3">
        <v>750</v>
      </c>
      <c r="F2459">
        <v>20150903</v>
      </c>
      <c r="G2459" t="s">
        <v>1742</v>
      </c>
      <c r="H2459" t="s">
        <v>1743</v>
      </c>
      <c r="I2459">
        <v>0</v>
      </c>
      <c r="J2459" t="s">
        <v>1709</v>
      </c>
      <c r="K2459" t="s">
        <v>1744</v>
      </c>
      <c r="L2459" t="s">
        <v>285</v>
      </c>
      <c r="M2459" t="str">
        <f t="shared" si="144"/>
        <v>09</v>
      </c>
      <c r="N2459" t="s">
        <v>12</v>
      </c>
    </row>
    <row r="2460" spans="1:14" x14ac:dyDescent="0.25">
      <c r="A2460">
        <v>20150903</v>
      </c>
      <c r="B2460" t="str">
        <f>"060188"</f>
        <v>060188</v>
      </c>
      <c r="C2460" t="str">
        <f>"49974"</f>
        <v>49974</v>
      </c>
      <c r="D2460" t="s">
        <v>1745</v>
      </c>
      <c r="E2460" s="3">
        <v>370</v>
      </c>
      <c r="F2460">
        <v>20150903</v>
      </c>
      <c r="G2460" t="s">
        <v>1710</v>
      </c>
      <c r="H2460" t="s">
        <v>1729</v>
      </c>
      <c r="I2460">
        <v>0</v>
      </c>
      <c r="J2460" t="s">
        <v>1709</v>
      </c>
      <c r="K2460" t="s">
        <v>290</v>
      </c>
      <c r="L2460" t="s">
        <v>285</v>
      </c>
      <c r="M2460" t="str">
        <f t="shared" si="144"/>
        <v>09</v>
      </c>
      <c r="N2460" t="s">
        <v>12</v>
      </c>
    </row>
    <row r="2461" spans="1:14" x14ac:dyDescent="0.25">
      <c r="A2461">
        <v>20150903</v>
      </c>
      <c r="B2461" t="str">
        <f>"060188"</f>
        <v>060188</v>
      </c>
      <c r="C2461" t="str">
        <f>"49974"</f>
        <v>49974</v>
      </c>
      <c r="D2461" t="s">
        <v>1745</v>
      </c>
      <c r="E2461" s="3">
        <v>-370</v>
      </c>
      <c r="F2461">
        <v>20151020</v>
      </c>
      <c r="G2461" t="s">
        <v>1710</v>
      </c>
      <c r="H2461" t="s">
        <v>1746</v>
      </c>
      <c r="I2461">
        <v>0</v>
      </c>
      <c r="J2461" t="s">
        <v>1709</v>
      </c>
      <c r="K2461" t="s">
        <v>290</v>
      </c>
      <c r="L2461" t="s">
        <v>17</v>
      </c>
      <c r="M2461" t="str">
        <f>"10"</f>
        <v>10</v>
      </c>
      <c r="N2461" t="s">
        <v>12</v>
      </c>
    </row>
    <row r="2462" spans="1:14" x14ac:dyDescent="0.25">
      <c r="A2462">
        <v>20150903</v>
      </c>
      <c r="B2462" t="str">
        <f>"060189"</f>
        <v>060189</v>
      </c>
      <c r="C2462" t="str">
        <f>"56002"</f>
        <v>56002</v>
      </c>
      <c r="D2462" t="s">
        <v>1747</v>
      </c>
      <c r="E2462" s="3">
        <v>84599</v>
      </c>
      <c r="F2462">
        <v>20150903</v>
      </c>
      <c r="G2462" t="s">
        <v>1748</v>
      </c>
      <c r="H2462" t="s">
        <v>1749</v>
      </c>
      <c r="I2462">
        <v>0</v>
      </c>
      <c r="J2462" t="s">
        <v>1709</v>
      </c>
      <c r="K2462" t="s">
        <v>1750</v>
      </c>
      <c r="L2462" t="s">
        <v>285</v>
      </c>
      <c r="M2462" t="str">
        <f t="shared" ref="M2462:M2525" si="145">"09"</f>
        <v>09</v>
      </c>
      <c r="N2462" t="s">
        <v>12</v>
      </c>
    </row>
    <row r="2463" spans="1:14" x14ac:dyDescent="0.25">
      <c r="A2463">
        <v>20150903</v>
      </c>
      <c r="B2463" t="str">
        <f>"060190"</f>
        <v>060190</v>
      </c>
      <c r="C2463" t="str">
        <f>"58936"</f>
        <v>58936</v>
      </c>
      <c r="D2463" t="s">
        <v>1751</v>
      </c>
      <c r="E2463" s="3">
        <v>180</v>
      </c>
      <c r="F2463">
        <v>20150903</v>
      </c>
      <c r="G2463" t="s">
        <v>1752</v>
      </c>
      <c r="H2463" t="s">
        <v>1753</v>
      </c>
      <c r="I2463">
        <v>0</v>
      </c>
      <c r="J2463" t="s">
        <v>1709</v>
      </c>
      <c r="K2463" t="s">
        <v>1754</v>
      </c>
      <c r="L2463" t="s">
        <v>285</v>
      </c>
      <c r="M2463" t="str">
        <f t="shared" si="145"/>
        <v>09</v>
      </c>
      <c r="N2463" t="s">
        <v>12</v>
      </c>
    </row>
    <row r="2464" spans="1:14" x14ac:dyDescent="0.25">
      <c r="A2464">
        <v>20150903</v>
      </c>
      <c r="B2464" t="str">
        <f>"060191"</f>
        <v>060191</v>
      </c>
      <c r="C2464" t="str">
        <f>"59097"</f>
        <v>59097</v>
      </c>
      <c r="D2464" t="s">
        <v>1755</v>
      </c>
      <c r="E2464" s="3">
        <v>65</v>
      </c>
      <c r="F2464">
        <v>20150903</v>
      </c>
      <c r="G2464" t="s">
        <v>1756</v>
      </c>
      <c r="H2464" t="s">
        <v>1724</v>
      </c>
      <c r="I2464">
        <v>0</v>
      </c>
      <c r="J2464" t="s">
        <v>1709</v>
      </c>
      <c r="K2464" t="s">
        <v>290</v>
      </c>
      <c r="L2464" t="s">
        <v>285</v>
      </c>
      <c r="M2464" t="str">
        <f t="shared" si="145"/>
        <v>09</v>
      </c>
      <c r="N2464" t="s">
        <v>12</v>
      </c>
    </row>
    <row r="2465" spans="1:14" x14ac:dyDescent="0.25">
      <c r="A2465">
        <v>20150903</v>
      </c>
      <c r="B2465" t="str">
        <f>"060196"</f>
        <v>060196</v>
      </c>
      <c r="C2465" t="str">
        <f>"65950"</f>
        <v>65950</v>
      </c>
      <c r="D2465" t="s">
        <v>1757</v>
      </c>
      <c r="E2465" s="3">
        <v>136</v>
      </c>
      <c r="F2465">
        <v>20150903</v>
      </c>
      <c r="G2465" t="s">
        <v>1758</v>
      </c>
      <c r="H2465" t="s">
        <v>1759</v>
      </c>
      <c r="I2465">
        <v>0</v>
      </c>
      <c r="J2465" t="s">
        <v>1709</v>
      </c>
      <c r="K2465" t="s">
        <v>1643</v>
      </c>
      <c r="L2465" t="s">
        <v>285</v>
      </c>
      <c r="M2465" t="str">
        <f t="shared" si="145"/>
        <v>09</v>
      </c>
      <c r="N2465" t="s">
        <v>12</v>
      </c>
    </row>
    <row r="2466" spans="1:14" x14ac:dyDescent="0.25">
      <c r="A2466">
        <v>20150903</v>
      </c>
      <c r="B2466" t="str">
        <f>"060197"</f>
        <v>060197</v>
      </c>
      <c r="C2466" t="str">
        <f>"21362"</f>
        <v>21362</v>
      </c>
      <c r="D2466" t="s">
        <v>1760</v>
      </c>
      <c r="E2466" s="3">
        <v>240</v>
      </c>
      <c r="F2466">
        <v>20150903</v>
      </c>
      <c r="G2466" t="s">
        <v>1725</v>
      </c>
      <c r="H2466" t="s">
        <v>1761</v>
      </c>
      <c r="I2466">
        <v>0</v>
      </c>
      <c r="J2466" t="s">
        <v>1709</v>
      </c>
      <c r="K2466" t="s">
        <v>290</v>
      </c>
      <c r="L2466" t="s">
        <v>285</v>
      </c>
      <c r="M2466" t="str">
        <f t="shared" si="145"/>
        <v>09</v>
      </c>
      <c r="N2466" t="s">
        <v>12</v>
      </c>
    </row>
    <row r="2467" spans="1:14" x14ac:dyDescent="0.25">
      <c r="A2467">
        <v>20150903</v>
      </c>
      <c r="B2467" t="str">
        <f>"060198"</f>
        <v>060198</v>
      </c>
      <c r="C2467" t="str">
        <f>"72340"</f>
        <v>72340</v>
      </c>
      <c r="D2467" t="s">
        <v>1762</v>
      </c>
      <c r="E2467" s="3">
        <v>299.48</v>
      </c>
      <c r="F2467">
        <v>20150903</v>
      </c>
      <c r="G2467" t="s">
        <v>1718</v>
      </c>
      <c r="H2467" t="s">
        <v>1763</v>
      </c>
      <c r="I2467">
        <v>0</v>
      </c>
      <c r="J2467" t="s">
        <v>1709</v>
      </c>
      <c r="K2467" t="s">
        <v>235</v>
      </c>
      <c r="L2467" t="s">
        <v>285</v>
      </c>
      <c r="M2467" t="str">
        <f t="shared" si="145"/>
        <v>09</v>
      </c>
      <c r="N2467" t="s">
        <v>12</v>
      </c>
    </row>
    <row r="2468" spans="1:14" x14ac:dyDescent="0.25">
      <c r="A2468">
        <v>20150903</v>
      </c>
      <c r="B2468" t="str">
        <f>"060199"</f>
        <v>060199</v>
      </c>
      <c r="C2468" t="str">
        <f>"76542"</f>
        <v>76542</v>
      </c>
      <c r="D2468" t="s">
        <v>1764</v>
      </c>
      <c r="E2468" s="3">
        <v>650</v>
      </c>
      <c r="F2468">
        <v>20150903</v>
      </c>
      <c r="G2468" t="s">
        <v>1765</v>
      </c>
      <c r="H2468" t="s">
        <v>1766</v>
      </c>
      <c r="I2468">
        <v>0</v>
      </c>
      <c r="J2468" t="s">
        <v>1709</v>
      </c>
      <c r="K2468" t="s">
        <v>1744</v>
      </c>
      <c r="L2468" t="s">
        <v>285</v>
      </c>
      <c r="M2468" t="str">
        <f t="shared" si="145"/>
        <v>09</v>
      </c>
      <c r="N2468" t="s">
        <v>12</v>
      </c>
    </row>
    <row r="2469" spans="1:14" x14ac:dyDescent="0.25">
      <c r="A2469">
        <v>20150903</v>
      </c>
      <c r="B2469" t="str">
        <f>"060199"</f>
        <v>060199</v>
      </c>
      <c r="C2469" t="str">
        <f>"76542"</f>
        <v>76542</v>
      </c>
      <c r="D2469" t="s">
        <v>1764</v>
      </c>
      <c r="E2469" s="3">
        <v>650</v>
      </c>
      <c r="F2469">
        <v>20150903</v>
      </c>
      <c r="G2469" t="s">
        <v>1765</v>
      </c>
      <c r="H2469" t="s">
        <v>1766</v>
      </c>
      <c r="I2469">
        <v>0</v>
      </c>
      <c r="J2469" t="s">
        <v>1709</v>
      </c>
      <c r="K2469" t="s">
        <v>1744</v>
      </c>
      <c r="L2469" t="s">
        <v>285</v>
      </c>
      <c r="M2469" t="str">
        <f t="shared" si="145"/>
        <v>09</v>
      </c>
      <c r="N2469" t="s">
        <v>12</v>
      </c>
    </row>
    <row r="2470" spans="1:14" x14ac:dyDescent="0.25">
      <c r="A2470">
        <v>20150903</v>
      </c>
      <c r="B2470" t="str">
        <f>"060200"</f>
        <v>060200</v>
      </c>
      <c r="C2470" t="str">
        <f>"74385"</f>
        <v>74385</v>
      </c>
      <c r="D2470" t="s">
        <v>1767</v>
      </c>
      <c r="E2470" s="3">
        <v>900</v>
      </c>
      <c r="F2470">
        <v>20150903</v>
      </c>
      <c r="G2470" t="s">
        <v>1768</v>
      </c>
      <c r="H2470" t="s">
        <v>1769</v>
      </c>
      <c r="I2470">
        <v>0</v>
      </c>
      <c r="J2470" t="s">
        <v>1709</v>
      </c>
      <c r="K2470" t="s">
        <v>1744</v>
      </c>
      <c r="L2470" t="s">
        <v>285</v>
      </c>
      <c r="M2470" t="str">
        <f t="shared" si="145"/>
        <v>09</v>
      </c>
      <c r="N2470" t="s">
        <v>12</v>
      </c>
    </row>
    <row r="2471" spans="1:14" x14ac:dyDescent="0.25">
      <c r="A2471">
        <v>20150903</v>
      </c>
      <c r="B2471" t="str">
        <f>"060200"</f>
        <v>060200</v>
      </c>
      <c r="C2471" t="str">
        <f>"74385"</f>
        <v>74385</v>
      </c>
      <c r="D2471" t="s">
        <v>1767</v>
      </c>
      <c r="E2471" s="3">
        <v>700</v>
      </c>
      <c r="F2471">
        <v>20150903</v>
      </c>
      <c r="G2471" t="s">
        <v>1770</v>
      </c>
      <c r="H2471" t="s">
        <v>1771</v>
      </c>
      <c r="I2471">
        <v>0</v>
      </c>
      <c r="J2471" t="s">
        <v>1709</v>
      </c>
      <c r="K2471" t="s">
        <v>1744</v>
      </c>
      <c r="L2471" t="s">
        <v>285</v>
      </c>
      <c r="M2471" t="str">
        <f t="shared" si="145"/>
        <v>09</v>
      </c>
      <c r="N2471" t="s">
        <v>12</v>
      </c>
    </row>
    <row r="2472" spans="1:14" x14ac:dyDescent="0.25">
      <c r="A2472">
        <v>20150903</v>
      </c>
      <c r="B2472" t="str">
        <f>"060200"</f>
        <v>060200</v>
      </c>
      <c r="C2472" t="str">
        <f>"74385"</f>
        <v>74385</v>
      </c>
      <c r="D2472" t="s">
        <v>1767</v>
      </c>
      <c r="E2472" s="3">
        <v>900</v>
      </c>
      <c r="F2472">
        <v>20150903</v>
      </c>
      <c r="G2472" t="s">
        <v>1770</v>
      </c>
      <c r="H2472" t="s">
        <v>1772</v>
      </c>
      <c r="I2472">
        <v>0</v>
      </c>
      <c r="J2472" t="s">
        <v>1709</v>
      </c>
      <c r="K2472" t="s">
        <v>1744</v>
      </c>
      <c r="L2472" t="s">
        <v>285</v>
      </c>
      <c r="M2472" t="str">
        <f t="shared" si="145"/>
        <v>09</v>
      </c>
      <c r="N2472" t="s">
        <v>12</v>
      </c>
    </row>
    <row r="2473" spans="1:14" x14ac:dyDescent="0.25">
      <c r="A2473">
        <v>20150903</v>
      </c>
      <c r="B2473" t="str">
        <f>"060200"</f>
        <v>060200</v>
      </c>
      <c r="C2473" t="str">
        <f>"74385"</f>
        <v>74385</v>
      </c>
      <c r="D2473" t="s">
        <v>1767</v>
      </c>
      <c r="E2473" s="3">
        <v>1750</v>
      </c>
      <c r="F2473">
        <v>20150903</v>
      </c>
      <c r="G2473" t="s">
        <v>1773</v>
      </c>
      <c r="H2473" t="s">
        <v>1774</v>
      </c>
      <c r="I2473">
        <v>0</v>
      </c>
      <c r="J2473" t="s">
        <v>1709</v>
      </c>
      <c r="K2473" t="s">
        <v>1775</v>
      </c>
      <c r="L2473" t="s">
        <v>285</v>
      </c>
      <c r="M2473" t="str">
        <f t="shared" si="145"/>
        <v>09</v>
      </c>
      <c r="N2473" t="s">
        <v>12</v>
      </c>
    </row>
    <row r="2474" spans="1:14" x14ac:dyDescent="0.25">
      <c r="A2474">
        <v>20150903</v>
      </c>
      <c r="B2474" t="str">
        <f>"060201"</f>
        <v>060201</v>
      </c>
      <c r="C2474" t="str">
        <f>"76548"</f>
        <v>76548</v>
      </c>
      <c r="D2474" t="s">
        <v>1776</v>
      </c>
      <c r="E2474" s="3">
        <v>195</v>
      </c>
      <c r="F2474">
        <v>20150903</v>
      </c>
      <c r="G2474" t="s">
        <v>1777</v>
      </c>
      <c r="H2474" t="s">
        <v>1778</v>
      </c>
      <c r="I2474">
        <v>0</v>
      </c>
      <c r="J2474" t="s">
        <v>1709</v>
      </c>
      <c r="K2474" t="s">
        <v>1779</v>
      </c>
      <c r="L2474" t="s">
        <v>285</v>
      </c>
      <c r="M2474" t="str">
        <f t="shared" si="145"/>
        <v>09</v>
      </c>
      <c r="N2474" t="s">
        <v>12</v>
      </c>
    </row>
    <row r="2475" spans="1:14" x14ac:dyDescent="0.25">
      <c r="A2475">
        <v>20150903</v>
      </c>
      <c r="B2475" t="str">
        <f>"060201"</f>
        <v>060201</v>
      </c>
      <c r="C2475" t="str">
        <f>"76548"</f>
        <v>76548</v>
      </c>
      <c r="D2475" t="s">
        <v>1776</v>
      </c>
      <c r="E2475" s="3">
        <v>195</v>
      </c>
      <c r="F2475">
        <v>20150903</v>
      </c>
      <c r="G2475" t="s">
        <v>1780</v>
      </c>
      <c r="H2475" t="s">
        <v>1781</v>
      </c>
      <c r="I2475">
        <v>0</v>
      </c>
      <c r="J2475" t="s">
        <v>1709</v>
      </c>
      <c r="K2475" t="s">
        <v>1782</v>
      </c>
      <c r="L2475" t="s">
        <v>285</v>
      </c>
      <c r="M2475" t="str">
        <f t="shared" si="145"/>
        <v>09</v>
      </c>
      <c r="N2475" t="s">
        <v>12</v>
      </c>
    </row>
    <row r="2476" spans="1:14" x14ac:dyDescent="0.25">
      <c r="A2476">
        <v>20150903</v>
      </c>
      <c r="B2476" t="str">
        <f>"060202"</f>
        <v>060202</v>
      </c>
      <c r="C2476" t="str">
        <f>"75451"</f>
        <v>75451</v>
      </c>
      <c r="D2476" t="s">
        <v>56</v>
      </c>
      <c r="E2476" s="3">
        <v>80</v>
      </c>
      <c r="F2476">
        <v>20150903</v>
      </c>
      <c r="G2476" t="s">
        <v>1783</v>
      </c>
      <c r="H2476" t="s">
        <v>1784</v>
      </c>
      <c r="I2476">
        <v>0</v>
      </c>
      <c r="J2476" t="s">
        <v>1709</v>
      </c>
      <c r="K2476" t="s">
        <v>290</v>
      </c>
      <c r="L2476" t="s">
        <v>285</v>
      </c>
      <c r="M2476" t="str">
        <f t="shared" si="145"/>
        <v>09</v>
      </c>
      <c r="N2476" t="s">
        <v>12</v>
      </c>
    </row>
    <row r="2477" spans="1:14" x14ac:dyDescent="0.25">
      <c r="A2477">
        <v>20150903</v>
      </c>
      <c r="B2477" t="str">
        <f>"060203"</f>
        <v>060203</v>
      </c>
      <c r="C2477" t="str">
        <f>"76505"</f>
        <v>76505</v>
      </c>
      <c r="D2477" t="s">
        <v>1785</v>
      </c>
      <c r="E2477" s="3">
        <v>840</v>
      </c>
      <c r="F2477">
        <v>20150903</v>
      </c>
      <c r="G2477" t="s">
        <v>1786</v>
      </c>
      <c r="H2477" t="s">
        <v>1784</v>
      </c>
      <c r="I2477">
        <v>0</v>
      </c>
      <c r="J2477" t="s">
        <v>1709</v>
      </c>
      <c r="K2477" t="s">
        <v>290</v>
      </c>
      <c r="L2477" t="s">
        <v>285</v>
      </c>
      <c r="M2477" t="str">
        <f t="shared" si="145"/>
        <v>09</v>
      </c>
      <c r="N2477" t="s">
        <v>12</v>
      </c>
    </row>
    <row r="2478" spans="1:14" x14ac:dyDescent="0.25">
      <c r="A2478">
        <v>20150903</v>
      </c>
      <c r="B2478" t="str">
        <f>"060204"</f>
        <v>060204</v>
      </c>
      <c r="C2478" t="str">
        <f>"76304"</f>
        <v>76304</v>
      </c>
      <c r="D2478" t="s">
        <v>1787</v>
      </c>
      <c r="E2478" s="3">
        <v>60</v>
      </c>
      <c r="F2478">
        <v>20150903</v>
      </c>
      <c r="G2478" t="s">
        <v>1788</v>
      </c>
      <c r="H2478" t="s">
        <v>1789</v>
      </c>
      <c r="I2478">
        <v>0</v>
      </c>
      <c r="J2478" t="s">
        <v>1709</v>
      </c>
      <c r="K2478" t="s">
        <v>1643</v>
      </c>
      <c r="L2478" t="s">
        <v>285</v>
      </c>
      <c r="M2478" t="str">
        <f t="shared" si="145"/>
        <v>09</v>
      </c>
      <c r="N2478" t="s">
        <v>12</v>
      </c>
    </row>
    <row r="2479" spans="1:14" x14ac:dyDescent="0.25">
      <c r="A2479">
        <v>20150903</v>
      </c>
      <c r="B2479" t="str">
        <f>"060205"</f>
        <v>060205</v>
      </c>
      <c r="C2479" t="str">
        <f>"74242"</f>
        <v>74242</v>
      </c>
      <c r="D2479" t="s">
        <v>1790</v>
      </c>
      <c r="E2479" s="3">
        <v>720</v>
      </c>
      <c r="F2479">
        <v>20150903</v>
      </c>
      <c r="G2479" t="s">
        <v>1780</v>
      </c>
      <c r="H2479" t="s">
        <v>1791</v>
      </c>
      <c r="I2479">
        <v>0</v>
      </c>
      <c r="J2479" t="s">
        <v>1709</v>
      </c>
      <c r="K2479" t="s">
        <v>1782</v>
      </c>
      <c r="L2479" t="s">
        <v>285</v>
      </c>
      <c r="M2479" t="str">
        <f t="shared" si="145"/>
        <v>09</v>
      </c>
      <c r="N2479" t="s">
        <v>12</v>
      </c>
    </row>
    <row r="2480" spans="1:14" x14ac:dyDescent="0.25">
      <c r="A2480">
        <v>20150903</v>
      </c>
      <c r="B2480" t="str">
        <f>"060206"</f>
        <v>060206</v>
      </c>
      <c r="C2480" t="str">
        <f>"76540"</f>
        <v>76540</v>
      </c>
      <c r="D2480" t="s">
        <v>1792</v>
      </c>
      <c r="E2480" s="3">
        <v>300</v>
      </c>
      <c r="F2480">
        <v>20150903</v>
      </c>
      <c r="G2480" t="s">
        <v>1780</v>
      </c>
      <c r="H2480" t="s">
        <v>491</v>
      </c>
      <c r="I2480">
        <v>0</v>
      </c>
      <c r="J2480" t="s">
        <v>1709</v>
      </c>
      <c r="K2480" t="s">
        <v>1782</v>
      </c>
      <c r="L2480" t="s">
        <v>285</v>
      </c>
      <c r="M2480" t="str">
        <f t="shared" si="145"/>
        <v>09</v>
      </c>
      <c r="N2480" t="s">
        <v>12</v>
      </c>
    </row>
    <row r="2481" spans="1:14" x14ac:dyDescent="0.25">
      <c r="A2481">
        <v>20150903</v>
      </c>
      <c r="B2481" t="str">
        <f>"060207"</f>
        <v>060207</v>
      </c>
      <c r="C2481" t="str">
        <f>"79188"</f>
        <v>79188</v>
      </c>
      <c r="D2481" t="s">
        <v>1793</v>
      </c>
      <c r="E2481" s="3">
        <v>4000</v>
      </c>
      <c r="F2481">
        <v>20150903</v>
      </c>
      <c r="G2481" t="s">
        <v>1780</v>
      </c>
      <c r="H2481" t="s">
        <v>491</v>
      </c>
      <c r="I2481">
        <v>0</v>
      </c>
      <c r="J2481" t="s">
        <v>1709</v>
      </c>
      <c r="K2481" t="s">
        <v>1782</v>
      </c>
      <c r="L2481" t="s">
        <v>285</v>
      </c>
      <c r="M2481" t="str">
        <f t="shared" si="145"/>
        <v>09</v>
      </c>
      <c r="N2481" t="s">
        <v>12</v>
      </c>
    </row>
    <row r="2482" spans="1:14" x14ac:dyDescent="0.25">
      <c r="A2482">
        <v>20150903</v>
      </c>
      <c r="B2482" t="str">
        <f>"060208"</f>
        <v>060208</v>
      </c>
      <c r="C2482" t="str">
        <f>"81155"</f>
        <v>81155</v>
      </c>
      <c r="D2482" t="s">
        <v>131</v>
      </c>
      <c r="E2482" s="3">
        <v>240</v>
      </c>
      <c r="F2482">
        <v>20150903</v>
      </c>
      <c r="G2482" t="s">
        <v>1794</v>
      </c>
      <c r="H2482" t="s">
        <v>1795</v>
      </c>
      <c r="I2482">
        <v>0</v>
      </c>
      <c r="J2482" t="s">
        <v>1709</v>
      </c>
      <c r="K2482" t="s">
        <v>290</v>
      </c>
      <c r="L2482" t="s">
        <v>285</v>
      </c>
      <c r="M2482" t="str">
        <f t="shared" si="145"/>
        <v>09</v>
      </c>
      <c r="N2482" t="s">
        <v>12</v>
      </c>
    </row>
    <row r="2483" spans="1:14" x14ac:dyDescent="0.25">
      <c r="A2483">
        <v>20150903</v>
      </c>
      <c r="B2483" t="str">
        <f>"060209"</f>
        <v>060209</v>
      </c>
      <c r="C2483" t="str">
        <f>"80611"</f>
        <v>80611</v>
      </c>
      <c r="D2483" t="s">
        <v>1796</v>
      </c>
      <c r="E2483" s="3">
        <v>2125</v>
      </c>
      <c r="F2483">
        <v>20150903</v>
      </c>
      <c r="G2483" t="s">
        <v>1718</v>
      </c>
      <c r="H2483" t="s">
        <v>1797</v>
      </c>
      <c r="I2483">
        <v>0</v>
      </c>
      <c r="J2483" t="s">
        <v>1709</v>
      </c>
      <c r="K2483" t="s">
        <v>235</v>
      </c>
      <c r="L2483" t="s">
        <v>285</v>
      </c>
      <c r="M2483" t="str">
        <f t="shared" si="145"/>
        <v>09</v>
      </c>
      <c r="N2483" t="s">
        <v>12</v>
      </c>
    </row>
    <row r="2484" spans="1:14" x14ac:dyDescent="0.25">
      <c r="A2484">
        <v>20150903</v>
      </c>
      <c r="B2484" t="str">
        <f>"060210"</f>
        <v>060210</v>
      </c>
      <c r="C2484" t="str">
        <f>"82131"</f>
        <v>82131</v>
      </c>
      <c r="D2484" t="s">
        <v>1516</v>
      </c>
      <c r="E2484" s="3">
        <v>1650</v>
      </c>
      <c r="F2484">
        <v>20150903</v>
      </c>
      <c r="G2484" t="s">
        <v>1798</v>
      </c>
      <c r="H2484" t="s">
        <v>1799</v>
      </c>
      <c r="I2484">
        <v>0</v>
      </c>
      <c r="J2484" t="s">
        <v>1709</v>
      </c>
      <c r="K2484" t="s">
        <v>290</v>
      </c>
      <c r="L2484" t="s">
        <v>285</v>
      </c>
      <c r="M2484" t="str">
        <f t="shared" si="145"/>
        <v>09</v>
      </c>
      <c r="N2484" t="s">
        <v>12</v>
      </c>
    </row>
    <row r="2485" spans="1:14" x14ac:dyDescent="0.25">
      <c r="A2485">
        <v>20150903</v>
      </c>
      <c r="B2485" t="str">
        <f>"060211"</f>
        <v>060211</v>
      </c>
      <c r="C2485" t="str">
        <f>"82126"</f>
        <v>82126</v>
      </c>
      <c r="D2485" t="s">
        <v>1800</v>
      </c>
      <c r="E2485" s="3">
        <v>345</v>
      </c>
      <c r="F2485">
        <v>20150903</v>
      </c>
      <c r="G2485" t="s">
        <v>1710</v>
      </c>
      <c r="H2485" t="s">
        <v>1801</v>
      </c>
      <c r="I2485">
        <v>0</v>
      </c>
      <c r="J2485" t="s">
        <v>1709</v>
      </c>
      <c r="K2485" t="s">
        <v>290</v>
      </c>
      <c r="L2485" t="s">
        <v>285</v>
      </c>
      <c r="M2485" t="str">
        <f t="shared" si="145"/>
        <v>09</v>
      </c>
      <c r="N2485" t="s">
        <v>12</v>
      </c>
    </row>
    <row r="2486" spans="1:14" x14ac:dyDescent="0.25">
      <c r="A2486">
        <v>20150911</v>
      </c>
      <c r="B2486" t="str">
        <f>"060213"</f>
        <v>060213</v>
      </c>
      <c r="C2486" t="str">
        <f>"01120"</f>
        <v>01120</v>
      </c>
      <c r="D2486" t="s">
        <v>1802</v>
      </c>
      <c r="E2486" s="3">
        <v>2368</v>
      </c>
      <c r="F2486">
        <v>20150909</v>
      </c>
      <c r="G2486" t="s">
        <v>1718</v>
      </c>
      <c r="H2486" t="s">
        <v>1803</v>
      </c>
      <c r="I2486">
        <v>0</v>
      </c>
      <c r="J2486" t="s">
        <v>1709</v>
      </c>
      <c r="K2486" t="s">
        <v>235</v>
      </c>
      <c r="L2486" t="s">
        <v>285</v>
      </c>
      <c r="M2486" t="str">
        <f t="shared" si="145"/>
        <v>09</v>
      </c>
      <c r="N2486" t="s">
        <v>12</v>
      </c>
    </row>
    <row r="2487" spans="1:14" x14ac:dyDescent="0.25">
      <c r="A2487">
        <v>20150911</v>
      </c>
      <c r="B2487" t="str">
        <f>"060214"</f>
        <v>060214</v>
      </c>
      <c r="C2487" t="str">
        <f>"02251"</f>
        <v>02251</v>
      </c>
      <c r="D2487" t="s">
        <v>1804</v>
      </c>
      <c r="E2487" s="3">
        <v>80</v>
      </c>
      <c r="F2487">
        <v>20150909</v>
      </c>
      <c r="G2487" t="s">
        <v>1718</v>
      </c>
      <c r="H2487" t="s">
        <v>1805</v>
      </c>
      <c r="I2487">
        <v>0</v>
      </c>
      <c r="J2487" t="s">
        <v>1709</v>
      </c>
      <c r="K2487" t="s">
        <v>235</v>
      </c>
      <c r="L2487" t="s">
        <v>285</v>
      </c>
      <c r="M2487" t="str">
        <f t="shared" si="145"/>
        <v>09</v>
      </c>
      <c r="N2487" t="s">
        <v>12</v>
      </c>
    </row>
    <row r="2488" spans="1:14" x14ac:dyDescent="0.25">
      <c r="A2488">
        <v>20150911</v>
      </c>
      <c r="B2488" t="str">
        <f>"060215"</f>
        <v>060215</v>
      </c>
      <c r="C2488" t="str">
        <f>"29779"</f>
        <v>29779</v>
      </c>
      <c r="D2488" t="s">
        <v>1806</v>
      </c>
      <c r="E2488" s="3">
        <v>1225</v>
      </c>
      <c r="F2488">
        <v>20150909</v>
      </c>
      <c r="G2488" t="s">
        <v>1718</v>
      </c>
      <c r="H2488" t="s">
        <v>1807</v>
      </c>
      <c r="I2488">
        <v>0</v>
      </c>
      <c r="J2488" t="s">
        <v>1709</v>
      </c>
      <c r="K2488" t="s">
        <v>235</v>
      </c>
      <c r="L2488" t="s">
        <v>285</v>
      </c>
      <c r="M2488" t="str">
        <f t="shared" si="145"/>
        <v>09</v>
      </c>
      <c r="N2488" t="s">
        <v>12</v>
      </c>
    </row>
    <row r="2489" spans="1:14" x14ac:dyDescent="0.25">
      <c r="A2489">
        <v>20150911</v>
      </c>
      <c r="B2489" t="str">
        <f>"060216"</f>
        <v>060216</v>
      </c>
      <c r="C2489" t="str">
        <f>"03829"</f>
        <v>03829</v>
      </c>
      <c r="D2489" t="s">
        <v>1808</v>
      </c>
      <c r="E2489" s="3">
        <v>104</v>
      </c>
      <c r="F2489">
        <v>20150909</v>
      </c>
      <c r="G2489" t="s">
        <v>1718</v>
      </c>
      <c r="H2489" t="s">
        <v>1809</v>
      </c>
      <c r="I2489">
        <v>0</v>
      </c>
      <c r="J2489" t="s">
        <v>1709</v>
      </c>
      <c r="K2489" t="s">
        <v>235</v>
      </c>
      <c r="L2489" t="s">
        <v>285</v>
      </c>
      <c r="M2489" t="str">
        <f t="shared" si="145"/>
        <v>09</v>
      </c>
      <c r="N2489" t="s">
        <v>12</v>
      </c>
    </row>
    <row r="2490" spans="1:14" x14ac:dyDescent="0.25">
      <c r="A2490">
        <v>20150911</v>
      </c>
      <c r="B2490" t="str">
        <f>"060216"</f>
        <v>060216</v>
      </c>
      <c r="C2490" t="str">
        <f>"03829"</f>
        <v>03829</v>
      </c>
      <c r="D2490" t="s">
        <v>1808</v>
      </c>
      <c r="E2490" s="3">
        <v>794.33</v>
      </c>
      <c r="F2490">
        <v>20150909</v>
      </c>
      <c r="G2490" t="s">
        <v>1718</v>
      </c>
      <c r="H2490" t="s">
        <v>1810</v>
      </c>
      <c r="I2490">
        <v>0</v>
      </c>
      <c r="J2490" t="s">
        <v>1709</v>
      </c>
      <c r="K2490" t="s">
        <v>235</v>
      </c>
      <c r="L2490" t="s">
        <v>285</v>
      </c>
      <c r="M2490" t="str">
        <f t="shared" si="145"/>
        <v>09</v>
      </c>
      <c r="N2490" t="s">
        <v>12</v>
      </c>
    </row>
    <row r="2491" spans="1:14" x14ac:dyDescent="0.25">
      <c r="A2491">
        <v>20150911</v>
      </c>
      <c r="B2491" t="str">
        <f>"060216"</f>
        <v>060216</v>
      </c>
      <c r="C2491" t="str">
        <f>"03829"</f>
        <v>03829</v>
      </c>
      <c r="D2491" t="s">
        <v>1808</v>
      </c>
      <c r="E2491" s="3">
        <v>1010.2</v>
      </c>
      <c r="F2491">
        <v>20150909</v>
      </c>
      <c r="G2491" t="s">
        <v>1718</v>
      </c>
      <c r="H2491" t="s">
        <v>1811</v>
      </c>
      <c r="I2491">
        <v>0</v>
      </c>
      <c r="J2491" t="s">
        <v>1709</v>
      </c>
      <c r="K2491" t="s">
        <v>235</v>
      </c>
      <c r="L2491" t="s">
        <v>285</v>
      </c>
      <c r="M2491" t="str">
        <f t="shared" si="145"/>
        <v>09</v>
      </c>
      <c r="N2491" t="s">
        <v>12</v>
      </c>
    </row>
    <row r="2492" spans="1:14" x14ac:dyDescent="0.25">
      <c r="A2492">
        <v>20150911</v>
      </c>
      <c r="B2492" t="str">
        <f>"060217"</f>
        <v>060217</v>
      </c>
      <c r="C2492" t="str">
        <f>"24208"</f>
        <v>24208</v>
      </c>
      <c r="D2492" t="s">
        <v>1541</v>
      </c>
      <c r="E2492" s="3">
        <v>240</v>
      </c>
      <c r="F2492">
        <v>20150909</v>
      </c>
      <c r="G2492" t="s">
        <v>1718</v>
      </c>
      <c r="H2492" t="s">
        <v>1812</v>
      </c>
      <c r="I2492">
        <v>0</v>
      </c>
      <c r="J2492" t="s">
        <v>1709</v>
      </c>
      <c r="K2492" t="s">
        <v>235</v>
      </c>
      <c r="L2492" t="s">
        <v>285</v>
      </c>
      <c r="M2492" t="str">
        <f t="shared" si="145"/>
        <v>09</v>
      </c>
      <c r="N2492" t="s">
        <v>12</v>
      </c>
    </row>
    <row r="2493" spans="1:14" x14ac:dyDescent="0.25">
      <c r="A2493">
        <v>20150911</v>
      </c>
      <c r="B2493" t="str">
        <f>"060218"</f>
        <v>060218</v>
      </c>
      <c r="C2493" t="str">
        <f>"07685"</f>
        <v>07685</v>
      </c>
      <c r="D2493" t="s">
        <v>1813</v>
      </c>
      <c r="E2493" s="3">
        <v>460.9</v>
      </c>
      <c r="F2493">
        <v>20150909</v>
      </c>
      <c r="G2493" t="s">
        <v>1718</v>
      </c>
      <c r="H2493" t="s">
        <v>1814</v>
      </c>
      <c r="I2493">
        <v>0</v>
      </c>
      <c r="J2493" t="s">
        <v>1709</v>
      </c>
      <c r="K2493" t="s">
        <v>235</v>
      </c>
      <c r="L2493" t="s">
        <v>285</v>
      </c>
      <c r="M2493" t="str">
        <f t="shared" si="145"/>
        <v>09</v>
      </c>
      <c r="N2493" t="s">
        <v>12</v>
      </c>
    </row>
    <row r="2494" spans="1:14" x14ac:dyDescent="0.25">
      <c r="A2494">
        <v>20150911</v>
      </c>
      <c r="B2494" t="str">
        <f>"060218"</f>
        <v>060218</v>
      </c>
      <c r="C2494" t="str">
        <f>"07685"</f>
        <v>07685</v>
      </c>
      <c r="D2494" t="s">
        <v>1813</v>
      </c>
      <c r="E2494" s="3">
        <v>120</v>
      </c>
      <c r="F2494">
        <v>20150909</v>
      </c>
      <c r="G2494" t="s">
        <v>1718</v>
      </c>
      <c r="H2494" t="s">
        <v>1815</v>
      </c>
      <c r="I2494">
        <v>0</v>
      </c>
      <c r="J2494" t="s">
        <v>1709</v>
      </c>
      <c r="K2494" t="s">
        <v>235</v>
      </c>
      <c r="L2494" t="s">
        <v>285</v>
      </c>
      <c r="M2494" t="str">
        <f t="shared" si="145"/>
        <v>09</v>
      </c>
      <c r="N2494" t="s">
        <v>12</v>
      </c>
    </row>
    <row r="2495" spans="1:14" x14ac:dyDescent="0.25">
      <c r="A2495">
        <v>20150911</v>
      </c>
      <c r="B2495" t="str">
        <f>"060221"</f>
        <v>060221</v>
      </c>
      <c r="C2495" t="str">
        <f>"10063"</f>
        <v>10063</v>
      </c>
      <c r="D2495" t="s">
        <v>1816</v>
      </c>
      <c r="E2495" s="3">
        <v>35.19</v>
      </c>
      <c r="F2495">
        <v>20150909</v>
      </c>
      <c r="G2495" t="s">
        <v>1718</v>
      </c>
      <c r="H2495" t="s">
        <v>325</v>
      </c>
      <c r="I2495">
        <v>0</v>
      </c>
      <c r="J2495" t="s">
        <v>1709</v>
      </c>
      <c r="K2495" t="s">
        <v>235</v>
      </c>
      <c r="L2495" t="s">
        <v>285</v>
      </c>
      <c r="M2495" t="str">
        <f t="shared" si="145"/>
        <v>09</v>
      </c>
      <c r="N2495" t="s">
        <v>12</v>
      </c>
    </row>
    <row r="2496" spans="1:14" x14ac:dyDescent="0.25">
      <c r="A2496">
        <v>20150911</v>
      </c>
      <c r="B2496" t="str">
        <f>"060222"</f>
        <v>060222</v>
      </c>
      <c r="C2496" t="str">
        <f>"11140"</f>
        <v>11140</v>
      </c>
      <c r="D2496" t="s">
        <v>1817</v>
      </c>
      <c r="E2496" s="3">
        <v>35.19</v>
      </c>
      <c r="F2496">
        <v>20150909</v>
      </c>
      <c r="G2496" t="s">
        <v>1718</v>
      </c>
      <c r="H2496" t="s">
        <v>325</v>
      </c>
      <c r="I2496">
        <v>0</v>
      </c>
      <c r="J2496" t="s">
        <v>1709</v>
      </c>
      <c r="K2496" t="s">
        <v>235</v>
      </c>
      <c r="L2496" t="s">
        <v>285</v>
      </c>
      <c r="M2496" t="str">
        <f t="shared" si="145"/>
        <v>09</v>
      </c>
      <c r="N2496" t="s">
        <v>12</v>
      </c>
    </row>
    <row r="2497" spans="1:14" x14ac:dyDescent="0.25">
      <c r="A2497">
        <v>20150911</v>
      </c>
      <c r="B2497" t="str">
        <f t="shared" ref="B2497:B2504" si="146">"060227"</f>
        <v>060227</v>
      </c>
      <c r="C2497" t="str">
        <f t="shared" ref="C2497:C2504" si="147">"20683"</f>
        <v>20683</v>
      </c>
      <c r="D2497" t="s">
        <v>1818</v>
      </c>
      <c r="E2497" s="3">
        <v>51.88</v>
      </c>
      <c r="F2497">
        <v>20150909</v>
      </c>
      <c r="G2497" t="s">
        <v>1718</v>
      </c>
      <c r="H2497" t="s">
        <v>1819</v>
      </c>
      <c r="I2497">
        <v>0</v>
      </c>
      <c r="J2497" t="s">
        <v>1709</v>
      </c>
      <c r="K2497" t="s">
        <v>235</v>
      </c>
      <c r="L2497" t="s">
        <v>285</v>
      </c>
      <c r="M2497" t="str">
        <f t="shared" si="145"/>
        <v>09</v>
      </c>
      <c r="N2497" t="s">
        <v>12</v>
      </c>
    </row>
    <row r="2498" spans="1:14" x14ac:dyDescent="0.25">
      <c r="A2498">
        <v>20150911</v>
      </c>
      <c r="B2498" t="str">
        <f t="shared" si="146"/>
        <v>060227</v>
      </c>
      <c r="C2498" t="str">
        <f t="shared" si="147"/>
        <v>20683</v>
      </c>
      <c r="D2498" t="s">
        <v>1818</v>
      </c>
      <c r="E2498" s="3">
        <v>92.99</v>
      </c>
      <c r="F2498">
        <v>20150909</v>
      </c>
      <c r="G2498" t="s">
        <v>1718</v>
      </c>
      <c r="H2498" t="s">
        <v>1820</v>
      </c>
      <c r="I2498">
        <v>0</v>
      </c>
      <c r="J2498" t="s">
        <v>1709</v>
      </c>
      <c r="K2498" t="s">
        <v>235</v>
      </c>
      <c r="L2498" t="s">
        <v>285</v>
      </c>
      <c r="M2498" t="str">
        <f t="shared" si="145"/>
        <v>09</v>
      </c>
      <c r="N2498" t="s">
        <v>12</v>
      </c>
    </row>
    <row r="2499" spans="1:14" x14ac:dyDescent="0.25">
      <c r="A2499">
        <v>20150911</v>
      </c>
      <c r="B2499" t="str">
        <f t="shared" si="146"/>
        <v>060227</v>
      </c>
      <c r="C2499" t="str">
        <f t="shared" si="147"/>
        <v>20683</v>
      </c>
      <c r="D2499" t="s">
        <v>1818</v>
      </c>
      <c r="E2499" s="3">
        <v>8.52</v>
      </c>
      <c r="F2499">
        <v>20150909</v>
      </c>
      <c r="G2499" t="s">
        <v>1718</v>
      </c>
      <c r="H2499" t="s">
        <v>1821</v>
      </c>
      <c r="I2499">
        <v>0</v>
      </c>
      <c r="J2499" t="s">
        <v>1709</v>
      </c>
      <c r="K2499" t="s">
        <v>235</v>
      </c>
      <c r="L2499" t="s">
        <v>285</v>
      </c>
      <c r="M2499" t="str">
        <f t="shared" si="145"/>
        <v>09</v>
      </c>
      <c r="N2499" t="s">
        <v>12</v>
      </c>
    </row>
    <row r="2500" spans="1:14" x14ac:dyDescent="0.25">
      <c r="A2500">
        <v>20150911</v>
      </c>
      <c r="B2500" t="str">
        <f t="shared" si="146"/>
        <v>060227</v>
      </c>
      <c r="C2500" t="str">
        <f t="shared" si="147"/>
        <v>20683</v>
      </c>
      <c r="D2500" t="s">
        <v>1818</v>
      </c>
      <c r="E2500" s="3">
        <v>11.97</v>
      </c>
      <c r="F2500">
        <v>20150909</v>
      </c>
      <c r="G2500" t="s">
        <v>1718</v>
      </c>
      <c r="H2500" t="s">
        <v>1822</v>
      </c>
      <c r="I2500">
        <v>0</v>
      </c>
      <c r="J2500" t="s">
        <v>1709</v>
      </c>
      <c r="K2500" t="s">
        <v>235</v>
      </c>
      <c r="L2500" t="s">
        <v>285</v>
      </c>
      <c r="M2500" t="str">
        <f t="shared" si="145"/>
        <v>09</v>
      </c>
      <c r="N2500" t="s">
        <v>12</v>
      </c>
    </row>
    <row r="2501" spans="1:14" x14ac:dyDescent="0.25">
      <c r="A2501">
        <v>20150911</v>
      </c>
      <c r="B2501" t="str">
        <f t="shared" si="146"/>
        <v>060227</v>
      </c>
      <c r="C2501" t="str">
        <f t="shared" si="147"/>
        <v>20683</v>
      </c>
      <c r="D2501" t="s">
        <v>1818</v>
      </c>
      <c r="E2501" s="3">
        <v>9.4700000000000006</v>
      </c>
      <c r="F2501">
        <v>20150909</v>
      </c>
      <c r="G2501" t="s">
        <v>1718</v>
      </c>
      <c r="H2501" t="s">
        <v>1819</v>
      </c>
      <c r="I2501">
        <v>0</v>
      </c>
      <c r="J2501" t="s">
        <v>1709</v>
      </c>
      <c r="K2501" t="s">
        <v>235</v>
      </c>
      <c r="L2501" t="s">
        <v>285</v>
      </c>
      <c r="M2501" t="str">
        <f t="shared" si="145"/>
        <v>09</v>
      </c>
      <c r="N2501" t="s">
        <v>12</v>
      </c>
    </row>
    <row r="2502" spans="1:14" x14ac:dyDescent="0.25">
      <c r="A2502">
        <v>20150911</v>
      </c>
      <c r="B2502" t="str">
        <f t="shared" si="146"/>
        <v>060227</v>
      </c>
      <c r="C2502" t="str">
        <f t="shared" si="147"/>
        <v>20683</v>
      </c>
      <c r="D2502" t="s">
        <v>1818</v>
      </c>
      <c r="E2502" s="3">
        <v>11.96</v>
      </c>
      <c r="F2502">
        <v>20150909</v>
      </c>
      <c r="G2502" t="s">
        <v>1718</v>
      </c>
      <c r="H2502" t="s">
        <v>1820</v>
      </c>
      <c r="I2502">
        <v>0</v>
      </c>
      <c r="J2502" t="s">
        <v>1709</v>
      </c>
      <c r="K2502" t="s">
        <v>235</v>
      </c>
      <c r="L2502" t="s">
        <v>285</v>
      </c>
      <c r="M2502" t="str">
        <f t="shared" si="145"/>
        <v>09</v>
      </c>
      <c r="N2502" t="s">
        <v>12</v>
      </c>
    </row>
    <row r="2503" spans="1:14" x14ac:dyDescent="0.25">
      <c r="A2503">
        <v>20150911</v>
      </c>
      <c r="B2503" t="str">
        <f t="shared" si="146"/>
        <v>060227</v>
      </c>
      <c r="C2503" t="str">
        <f t="shared" si="147"/>
        <v>20683</v>
      </c>
      <c r="D2503" t="s">
        <v>1818</v>
      </c>
      <c r="E2503" s="3">
        <v>52.83</v>
      </c>
      <c r="F2503">
        <v>20150909</v>
      </c>
      <c r="G2503" t="s">
        <v>1718</v>
      </c>
      <c r="H2503" t="s">
        <v>1821</v>
      </c>
      <c r="I2503">
        <v>0</v>
      </c>
      <c r="J2503" t="s">
        <v>1709</v>
      </c>
      <c r="K2503" t="s">
        <v>235</v>
      </c>
      <c r="L2503" t="s">
        <v>285</v>
      </c>
      <c r="M2503" t="str">
        <f t="shared" si="145"/>
        <v>09</v>
      </c>
      <c r="N2503" t="s">
        <v>12</v>
      </c>
    </row>
    <row r="2504" spans="1:14" x14ac:dyDescent="0.25">
      <c r="A2504">
        <v>20150911</v>
      </c>
      <c r="B2504" t="str">
        <f t="shared" si="146"/>
        <v>060227</v>
      </c>
      <c r="C2504" t="str">
        <f t="shared" si="147"/>
        <v>20683</v>
      </c>
      <c r="D2504" t="s">
        <v>1818</v>
      </c>
      <c r="E2504" s="3">
        <v>50.07</v>
      </c>
      <c r="F2504">
        <v>20150909</v>
      </c>
      <c r="G2504" t="s">
        <v>1718</v>
      </c>
      <c r="H2504" t="s">
        <v>1822</v>
      </c>
      <c r="I2504">
        <v>0</v>
      </c>
      <c r="J2504" t="s">
        <v>1709</v>
      </c>
      <c r="K2504" t="s">
        <v>235</v>
      </c>
      <c r="L2504" t="s">
        <v>285</v>
      </c>
      <c r="M2504" t="str">
        <f t="shared" si="145"/>
        <v>09</v>
      </c>
      <c r="N2504" t="s">
        <v>12</v>
      </c>
    </row>
    <row r="2505" spans="1:14" x14ac:dyDescent="0.25">
      <c r="A2505">
        <v>20150911</v>
      </c>
      <c r="B2505" t="str">
        <f t="shared" ref="B2505:B2516" si="148">"060228"</f>
        <v>060228</v>
      </c>
      <c r="C2505" t="str">
        <f t="shared" ref="C2505:C2516" si="149">"20706"</f>
        <v>20706</v>
      </c>
      <c r="D2505" t="s">
        <v>1823</v>
      </c>
      <c r="E2505" s="3">
        <v>478.05</v>
      </c>
      <c r="F2505">
        <v>20150909</v>
      </c>
      <c r="G2505" t="s">
        <v>1718</v>
      </c>
      <c r="H2505" t="s">
        <v>1824</v>
      </c>
      <c r="I2505">
        <v>0</v>
      </c>
      <c r="J2505" t="s">
        <v>1709</v>
      </c>
      <c r="K2505" t="s">
        <v>235</v>
      </c>
      <c r="L2505" t="s">
        <v>285</v>
      </c>
      <c r="M2505" t="str">
        <f t="shared" si="145"/>
        <v>09</v>
      </c>
      <c r="N2505" t="s">
        <v>12</v>
      </c>
    </row>
    <row r="2506" spans="1:14" x14ac:dyDescent="0.25">
      <c r="A2506">
        <v>20150911</v>
      </c>
      <c r="B2506" t="str">
        <f t="shared" si="148"/>
        <v>060228</v>
      </c>
      <c r="C2506" t="str">
        <f t="shared" si="149"/>
        <v>20706</v>
      </c>
      <c r="D2506" t="s">
        <v>1823</v>
      </c>
      <c r="E2506" s="3">
        <v>5143.59</v>
      </c>
      <c r="F2506">
        <v>20150909</v>
      </c>
      <c r="G2506" t="s">
        <v>1718</v>
      </c>
      <c r="H2506" t="s">
        <v>1825</v>
      </c>
      <c r="I2506">
        <v>0</v>
      </c>
      <c r="J2506" t="s">
        <v>1709</v>
      </c>
      <c r="K2506" t="s">
        <v>235</v>
      </c>
      <c r="L2506" t="s">
        <v>285</v>
      </c>
      <c r="M2506" t="str">
        <f t="shared" si="145"/>
        <v>09</v>
      </c>
      <c r="N2506" t="s">
        <v>12</v>
      </c>
    </row>
    <row r="2507" spans="1:14" x14ac:dyDescent="0.25">
      <c r="A2507">
        <v>20150911</v>
      </c>
      <c r="B2507" t="str">
        <f t="shared" si="148"/>
        <v>060228</v>
      </c>
      <c r="C2507" t="str">
        <f t="shared" si="149"/>
        <v>20706</v>
      </c>
      <c r="D2507" t="s">
        <v>1823</v>
      </c>
      <c r="E2507" s="3">
        <v>212.09</v>
      </c>
      <c r="F2507">
        <v>20150909</v>
      </c>
      <c r="G2507" t="s">
        <v>1718</v>
      </c>
      <c r="H2507" t="s">
        <v>1826</v>
      </c>
      <c r="I2507">
        <v>0</v>
      </c>
      <c r="J2507" t="s">
        <v>1709</v>
      </c>
      <c r="K2507" t="s">
        <v>235</v>
      </c>
      <c r="L2507" t="s">
        <v>285</v>
      </c>
      <c r="M2507" t="str">
        <f t="shared" si="145"/>
        <v>09</v>
      </c>
      <c r="N2507" t="s">
        <v>12</v>
      </c>
    </row>
    <row r="2508" spans="1:14" x14ac:dyDescent="0.25">
      <c r="A2508">
        <v>20150911</v>
      </c>
      <c r="B2508" t="str">
        <f t="shared" si="148"/>
        <v>060228</v>
      </c>
      <c r="C2508" t="str">
        <f t="shared" si="149"/>
        <v>20706</v>
      </c>
      <c r="D2508" t="s">
        <v>1823</v>
      </c>
      <c r="E2508" s="3">
        <v>3036.35</v>
      </c>
      <c r="F2508">
        <v>20150909</v>
      </c>
      <c r="G2508" t="s">
        <v>1718</v>
      </c>
      <c r="H2508" t="s">
        <v>1827</v>
      </c>
      <c r="I2508">
        <v>0</v>
      </c>
      <c r="J2508" t="s">
        <v>1709</v>
      </c>
      <c r="K2508" t="s">
        <v>235</v>
      </c>
      <c r="L2508" t="s">
        <v>285</v>
      </c>
      <c r="M2508" t="str">
        <f t="shared" si="145"/>
        <v>09</v>
      </c>
      <c r="N2508" t="s">
        <v>12</v>
      </c>
    </row>
    <row r="2509" spans="1:14" x14ac:dyDescent="0.25">
      <c r="A2509">
        <v>20150911</v>
      </c>
      <c r="B2509" t="str">
        <f t="shared" si="148"/>
        <v>060228</v>
      </c>
      <c r="C2509" t="str">
        <f t="shared" si="149"/>
        <v>20706</v>
      </c>
      <c r="D2509" t="s">
        <v>1823</v>
      </c>
      <c r="E2509" s="3">
        <v>176.17</v>
      </c>
      <c r="F2509">
        <v>20150909</v>
      </c>
      <c r="G2509" t="s">
        <v>1718</v>
      </c>
      <c r="H2509" t="s">
        <v>1828</v>
      </c>
      <c r="I2509">
        <v>0</v>
      </c>
      <c r="J2509" t="s">
        <v>1709</v>
      </c>
      <c r="K2509" t="s">
        <v>235</v>
      </c>
      <c r="L2509" t="s">
        <v>285</v>
      </c>
      <c r="M2509" t="str">
        <f t="shared" si="145"/>
        <v>09</v>
      </c>
      <c r="N2509" t="s">
        <v>12</v>
      </c>
    </row>
    <row r="2510" spans="1:14" x14ac:dyDescent="0.25">
      <c r="A2510">
        <v>20150911</v>
      </c>
      <c r="B2510" t="str">
        <f t="shared" si="148"/>
        <v>060228</v>
      </c>
      <c r="C2510" t="str">
        <f t="shared" si="149"/>
        <v>20706</v>
      </c>
      <c r="D2510" t="s">
        <v>1823</v>
      </c>
      <c r="E2510" s="3">
        <v>3983.56</v>
      </c>
      <c r="F2510">
        <v>20150909</v>
      </c>
      <c r="G2510" t="s">
        <v>1718</v>
      </c>
      <c r="H2510" t="s">
        <v>1829</v>
      </c>
      <c r="I2510">
        <v>0</v>
      </c>
      <c r="J2510" t="s">
        <v>1709</v>
      </c>
      <c r="K2510" t="s">
        <v>235</v>
      </c>
      <c r="L2510" t="s">
        <v>285</v>
      </c>
      <c r="M2510" t="str">
        <f t="shared" si="145"/>
        <v>09</v>
      </c>
      <c r="N2510" t="s">
        <v>12</v>
      </c>
    </row>
    <row r="2511" spans="1:14" x14ac:dyDescent="0.25">
      <c r="A2511">
        <v>20150911</v>
      </c>
      <c r="B2511" t="str">
        <f t="shared" si="148"/>
        <v>060228</v>
      </c>
      <c r="C2511" t="str">
        <f t="shared" si="149"/>
        <v>20706</v>
      </c>
      <c r="D2511" t="s">
        <v>1823</v>
      </c>
      <c r="E2511" s="3">
        <v>239.03</v>
      </c>
      <c r="F2511">
        <v>20150909</v>
      </c>
      <c r="G2511" t="s">
        <v>1718</v>
      </c>
      <c r="H2511" t="s">
        <v>1830</v>
      </c>
      <c r="I2511">
        <v>0</v>
      </c>
      <c r="J2511" t="s">
        <v>1709</v>
      </c>
      <c r="K2511" t="s">
        <v>235</v>
      </c>
      <c r="L2511" t="s">
        <v>285</v>
      </c>
      <c r="M2511" t="str">
        <f t="shared" si="145"/>
        <v>09</v>
      </c>
      <c r="N2511" t="s">
        <v>12</v>
      </c>
    </row>
    <row r="2512" spans="1:14" x14ac:dyDescent="0.25">
      <c r="A2512">
        <v>20150911</v>
      </c>
      <c r="B2512" t="str">
        <f t="shared" si="148"/>
        <v>060228</v>
      </c>
      <c r="C2512" t="str">
        <f t="shared" si="149"/>
        <v>20706</v>
      </c>
      <c r="D2512" t="s">
        <v>1823</v>
      </c>
      <c r="E2512" s="3">
        <v>8682.51</v>
      </c>
      <c r="F2512">
        <v>20150909</v>
      </c>
      <c r="G2512" t="s">
        <v>1718</v>
      </c>
      <c r="H2512" t="s">
        <v>1831</v>
      </c>
      <c r="I2512">
        <v>0</v>
      </c>
      <c r="J2512" t="s">
        <v>1709</v>
      </c>
      <c r="K2512" t="s">
        <v>235</v>
      </c>
      <c r="L2512" t="s">
        <v>285</v>
      </c>
      <c r="M2512" t="str">
        <f t="shared" si="145"/>
        <v>09</v>
      </c>
      <c r="N2512" t="s">
        <v>12</v>
      </c>
    </row>
    <row r="2513" spans="1:14" x14ac:dyDescent="0.25">
      <c r="A2513">
        <v>20150911</v>
      </c>
      <c r="B2513" t="str">
        <f t="shared" si="148"/>
        <v>060228</v>
      </c>
      <c r="C2513" t="str">
        <f t="shared" si="149"/>
        <v>20706</v>
      </c>
      <c r="D2513" t="s">
        <v>1823</v>
      </c>
      <c r="E2513" s="3">
        <v>581.77</v>
      </c>
      <c r="F2513">
        <v>20150909</v>
      </c>
      <c r="G2513" t="s">
        <v>1718</v>
      </c>
      <c r="H2513" t="s">
        <v>1832</v>
      </c>
      <c r="I2513">
        <v>0</v>
      </c>
      <c r="J2513" t="s">
        <v>1709</v>
      </c>
      <c r="K2513" t="s">
        <v>235</v>
      </c>
      <c r="L2513" t="s">
        <v>285</v>
      </c>
      <c r="M2513" t="str">
        <f t="shared" si="145"/>
        <v>09</v>
      </c>
      <c r="N2513" t="s">
        <v>12</v>
      </c>
    </row>
    <row r="2514" spans="1:14" x14ac:dyDescent="0.25">
      <c r="A2514">
        <v>20150911</v>
      </c>
      <c r="B2514" t="str">
        <f t="shared" si="148"/>
        <v>060228</v>
      </c>
      <c r="C2514" t="str">
        <f t="shared" si="149"/>
        <v>20706</v>
      </c>
      <c r="D2514" t="s">
        <v>1823</v>
      </c>
      <c r="E2514" s="3">
        <v>1681.09</v>
      </c>
      <c r="F2514">
        <v>20150909</v>
      </c>
      <c r="G2514" t="s">
        <v>1718</v>
      </c>
      <c r="H2514" t="s">
        <v>1833</v>
      </c>
      <c r="I2514">
        <v>0</v>
      </c>
      <c r="J2514" t="s">
        <v>1709</v>
      </c>
      <c r="K2514" t="s">
        <v>235</v>
      </c>
      <c r="L2514" t="s">
        <v>285</v>
      </c>
      <c r="M2514" t="str">
        <f t="shared" si="145"/>
        <v>09</v>
      </c>
      <c r="N2514" t="s">
        <v>12</v>
      </c>
    </row>
    <row r="2515" spans="1:14" x14ac:dyDescent="0.25">
      <c r="A2515">
        <v>20150911</v>
      </c>
      <c r="B2515" t="str">
        <f t="shared" si="148"/>
        <v>060228</v>
      </c>
      <c r="C2515" t="str">
        <f t="shared" si="149"/>
        <v>20706</v>
      </c>
      <c r="D2515" t="s">
        <v>1823</v>
      </c>
      <c r="E2515" s="3">
        <v>76.3</v>
      </c>
      <c r="F2515">
        <v>20150909</v>
      </c>
      <c r="G2515" t="s">
        <v>1718</v>
      </c>
      <c r="H2515" t="s">
        <v>1834</v>
      </c>
      <c r="I2515">
        <v>0</v>
      </c>
      <c r="J2515" t="s">
        <v>1709</v>
      </c>
      <c r="K2515" t="s">
        <v>235</v>
      </c>
      <c r="L2515" t="s">
        <v>285</v>
      </c>
      <c r="M2515" t="str">
        <f t="shared" si="145"/>
        <v>09</v>
      </c>
      <c r="N2515" t="s">
        <v>12</v>
      </c>
    </row>
    <row r="2516" spans="1:14" x14ac:dyDescent="0.25">
      <c r="A2516">
        <v>20150911</v>
      </c>
      <c r="B2516" t="str">
        <f t="shared" si="148"/>
        <v>060228</v>
      </c>
      <c r="C2516" t="str">
        <f t="shared" si="149"/>
        <v>20706</v>
      </c>
      <c r="D2516" t="s">
        <v>1823</v>
      </c>
      <c r="E2516" s="3">
        <v>89.78</v>
      </c>
      <c r="F2516">
        <v>20150909</v>
      </c>
      <c r="G2516" t="s">
        <v>1718</v>
      </c>
      <c r="H2516" t="s">
        <v>1835</v>
      </c>
      <c r="I2516">
        <v>0</v>
      </c>
      <c r="J2516" t="s">
        <v>1709</v>
      </c>
      <c r="K2516" t="s">
        <v>235</v>
      </c>
      <c r="L2516" t="s">
        <v>285</v>
      </c>
      <c r="M2516" t="str">
        <f t="shared" si="145"/>
        <v>09</v>
      </c>
      <c r="N2516" t="s">
        <v>12</v>
      </c>
    </row>
    <row r="2517" spans="1:14" x14ac:dyDescent="0.25">
      <c r="A2517">
        <v>20150911</v>
      </c>
      <c r="B2517" t="str">
        <f>"060229"</f>
        <v>060229</v>
      </c>
      <c r="C2517" t="str">
        <f>"21769"</f>
        <v>21769</v>
      </c>
      <c r="D2517" t="s">
        <v>1836</v>
      </c>
      <c r="E2517" s="3">
        <v>2484.14</v>
      </c>
      <c r="F2517">
        <v>20150910</v>
      </c>
      <c r="G2517" t="s">
        <v>1718</v>
      </c>
      <c r="H2517" t="s">
        <v>1837</v>
      </c>
      <c r="I2517">
        <v>0</v>
      </c>
      <c r="J2517" t="s">
        <v>1709</v>
      </c>
      <c r="K2517" t="s">
        <v>235</v>
      </c>
      <c r="L2517" t="s">
        <v>285</v>
      </c>
      <c r="M2517" t="str">
        <f t="shared" si="145"/>
        <v>09</v>
      </c>
      <c r="N2517" t="s">
        <v>12</v>
      </c>
    </row>
    <row r="2518" spans="1:14" x14ac:dyDescent="0.25">
      <c r="A2518">
        <v>20150911</v>
      </c>
      <c r="B2518" t="str">
        <f>"060230"</f>
        <v>060230</v>
      </c>
      <c r="C2518" t="str">
        <f>"21860"</f>
        <v>21860</v>
      </c>
      <c r="D2518" t="s">
        <v>1838</v>
      </c>
      <c r="E2518" s="3">
        <v>167.4</v>
      </c>
      <c r="F2518">
        <v>20150909</v>
      </c>
      <c r="G2518" t="s">
        <v>1718</v>
      </c>
      <c r="H2518" t="s">
        <v>1839</v>
      </c>
      <c r="I2518">
        <v>0</v>
      </c>
      <c r="J2518" t="s">
        <v>1709</v>
      </c>
      <c r="K2518" t="s">
        <v>235</v>
      </c>
      <c r="L2518" t="s">
        <v>285</v>
      </c>
      <c r="M2518" t="str">
        <f t="shared" si="145"/>
        <v>09</v>
      </c>
      <c r="N2518" t="s">
        <v>12</v>
      </c>
    </row>
    <row r="2519" spans="1:14" x14ac:dyDescent="0.25">
      <c r="A2519">
        <v>20150911</v>
      </c>
      <c r="B2519" t="str">
        <f>"060231"</f>
        <v>060231</v>
      </c>
      <c r="C2519" t="str">
        <f>"22245"</f>
        <v>22245</v>
      </c>
      <c r="D2519" t="s">
        <v>1621</v>
      </c>
      <c r="E2519" s="3">
        <v>1755.99</v>
      </c>
      <c r="F2519">
        <v>20150909</v>
      </c>
      <c r="G2519" t="s">
        <v>1840</v>
      </c>
      <c r="H2519" t="s">
        <v>1766</v>
      </c>
      <c r="I2519">
        <v>0</v>
      </c>
      <c r="J2519" t="s">
        <v>1709</v>
      </c>
      <c r="K2519" t="s">
        <v>1744</v>
      </c>
      <c r="L2519" t="s">
        <v>285</v>
      </c>
      <c r="M2519" t="str">
        <f t="shared" si="145"/>
        <v>09</v>
      </c>
      <c r="N2519" t="s">
        <v>12</v>
      </c>
    </row>
    <row r="2520" spans="1:14" x14ac:dyDescent="0.25">
      <c r="A2520">
        <v>20150911</v>
      </c>
      <c r="B2520" t="str">
        <f>"060233"</f>
        <v>060233</v>
      </c>
      <c r="C2520" t="str">
        <f>"24960"</f>
        <v>24960</v>
      </c>
      <c r="D2520" t="s">
        <v>39</v>
      </c>
      <c r="E2520" s="3">
        <v>549.15</v>
      </c>
      <c r="F2520">
        <v>20150910</v>
      </c>
      <c r="G2520" t="s">
        <v>1841</v>
      </c>
      <c r="H2520" t="s">
        <v>1842</v>
      </c>
      <c r="I2520">
        <v>0</v>
      </c>
      <c r="J2520" t="s">
        <v>1709</v>
      </c>
      <c r="K2520" t="s">
        <v>1775</v>
      </c>
      <c r="L2520" t="s">
        <v>285</v>
      </c>
      <c r="M2520" t="str">
        <f t="shared" si="145"/>
        <v>09</v>
      </c>
      <c r="N2520" t="s">
        <v>12</v>
      </c>
    </row>
    <row r="2521" spans="1:14" x14ac:dyDescent="0.25">
      <c r="A2521">
        <v>20150911</v>
      </c>
      <c r="B2521" t="str">
        <f>"060233"</f>
        <v>060233</v>
      </c>
      <c r="C2521" t="str">
        <f>"24960"</f>
        <v>24960</v>
      </c>
      <c r="D2521" t="s">
        <v>39</v>
      </c>
      <c r="E2521" s="3">
        <v>561.79999999999995</v>
      </c>
      <c r="F2521">
        <v>20150910</v>
      </c>
      <c r="G2521" t="s">
        <v>1841</v>
      </c>
      <c r="H2521" t="s">
        <v>1843</v>
      </c>
      <c r="I2521">
        <v>0</v>
      </c>
      <c r="J2521" t="s">
        <v>1709</v>
      </c>
      <c r="K2521" t="s">
        <v>1775</v>
      </c>
      <c r="L2521" t="s">
        <v>285</v>
      </c>
      <c r="M2521" t="str">
        <f t="shared" si="145"/>
        <v>09</v>
      </c>
      <c r="N2521" t="s">
        <v>12</v>
      </c>
    </row>
    <row r="2522" spans="1:14" x14ac:dyDescent="0.25">
      <c r="A2522">
        <v>20150911</v>
      </c>
      <c r="B2522" t="str">
        <f>"060236"</f>
        <v>060236</v>
      </c>
      <c r="C2522" t="str">
        <f>"25282"</f>
        <v>25282</v>
      </c>
      <c r="D2522" t="s">
        <v>1844</v>
      </c>
      <c r="E2522" s="3">
        <v>438.71</v>
      </c>
      <c r="F2522">
        <v>20150909</v>
      </c>
      <c r="G2522" t="s">
        <v>1845</v>
      </c>
      <c r="H2522" t="s">
        <v>1846</v>
      </c>
      <c r="I2522">
        <v>0</v>
      </c>
      <c r="J2522" t="s">
        <v>1709</v>
      </c>
      <c r="K2522" t="s">
        <v>290</v>
      </c>
      <c r="L2522" t="s">
        <v>285</v>
      </c>
      <c r="M2522" t="str">
        <f t="shared" si="145"/>
        <v>09</v>
      </c>
      <c r="N2522" t="s">
        <v>12</v>
      </c>
    </row>
    <row r="2523" spans="1:14" x14ac:dyDescent="0.25">
      <c r="A2523">
        <v>20150911</v>
      </c>
      <c r="B2523" t="str">
        <f>"060237"</f>
        <v>060237</v>
      </c>
      <c r="C2523" t="str">
        <f>"25871"</f>
        <v>25871</v>
      </c>
      <c r="D2523" t="s">
        <v>647</v>
      </c>
      <c r="E2523" s="3">
        <v>282.5</v>
      </c>
      <c r="F2523">
        <v>20150909</v>
      </c>
      <c r="G2523" t="s">
        <v>1718</v>
      </c>
      <c r="H2523" t="s">
        <v>1847</v>
      </c>
      <c r="I2523">
        <v>0</v>
      </c>
      <c r="J2523" t="s">
        <v>1709</v>
      </c>
      <c r="K2523" t="s">
        <v>235</v>
      </c>
      <c r="L2523" t="s">
        <v>285</v>
      </c>
      <c r="M2523" t="str">
        <f t="shared" si="145"/>
        <v>09</v>
      </c>
      <c r="N2523" t="s">
        <v>12</v>
      </c>
    </row>
    <row r="2524" spans="1:14" x14ac:dyDescent="0.25">
      <c r="A2524">
        <v>20150911</v>
      </c>
      <c r="B2524" t="str">
        <f>"060238"</f>
        <v>060238</v>
      </c>
      <c r="C2524" t="str">
        <f>"27900"</f>
        <v>27900</v>
      </c>
      <c r="D2524" t="s">
        <v>1596</v>
      </c>
      <c r="E2524" s="3">
        <v>200</v>
      </c>
      <c r="F2524">
        <v>20150909</v>
      </c>
      <c r="G2524" t="s">
        <v>1780</v>
      </c>
      <c r="H2524" t="s">
        <v>1848</v>
      </c>
      <c r="I2524">
        <v>0</v>
      </c>
      <c r="J2524" t="s">
        <v>1709</v>
      </c>
      <c r="K2524" t="s">
        <v>1782</v>
      </c>
      <c r="L2524" t="s">
        <v>285</v>
      </c>
      <c r="M2524" t="str">
        <f t="shared" si="145"/>
        <v>09</v>
      </c>
      <c r="N2524" t="s">
        <v>12</v>
      </c>
    </row>
    <row r="2525" spans="1:14" x14ac:dyDescent="0.25">
      <c r="A2525">
        <v>20150911</v>
      </c>
      <c r="B2525" t="str">
        <f>"060239"</f>
        <v>060239</v>
      </c>
      <c r="C2525" t="str">
        <f>"28417"</f>
        <v>28417</v>
      </c>
      <c r="D2525" t="s">
        <v>1849</v>
      </c>
      <c r="E2525" s="3">
        <v>75</v>
      </c>
      <c r="F2525">
        <v>20150909</v>
      </c>
      <c r="G2525" t="s">
        <v>1850</v>
      </c>
      <c r="H2525" t="s">
        <v>1851</v>
      </c>
      <c r="I2525">
        <v>0</v>
      </c>
      <c r="J2525" t="s">
        <v>1709</v>
      </c>
      <c r="K2525" t="s">
        <v>290</v>
      </c>
      <c r="L2525" t="s">
        <v>285</v>
      </c>
      <c r="M2525" t="str">
        <f t="shared" si="145"/>
        <v>09</v>
      </c>
      <c r="N2525" t="s">
        <v>12</v>
      </c>
    </row>
    <row r="2526" spans="1:14" x14ac:dyDescent="0.25">
      <c r="A2526">
        <v>20150911</v>
      </c>
      <c r="B2526" t="str">
        <f>"060242"</f>
        <v>060242</v>
      </c>
      <c r="C2526" t="str">
        <f>"28825"</f>
        <v>28825</v>
      </c>
      <c r="D2526" t="s">
        <v>1852</v>
      </c>
      <c r="E2526" s="3">
        <v>919.25</v>
      </c>
      <c r="F2526">
        <v>20150910</v>
      </c>
      <c r="G2526" t="s">
        <v>1718</v>
      </c>
      <c r="H2526" t="s">
        <v>1853</v>
      </c>
      <c r="I2526">
        <v>0</v>
      </c>
      <c r="J2526" t="s">
        <v>1709</v>
      </c>
      <c r="K2526" t="s">
        <v>235</v>
      </c>
      <c r="L2526" t="s">
        <v>285</v>
      </c>
      <c r="M2526" t="str">
        <f t="shared" ref="M2526:M2589" si="150">"09"</f>
        <v>09</v>
      </c>
      <c r="N2526" t="s">
        <v>12</v>
      </c>
    </row>
    <row r="2527" spans="1:14" x14ac:dyDescent="0.25">
      <c r="A2527">
        <v>20150911</v>
      </c>
      <c r="B2527" t="str">
        <f>"060242"</f>
        <v>060242</v>
      </c>
      <c r="C2527" t="str">
        <f>"28825"</f>
        <v>28825</v>
      </c>
      <c r="D2527" t="s">
        <v>1852</v>
      </c>
      <c r="E2527" s="3">
        <v>91.25</v>
      </c>
      <c r="F2527">
        <v>20150910</v>
      </c>
      <c r="G2527" t="s">
        <v>1854</v>
      </c>
      <c r="H2527" t="s">
        <v>1855</v>
      </c>
      <c r="I2527">
        <v>0</v>
      </c>
      <c r="J2527" t="s">
        <v>1709</v>
      </c>
      <c r="K2527" t="s">
        <v>1856</v>
      </c>
      <c r="L2527" t="s">
        <v>285</v>
      </c>
      <c r="M2527" t="str">
        <f t="shared" si="150"/>
        <v>09</v>
      </c>
      <c r="N2527" t="s">
        <v>12</v>
      </c>
    </row>
    <row r="2528" spans="1:14" x14ac:dyDescent="0.25">
      <c r="A2528">
        <v>20150911</v>
      </c>
      <c r="B2528" t="str">
        <f>"060242"</f>
        <v>060242</v>
      </c>
      <c r="C2528" t="str">
        <f>"28825"</f>
        <v>28825</v>
      </c>
      <c r="D2528" t="s">
        <v>1852</v>
      </c>
      <c r="E2528" s="3">
        <v>110.75</v>
      </c>
      <c r="F2528">
        <v>20150910</v>
      </c>
      <c r="G2528" t="s">
        <v>1854</v>
      </c>
      <c r="H2528" t="s">
        <v>1857</v>
      </c>
      <c r="I2528">
        <v>0</v>
      </c>
      <c r="J2528" t="s">
        <v>1709</v>
      </c>
      <c r="K2528" t="s">
        <v>1856</v>
      </c>
      <c r="L2528" t="s">
        <v>285</v>
      </c>
      <c r="M2528" t="str">
        <f t="shared" si="150"/>
        <v>09</v>
      </c>
      <c r="N2528" t="s">
        <v>12</v>
      </c>
    </row>
    <row r="2529" spans="1:14" x14ac:dyDescent="0.25">
      <c r="A2529">
        <v>20150911</v>
      </c>
      <c r="B2529" t="str">
        <f>"060243"</f>
        <v>060243</v>
      </c>
      <c r="C2529" t="str">
        <f>"29500"</f>
        <v>29500</v>
      </c>
      <c r="D2529" t="s">
        <v>1698</v>
      </c>
      <c r="E2529" s="3">
        <v>1156</v>
      </c>
      <c r="F2529">
        <v>20150909</v>
      </c>
      <c r="G2529" t="s">
        <v>1718</v>
      </c>
      <c r="H2529" t="s">
        <v>1858</v>
      </c>
      <c r="I2529">
        <v>0</v>
      </c>
      <c r="J2529" t="s">
        <v>1709</v>
      </c>
      <c r="K2529" t="s">
        <v>235</v>
      </c>
      <c r="L2529" t="s">
        <v>285</v>
      </c>
      <c r="M2529" t="str">
        <f t="shared" si="150"/>
        <v>09</v>
      </c>
      <c r="N2529" t="s">
        <v>12</v>
      </c>
    </row>
    <row r="2530" spans="1:14" x14ac:dyDescent="0.25">
      <c r="A2530">
        <v>20150911</v>
      </c>
      <c r="B2530" t="str">
        <f>"060243"</f>
        <v>060243</v>
      </c>
      <c r="C2530" t="str">
        <f>"29500"</f>
        <v>29500</v>
      </c>
      <c r="D2530" t="s">
        <v>1698</v>
      </c>
      <c r="E2530" s="3">
        <v>19.22</v>
      </c>
      <c r="F2530">
        <v>20150909</v>
      </c>
      <c r="G2530" t="s">
        <v>1859</v>
      </c>
      <c r="H2530" t="s">
        <v>1860</v>
      </c>
      <c r="I2530">
        <v>0</v>
      </c>
      <c r="J2530" t="s">
        <v>1709</v>
      </c>
      <c r="K2530" t="s">
        <v>1861</v>
      </c>
      <c r="L2530" t="s">
        <v>285</v>
      </c>
      <c r="M2530" t="str">
        <f t="shared" si="150"/>
        <v>09</v>
      </c>
      <c r="N2530" t="s">
        <v>12</v>
      </c>
    </row>
    <row r="2531" spans="1:14" x14ac:dyDescent="0.25">
      <c r="A2531">
        <v>20150911</v>
      </c>
      <c r="B2531" t="str">
        <f>"060244"</f>
        <v>060244</v>
      </c>
      <c r="C2531" t="str">
        <f>"29548"</f>
        <v>29548</v>
      </c>
      <c r="D2531" t="s">
        <v>1862</v>
      </c>
      <c r="E2531" s="3">
        <v>240</v>
      </c>
      <c r="F2531">
        <v>20150909</v>
      </c>
      <c r="G2531" t="s">
        <v>1718</v>
      </c>
      <c r="H2531" t="s">
        <v>1863</v>
      </c>
      <c r="I2531">
        <v>0</v>
      </c>
      <c r="J2531" t="s">
        <v>1709</v>
      </c>
      <c r="K2531" t="s">
        <v>235</v>
      </c>
      <c r="L2531" t="s">
        <v>285</v>
      </c>
      <c r="M2531" t="str">
        <f t="shared" si="150"/>
        <v>09</v>
      </c>
      <c r="N2531" t="s">
        <v>12</v>
      </c>
    </row>
    <row r="2532" spans="1:14" x14ac:dyDescent="0.25">
      <c r="A2532">
        <v>20150911</v>
      </c>
      <c r="B2532" t="str">
        <f>"060244"</f>
        <v>060244</v>
      </c>
      <c r="C2532" t="str">
        <f>"29548"</f>
        <v>29548</v>
      </c>
      <c r="D2532" t="s">
        <v>1862</v>
      </c>
      <c r="E2532" s="3">
        <v>210</v>
      </c>
      <c r="F2532">
        <v>20150909</v>
      </c>
      <c r="G2532" t="s">
        <v>1718</v>
      </c>
      <c r="H2532" t="s">
        <v>1864</v>
      </c>
      <c r="I2532">
        <v>0</v>
      </c>
      <c r="J2532" t="s">
        <v>1709</v>
      </c>
      <c r="K2532" t="s">
        <v>235</v>
      </c>
      <c r="L2532" t="s">
        <v>285</v>
      </c>
      <c r="M2532" t="str">
        <f t="shared" si="150"/>
        <v>09</v>
      </c>
      <c r="N2532" t="s">
        <v>12</v>
      </c>
    </row>
    <row r="2533" spans="1:14" x14ac:dyDescent="0.25">
      <c r="A2533">
        <v>20150911</v>
      </c>
      <c r="B2533" t="str">
        <f>"060245"</f>
        <v>060245</v>
      </c>
      <c r="C2533" t="str">
        <f>"29554"</f>
        <v>29554</v>
      </c>
      <c r="D2533" t="s">
        <v>1865</v>
      </c>
      <c r="E2533" s="3">
        <v>20.55</v>
      </c>
      <c r="F2533">
        <v>20150910</v>
      </c>
      <c r="G2533" t="s">
        <v>1718</v>
      </c>
      <c r="H2533" t="s">
        <v>1866</v>
      </c>
      <c r="I2533">
        <v>0</v>
      </c>
      <c r="J2533" t="s">
        <v>1709</v>
      </c>
      <c r="K2533" t="s">
        <v>235</v>
      </c>
      <c r="L2533" t="s">
        <v>285</v>
      </c>
      <c r="M2533" t="str">
        <f t="shared" si="150"/>
        <v>09</v>
      </c>
      <c r="N2533" t="s">
        <v>12</v>
      </c>
    </row>
    <row r="2534" spans="1:14" x14ac:dyDescent="0.25">
      <c r="A2534">
        <v>20150911</v>
      </c>
      <c r="B2534" t="str">
        <f>"060246"</f>
        <v>060246</v>
      </c>
      <c r="C2534" t="str">
        <f>"29610"</f>
        <v>29610</v>
      </c>
      <c r="D2534" t="s">
        <v>1867</v>
      </c>
      <c r="E2534" s="3">
        <v>59.1</v>
      </c>
      <c r="F2534">
        <v>20150910</v>
      </c>
      <c r="G2534" t="s">
        <v>1718</v>
      </c>
      <c r="H2534" t="s">
        <v>1868</v>
      </c>
      <c r="I2534">
        <v>0</v>
      </c>
      <c r="J2534" t="s">
        <v>1709</v>
      </c>
      <c r="K2534" t="s">
        <v>235</v>
      </c>
      <c r="L2534" t="s">
        <v>285</v>
      </c>
      <c r="M2534" t="str">
        <f t="shared" si="150"/>
        <v>09</v>
      </c>
      <c r="N2534" t="s">
        <v>12</v>
      </c>
    </row>
    <row r="2535" spans="1:14" x14ac:dyDescent="0.25">
      <c r="A2535">
        <v>20150911</v>
      </c>
      <c r="B2535" t="str">
        <f>"060246"</f>
        <v>060246</v>
      </c>
      <c r="C2535" t="str">
        <f>"29610"</f>
        <v>29610</v>
      </c>
      <c r="D2535" t="s">
        <v>1867</v>
      </c>
      <c r="E2535" s="3">
        <v>614.5</v>
      </c>
      <c r="F2535">
        <v>20150909</v>
      </c>
      <c r="G2535" t="s">
        <v>1758</v>
      </c>
      <c r="H2535" t="s">
        <v>1869</v>
      </c>
      <c r="I2535">
        <v>0</v>
      </c>
      <c r="J2535" t="s">
        <v>1709</v>
      </c>
      <c r="K2535" t="s">
        <v>1643</v>
      </c>
      <c r="L2535" t="s">
        <v>285</v>
      </c>
      <c r="M2535" t="str">
        <f t="shared" si="150"/>
        <v>09</v>
      </c>
      <c r="N2535" t="s">
        <v>12</v>
      </c>
    </row>
    <row r="2536" spans="1:14" x14ac:dyDescent="0.25">
      <c r="A2536">
        <v>20150911</v>
      </c>
      <c r="B2536" t="str">
        <f>"060247"</f>
        <v>060247</v>
      </c>
      <c r="C2536" t="str">
        <f>"29624"</f>
        <v>29624</v>
      </c>
      <c r="D2536" t="s">
        <v>1870</v>
      </c>
      <c r="E2536" s="3">
        <v>429.3</v>
      </c>
      <c r="F2536">
        <v>20150909</v>
      </c>
      <c r="G2536" t="s">
        <v>1718</v>
      </c>
      <c r="H2536" t="s">
        <v>1871</v>
      </c>
      <c r="I2536">
        <v>0</v>
      </c>
      <c r="J2536" t="s">
        <v>1709</v>
      </c>
      <c r="K2536" t="s">
        <v>235</v>
      </c>
      <c r="L2536" t="s">
        <v>285</v>
      </c>
      <c r="M2536" t="str">
        <f t="shared" si="150"/>
        <v>09</v>
      </c>
      <c r="N2536" t="s">
        <v>12</v>
      </c>
    </row>
    <row r="2537" spans="1:14" x14ac:dyDescent="0.25">
      <c r="A2537">
        <v>20150911</v>
      </c>
      <c r="B2537" t="str">
        <f>"060249"</f>
        <v>060249</v>
      </c>
      <c r="C2537" t="str">
        <f>"31500"</f>
        <v>31500</v>
      </c>
      <c r="D2537" t="s">
        <v>1872</v>
      </c>
      <c r="E2537" s="3">
        <v>694.25</v>
      </c>
      <c r="F2537">
        <v>20150909</v>
      </c>
      <c r="G2537" t="s">
        <v>1718</v>
      </c>
      <c r="H2537" t="s">
        <v>1873</v>
      </c>
      <c r="I2537">
        <v>0</v>
      </c>
      <c r="J2537" t="s">
        <v>1709</v>
      </c>
      <c r="K2537" t="s">
        <v>235</v>
      </c>
      <c r="L2537" t="s">
        <v>285</v>
      </c>
      <c r="M2537" t="str">
        <f t="shared" si="150"/>
        <v>09</v>
      </c>
      <c r="N2537" t="s">
        <v>12</v>
      </c>
    </row>
    <row r="2538" spans="1:14" x14ac:dyDescent="0.25">
      <c r="A2538">
        <v>20150911</v>
      </c>
      <c r="B2538" t="str">
        <f>"060252"</f>
        <v>060252</v>
      </c>
      <c r="C2538" t="str">
        <f>"42194"</f>
        <v>42194</v>
      </c>
      <c r="D2538" t="s">
        <v>1874</v>
      </c>
      <c r="E2538" s="3">
        <v>126442.46</v>
      </c>
      <c r="F2538">
        <v>20150910</v>
      </c>
      <c r="G2538" t="s">
        <v>1718</v>
      </c>
      <c r="H2538" t="s">
        <v>1875</v>
      </c>
      <c r="I2538">
        <v>0</v>
      </c>
      <c r="J2538" t="s">
        <v>1709</v>
      </c>
      <c r="K2538" t="s">
        <v>235</v>
      </c>
      <c r="L2538" t="s">
        <v>285</v>
      </c>
      <c r="M2538" t="str">
        <f t="shared" si="150"/>
        <v>09</v>
      </c>
      <c r="N2538" t="s">
        <v>12</v>
      </c>
    </row>
    <row r="2539" spans="1:14" x14ac:dyDescent="0.25">
      <c r="A2539">
        <v>20150911</v>
      </c>
      <c r="B2539" t="str">
        <f>"060254"</f>
        <v>060254</v>
      </c>
      <c r="C2539" t="str">
        <f>"45093"</f>
        <v>45093</v>
      </c>
      <c r="D2539" t="s">
        <v>538</v>
      </c>
      <c r="E2539" s="3">
        <v>138.37</v>
      </c>
      <c r="F2539">
        <v>20150909</v>
      </c>
      <c r="G2539" t="s">
        <v>1718</v>
      </c>
      <c r="H2539" t="s">
        <v>1876</v>
      </c>
      <c r="I2539">
        <v>0</v>
      </c>
      <c r="J2539" t="s">
        <v>1709</v>
      </c>
      <c r="K2539" t="s">
        <v>235</v>
      </c>
      <c r="L2539" t="s">
        <v>285</v>
      </c>
      <c r="M2539" t="str">
        <f t="shared" si="150"/>
        <v>09</v>
      </c>
      <c r="N2539" t="s">
        <v>12</v>
      </c>
    </row>
    <row r="2540" spans="1:14" x14ac:dyDescent="0.25">
      <c r="A2540">
        <v>20150911</v>
      </c>
      <c r="B2540" t="str">
        <f>"060254"</f>
        <v>060254</v>
      </c>
      <c r="C2540" t="str">
        <f>"45093"</f>
        <v>45093</v>
      </c>
      <c r="D2540" t="s">
        <v>538</v>
      </c>
      <c r="E2540" s="3">
        <v>650</v>
      </c>
      <c r="F2540">
        <v>20150909</v>
      </c>
      <c r="G2540" t="s">
        <v>1718</v>
      </c>
      <c r="H2540" t="s">
        <v>1877</v>
      </c>
      <c r="I2540">
        <v>0</v>
      </c>
      <c r="J2540" t="s">
        <v>1709</v>
      </c>
      <c r="K2540" t="s">
        <v>235</v>
      </c>
      <c r="L2540" t="s">
        <v>285</v>
      </c>
      <c r="M2540" t="str">
        <f t="shared" si="150"/>
        <v>09</v>
      </c>
      <c r="N2540" t="s">
        <v>12</v>
      </c>
    </row>
    <row r="2541" spans="1:14" x14ac:dyDescent="0.25">
      <c r="A2541">
        <v>20150911</v>
      </c>
      <c r="B2541" t="str">
        <f>"060255"</f>
        <v>060255</v>
      </c>
      <c r="C2541" t="str">
        <f>"57791"</f>
        <v>57791</v>
      </c>
      <c r="D2541" t="s">
        <v>1878</v>
      </c>
      <c r="E2541" s="3">
        <v>26.99</v>
      </c>
      <c r="F2541">
        <v>20150910</v>
      </c>
      <c r="G2541" t="s">
        <v>1718</v>
      </c>
      <c r="H2541" t="s">
        <v>1879</v>
      </c>
      <c r="I2541">
        <v>0</v>
      </c>
      <c r="J2541" t="s">
        <v>1709</v>
      </c>
      <c r="K2541" t="s">
        <v>235</v>
      </c>
      <c r="L2541" t="s">
        <v>285</v>
      </c>
      <c r="M2541" t="str">
        <f t="shared" si="150"/>
        <v>09</v>
      </c>
      <c r="N2541" t="s">
        <v>12</v>
      </c>
    </row>
    <row r="2542" spans="1:14" x14ac:dyDescent="0.25">
      <c r="A2542">
        <v>20150911</v>
      </c>
      <c r="B2542" t="str">
        <f>"060256"</f>
        <v>060256</v>
      </c>
      <c r="C2542" t="str">
        <f>"47184"</f>
        <v>47184</v>
      </c>
      <c r="D2542" t="s">
        <v>606</v>
      </c>
      <c r="E2542" s="3">
        <v>308.14</v>
      </c>
      <c r="F2542">
        <v>20150910</v>
      </c>
      <c r="G2542" t="s">
        <v>1880</v>
      </c>
      <c r="H2542" t="s">
        <v>1881</v>
      </c>
      <c r="I2542">
        <v>0</v>
      </c>
      <c r="J2542" t="s">
        <v>1709</v>
      </c>
      <c r="K2542" t="s">
        <v>1882</v>
      </c>
      <c r="L2542" t="s">
        <v>285</v>
      </c>
      <c r="M2542" t="str">
        <f t="shared" si="150"/>
        <v>09</v>
      </c>
      <c r="N2542" t="s">
        <v>12</v>
      </c>
    </row>
    <row r="2543" spans="1:14" x14ac:dyDescent="0.25">
      <c r="A2543">
        <v>20150911</v>
      </c>
      <c r="B2543" t="str">
        <f>"060257"</f>
        <v>060257</v>
      </c>
      <c r="C2543" t="str">
        <f>"47725"</f>
        <v>47725</v>
      </c>
      <c r="D2543" t="s">
        <v>1883</v>
      </c>
      <c r="E2543" s="3">
        <v>164.34</v>
      </c>
      <c r="F2543">
        <v>20150909</v>
      </c>
      <c r="G2543" t="s">
        <v>1859</v>
      </c>
      <c r="H2543" t="s">
        <v>1884</v>
      </c>
      <c r="I2543">
        <v>0</v>
      </c>
      <c r="J2543" t="s">
        <v>1709</v>
      </c>
      <c r="K2543" t="s">
        <v>1861</v>
      </c>
      <c r="L2543" t="s">
        <v>285</v>
      </c>
      <c r="M2543" t="str">
        <f t="shared" si="150"/>
        <v>09</v>
      </c>
      <c r="N2543" t="s">
        <v>12</v>
      </c>
    </row>
    <row r="2544" spans="1:14" x14ac:dyDescent="0.25">
      <c r="A2544">
        <v>20150911</v>
      </c>
      <c r="B2544" t="str">
        <f>"060259"</f>
        <v>060259</v>
      </c>
      <c r="C2544" t="str">
        <f>"49748"</f>
        <v>49748</v>
      </c>
      <c r="D2544" t="s">
        <v>1885</v>
      </c>
      <c r="E2544" s="3">
        <v>100</v>
      </c>
      <c r="F2544">
        <v>20150909</v>
      </c>
      <c r="G2544" t="s">
        <v>1886</v>
      </c>
      <c r="H2544" t="s">
        <v>1887</v>
      </c>
      <c r="I2544">
        <v>0</v>
      </c>
      <c r="J2544" t="s">
        <v>1709</v>
      </c>
      <c r="K2544" t="s">
        <v>290</v>
      </c>
      <c r="L2544" t="s">
        <v>285</v>
      </c>
      <c r="M2544" t="str">
        <f t="shared" si="150"/>
        <v>09</v>
      </c>
      <c r="N2544" t="s">
        <v>12</v>
      </c>
    </row>
    <row r="2545" spans="1:14" x14ac:dyDescent="0.25">
      <c r="A2545">
        <v>20150911</v>
      </c>
      <c r="B2545" t="str">
        <f>"060259"</f>
        <v>060259</v>
      </c>
      <c r="C2545" t="str">
        <f>"49748"</f>
        <v>49748</v>
      </c>
      <c r="D2545" t="s">
        <v>1885</v>
      </c>
      <c r="E2545" s="3">
        <v>126.08</v>
      </c>
      <c r="F2545">
        <v>20150909</v>
      </c>
      <c r="G2545" t="s">
        <v>1888</v>
      </c>
      <c r="H2545" t="s">
        <v>1889</v>
      </c>
      <c r="I2545">
        <v>0</v>
      </c>
      <c r="J2545" t="s">
        <v>1709</v>
      </c>
      <c r="K2545" t="s">
        <v>290</v>
      </c>
      <c r="L2545" t="s">
        <v>285</v>
      </c>
      <c r="M2545" t="str">
        <f t="shared" si="150"/>
        <v>09</v>
      </c>
      <c r="N2545" t="s">
        <v>12</v>
      </c>
    </row>
    <row r="2546" spans="1:14" x14ac:dyDescent="0.25">
      <c r="A2546">
        <v>20150911</v>
      </c>
      <c r="B2546" t="str">
        <f>"060261"</f>
        <v>060261</v>
      </c>
      <c r="C2546" t="str">
        <f>"49959"</f>
        <v>49959</v>
      </c>
      <c r="D2546" t="s">
        <v>361</v>
      </c>
      <c r="E2546" s="3">
        <v>240</v>
      </c>
      <c r="F2546">
        <v>20150909</v>
      </c>
      <c r="G2546" t="s">
        <v>1788</v>
      </c>
      <c r="H2546" t="s">
        <v>1890</v>
      </c>
      <c r="I2546">
        <v>0</v>
      </c>
      <c r="J2546" t="s">
        <v>1709</v>
      </c>
      <c r="K2546" t="s">
        <v>1643</v>
      </c>
      <c r="L2546" t="s">
        <v>285</v>
      </c>
      <c r="M2546" t="str">
        <f t="shared" si="150"/>
        <v>09</v>
      </c>
      <c r="N2546" t="s">
        <v>12</v>
      </c>
    </row>
    <row r="2547" spans="1:14" x14ac:dyDescent="0.25">
      <c r="A2547">
        <v>20150911</v>
      </c>
      <c r="B2547" t="str">
        <f>"060262"</f>
        <v>060262</v>
      </c>
      <c r="C2547" t="str">
        <f>"54113"</f>
        <v>54113</v>
      </c>
      <c r="D2547" t="s">
        <v>1891</v>
      </c>
      <c r="E2547" s="3">
        <v>225</v>
      </c>
      <c r="F2547">
        <v>20150909</v>
      </c>
      <c r="G2547" t="s">
        <v>1880</v>
      </c>
      <c r="H2547" t="s">
        <v>1881</v>
      </c>
      <c r="I2547">
        <v>0</v>
      </c>
      <c r="J2547" t="s">
        <v>1709</v>
      </c>
      <c r="K2547" t="s">
        <v>1882</v>
      </c>
      <c r="L2547" t="s">
        <v>285</v>
      </c>
      <c r="M2547" t="str">
        <f t="shared" si="150"/>
        <v>09</v>
      </c>
      <c r="N2547" t="s">
        <v>12</v>
      </c>
    </row>
    <row r="2548" spans="1:14" x14ac:dyDescent="0.25">
      <c r="A2548">
        <v>20150911</v>
      </c>
      <c r="B2548" t="str">
        <f>"060262"</f>
        <v>060262</v>
      </c>
      <c r="C2548" t="str">
        <f>"54113"</f>
        <v>54113</v>
      </c>
      <c r="D2548" t="s">
        <v>1891</v>
      </c>
      <c r="E2548" s="3">
        <v>225</v>
      </c>
      <c r="F2548">
        <v>20150909</v>
      </c>
      <c r="G2548" t="s">
        <v>1892</v>
      </c>
      <c r="H2548" t="s">
        <v>1881</v>
      </c>
      <c r="I2548">
        <v>0</v>
      </c>
      <c r="J2548" t="s">
        <v>1709</v>
      </c>
      <c r="K2548" t="s">
        <v>1893</v>
      </c>
      <c r="L2548" t="s">
        <v>285</v>
      </c>
      <c r="M2548" t="str">
        <f t="shared" si="150"/>
        <v>09</v>
      </c>
      <c r="N2548" t="s">
        <v>12</v>
      </c>
    </row>
    <row r="2549" spans="1:14" x14ac:dyDescent="0.25">
      <c r="A2549">
        <v>20150911</v>
      </c>
      <c r="B2549" t="str">
        <f>"060263"</f>
        <v>060263</v>
      </c>
      <c r="C2549" t="str">
        <f>"66850"</f>
        <v>66850</v>
      </c>
      <c r="D2549" t="s">
        <v>1894</v>
      </c>
      <c r="E2549" s="3">
        <v>310</v>
      </c>
      <c r="F2549">
        <v>20150909</v>
      </c>
      <c r="G2549" t="s">
        <v>1895</v>
      </c>
      <c r="H2549" t="s">
        <v>1896</v>
      </c>
      <c r="I2549">
        <v>0</v>
      </c>
      <c r="J2549" t="s">
        <v>1709</v>
      </c>
      <c r="K2549" t="s">
        <v>1744</v>
      </c>
      <c r="L2549" t="s">
        <v>285</v>
      </c>
      <c r="M2549" t="str">
        <f t="shared" si="150"/>
        <v>09</v>
      </c>
      <c r="N2549" t="s">
        <v>12</v>
      </c>
    </row>
    <row r="2550" spans="1:14" x14ac:dyDescent="0.25">
      <c r="A2550">
        <v>20150911</v>
      </c>
      <c r="B2550" t="str">
        <f>"060265"</f>
        <v>060265</v>
      </c>
      <c r="C2550" t="str">
        <f>"57697"</f>
        <v>57697</v>
      </c>
      <c r="D2550" t="s">
        <v>1897</v>
      </c>
      <c r="E2550" s="3">
        <v>188.82</v>
      </c>
      <c r="F2550">
        <v>20150910</v>
      </c>
      <c r="G2550" t="s">
        <v>1718</v>
      </c>
      <c r="H2550" t="s">
        <v>1877</v>
      </c>
      <c r="I2550">
        <v>0</v>
      </c>
      <c r="J2550" t="s">
        <v>1709</v>
      </c>
      <c r="K2550" t="s">
        <v>235</v>
      </c>
      <c r="L2550" t="s">
        <v>285</v>
      </c>
      <c r="M2550" t="str">
        <f t="shared" si="150"/>
        <v>09</v>
      </c>
      <c r="N2550" t="s">
        <v>12</v>
      </c>
    </row>
    <row r="2551" spans="1:14" x14ac:dyDescent="0.25">
      <c r="A2551">
        <v>20150911</v>
      </c>
      <c r="B2551" t="str">
        <f>"060266"</f>
        <v>060266</v>
      </c>
      <c r="C2551" t="str">
        <f>"57994"</f>
        <v>57994</v>
      </c>
      <c r="D2551" t="s">
        <v>1898</v>
      </c>
      <c r="E2551" s="3">
        <v>14</v>
      </c>
      <c r="F2551">
        <v>20150910</v>
      </c>
      <c r="G2551" t="s">
        <v>1718</v>
      </c>
      <c r="H2551" t="s">
        <v>325</v>
      </c>
      <c r="I2551">
        <v>0</v>
      </c>
      <c r="J2551" t="s">
        <v>1709</v>
      </c>
      <c r="K2551" t="s">
        <v>235</v>
      </c>
      <c r="L2551" t="s">
        <v>285</v>
      </c>
      <c r="M2551" t="str">
        <f t="shared" si="150"/>
        <v>09</v>
      </c>
      <c r="N2551" t="s">
        <v>12</v>
      </c>
    </row>
    <row r="2552" spans="1:14" x14ac:dyDescent="0.25">
      <c r="A2552">
        <v>20150911</v>
      </c>
      <c r="B2552" t="str">
        <f>"060267"</f>
        <v>060267</v>
      </c>
      <c r="C2552" t="str">
        <f>"58927"</f>
        <v>58927</v>
      </c>
      <c r="D2552" t="s">
        <v>1899</v>
      </c>
      <c r="E2552" s="3">
        <v>165</v>
      </c>
      <c r="F2552">
        <v>20150909</v>
      </c>
      <c r="G2552" t="s">
        <v>1718</v>
      </c>
      <c r="H2552" t="s">
        <v>1900</v>
      </c>
      <c r="I2552">
        <v>0</v>
      </c>
      <c r="J2552" t="s">
        <v>1709</v>
      </c>
      <c r="K2552" t="s">
        <v>235</v>
      </c>
      <c r="L2552" t="s">
        <v>285</v>
      </c>
      <c r="M2552" t="str">
        <f t="shared" si="150"/>
        <v>09</v>
      </c>
      <c r="N2552" t="s">
        <v>12</v>
      </c>
    </row>
    <row r="2553" spans="1:14" x14ac:dyDescent="0.25">
      <c r="A2553">
        <v>20150911</v>
      </c>
      <c r="B2553" t="str">
        <f>"060267"</f>
        <v>060267</v>
      </c>
      <c r="C2553" t="str">
        <f>"58927"</f>
        <v>58927</v>
      </c>
      <c r="D2553" t="s">
        <v>1899</v>
      </c>
      <c r="E2553" s="3">
        <v>150</v>
      </c>
      <c r="F2553">
        <v>20150910</v>
      </c>
      <c r="G2553" t="s">
        <v>1718</v>
      </c>
      <c r="H2553" t="s">
        <v>1901</v>
      </c>
      <c r="I2553">
        <v>0</v>
      </c>
      <c r="J2553" t="s">
        <v>1709</v>
      </c>
      <c r="K2553" t="s">
        <v>235</v>
      </c>
      <c r="L2553" t="s">
        <v>285</v>
      </c>
      <c r="M2553" t="str">
        <f t="shared" si="150"/>
        <v>09</v>
      </c>
      <c r="N2553" t="s">
        <v>12</v>
      </c>
    </row>
    <row r="2554" spans="1:14" x14ac:dyDescent="0.25">
      <c r="A2554">
        <v>20150911</v>
      </c>
      <c r="B2554" t="str">
        <f>"060267"</f>
        <v>060267</v>
      </c>
      <c r="C2554" t="str">
        <f>"58927"</f>
        <v>58927</v>
      </c>
      <c r="D2554" t="s">
        <v>1899</v>
      </c>
      <c r="E2554" s="3">
        <v>55</v>
      </c>
      <c r="F2554">
        <v>20150910</v>
      </c>
      <c r="G2554" t="s">
        <v>1718</v>
      </c>
      <c r="H2554" t="s">
        <v>1900</v>
      </c>
      <c r="I2554">
        <v>0</v>
      </c>
      <c r="J2554" t="s">
        <v>1709</v>
      </c>
      <c r="K2554" t="s">
        <v>235</v>
      </c>
      <c r="L2554" t="s">
        <v>285</v>
      </c>
      <c r="M2554" t="str">
        <f t="shared" si="150"/>
        <v>09</v>
      </c>
      <c r="N2554" t="s">
        <v>12</v>
      </c>
    </row>
    <row r="2555" spans="1:14" x14ac:dyDescent="0.25">
      <c r="A2555">
        <v>20150911</v>
      </c>
      <c r="B2555" t="str">
        <f>"060268"</f>
        <v>060268</v>
      </c>
      <c r="C2555" t="str">
        <f>"59020"</f>
        <v>59020</v>
      </c>
      <c r="D2555" t="s">
        <v>1902</v>
      </c>
      <c r="E2555" s="3">
        <v>226.7</v>
      </c>
      <c r="F2555">
        <v>20150909</v>
      </c>
      <c r="G2555" t="s">
        <v>1718</v>
      </c>
      <c r="H2555" t="s">
        <v>1903</v>
      </c>
      <c r="I2555">
        <v>0</v>
      </c>
      <c r="J2555" t="s">
        <v>1709</v>
      </c>
      <c r="K2555" t="s">
        <v>235</v>
      </c>
      <c r="L2555" t="s">
        <v>285</v>
      </c>
      <c r="M2555" t="str">
        <f t="shared" si="150"/>
        <v>09</v>
      </c>
      <c r="N2555" t="s">
        <v>12</v>
      </c>
    </row>
    <row r="2556" spans="1:14" x14ac:dyDescent="0.25">
      <c r="A2556">
        <v>20150911</v>
      </c>
      <c r="B2556" t="str">
        <f>"060269"</f>
        <v>060269</v>
      </c>
      <c r="C2556" t="str">
        <f>"60835"</f>
        <v>60835</v>
      </c>
      <c r="D2556" t="s">
        <v>1904</v>
      </c>
      <c r="E2556" s="3">
        <v>210</v>
      </c>
      <c r="F2556">
        <v>20150910</v>
      </c>
      <c r="G2556" t="s">
        <v>1718</v>
      </c>
      <c r="H2556" t="s">
        <v>1905</v>
      </c>
      <c r="I2556">
        <v>0</v>
      </c>
      <c r="J2556" t="s">
        <v>1709</v>
      </c>
      <c r="K2556" t="s">
        <v>235</v>
      </c>
      <c r="L2556" t="s">
        <v>285</v>
      </c>
      <c r="M2556" t="str">
        <f t="shared" si="150"/>
        <v>09</v>
      </c>
      <c r="N2556" t="s">
        <v>12</v>
      </c>
    </row>
    <row r="2557" spans="1:14" x14ac:dyDescent="0.25">
      <c r="A2557">
        <v>20150911</v>
      </c>
      <c r="B2557" t="str">
        <f>"060270"</f>
        <v>060270</v>
      </c>
      <c r="C2557" t="str">
        <f>"61221"</f>
        <v>61221</v>
      </c>
      <c r="D2557" t="s">
        <v>1906</v>
      </c>
      <c r="E2557" s="3">
        <v>2634</v>
      </c>
      <c r="F2557">
        <v>20150910</v>
      </c>
      <c r="G2557" t="s">
        <v>1907</v>
      </c>
      <c r="H2557" t="s">
        <v>1908</v>
      </c>
      <c r="I2557">
        <v>0</v>
      </c>
      <c r="J2557" t="s">
        <v>1709</v>
      </c>
      <c r="K2557" t="s">
        <v>1643</v>
      </c>
      <c r="L2557" t="s">
        <v>285</v>
      </c>
      <c r="M2557" t="str">
        <f t="shared" si="150"/>
        <v>09</v>
      </c>
      <c r="N2557" t="s">
        <v>12</v>
      </c>
    </row>
    <row r="2558" spans="1:14" x14ac:dyDescent="0.25">
      <c r="A2558">
        <v>20150911</v>
      </c>
      <c r="B2558" t="str">
        <f>"060272"</f>
        <v>060272</v>
      </c>
      <c r="C2558" t="str">
        <f>"00355"</f>
        <v>00355</v>
      </c>
      <c r="D2558" t="s">
        <v>1909</v>
      </c>
      <c r="E2558" s="3">
        <v>116.68</v>
      </c>
      <c r="F2558">
        <v>20150909</v>
      </c>
      <c r="G2558" t="s">
        <v>1718</v>
      </c>
      <c r="H2558" t="s">
        <v>1910</v>
      </c>
      <c r="I2558">
        <v>0</v>
      </c>
      <c r="J2558" t="s">
        <v>1709</v>
      </c>
      <c r="K2558" t="s">
        <v>235</v>
      </c>
      <c r="L2558" t="s">
        <v>285</v>
      </c>
      <c r="M2558" t="str">
        <f t="shared" si="150"/>
        <v>09</v>
      </c>
      <c r="N2558" t="s">
        <v>12</v>
      </c>
    </row>
    <row r="2559" spans="1:14" x14ac:dyDescent="0.25">
      <c r="A2559">
        <v>20150911</v>
      </c>
      <c r="B2559" t="str">
        <f>"060273"</f>
        <v>060273</v>
      </c>
      <c r="C2559" t="str">
        <f>"62340"</f>
        <v>62340</v>
      </c>
      <c r="D2559" t="s">
        <v>1911</v>
      </c>
      <c r="E2559" s="3">
        <v>4023.13</v>
      </c>
      <c r="F2559">
        <v>20150910</v>
      </c>
      <c r="G2559" t="s">
        <v>1912</v>
      </c>
      <c r="H2559" t="s">
        <v>1842</v>
      </c>
      <c r="I2559">
        <v>0</v>
      </c>
      <c r="J2559" t="s">
        <v>1709</v>
      </c>
      <c r="K2559" t="s">
        <v>1861</v>
      </c>
      <c r="L2559" t="s">
        <v>285</v>
      </c>
      <c r="M2559" t="str">
        <f t="shared" si="150"/>
        <v>09</v>
      </c>
      <c r="N2559" t="s">
        <v>12</v>
      </c>
    </row>
    <row r="2560" spans="1:14" x14ac:dyDescent="0.25">
      <c r="A2560">
        <v>20150911</v>
      </c>
      <c r="B2560" t="str">
        <f>"060275"</f>
        <v>060275</v>
      </c>
      <c r="C2560" t="str">
        <f>"60832"</f>
        <v>60832</v>
      </c>
      <c r="D2560" t="s">
        <v>1913</v>
      </c>
      <c r="E2560" s="3">
        <v>300</v>
      </c>
      <c r="F2560">
        <v>20150910</v>
      </c>
      <c r="G2560" t="s">
        <v>1718</v>
      </c>
      <c r="H2560" t="s">
        <v>1914</v>
      </c>
      <c r="I2560">
        <v>0</v>
      </c>
      <c r="J2560" t="s">
        <v>1709</v>
      </c>
      <c r="K2560" t="s">
        <v>235</v>
      </c>
      <c r="L2560" t="s">
        <v>285</v>
      </c>
      <c r="M2560" t="str">
        <f t="shared" si="150"/>
        <v>09</v>
      </c>
      <c r="N2560" t="s">
        <v>12</v>
      </c>
    </row>
    <row r="2561" spans="1:14" x14ac:dyDescent="0.25">
      <c r="A2561">
        <v>20150911</v>
      </c>
      <c r="B2561" t="str">
        <f>"060277"</f>
        <v>060277</v>
      </c>
      <c r="C2561" t="str">
        <f>"62881"</f>
        <v>62881</v>
      </c>
      <c r="D2561" t="s">
        <v>1915</v>
      </c>
      <c r="E2561" s="3">
        <v>96</v>
      </c>
      <c r="F2561">
        <v>20150909</v>
      </c>
      <c r="G2561" t="s">
        <v>1916</v>
      </c>
      <c r="H2561" t="s">
        <v>1917</v>
      </c>
      <c r="I2561">
        <v>0</v>
      </c>
      <c r="J2561" t="s">
        <v>1709</v>
      </c>
      <c r="K2561" t="s">
        <v>1782</v>
      </c>
      <c r="L2561" t="s">
        <v>285</v>
      </c>
      <c r="M2561" t="str">
        <f t="shared" si="150"/>
        <v>09</v>
      </c>
      <c r="N2561" t="s">
        <v>12</v>
      </c>
    </row>
    <row r="2562" spans="1:14" x14ac:dyDescent="0.25">
      <c r="A2562">
        <v>20150911</v>
      </c>
      <c r="B2562" t="str">
        <f>"060283"</f>
        <v>060283</v>
      </c>
      <c r="C2562" t="str">
        <f>"64650"</f>
        <v>64650</v>
      </c>
      <c r="D2562" t="s">
        <v>1918</v>
      </c>
      <c r="E2562" s="3">
        <v>6100</v>
      </c>
      <c r="F2562">
        <v>20150910</v>
      </c>
      <c r="G2562" t="s">
        <v>1718</v>
      </c>
      <c r="H2562" t="s">
        <v>1919</v>
      </c>
      <c r="I2562">
        <v>0</v>
      </c>
      <c r="J2562" t="s">
        <v>1709</v>
      </c>
      <c r="K2562" t="s">
        <v>235</v>
      </c>
      <c r="L2562" t="s">
        <v>285</v>
      </c>
      <c r="M2562" t="str">
        <f t="shared" si="150"/>
        <v>09</v>
      </c>
      <c r="N2562" t="s">
        <v>12</v>
      </c>
    </row>
    <row r="2563" spans="1:14" x14ac:dyDescent="0.25">
      <c r="A2563">
        <v>20150911</v>
      </c>
      <c r="B2563" t="str">
        <f t="shared" ref="B2563:B2568" si="151">"060286"</f>
        <v>060286</v>
      </c>
      <c r="C2563" t="str">
        <f t="shared" ref="C2563:C2568" si="152">"71225"</f>
        <v>71225</v>
      </c>
      <c r="D2563" t="s">
        <v>1920</v>
      </c>
      <c r="E2563" s="3">
        <v>905.6</v>
      </c>
      <c r="F2563">
        <v>20150910</v>
      </c>
      <c r="G2563" t="s">
        <v>1718</v>
      </c>
      <c r="H2563" t="s">
        <v>1921</v>
      </c>
      <c r="I2563">
        <v>0</v>
      </c>
      <c r="J2563" t="s">
        <v>1709</v>
      </c>
      <c r="K2563" t="s">
        <v>235</v>
      </c>
      <c r="L2563" t="s">
        <v>285</v>
      </c>
      <c r="M2563" t="str">
        <f t="shared" si="150"/>
        <v>09</v>
      </c>
      <c r="N2563" t="s">
        <v>12</v>
      </c>
    </row>
    <row r="2564" spans="1:14" x14ac:dyDescent="0.25">
      <c r="A2564">
        <v>20150911</v>
      </c>
      <c r="B2564" t="str">
        <f t="shared" si="151"/>
        <v>060286</v>
      </c>
      <c r="C2564" t="str">
        <f t="shared" si="152"/>
        <v>71225</v>
      </c>
      <c r="D2564" t="s">
        <v>1920</v>
      </c>
      <c r="E2564" s="3">
        <v>30</v>
      </c>
      <c r="F2564">
        <v>20150910</v>
      </c>
      <c r="G2564" t="s">
        <v>1718</v>
      </c>
      <c r="H2564" t="s">
        <v>1922</v>
      </c>
      <c r="I2564">
        <v>0</v>
      </c>
      <c r="J2564" t="s">
        <v>1709</v>
      </c>
      <c r="K2564" t="s">
        <v>235</v>
      </c>
      <c r="L2564" t="s">
        <v>285</v>
      </c>
      <c r="M2564" t="str">
        <f t="shared" si="150"/>
        <v>09</v>
      </c>
      <c r="N2564" t="s">
        <v>12</v>
      </c>
    </row>
    <row r="2565" spans="1:14" x14ac:dyDescent="0.25">
      <c r="A2565">
        <v>20150911</v>
      </c>
      <c r="B2565" t="str">
        <f t="shared" si="151"/>
        <v>060286</v>
      </c>
      <c r="C2565" t="str">
        <f t="shared" si="152"/>
        <v>71225</v>
      </c>
      <c r="D2565" t="s">
        <v>1920</v>
      </c>
      <c r="E2565" s="3">
        <v>30</v>
      </c>
      <c r="F2565">
        <v>20150910</v>
      </c>
      <c r="G2565" t="s">
        <v>1718</v>
      </c>
      <c r="H2565" t="s">
        <v>1922</v>
      </c>
      <c r="I2565">
        <v>0</v>
      </c>
      <c r="J2565" t="s">
        <v>1709</v>
      </c>
      <c r="K2565" t="s">
        <v>235</v>
      </c>
      <c r="L2565" t="s">
        <v>285</v>
      </c>
      <c r="M2565" t="str">
        <f t="shared" si="150"/>
        <v>09</v>
      </c>
      <c r="N2565" t="s">
        <v>12</v>
      </c>
    </row>
    <row r="2566" spans="1:14" x14ac:dyDescent="0.25">
      <c r="A2566">
        <v>20150911</v>
      </c>
      <c r="B2566" t="str">
        <f t="shared" si="151"/>
        <v>060286</v>
      </c>
      <c r="C2566" t="str">
        <f t="shared" si="152"/>
        <v>71225</v>
      </c>
      <c r="D2566" t="s">
        <v>1920</v>
      </c>
      <c r="E2566" s="3">
        <v>273.56</v>
      </c>
      <c r="F2566">
        <v>20150910</v>
      </c>
      <c r="G2566" t="s">
        <v>1718</v>
      </c>
      <c r="H2566" t="s">
        <v>1923</v>
      </c>
      <c r="I2566">
        <v>0</v>
      </c>
      <c r="J2566" t="s">
        <v>1709</v>
      </c>
      <c r="K2566" t="s">
        <v>235</v>
      </c>
      <c r="L2566" t="s">
        <v>285</v>
      </c>
      <c r="M2566" t="str">
        <f t="shared" si="150"/>
        <v>09</v>
      </c>
      <c r="N2566" t="s">
        <v>12</v>
      </c>
    </row>
    <row r="2567" spans="1:14" x14ac:dyDescent="0.25">
      <c r="A2567">
        <v>20150911</v>
      </c>
      <c r="B2567" t="str">
        <f t="shared" si="151"/>
        <v>060286</v>
      </c>
      <c r="C2567" t="str">
        <f t="shared" si="152"/>
        <v>71225</v>
      </c>
      <c r="D2567" t="s">
        <v>1920</v>
      </c>
      <c r="E2567" s="3">
        <v>173.24</v>
      </c>
      <c r="F2567">
        <v>20150910</v>
      </c>
      <c r="G2567" t="s">
        <v>1718</v>
      </c>
      <c r="H2567" t="s">
        <v>1924</v>
      </c>
      <c r="I2567">
        <v>0</v>
      </c>
      <c r="J2567" t="s">
        <v>1709</v>
      </c>
      <c r="K2567" t="s">
        <v>235</v>
      </c>
      <c r="L2567" t="s">
        <v>285</v>
      </c>
      <c r="M2567" t="str">
        <f t="shared" si="150"/>
        <v>09</v>
      </c>
      <c r="N2567" t="s">
        <v>12</v>
      </c>
    </row>
    <row r="2568" spans="1:14" x14ac:dyDescent="0.25">
      <c r="A2568">
        <v>20150911</v>
      </c>
      <c r="B2568" t="str">
        <f t="shared" si="151"/>
        <v>060286</v>
      </c>
      <c r="C2568" t="str">
        <f t="shared" si="152"/>
        <v>71225</v>
      </c>
      <c r="D2568" t="s">
        <v>1920</v>
      </c>
      <c r="E2568" s="3">
        <v>18.5</v>
      </c>
      <c r="F2568">
        <v>20150910</v>
      </c>
      <c r="G2568" t="s">
        <v>1718</v>
      </c>
      <c r="H2568" t="s">
        <v>1925</v>
      </c>
      <c r="I2568">
        <v>0</v>
      </c>
      <c r="J2568" t="s">
        <v>1709</v>
      </c>
      <c r="K2568" t="s">
        <v>235</v>
      </c>
      <c r="L2568" t="s">
        <v>285</v>
      </c>
      <c r="M2568" t="str">
        <f t="shared" si="150"/>
        <v>09</v>
      </c>
      <c r="N2568" t="s">
        <v>12</v>
      </c>
    </row>
    <row r="2569" spans="1:14" x14ac:dyDescent="0.25">
      <c r="A2569">
        <v>20150911</v>
      </c>
      <c r="B2569" t="str">
        <f>"060287"</f>
        <v>060287</v>
      </c>
      <c r="C2569" t="str">
        <f>"72730"</f>
        <v>72730</v>
      </c>
      <c r="D2569" t="s">
        <v>1926</v>
      </c>
      <c r="E2569" s="3">
        <v>31.15</v>
      </c>
      <c r="F2569">
        <v>20150909</v>
      </c>
      <c r="G2569" t="s">
        <v>1718</v>
      </c>
      <c r="H2569" t="s">
        <v>1927</v>
      </c>
      <c r="I2569">
        <v>0</v>
      </c>
      <c r="J2569" t="s">
        <v>1709</v>
      </c>
      <c r="K2569" t="s">
        <v>235</v>
      </c>
      <c r="L2569" t="s">
        <v>285</v>
      </c>
      <c r="M2569" t="str">
        <f t="shared" si="150"/>
        <v>09</v>
      </c>
      <c r="N2569" t="s">
        <v>12</v>
      </c>
    </row>
    <row r="2570" spans="1:14" x14ac:dyDescent="0.25">
      <c r="A2570">
        <v>20150911</v>
      </c>
      <c r="B2570" t="str">
        <f>"060287"</f>
        <v>060287</v>
      </c>
      <c r="C2570" t="str">
        <f>"72730"</f>
        <v>72730</v>
      </c>
      <c r="D2570" t="s">
        <v>1926</v>
      </c>
      <c r="E2570" s="3">
        <v>2512.21</v>
      </c>
      <c r="F2570">
        <v>20150909</v>
      </c>
      <c r="G2570" t="s">
        <v>1718</v>
      </c>
      <c r="H2570" t="s">
        <v>1928</v>
      </c>
      <c r="I2570">
        <v>0</v>
      </c>
      <c r="J2570" t="s">
        <v>1709</v>
      </c>
      <c r="K2570" t="s">
        <v>235</v>
      </c>
      <c r="L2570" t="s">
        <v>285</v>
      </c>
      <c r="M2570" t="str">
        <f t="shared" si="150"/>
        <v>09</v>
      </c>
      <c r="N2570" t="s">
        <v>12</v>
      </c>
    </row>
    <row r="2571" spans="1:14" x14ac:dyDescent="0.25">
      <c r="A2571">
        <v>20150911</v>
      </c>
      <c r="B2571" t="str">
        <f>"060289"</f>
        <v>060289</v>
      </c>
      <c r="C2571" t="str">
        <f>"77068"</f>
        <v>77068</v>
      </c>
      <c r="D2571" t="s">
        <v>1929</v>
      </c>
      <c r="E2571" s="3">
        <v>4485.2700000000004</v>
      </c>
      <c r="F2571">
        <v>20150910</v>
      </c>
      <c r="G2571" t="s">
        <v>1718</v>
      </c>
      <c r="H2571" t="s">
        <v>1930</v>
      </c>
      <c r="I2571">
        <v>0</v>
      </c>
      <c r="J2571" t="s">
        <v>1709</v>
      </c>
      <c r="K2571" t="s">
        <v>235</v>
      </c>
      <c r="L2571" t="s">
        <v>285</v>
      </c>
      <c r="M2571" t="str">
        <f t="shared" si="150"/>
        <v>09</v>
      </c>
      <c r="N2571" t="s">
        <v>12</v>
      </c>
    </row>
    <row r="2572" spans="1:14" x14ac:dyDescent="0.25">
      <c r="A2572">
        <v>20150911</v>
      </c>
      <c r="B2572" t="str">
        <f>"060289"</f>
        <v>060289</v>
      </c>
      <c r="C2572" t="str">
        <f>"77068"</f>
        <v>77068</v>
      </c>
      <c r="D2572" t="s">
        <v>1929</v>
      </c>
      <c r="E2572" s="3">
        <v>1650</v>
      </c>
      <c r="F2572">
        <v>20150910</v>
      </c>
      <c r="G2572" t="s">
        <v>1718</v>
      </c>
      <c r="H2572" t="s">
        <v>1931</v>
      </c>
      <c r="I2572">
        <v>0</v>
      </c>
      <c r="J2572" t="s">
        <v>1709</v>
      </c>
      <c r="K2572" t="s">
        <v>235</v>
      </c>
      <c r="L2572" t="s">
        <v>285</v>
      </c>
      <c r="M2572" t="str">
        <f t="shared" si="150"/>
        <v>09</v>
      </c>
      <c r="N2572" t="s">
        <v>12</v>
      </c>
    </row>
    <row r="2573" spans="1:14" x14ac:dyDescent="0.25">
      <c r="A2573">
        <v>20150911</v>
      </c>
      <c r="B2573" t="str">
        <f>"060290"</f>
        <v>060290</v>
      </c>
      <c r="C2573" t="str">
        <f>"78280"</f>
        <v>78280</v>
      </c>
      <c r="D2573" t="s">
        <v>1932</v>
      </c>
      <c r="E2573" s="3">
        <v>215</v>
      </c>
      <c r="F2573">
        <v>20150910</v>
      </c>
      <c r="G2573" t="s">
        <v>1933</v>
      </c>
      <c r="H2573" t="s">
        <v>1934</v>
      </c>
      <c r="I2573">
        <v>0</v>
      </c>
      <c r="J2573" t="s">
        <v>1709</v>
      </c>
      <c r="K2573" t="s">
        <v>1558</v>
      </c>
      <c r="L2573" t="s">
        <v>285</v>
      </c>
      <c r="M2573" t="str">
        <f t="shared" si="150"/>
        <v>09</v>
      </c>
      <c r="N2573" t="s">
        <v>12</v>
      </c>
    </row>
    <row r="2574" spans="1:14" x14ac:dyDescent="0.25">
      <c r="A2574">
        <v>20150911</v>
      </c>
      <c r="B2574" t="str">
        <f>"060290"</f>
        <v>060290</v>
      </c>
      <c r="C2574" t="str">
        <f>"78280"</f>
        <v>78280</v>
      </c>
      <c r="D2574" t="s">
        <v>1932</v>
      </c>
      <c r="E2574" s="3">
        <v>215</v>
      </c>
      <c r="F2574">
        <v>20150910</v>
      </c>
      <c r="G2574" t="s">
        <v>1780</v>
      </c>
      <c r="H2574" t="s">
        <v>1934</v>
      </c>
      <c r="I2574">
        <v>0</v>
      </c>
      <c r="J2574" t="s">
        <v>1709</v>
      </c>
      <c r="K2574" t="s">
        <v>1782</v>
      </c>
      <c r="L2574" t="s">
        <v>285</v>
      </c>
      <c r="M2574" t="str">
        <f t="shared" si="150"/>
        <v>09</v>
      </c>
      <c r="N2574" t="s">
        <v>12</v>
      </c>
    </row>
    <row r="2575" spans="1:14" x14ac:dyDescent="0.25">
      <c r="A2575">
        <v>20150911</v>
      </c>
      <c r="B2575" t="str">
        <f t="shared" ref="B2575:B2582" si="153">"060292"</f>
        <v>060292</v>
      </c>
      <c r="C2575" t="str">
        <f t="shared" ref="C2575:C2582" si="154">"80481"</f>
        <v>80481</v>
      </c>
      <c r="D2575" t="s">
        <v>1935</v>
      </c>
      <c r="E2575" s="3">
        <v>7.6</v>
      </c>
      <c r="F2575">
        <v>20150910</v>
      </c>
      <c r="G2575" t="s">
        <v>1718</v>
      </c>
      <c r="H2575" t="s">
        <v>1936</v>
      </c>
      <c r="I2575">
        <v>0</v>
      </c>
      <c r="J2575" t="s">
        <v>1709</v>
      </c>
      <c r="K2575" t="s">
        <v>235</v>
      </c>
      <c r="L2575" t="s">
        <v>285</v>
      </c>
      <c r="M2575" t="str">
        <f t="shared" si="150"/>
        <v>09</v>
      </c>
      <c r="N2575" t="s">
        <v>12</v>
      </c>
    </row>
    <row r="2576" spans="1:14" x14ac:dyDescent="0.25">
      <c r="A2576">
        <v>20150911</v>
      </c>
      <c r="B2576" t="str">
        <f t="shared" si="153"/>
        <v>060292</v>
      </c>
      <c r="C2576" t="str">
        <f t="shared" si="154"/>
        <v>80481</v>
      </c>
      <c r="D2576" t="s">
        <v>1935</v>
      </c>
      <c r="E2576" s="3">
        <v>36.840000000000003</v>
      </c>
      <c r="F2576">
        <v>20150910</v>
      </c>
      <c r="G2576" t="s">
        <v>1718</v>
      </c>
      <c r="H2576" t="s">
        <v>1937</v>
      </c>
      <c r="I2576">
        <v>0</v>
      </c>
      <c r="J2576" t="s">
        <v>1709</v>
      </c>
      <c r="K2576" t="s">
        <v>235</v>
      </c>
      <c r="L2576" t="s">
        <v>285</v>
      </c>
      <c r="M2576" t="str">
        <f t="shared" si="150"/>
        <v>09</v>
      </c>
      <c r="N2576" t="s">
        <v>12</v>
      </c>
    </row>
    <row r="2577" spans="1:14" x14ac:dyDescent="0.25">
      <c r="A2577">
        <v>20150911</v>
      </c>
      <c r="B2577" t="str">
        <f t="shared" si="153"/>
        <v>060292</v>
      </c>
      <c r="C2577" t="str">
        <f t="shared" si="154"/>
        <v>80481</v>
      </c>
      <c r="D2577" t="s">
        <v>1935</v>
      </c>
      <c r="E2577" s="3">
        <v>28.34</v>
      </c>
      <c r="F2577">
        <v>20150910</v>
      </c>
      <c r="G2577" t="s">
        <v>1718</v>
      </c>
      <c r="H2577" t="s">
        <v>1936</v>
      </c>
      <c r="I2577">
        <v>0</v>
      </c>
      <c r="J2577" t="s">
        <v>1709</v>
      </c>
      <c r="K2577" t="s">
        <v>235</v>
      </c>
      <c r="L2577" t="s">
        <v>285</v>
      </c>
      <c r="M2577" t="str">
        <f t="shared" si="150"/>
        <v>09</v>
      </c>
      <c r="N2577" t="s">
        <v>12</v>
      </c>
    </row>
    <row r="2578" spans="1:14" x14ac:dyDescent="0.25">
      <c r="A2578">
        <v>20150911</v>
      </c>
      <c r="B2578" t="str">
        <f t="shared" si="153"/>
        <v>060292</v>
      </c>
      <c r="C2578" t="str">
        <f t="shared" si="154"/>
        <v>80481</v>
      </c>
      <c r="D2578" t="s">
        <v>1935</v>
      </c>
      <c r="E2578" s="3">
        <v>74</v>
      </c>
      <c r="F2578">
        <v>20150910</v>
      </c>
      <c r="G2578" t="s">
        <v>1938</v>
      </c>
      <c r="H2578" t="s">
        <v>1842</v>
      </c>
      <c r="I2578">
        <v>0</v>
      </c>
      <c r="J2578" t="s">
        <v>1709</v>
      </c>
      <c r="K2578" t="s">
        <v>1643</v>
      </c>
      <c r="L2578" t="s">
        <v>285</v>
      </c>
      <c r="M2578" t="str">
        <f t="shared" si="150"/>
        <v>09</v>
      </c>
      <c r="N2578" t="s">
        <v>12</v>
      </c>
    </row>
    <row r="2579" spans="1:14" x14ac:dyDescent="0.25">
      <c r="A2579">
        <v>20150911</v>
      </c>
      <c r="B2579" t="str">
        <f t="shared" si="153"/>
        <v>060292</v>
      </c>
      <c r="C2579" t="str">
        <f t="shared" si="154"/>
        <v>80481</v>
      </c>
      <c r="D2579" t="s">
        <v>1935</v>
      </c>
      <c r="E2579" s="3">
        <v>74</v>
      </c>
      <c r="F2579">
        <v>20150910</v>
      </c>
      <c r="G2579" t="s">
        <v>1939</v>
      </c>
      <c r="H2579" t="s">
        <v>1842</v>
      </c>
      <c r="I2579">
        <v>0</v>
      </c>
      <c r="J2579" t="s">
        <v>1709</v>
      </c>
      <c r="K2579" t="s">
        <v>33</v>
      </c>
      <c r="L2579" t="s">
        <v>285</v>
      </c>
      <c r="M2579" t="str">
        <f t="shared" si="150"/>
        <v>09</v>
      </c>
      <c r="N2579" t="s">
        <v>12</v>
      </c>
    </row>
    <row r="2580" spans="1:14" x14ac:dyDescent="0.25">
      <c r="A2580">
        <v>20150911</v>
      </c>
      <c r="B2580" t="str">
        <f t="shared" si="153"/>
        <v>060292</v>
      </c>
      <c r="C2580" t="str">
        <f t="shared" si="154"/>
        <v>80481</v>
      </c>
      <c r="D2580" t="s">
        <v>1935</v>
      </c>
      <c r="E2580" s="3">
        <v>74</v>
      </c>
      <c r="F2580">
        <v>20150910</v>
      </c>
      <c r="G2580" t="s">
        <v>1940</v>
      </c>
      <c r="H2580" t="s">
        <v>1842</v>
      </c>
      <c r="I2580">
        <v>0</v>
      </c>
      <c r="J2580" t="s">
        <v>1709</v>
      </c>
      <c r="K2580" t="s">
        <v>290</v>
      </c>
      <c r="L2580" t="s">
        <v>285</v>
      </c>
      <c r="M2580" t="str">
        <f t="shared" si="150"/>
        <v>09</v>
      </c>
      <c r="N2580" t="s">
        <v>12</v>
      </c>
    </row>
    <row r="2581" spans="1:14" x14ac:dyDescent="0.25">
      <c r="A2581">
        <v>20150911</v>
      </c>
      <c r="B2581" t="str">
        <f t="shared" si="153"/>
        <v>060292</v>
      </c>
      <c r="C2581" t="str">
        <f t="shared" si="154"/>
        <v>80481</v>
      </c>
      <c r="D2581" t="s">
        <v>1935</v>
      </c>
      <c r="E2581" s="3">
        <v>74</v>
      </c>
      <c r="F2581">
        <v>20150910</v>
      </c>
      <c r="G2581" t="s">
        <v>1940</v>
      </c>
      <c r="H2581" t="s">
        <v>1842</v>
      </c>
      <c r="I2581">
        <v>0</v>
      </c>
      <c r="J2581" t="s">
        <v>1709</v>
      </c>
      <c r="K2581" t="s">
        <v>290</v>
      </c>
      <c r="L2581" t="s">
        <v>285</v>
      </c>
      <c r="M2581" t="str">
        <f t="shared" si="150"/>
        <v>09</v>
      </c>
      <c r="N2581" t="s">
        <v>12</v>
      </c>
    </row>
    <row r="2582" spans="1:14" x14ac:dyDescent="0.25">
      <c r="A2582">
        <v>20150911</v>
      </c>
      <c r="B2582" t="str">
        <f t="shared" si="153"/>
        <v>060292</v>
      </c>
      <c r="C2582" t="str">
        <f t="shared" si="154"/>
        <v>80481</v>
      </c>
      <c r="D2582" t="s">
        <v>1935</v>
      </c>
      <c r="E2582" s="3">
        <v>43.78</v>
      </c>
      <c r="F2582">
        <v>20150910</v>
      </c>
      <c r="G2582" t="s">
        <v>1941</v>
      </c>
      <c r="H2582" t="s">
        <v>1842</v>
      </c>
      <c r="I2582">
        <v>0</v>
      </c>
      <c r="J2582" t="s">
        <v>1709</v>
      </c>
      <c r="K2582" t="s">
        <v>1942</v>
      </c>
      <c r="L2582" t="s">
        <v>285</v>
      </c>
      <c r="M2582" t="str">
        <f t="shared" si="150"/>
        <v>09</v>
      </c>
      <c r="N2582" t="s">
        <v>12</v>
      </c>
    </row>
    <row r="2583" spans="1:14" x14ac:dyDescent="0.25">
      <c r="A2583">
        <v>20150918</v>
      </c>
      <c r="B2583" t="str">
        <f>"060295"</f>
        <v>060295</v>
      </c>
      <c r="C2583" t="str">
        <f>"01530"</f>
        <v>01530</v>
      </c>
      <c r="D2583" t="s">
        <v>1943</v>
      </c>
      <c r="E2583" s="3">
        <v>187</v>
      </c>
      <c r="F2583">
        <v>20150917</v>
      </c>
      <c r="G2583" t="s">
        <v>1718</v>
      </c>
      <c r="H2583" t="s">
        <v>1944</v>
      </c>
      <c r="I2583">
        <v>0</v>
      </c>
      <c r="J2583" t="s">
        <v>1709</v>
      </c>
      <c r="K2583" t="s">
        <v>235</v>
      </c>
      <c r="L2583" t="s">
        <v>285</v>
      </c>
      <c r="M2583" t="str">
        <f t="shared" si="150"/>
        <v>09</v>
      </c>
      <c r="N2583" t="s">
        <v>12</v>
      </c>
    </row>
    <row r="2584" spans="1:14" x14ac:dyDescent="0.25">
      <c r="A2584">
        <v>20150918</v>
      </c>
      <c r="B2584" t="str">
        <f>"060296"</f>
        <v>060296</v>
      </c>
      <c r="C2584" t="str">
        <f>"02230"</f>
        <v>02230</v>
      </c>
      <c r="D2584" t="s">
        <v>1945</v>
      </c>
      <c r="E2584" s="3">
        <v>96.1</v>
      </c>
      <c r="F2584">
        <v>20150917</v>
      </c>
      <c r="G2584" t="s">
        <v>1718</v>
      </c>
      <c r="H2584" t="s">
        <v>1944</v>
      </c>
      <c r="I2584">
        <v>0</v>
      </c>
      <c r="J2584" t="s">
        <v>1709</v>
      </c>
      <c r="K2584" t="s">
        <v>235</v>
      </c>
      <c r="L2584" t="s">
        <v>285</v>
      </c>
      <c r="M2584" t="str">
        <f t="shared" si="150"/>
        <v>09</v>
      </c>
      <c r="N2584" t="s">
        <v>12</v>
      </c>
    </row>
    <row r="2585" spans="1:14" x14ac:dyDescent="0.25">
      <c r="A2585">
        <v>20150918</v>
      </c>
      <c r="B2585" t="str">
        <f>"060297"</f>
        <v>060297</v>
      </c>
      <c r="C2585" t="str">
        <f>"64653"</f>
        <v>64653</v>
      </c>
      <c r="D2585" t="s">
        <v>1946</v>
      </c>
      <c r="E2585" s="3">
        <v>4503.5</v>
      </c>
      <c r="F2585">
        <v>20150917</v>
      </c>
      <c r="G2585" t="s">
        <v>1718</v>
      </c>
      <c r="H2585" t="s">
        <v>1947</v>
      </c>
      <c r="I2585">
        <v>0</v>
      </c>
      <c r="J2585" t="s">
        <v>1709</v>
      </c>
      <c r="K2585" t="s">
        <v>235</v>
      </c>
      <c r="L2585" t="s">
        <v>285</v>
      </c>
      <c r="M2585" t="str">
        <f t="shared" si="150"/>
        <v>09</v>
      </c>
      <c r="N2585" t="s">
        <v>12</v>
      </c>
    </row>
    <row r="2586" spans="1:14" x14ac:dyDescent="0.25">
      <c r="A2586">
        <v>20150918</v>
      </c>
      <c r="B2586" t="str">
        <f t="shared" ref="B2586:B2592" si="155">"060298"</f>
        <v>060298</v>
      </c>
      <c r="C2586" t="str">
        <f t="shared" ref="C2586:C2592" si="156">"06267"</f>
        <v>06267</v>
      </c>
      <c r="D2586" t="s">
        <v>1948</v>
      </c>
      <c r="E2586" s="3">
        <v>665.33</v>
      </c>
      <c r="F2586">
        <v>20150917</v>
      </c>
      <c r="G2586" t="s">
        <v>1718</v>
      </c>
      <c r="H2586" t="s">
        <v>1949</v>
      </c>
      <c r="I2586">
        <v>0</v>
      </c>
      <c r="J2586" t="s">
        <v>1709</v>
      </c>
      <c r="K2586" t="s">
        <v>235</v>
      </c>
      <c r="L2586" t="s">
        <v>285</v>
      </c>
      <c r="M2586" t="str">
        <f t="shared" si="150"/>
        <v>09</v>
      </c>
      <c r="N2586" t="s">
        <v>12</v>
      </c>
    </row>
    <row r="2587" spans="1:14" x14ac:dyDescent="0.25">
      <c r="A2587">
        <v>20150918</v>
      </c>
      <c r="B2587" t="str">
        <f t="shared" si="155"/>
        <v>060298</v>
      </c>
      <c r="C2587" t="str">
        <f t="shared" si="156"/>
        <v>06267</v>
      </c>
      <c r="D2587" t="s">
        <v>1948</v>
      </c>
      <c r="E2587" s="3">
        <v>379.95</v>
      </c>
      <c r="F2587">
        <v>20150917</v>
      </c>
      <c r="G2587" t="s">
        <v>1718</v>
      </c>
      <c r="H2587" t="s">
        <v>1950</v>
      </c>
      <c r="I2587">
        <v>0</v>
      </c>
      <c r="J2587" t="s">
        <v>1709</v>
      </c>
      <c r="K2587" t="s">
        <v>235</v>
      </c>
      <c r="L2587" t="s">
        <v>285</v>
      </c>
      <c r="M2587" t="str">
        <f t="shared" si="150"/>
        <v>09</v>
      </c>
      <c r="N2587" t="s">
        <v>12</v>
      </c>
    </row>
    <row r="2588" spans="1:14" x14ac:dyDescent="0.25">
      <c r="A2588">
        <v>20150918</v>
      </c>
      <c r="B2588" t="str">
        <f t="shared" si="155"/>
        <v>060298</v>
      </c>
      <c r="C2588" t="str">
        <f t="shared" si="156"/>
        <v>06267</v>
      </c>
      <c r="D2588" t="s">
        <v>1948</v>
      </c>
      <c r="E2588" s="3">
        <v>451.91</v>
      </c>
      <c r="F2588">
        <v>20150917</v>
      </c>
      <c r="G2588" t="s">
        <v>1718</v>
      </c>
      <c r="H2588" t="s">
        <v>1951</v>
      </c>
      <c r="I2588">
        <v>0</v>
      </c>
      <c r="J2588" t="s">
        <v>1709</v>
      </c>
      <c r="K2588" t="s">
        <v>235</v>
      </c>
      <c r="L2588" t="s">
        <v>285</v>
      </c>
      <c r="M2588" t="str">
        <f t="shared" si="150"/>
        <v>09</v>
      </c>
      <c r="N2588" t="s">
        <v>12</v>
      </c>
    </row>
    <row r="2589" spans="1:14" x14ac:dyDescent="0.25">
      <c r="A2589">
        <v>20150918</v>
      </c>
      <c r="B2589" t="str">
        <f t="shared" si="155"/>
        <v>060298</v>
      </c>
      <c r="C2589" t="str">
        <f t="shared" si="156"/>
        <v>06267</v>
      </c>
      <c r="D2589" t="s">
        <v>1948</v>
      </c>
      <c r="E2589" s="3">
        <v>2378.7800000000002</v>
      </c>
      <c r="F2589">
        <v>20150917</v>
      </c>
      <c r="G2589" t="s">
        <v>1718</v>
      </c>
      <c r="H2589" t="s">
        <v>1952</v>
      </c>
      <c r="I2589">
        <v>0</v>
      </c>
      <c r="J2589" t="s">
        <v>1709</v>
      </c>
      <c r="K2589" t="s">
        <v>235</v>
      </c>
      <c r="L2589" t="s">
        <v>285</v>
      </c>
      <c r="M2589" t="str">
        <f t="shared" si="150"/>
        <v>09</v>
      </c>
      <c r="N2589" t="s">
        <v>12</v>
      </c>
    </row>
    <row r="2590" spans="1:14" x14ac:dyDescent="0.25">
      <c r="A2590">
        <v>20150918</v>
      </c>
      <c r="B2590" t="str">
        <f t="shared" si="155"/>
        <v>060298</v>
      </c>
      <c r="C2590" t="str">
        <f t="shared" si="156"/>
        <v>06267</v>
      </c>
      <c r="D2590" t="s">
        <v>1948</v>
      </c>
      <c r="E2590" s="3">
        <v>1041.0899999999999</v>
      </c>
      <c r="F2590">
        <v>20150917</v>
      </c>
      <c r="G2590" t="s">
        <v>1718</v>
      </c>
      <c r="H2590" t="s">
        <v>1953</v>
      </c>
      <c r="I2590">
        <v>0</v>
      </c>
      <c r="J2590" t="s">
        <v>1709</v>
      </c>
      <c r="K2590" t="s">
        <v>235</v>
      </c>
      <c r="L2590" t="s">
        <v>285</v>
      </c>
      <c r="M2590" t="str">
        <f t="shared" ref="M2590:M2653" si="157">"09"</f>
        <v>09</v>
      </c>
      <c r="N2590" t="s">
        <v>12</v>
      </c>
    </row>
    <row r="2591" spans="1:14" x14ac:dyDescent="0.25">
      <c r="A2591">
        <v>20150918</v>
      </c>
      <c r="B2591" t="str">
        <f t="shared" si="155"/>
        <v>060298</v>
      </c>
      <c r="C2591" t="str">
        <f t="shared" si="156"/>
        <v>06267</v>
      </c>
      <c r="D2591" t="s">
        <v>1948</v>
      </c>
      <c r="E2591" s="3">
        <v>2637.2</v>
      </c>
      <c r="F2591">
        <v>20150917</v>
      </c>
      <c r="G2591" t="s">
        <v>1718</v>
      </c>
      <c r="H2591" t="s">
        <v>1954</v>
      </c>
      <c r="I2591">
        <v>0</v>
      </c>
      <c r="J2591" t="s">
        <v>1709</v>
      </c>
      <c r="K2591" t="s">
        <v>235</v>
      </c>
      <c r="L2591" t="s">
        <v>285</v>
      </c>
      <c r="M2591" t="str">
        <f t="shared" si="157"/>
        <v>09</v>
      </c>
      <c r="N2591" t="s">
        <v>12</v>
      </c>
    </row>
    <row r="2592" spans="1:14" x14ac:dyDescent="0.25">
      <c r="A2592">
        <v>20150918</v>
      </c>
      <c r="B2592" t="str">
        <f t="shared" si="155"/>
        <v>060298</v>
      </c>
      <c r="C2592" t="str">
        <f t="shared" si="156"/>
        <v>06267</v>
      </c>
      <c r="D2592" t="s">
        <v>1948</v>
      </c>
      <c r="E2592" s="3">
        <v>3819.79</v>
      </c>
      <c r="F2592">
        <v>20150917</v>
      </c>
      <c r="G2592" t="s">
        <v>1718</v>
      </c>
      <c r="H2592" t="s">
        <v>1955</v>
      </c>
      <c r="I2592">
        <v>0</v>
      </c>
      <c r="J2592" t="s">
        <v>1709</v>
      </c>
      <c r="K2592" t="s">
        <v>235</v>
      </c>
      <c r="L2592" t="s">
        <v>285</v>
      </c>
      <c r="M2592" t="str">
        <f t="shared" si="157"/>
        <v>09</v>
      </c>
      <c r="N2592" t="s">
        <v>12</v>
      </c>
    </row>
    <row r="2593" spans="1:14" x14ac:dyDescent="0.25">
      <c r="A2593">
        <v>20150918</v>
      </c>
      <c r="B2593" t="str">
        <f>"060299"</f>
        <v>060299</v>
      </c>
      <c r="C2593" t="str">
        <f>"06893"</f>
        <v>06893</v>
      </c>
      <c r="D2593" t="s">
        <v>1956</v>
      </c>
      <c r="E2593" s="3">
        <v>25</v>
      </c>
      <c r="F2593">
        <v>20150917</v>
      </c>
      <c r="G2593" t="s">
        <v>1957</v>
      </c>
      <c r="H2593" t="s">
        <v>1958</v>
      </c>
      <c r="I2593">
        <v>0</v>
      </c>
      <c r="J2593" t="s">
        <v>1709</v>
      </c>
      <c r="K2593" t="s">
        <v>290</v>
      </c>
      <c r="L2593" t="s">
        <v>285</v>
      </c>
      <c r="M2593" t="str">
        <f t="shared" si="157"/>
        <v>09</v>
      </c>
      <c r="N2593" t="s">
        <v>12</v>
      </c>
    </row>
    <row r="2594" spans="1:14" x14ac:dyDescent="0.25">
      <c r="A2594">
        <v>20150918</v>
      </c>
      <c r="B2594" t="str">
        <f>"060301"</f>
        <v>060301</v>
      </c>
      <c r="C2594" t="str">
        <f>"09981"</f>
        <v>09981</v>
      </c>
      <c r="D2594" t="s">
        <v>1959</v>
      </c>
      <c r="E2594" s="3">
        <v>52</v>
      </c>
      <c r="F2594">
        <v>20150918</v>
      </c>
      <c r="G2594" t="s">
        <v>1718</v>
      </c>
      <c r="H2594" t="s">
        <v>1960</v>
      </c>
      <c r="I2594">
        <v>0</v>
      </c>
      <c r="J2594" t="s">
        <v>1709</v>
      </c>
      <c r="K2594" t="s">
        <v>235</v>
      </c>
      <c r="L2594" t="s">
        <v>285</v>
      </c>
      <c r="M2594" t="str">
        <f t="shared" si="157"/>
        <v>09</v>
      </c>
      <c r="N2594" t="s">
        <v>12</v>
      </c>
    </row>
    <row r="2595" spans="1:14" x14ac:dyDescent="0.25">
      <c r="A2595">
        <v>20150918</v>
      </c>
      <c r="B2595" t="str">
        <f>"060302"</f>
        <v>060302</v>
      </c>
      <c r="C2595" t="str">
        <f>"10063"</f>
        <v>10063</v>
      </c>
      <c r="D2595" t="s">
        <v>1816</v>
      </c>
      <c r="E2595" s="3">
        <v>61.97</v>
      </c>
      <c r="F2595">
        <v>20150917</v>
      </c>
      <c r="G2595" t="s">
        <v>1961</v>
      </c>
      <c r="H2595" t="s">
        <v>473</v>
      </c>
      <c r="I2595">
        <v>0</v>
      </c>
      <c r="J2595" t="s">
        <v>1709</v>
      </c>
      <c r="K2595" t="s">
        <v>290</v>
      </c>
      <c r="L2595" t="s">
        <v>285</v>
      </c>
      <c r="M2595" t="str">
        <f t="shared" si="157"/>
        <v>09</v>
      </c>
      <c r="N2595" t="s">
        <v>12</v>
      </c>
    </row>
    <row r="2596" spans="1:14" x14ac:dyDescent="0.25">
      <c r="A2596">
        <v>20150918</v>
      </c>
      <c r="B2596" t="str">
        <f>"060302"</f>
        <v>060302</v>
      </c>
      <c r="C2596" t="str">
        <f>"10063"</f>
        <v>10063</v>
      </c>
      <c r="D2596" t="s">
        <v>1816</v>
      </c>
      <c r="E2596" s="3">
        <v>61.97</v>
      </c>
      <c r="F2596">
        <v>20150917</v>
      </c>
      <c r="G2596" t="s">
        <v>1961</v>
      </c>
      <c r="H2596" t="s">
        <v>333</v>
      </c>
      <c r="I2596">
        <v>0</v>
      </c>
      <c r="J2596" t="s">
        <v>1709</v>
      </c>
      <c r="K2596" t="s">
        <v>290</v>
      </c>
      <c r="L2596" t="s">
        <v>285</v>
      </c>
      <c r="M2596" t="str">
        <f t="shared" si="157"/>
        <v>09</v>
      </c>
      <c r="N2596" t="s">
        <v>12</v>
      </c>
    </row>
    <row r="2597" spans="1:14" x14ac:dyDescent="0.25">
      <c r="A2597">
        <v>20150918</v>
      </c>
      <c r="B2597" t="str">
        <f>"060310"</f>
        <v>060310</v>
      </c>
      <c r="C2597" t="str">
        <f>"21084"</f>
        <v>21084</v>
      </c>
      <c r="D2597" t="s">
        <v>1962</v>
      </c>
      <c r="E2597" s="3">
        <v>20</v>
      </c>
      <c r="F2597">
        <v>20150917</v>
      </c>
      <c r="G2597" t="s">
        <v>1963</v>
      </c>
      <c r="H2597" t="s">
        <v>1964</v>
      </c>
      <c r="I2597">
        <v>0</v>
      </c>
      <c r="J2597" t="s">
        <v>1709</v>
      </c>
      <c r="K2597" t="s">
        <v>290</v>
      </c>
      <c r="L2597" t="s">
        <v>285</v>
      </c>
      <c r="M2597" t="str">
        <f t="shared" si="157"/>
        <v>09</v>
      </c>
      <c r="N2597" t="s">
        <v>12</v>
      </c>
    </row>
    <row r="2598" spans="1:14" x14ac:dyDescent="0.25">
      <c r="A2598">
        <v>20150918</v>
      </c>
      <c r="B2598" t="str">
        <f>"060310"</f>
        <v>060310</v>
      </c>
      <c r="C2598" t="str">
        <f>"21084"</f>
        <v>21084</v>
      </c>
      <c r="D2598" t="s">
        <v>1962</v>
      </c>
      <c r="E2598" s="3">
        <v>220</v>
      </c>
      <c r="F2598">
        <v>20150917</v>
      </c>
      <c r="G2598" t="s">
        <v>1712</v>
      </c>
      <c r="H2598" t="s">
        <v>1964</v>
      </c>
      <c r="I2598">
        <v>0</v>
      </c>
      <c r="J2598" t="s">
        <v>1709</v>
      </c>
      <c r="K2598" t="s">
        <v>290</v>
      </c>
      <c r="L2598" t="s">
        <v>285</v>
      </c>
      <c r="M2598" t="str">
        <f t="shared" si="157"/>
        <v>09</v>
      </c>
      <c r="N2598" t="s">
        <v>12</v>
      </c>
    </row>
    <row r="2599" spans="1:14" x14ac:dyDescent="0.25">
      <c r="A2599">
        <v>20150918</v>
      </c>
      <c r="B2599" t="str">
        <f>"060311"</f>
        <v>060311</v>
      </c>
      <c r="C2599" t="str">
        <f>"21901"</f>
        <v>21901</v>
      </c>
      <c r="D2599" t="s">
        <v>1965</v>
      </c>
      <c r="E2599" s="3">
        <v>473.28</v>
      </c>
      <c r="F2599">
        <v>20150918</v>
      </c>
      <c r="G2599" t="s">
        <v>1718</v>
      </c>
      <c r="H2599" t="s">
        <v>1966</v>
      </c>
      <c r="I2599">
        <v>0</v>
      </c>
      <c r="J2599" t="s">
        <v>1709</v>
      </c>
      <c r="K2599" t="s">
        <v>235</v>
      </c>
      <c r="L2599" t="s">
        <v>285</v>
      </c>
      <c r="M2599" t="str">
        <f t="shared" si="157"/>
        <v>09</v>
      </c>
      <c r="N2599" t="s">
        <v>12</v>
      </c>
    </row>
    <row r="2600" spans="1:14" x14ac:dyDescent="0.25">
      <c r="A2600">
        <v>20150918</v>
      </c>
      <c r="B2600" t="str">
        <f>"060311"</f>
        <v>060311</v>
      </c>
      <c r="C2600" t="str">
        <f>"21901"</f>
        <v>21901</v>
      </c>
      <c r="D2600" t="s">
        <v>1965</v>
      </c>
      <c r="E2600" s="3">
        <v>5319.48</v>
      </c>
      <c r="F2600">
        <v>20150918</v>
      </c>
      <c r="G2600" t="s">
        <v>1718</v>
      </c>
      <c r="H2600" t="s">
        <v>1967</v>
      </c>
      <c r="I2600">
        <v>0</v>
      </c>
      <c r="J2600" t="s">
        <v>1709</v>
      </c>
      <c r="K2600" t="s">
        <v>235</v>
      </c>
      <c r="L2600" t="s">
        <v>285</v>
      </c>
      <c r="M2600" t="str">
        <f t="shared" si="157"/>
        <v>09</v>
      </c>
      <c r="N2600" t="s">
        <v>12</v>
      </c>
    </row>
    <row r="2601" spans="1:14" x14ac:dyDescent="0.25">
      <c r="A2601">
        <v>20150918</v>
      </c>
      <c r="B2601" t="str">
        <f>"060314"</f>
        <v>060314</v>
      </c>
      <c r="C2601" t="str">
        <f>"24973"</f>
        <v>24973</v>
      </c>
      <c r="D2601" t="s">
        <v>1968</v>
      </c>
      <c r="E2601" s="3">
        <v>196.52</v>
      </c>
      <c r="F2601">
        <v>20150917</v>
      </c>
      <c r="G2601" t="s">
        <v>1969</v>
      </c>
      <c r="H2601" t="s">
        <v>1970</v>
      </c>
      <c r="I2601">
        <v>0</v>
      </c>
      <c r="J2601" t="s">
        <v>1709</v>
      </c>
      <c r="K2601" t="s">
        <v>290</v>
      </c>
      <c r="L2601" t="s">
        <v>285</v>
      </c>
      <c r="M2601" t="str">
        <f t="shared" si="157"/>
        <v>09</v>
      </c>
      <c r="N2601" t="s">
        <v>12</v>
      </c>
    </row>
    <row r="2602" spans="1:14" x14ac:dyDescent="0.25">
      <c r="A2602">
        <v>20150918</v>
      </c>
      <c r="B2602" t="str">
        <f>"060315"</f>
        <v>060315</v>
      </c>
      <c r="C2602" t="str">
        <f>"00352"</f>
        <v>00352</v>
      </c>
      <c r="D2602" t="s">
        <v>1971</v>
      </c>
      <c r="E2602" s="3">
        <v>20</v>
      </c>
      <c r="F2602">
        <v>20150917</v>
      </c>
      <c r="G2602" t="s">
        <v>1725</v>
      </c>
      <c r="H2602" t="s">
        <v>1972</v>
      </c>
      <c r="I2602">
        <v>0</v>
      </c>
      <c r="J2602" t="s">
        <v>1709</v>
      </c>
      <c r="K2602" t="s">
        <v>290</v>
      </c>
      <c r="L2602" t="s">
        <v>285</v>
      </c>
      <c r="M2602" t="str">
        <f t="shared" si="157"/>
        <v>09</v>
      </c>
      <c r="N2602" t="s">
        <v>12</v>
      </c>
    </row>
    <row r="2603" spans="1:14" x14ac:dyDescent="0.25">
      <c r="A2603">
        <v>20150918</v>
      </c>
      <c r="B2603" t="str">
        <f>"060316"</f>
        <v>060316</v>
      </c>
      <c r="C2603" t="str">
        <f>"27033"</f>
        <v>27033</v>
      </c>
      <c r="D2603" t="s">
        <v>1973</v>
      </c>
      <c r="E2603" s="3">
        <v>53</v>
      </c>
      <c r="F2603">
        <v>20150917</v>
      </c>
      <c r="G2603" t="s">
        <v>1974</v>
      </c>
      <c r="H2603" t="s">
        <v>1975</v>
      </c>
      <c r="I2603">
        <v>0</v>
      </c>
      <c r="J2603" t="s">
        <v>1709</v>
      </c>
      <c r="K2603" t="s">
        <v>290</v>
      </c>
      <c r="L2603" t="s">
        <v>285</v>
      </c>
      <c r="M2603" t="str">
        <f t="shared" si="157"/>
        <v>09</v>
      </c>
      <c r="N2603" t="s">
        <v>12</v>
      </c>
    </row>
    <row r="2604" spans="1:14" x14ac:dyDescent="0.25">
      <c r="A2604">
        <v>20150918</v>
      </c>
      <c r="B2604" t="str">
        <f>"060323"</f>
        <v>060323</v>
      </c>
      <c r="C2604" t="str">
        <f>"34226"</f>
        <v>34226</v>
      </c>
      <c r="D2604" t="s">
        <v>1976</v>
      </c>
      <c r="E2604" s="3">
        <v>70.14</v>
      </c>
      <c r="F2604">
        <v>20150917</v>
      </c>
      <c r="G2604" t="s">
        <v>1977</v>
      </c>
      <c r="H2604" t="s">
        <v>1978</v>
      </c>
      <c r="I2604">
        <v>0</v>
      </c>
      <c r="J2604" t="s">
        <v>1709</v>
      </c>
      <c r="K2604" t="s">
        <v>290</v>
      </c>
      <c r="L2604" t="s">
        <v>285</v>
      </c>
      <c r="M2604" t="str">
        <f t="shared" si="157"/>
        <v>09</v>
      </c>
      <c r="N2604" t="s">
        <v>12</v>
      </c>
    </row>
    <row r="2605" spans="1:14" x14ac:dyDescent="0.25">
      <c r="A2605">
        <v>20150918</v>
      </c>
      <c r="B2605" t="str">
        <f>"060323"</f>
        <v>060323</v>
      </c>
      <c r="C2605" t="str">
        <f>"34226"</f>
        <v>34226</v>
      </c>
      <c r="D2605" t="s">
        <v>1976</v>
      </c>
      <c r="E2605" s="3">
        <v>70.14</v>
      </c>
      <c r="F2605">
        <v>20150917</v>
      </c>
      <c r="G2605" t="s">
        <v>1888</v>
      </c>
      <c r="H2605" t="s">
        <v>1978</v>
      </c>
      <c r="I2605">
        <v>0</v>
      </c>
      <c r="J2605" t="s">
        <v>1709</v>
      </c>
      <c r="K2605" t="s">
        <v>290</v>
      </c>
      <c r="L2605" t="s">
        <v>285</v>
      </c>
      <c r="M2605" t="str">
        <f t="shared" si="157"/>
        <v>09</v>
      </c>
      <c r="N2605" t="s">
        <v>12</v>
      </c>
    </row>
    <row r="2606" spans="1:14" x14ac:dyDescent="0.25">
      <c r="A2606">
        <v>20150918</v>
      </c>
      <c r="B2606" t="str">
        <f t="shared" ref="B2606:B2614" si="158">"060325"</f>
        <v>060325</v>
      </c>
      <c r="C2606" t="str">
        <f t="shared" ref="C2606:C2614" si="159">"43532"</f>
        <v>43532</v>
      </c>
      <c r="D2606" t="s">
        <v>1979</v>
      </c>
      <c r="E2606" s="3">
        <v>1361.92</v>
      </c>
      <c r="F2606">
        <v>20150917</v>
      </c>
      <c r="G2606" t="s">
        <v>1718</v>
      </c>
      <c r="H2606" t="s">
        <v>1980</v>
      </c>
      <c r="I2606">
        <v>0</v>
      </c>
      <c r="J2606" t="s">
        <v>1709</v>
      </c>
      <c r="K2606" t="s">
        <v>235</v>
      </c>
      <c r="L2606" t="s">
        <v>285</v>
      </c>
      <c r="M2606" t="str">
        <f t="shared" si="157"/>
        <v>09</v>
      </c>
      <c r="N2606" t="s">
        <v>12</v>
      </c>
    </row>
    <row r="2607" spans="1:14" x14ac:dyDescent="0.25">
      <c r="A2607">
        <v>20150918</v>
      </c>
      <c r="B2607" t="str">
        <f t="shared" si="158"/>
        <v>060325</v>
      </c>
      <c r="C2607" t="str">
        <f t="shared" si="159"/>
        <v>43532</v>
      </c>
      <c r="D2607" t="s">
        <v>1979</v>
      </c>
      <c r="E2607" s="3">
        <v>16226.56</v>
      </c>
      <c r="F2607">
        <v>20150917</v>
      </c>
      <c r="G2607" t="s">
        <v>1718</v>
      </c>
      <c r="H2607" t="s">
        <v>1981</v>
      </c>
      <c r="I2607">
        <v>0</v>
      </c>
      <c r="J2607" t="s">
        <v>1709</v>
      </c>
      <c r="K2607" t="s">
        <v>235</v>
      </c>
      <c r="L2607" t="s">
        <v>285</v>
      </c>
      <c r="M2607" t="str">
        <f t="shared" si="157"/>
        <v>09</v>
      </c>
      <c r="N2607" t="s">
        <v>12</v>
      </c>
    </row>
    <row r="2608" spans="1:14" x14ac:dyDescent="0.25">
      <c r="A2608">
        <v>20150918</v>
      </c>
      <c r="B2608" t="str">
        <f t="shared" si="158"/>
        <v>060325</v>
      </c>
      <c r="C2608" t="str">
        <f t="shared" si="159"/>
        <v>43532</v>
      </c>
      <c r="D2608" t="s">
        <v>1979</v>
      </c>
      <c r="E2608" s="3">
        <v>125</v>
      </c>
      <c r="F2608">
        <v>20150918</v>
      </c>
      <c r="G2608" t="s">
        <v>1718</v>
      </c>
      <c r="H2608" t="s">
        <v>1982</v>
      </c>
      <c r="I2608">
        <v>0</v>
      </c>
      <c r="J2608" t="s">
        <v>1709</v>
      </c>
      <c r="K2608" t="s">
        <v>235</v>
      </c>
      <c r="L2608" t="s">
        <v>285</v>
      </c>
      <c r="M2608" t="str">
        <f t="shared" si="157"/>
        <v>09</v>
      </c>
      <c r="N2608" t="s">
        <v>12</v>
      </c>
    </row>
    <row r="2609" spans="1:14" x14ac:dyDescent="0.25">
      <c r="A2609">
        <v>20150918</v>
      </c>
      <c r="B2609" t="str">
        <f t="shared" si="158"/>
        <v>060325</v>
      </c>
      <c r="C2609" t="str">
        <f t="shared" si="159"/>
        <v>43532</v>
      </c>
      <c r="D2609" t="s">
        <v>1979</v>
      </c>
      <c r="E2609" s="3">
        <v>17908.8</v>
      </c>
      <c r="F2609">
        <v>20150917</v>
      </c>
      <c r="G2609" t="s">
        <v>1983</v>
      </c>
      <c r="H2609" t="s">
        <v>1981</v>
      </c>
      <c r="I2609">
        <v>0</v>
      </c>
      <c r="J2609" t="s">
        <v>1709</v>
      </c>
      <c r="K2609" t="s">
        <v>1984</v>
      </c>
      <c r="L2609" t="s">
        <v>285</v>
      </c>
      <c r="M2609" t="str">
        <f t="shared" si="157"/>
        <v>09</v>
      </c>
      <c r="N2609" t="s">
        <v>12</v>
      </c>
    </row>
    <row r="2610" spans="1:14" x14ac:dyDescent="0.25">
      <c r="A2610">
        <v>20150918</v>
      </c>
      <c r="B2610" t="str">
        <f t="shared" si="158"/>
        <v>060325</v>
      </c>
      <c r="C2610" t="str">
        <f t="shared" si="159"/>
        <v>43532</v>
      </c>
      <c r="D2610" t="s">
        <v>1979</v>
      </c>
      <c r="E2610" s="3">
        <v>1054.32</v>
      </c>
      <c r="F2610">
        <v>20150917</v>
      </c>
      <c r="G2610" t="s">
        <v>1983</v>
      </c>
      <c r="H2610" t="s">
        <v>1985</v>
      </c>
      <c r="I2610">
        <v>0</v>
      </c>
      <c r="J2610" t="s">
        <v>1709</v>
      </c>
      <c r="K2610" t="s">
        <v>1984</v>
      </c>
      <c r="L2610" t="s">
        <v>285</v>
      </c>
      <c r="M2610" t="str">
        <f t="shared" si="157"/>
        <v>09</v>
      </c>
      <c r="N2610" t="s">
        <v>12</v>
      </c>
    </row>
    <row r="2611" spans="1:14" x14ac:dyDescent="0.25">
      <c r="A2611">
        <v>20150918</v>
      </c>
      <c r="B2611" t="str">
        <f t="shared" si="158"/>
        <v>060325</v>
      </c>
      <c r="C2611" t="str">
        <f t="shared" si="159"/>
        <v>43532</v>
      </c>
      <c r="D2611" t="s">
        <v>1979</v>
      </c>
      <c r="E2611" s="3">
        <v>35716.76</v>
      </c>
      <c r="F2611">
        <v>20150917</v>
      </c>
      <c r="G2611" t="s">
        <v>1983</v>
      </c>
      <c r="H2611" t="s">
        <v>1986</v>
      </c>
      <c r="I2611">
        <v>0</v>
      </c>
      <c r="J2611" t="s">
        <v>1709</v>
      </c>
      <c r="K2611" t="s">
        <v>1984</v>
      </c>
      <c r="L2611" t="s">
        <v>285</v>
      </c>
      <c r="M2611" t="str">
        <f t="shared" si="157"/>
        <v>09</v>
      </c>
      <c r="N2611" t="s">
        <v>12</v>
      </c>
    </row>
    <row r="2612" spans="1:14" x14ac:dyDescent="0.25">
      <c r="A2612">
        <v>20150918</v>
      </c>
      <c r="B2612" t="str">
        <f t="shared" si="158"/>
        <v>060325</v>
      </c>
      <c r="C2612" t="str">
        <f t="shared" si="159"/>
        <v>43532</v>
      </c>
      <c r="D2612" t="s">
        <v>1979</v>
      </c>
      <c r="E2612" s="3">
        <v>190.44</v>
      </c>
      <c r="F2612">
        <v>20150918</v>
      </c>
      <c r="G2612" t="s">
        <v>1987</v>
      </c>
      <c r="H2612" t="s">
        <v>1985</v>
      </c>
      <c r="I2612">
        <v>0</v>
      </c>
      <c r="J2612" t="s">
        <v>1709</v>
      </c>
      <c r="K2612" t="s">
        <v>1984</v>
      </c>
      <c r="L2612" t="s">
        <v>285</v>
      </c>
      <c r="M2612" t="str">
        <f t="shared" si="157"/>
        <v>09</v>
      </c>
      <c r="N2612" t="s">
        <v>12</v>
      </c>
    </row>
    <row r="2613" spans="1:14" x14ac:dyDescent="0.25">
      <c r="A2613">
        <v>20150918</v>
      </c>
      <c r="B2613" t="str">
        <f t="shared" si="158"/>
        <v>060325</v>
      </c>
      <c r="C2613" t="str">
        <f t="shared" si="159"/>
        <v>43532</v>
      </c>
      <c r="D2613" t="s">
        <v>1979</v>
      </c>
      <c r="E2613" s="3">
        <v>235.2</v>
      </c>
      <c r="F2613">
        <v>20150918</v>
      </c>
      <c r="G2613" t="s">
        <v>1987</v>
      </c>
      <c r="H2613" t="s">
        <v>1988</v>
      </c>
      <c r="I2613">
        <v>0</v>
      </c>
      <c r="J2613" t="s">
        <v>1709</v>
      </c>
      <c r="K2613" t="s">
        <v>1984</v>
      </c>
      <c r="L2613" t="s">
        <v>285</v>
      </c>
      <c r="M2613" t="str">
        <f t="shared" si="157"/>
        <v>09</v>
      </c>
      <c r="N2613" t="s">
        <v>12</v>
      </c>
    </row>
    <row r="2614" spans="1:14" x14ac:dyDescent="0.25">
      <c r="A2614">
        <v>20150918</v>
      </c>
      <c r="B2614" t="str">
        <f t="shared" si="158"/>
        <v>060325</v>
      </c>
      <c r="C2614" t="str">
        <f t="shared" si="159"/>
        <v>43532</v>
      </c>
      <c r="D2614" t="s">
        <v>1979</v>
      </c>
      <c r="E2614" s="3">
        <v>10027.549999999999</v>
      </c>
      <c r="F2614">
        <v>20150918</v>
      </c>
      <c r="G2614" t="s">
        <v>1987</v>
      </c>
      <c r="H2614" t="s">
        <v>1986</v>
      </c>
      <c r="I2614">
        <v>0</v>
      </c>
      <c r="J2614" t="s">
        <v>1709</v>
      </c>
      <c r="K2614" t="s">
        <v>1984</v>
      </c>
      <c r="L2614" t="s">
        <v>285</v>
      </c>
      <c r="M2614" t="str">
        <f t="shared" si="157"/>
        <v>09</v>
      </c>
      <c r="N2614" t="s">
        <v>12</v>
      </c>
    </row>
    <row r="2615" spans="1:14" x14ac:dyDescent="0.25">
      <c r="A2615">
        <v>20150918</v>
      </c>
      <c r="B2615" t="str">
        <f>"060326"</f>
        <v>060326</v>
      </c>
      <c r="C2615" t="str">
        <f>"44450"</f>
        <v>44450</v>
      </c>
      <c r="D2615" t="s">
        <v>1989</v>
      </c>
      <c r="E2615" s="3">
        <v>112.5</v>
      </c>
      <c r="F2615">
        <v>20150918</v>
      </c>
      <c r="G2615" t="s">
        <v>1718</v>
      </c>
      <c r="H2615" t="s">
        <v>1990</v>
      </c>
      <c r="I2615">
        <v>0</v>
      </c>
      <c r="J2615" t="s">
        <v>1709</v>
      </c>
      <c r="K2615" t="s">
        <v>235</v>
      </c>
      <c r="L2615" t="s">
        <v>285</v>
      </c>
      <c r="M2615" t="str">
        <f t="shared" si="157"/>
        <v>09</v>
      </c>
      <c r="N2615" t="s">
        <v>12</v>
      </c>
    </row>
    <row r="2616" spans="1:14" x14ac:dyDescent="0.25">
      <c r="A2616">
        <v>20150918</v>
      </c>
      <c r="B2616" t="str">
        <f>"060326"</f>
        <v>060326</v>
      </c>
      <c r="C2616" t="str">
        <f>"44450"</f>
        <v>44450</v>
      </c>
      <c r="D2616" t="s">
        <v>1989</v>
      </c>
      <c r="E2616" s="3">
        <v>112.5</v>
      </c>
      <c r="F2616">
        <v>20150918</v>
      </c>
      <c r="G2616" t="s">
        <v>1718</v>
      </c>
      <c r="H2616" t="s">
        <v>1990</v>
      </c>
      <c r="I2616">
        <v>0</v>
      </c>
      <c r="J2616" t="s">
        <v>1709</v>
      </c>
      <c r="K2616" t="s">
        <v>235</v>
      </c>
      <c r="L2616" t="s">
        <v>285</v>
      </c>
      <c r="M2616" t="str">
        <f t="shared" si="157"/>
        <v>09</v>
      </c>
      <c r="N2616" t="s">
        <v>12</v>
      </c>
    </row>
    <row r="2617" spans="1:14" x14ac:dyDescent="0.25">
      <c r="A2617">
        <v>20150918</v>
      </c>
      <c r="B2617" t="str">
        <f>"060328"</f>
        <v>060328</v>
      </c>
      <c r="C2617" t="str">
        <f>"46369"</f>
        <v>46369</v>
      </c>
      <c r="D2617" t="s">
        <v>1991</v>
      </c>
      <c r="E2617" s="3">
        <v>300</v>
      </c>
      <c r="F2617">
        <v>20150917</v>
      </c>
      <c r="G2617" t="s">
        <v>1992</v>
      </c>
      <c r="H2617" t="s">
        <v>1993</v>
      </c>
      <c r="I2617">
        <v>0</v>
      </c>
      <c r="J2617" t="s">
        <v>1709</v>
      </c>
      <c r="K2617" t="s">
        <v>1861</v>
      </c>
      <c r="L2617" t="s">
        <v>285</v>
      </c>
      <c r="M2617" t="str">
        <f t="shared" si="157"/>
        <v>09</v>
      </c>
      <c r="N2617" t="s">
        <v>12</v>
      </c>
    </row>
    <row r="2618" spans="1:14" x14ac:dyDescent="0.25">
      <c r="A2618">
        <v>20150918</v>
      </c>
      <c r="B2618" t="str">
        <f>"060329"</f>
        <v>060329</v>
      </c>
      <c r="C2618" t="str">
        <f>"46398"</f>
        <v>46398</v>
      </c>
      <c r="D2618" t="s">
        <v>1994</v>
      </c>
      <c r="E2618" s="3">
        <v>13478.11</v>
      </c>
      <c r="F2618">
        <v>20150917</v>
      </c>
      <c r="G2618" t="s">
        <v>1995</v>
      </c>
      <c r="H2618" t="s">
        <v>1996</v>
      </c>
      <c r="I2618">
        <v>0</v>
      </c>
      <c r="J2618" t="s">
        <v>1709</v>
      </c>
      <c r="K2618" t="s">
        <v>235</v>
      </c>
      <c r="L2618" t="s">
        <v>285</v>
      </c>
      <c r="M2618" t="str">
        <f t="shared" si="157"/>
        <v>09</v>
      </c>
      <c r="N2618" t="s">
        <v>12</v>
      </c>
    </row>
    <row r="2619" spans="1:14" x14ac:dyDescent="0.25">
      <c r="A2619">
        <v>20150918</v>
      </c>
      <c r="B2619" t="str">
        <f>"060329"</f>
        <v>060329</v>
      </c>
      <c r="C2619" t="str">
        <f>"46398"</f>
        <v>46398</v>
      </c>
      <c r="D2619" t="s">
        <v>1994</v>
      </c>
      <c r="E2619" s="3">
        <v>1820</v>
      </c>
      <c r="F2619">
        <v>20150917</v>
      </c>
      <c r="G2619" t="s">
        <v>1995</v>
      </c>
      <c r="H2619" t="s">
        <v>1997</v>
      </c>
      <c r="I2619">
        <v>0</v>
      </c>
      <c r="J2619" t="s">
        <v>1709</v>
      </c>
      <c r="K2619" t="s">
        <v>235</v>
      </c>
      <c r="L2619" t="s">
        <v>285</v>
      </c>
      <c r="M2619" t="str">
        <f t="shared" si="157"/>
        <v>09</v>
      </c>
      <c r="N2619" t="s">
        <v>12</v>
      </c>
    </row>
    <row r="2620" spans="1:14" x14ac:dyDescent="0.25">
      <c r="A2620">
        <v>20150918</v>
      </c>
      <c r="B2620" t="str">
        <f>"060329"</f>
        <v>060329</v>
      </c>
      <c r="C2620" t="str">
        <f>"46398"</f>
        <v>46398</v>
      </c>
      <c r="D2620" t="s">
        <v>1994</v>
      </c>
      <c r="E2620" s="3">
        <v>631.97</v>
      </c>
      <c r="F2620">
        <v>20150917</v>
      </c>
      <c r="G2620" t="s">
        <v>1998</v>
      </c>
      <c r="H2620" t="s">
        <v>1996</v>
      </c>
      <c r="I2620">
        <v>0</v>
      </c>
      <c r="J2620" t="s">
        <v>1709</v>
      </c>
      <c r="K2620" t="s">
        <v>1942</v>
      </c>
      <c r="L2620" t="s">
        <v>285</v>
      </c>
      <c r="M2620" t="str">
        <f t="shared" si="157"/>
        <v>09</v>
      </c>
      <c r="N2620" t="s">
        <v>12</v>
      </c>
    </row>
    <row r="2621" spans="1:14" x14ac:dyDescent="0.25">
      <c r="A2621">
        <v>20150918</v>
      </c>
      <c r="B2621" t="str">
        <f>"060334"</f>
        <v>060334</v>
      </c>
      <c r="C2621" t="str">
        <f>"53995"</f>
        <v>53995</v>
      </c>
      <c r="D2621" t="s">
        <v>1999</v>
      </c>
      <c r="E2621" s="3">
        <v>415</v>
      </c>
      <c r="F2621">
        <v>20150917</v>
      </c>
      <c r="G2621" t="s">
        <v>2000</v>
      </c>
      <c r="H2621" t="s">
        <v>2001</v>
      </c>
      <c r="I2621">
        <v>0</v>
      </c>
      <c r="J2621" t="s">
        <v>1709</v>
      </c>
      <c r="K2621" t="s">
        <v>290</v>
      </c>
      <c r="L2621" t="s">
        <v>285</v>
      </c>
      <c r="M2621" t="str">
        <f t="shared" si="157"/>
        <v>09</v>
      </c>
      <c r="N2621" t="s">
        <v>12</v>
      </c>
    </row>
    <row r="2622" spans="1:14" x14ac:dyDescent="0.25">
      <c r="A2622">
        <v>20150918</v>
      </c>
      <c r="B2622" t="str">
        <f>"060334"</f>
        <v>060334</v>
      </c>
      <c r="C2622" t="str">
        <f>"53995"</f>
        <v>53995</v>
      </c>
      <c r="D2622" t="s">
        <v>1999</v>
      </c>
      <c r="E2622" s="3">
        <v>388</v>
      </c>
      <c r="F2622">
        <v>20150917</v>
      </c>
      <c r="G2622" t="s">
        <v>2002</v>
      </c>
      <c r="H2622" t="s">
        <v>2003</v>
      </c>
      <c r="I2622">
        <v>0</v>
      </c>
      <c r="J2622" t="s">
        <v>1709</v>
      </c>
      <c r="K2622" t="s">
        <v>95</v>
      </c>
      <c r="L2622" t="s">
        <v>285</v>
      </c>
      <c r="M2622" t="str">
        <f t="shared" si="157"/>
        <v>09</v>
      </c>
      <c r="N2622" t="s">
        <v>12</v>
      </c>
    </row>
    <row r="2623" spans="1:14" x14ac:dyDescent="0.25">
      <c r="A2623">
        <v>20150918</v>
      </c>
      <c r="B2623" t="str">
        <f>"060339"</f>
        <v>060339</v>
      </c>
      <c r="C2623" t="str">
        <f>"57697"</f>
        <v>57697</v>
      </c>
      <c r="D2623" t="s">
        <v>1897</v>
      </c>
      <c r="E2623" s="3">
        <v>188.16</v>
      </c>
      <c r="F2623">
        <v>20150917</v>
      </c>
      <c r="G2623" t="s">
        <v>2004</v>
      </c>
      <c r="H2623" t="s">
        <v>2005</v>
      </c>
      <c r="I2623">
        <v>0</v>
      </c>
      <c r="J2623" t="s">
        <v>1709</v>
      </c>
      <c r="K2623" t="s">
        <v>290</v>
      </c>
      <c r="L2623" t="s">
        <v>285</v>
      </c>
      <c r="M2623" t="str">
        <f t="shared" si="157"/>
        <v>09</v>
      </c>
      <c r="N2623" t="s">
        <v>12</v>
      </c>
    </row>
    <row r="2624" spans="1:14" x14ac:dyDescent="0.25">
      <c r="A2624">
        <v>20150918</v>
      </c>
      <c r="B2624" t="str">
        <f>"060340"</f>
        <v>060340</v>
      </c>
      <c r="C2624" t="str">
        <f>"60362"</f>
        <v>60362</v>
      </c>
      <c r="D2624" t="s">
        <v>2006</v>
      </c>
      <c r="E2624" s="3">
        <v>4040</v>
      </c>
      <c r="F2624">
        <v>20150917</v>
      </c>
      <c r="G2624" t="s">
        <v>2007</v>
      </c>
      <c r="H2624" t="s">
        <v>2008</v>
      </c>
      <c r="I2624">
        <v>0</v>
      </c>
      <c r="J2624" t="s">
        <v>1709</v>
      </c>
      <c r="K2624" t="s">
        <v>235</v>
      </c>
      <c r="L2624" t="s">
        <v>285</v>
      </c>
      <c r="M2624" t="str">
        <f t="shared" si="157"/>
        <v>09</v>
      </c>
      <c r="N2624" t="s">
        <v>12</v>
      </c>
    </row>
    <row r="2625" spans="1:14" x14ac:dyDescent="0.25">
      <c r="A2625">
        <v>20150918</v>
      </c>
      <c r="B2625" t="str">
        <f>"060341"</f>
        <v>060341</v>
      </c>
      <c r="C2625" t="str">
        <f>"60835"</f>
        <v>60835</v>
      </c>
      <c r="D2625" t="s">
        <v>1904</v>
      </c>
      <c r="E2625" s="3">
        <v>315</v>
      </c>
      <c r="F2625">
        <v>20150917</v>
      </c>
      <c r="G2625" t="s">
        <v>1718</v>
      </c>
      <c r="H2625" t="s">
        <v>2009</v>
      </c>
      <c r="I2625">
        <v>0</v>
      </c>
      <c r="J2625" t="s">
        <v>1709</v>
      </c>
      <c r="K2625" t="s">
        <v>235</v>
      </c>
      <c r="L2625" t="s">
        <v>285</v>
      </c>
      <c r="M2625" t="str">
        <f t="shared" si="157"/>
        <v>09</v>
      </c>
      <c r="N2625" t="s">
        <v>12</v>
      </c>
    </row>
    <row r="2626" spans="1:14" x14ac:dyDescent="0.25">
      <c r="A2626">
        <v>20150918</v>
      </c>
      <c r="B2626" t="str">
        <f>"060342"</f>
        <v>060342</v>
      </c>
      <c r="C2626" t="str">
        <f>"00355"</f>
        <v>00355</v>
      </c>
      <c r="D2626" t="s">
        <v>1909</v>
      </c>
      <c r="E2626" s="3">
        <v>28</v>
      </c>
      <c r="F2626">
        <v>20150917</v>
      </c>
      <c r="G2626" t="s">
        <v>1777</v>
      </c>
      <c r="H2626" t="s">
        <v>2010</v>
      </c>
      <c r="I2626">
        <v>0</v>
      </c>
      <c r="J2626" t="s">
        <v>1709</v>
      </c>
      <c r="K2626" t="s">
        <v>1779</v>
      </c>
      <c r="L2626" t="s">
        <v>285</v>
      </c>
      <c r="M2626" t="str">
        <f t="shared" si="157"/>
        <v>09</v>
      </c>
      <c r="N2626" t="s">
        <v>12</v>
      </c>
    </row>
    <row r="2627" spans="1:14" x14ac:dyDescent="0.25">
      <c r="A2627">
        <v>20150918</v>
      </c>
      <c r="B2627" t="str">
        <f>"060342"</f>
        <v>060342</v>
      </c>
      <c r="C2627" t="str">
        <f>"00355"</f>
        <v>00355</v>
      </c>
      <c r="D2627" t="s">
        <v>1909</v>
      </c>
      <c r="E2627" s="3">
        <v>28</v>
      </c>
      <c r="F2627">
        <v>20150917</v>
      </c>
      <c r="G2627" t="s">
        <v>1780</v>
      </c>
      <c r="H2627" t="s">
        <v>2010</v>
      </c>
      <c r="I2627">
        <v>0</v>
      </c>
      <c r="J2627" t="s">
        <v>1709</v>
      </c>
      <c r="K2627" t="s">
        <v>1782</v>
      </c>
      <c r="L2627" t="s">
        <v>285</v>
      </c>
      <c r="M2627" t="str">
        <f t="shared" si="157"/>
        <v>09</v>
      </c>
      <c r="N2627" t="s">
        <v>12</v>
      </c>
    </row>
    <row r="2628" spans="1:14" x14ac:dyDescent="0.25">
      <c r="A2628">
        <v>20150918</v>
      </c>
      <c r="B2628" t="str">
        <f>"060343"</f>
        <v>060343</v>
      </c>
      <c r="C2628" t="str">
        <f>"00355"</f>
        <v>00355</v>
      </c>
      <c r="D2628" t="s">
        <v>1909</v>
      </c>
      <c r="E2628" s="3">
        <v>300</v>
      </c>
      <c r="F2628">
        <v>20150917</v>
      </c>
      <c r="G2628" t="s">
        <v>1718</v>
      </c>
      <c r="H2628" t="s">
        <v>2011</v>
      </c>
      <c r="I2628">
        <v>0</v>
      </c>
      <c r="J2628" t="s">
        <v>1709</v>
      </c>
      <c r="K2628" t="s">
        <v>235</v>
      </c>
      <c r="L2628" t="s">
        <v>285</v>
      </c>
      <c r="M2628" t="str">
        <f t="shared" si="157"/>
        <v>09</v>
      </c>
      <c r="N2628" t="s">
        <v>12</v>
      </c>
    </row>
    <row r="2629" spans="1:14" x14ac:dyDescent="0.25">
      <c r="A2629">
        <v>20150918</v>
      </c>
      <c r="B2629" t="str">
        <f>"060344"</f>
        <v>060344</v>
      </c>
      <c r="C2629" t="str">
        <f>"63053"</f>
        <v>63053</v>
      </c>
      <c r="D2629" t="s">
        <v>2012</v>
      </c>
      <c r="E2629" s="3">
        <v>50</v>
      </c>
      <c r="F2629">
        <v>20150917</v>
      </c>
      <c r="G2629" t="s">
        <v>2013</v>
      </c>
      <c r="H2629" t="s">
        <v>2014</v>
      </c>
      <c r="I2629">
        <v>0</v>
      </c>
      <c r="J2629" t="s">
        <v>1709</v>
      </c>
      <c r="K2629" t="s">
        <v>290</v>
      </c>
      <c r="L2629" t="s">
        <v>285</v>
      </c>
      <c r="M2629" t="str">
        <f t="shared" si="157"/>
        <v>09</v>
      </c>
      <c r="N2629" t="s">
        <v>12</v>
      </c>
    </row>
    <row r="2630" spans="1:14" x14ac:dyDescent="0.25">
      <c r="A2630">
        <v>20150918</v>
      </c>
      <c r="B2630" t="str">
        <f>"060345"</f>
        <v>060345</v>
      </c>
      <c r="C2630" t="str">
        <f>"40852"</f>
        <v>40852</v>
      </c>
      <c r="D2630" t="s">
        <v>2015</v>
      </c>
      <c r="E2630" s="3">
        <v>1500</v>
      </c>
      <c r="F2630">
        <v>20150917</v>
      </c>
      <c r="G2630" t="s">
        <v>1977</v>
      </c>
      <c r="H2630" t="s">
        <v>2016</v>
      </c>
      <c r="I2630">
        <v>0</v>
      </c>
      <c r="J2630" t="s">
        <v>1709</v>
      </c>
      <c r="K2630" t="s">
        <v>290</v>
      </c>
      <c r="L2630" t="s">
        <v>285</v>
      </c>
      <c r="M2630" t="str">
        <f t="shared" si="157"/>
        <v>09</v>
      </c>
      <c r="N2630" t="s">
        <v>12</v>
      </c>
    </row>
    <row r="2631" spans="1:14" x14ac:dyDescent="0.25">
      <c r="A2631">
        <v>20150918</v>
      </c>
      <c r="B2631" t="str">
        <f>"060346"</f>
        <v>060346</v>
      </c>
      <c r="C2631" t="str">
        <f>"65212"</f>
        <v>65212</v>
      </c>
      <c r="D2631" t="s">
        <v>2017</v>
      </c>
      <c r="E2631" s="3">
        <v>3737.55</v>
      </c>
      <c r="F2631">
        <v>20150917</v>
      </c>
      <c r="G2631" t="s">
        <v>2018</v>
      </c>
      <c r="H2631" t="s">
        <v>2019</v>
      </c>
      <c r="I2631">
        <v>0</v>
      </c>
      <c r="J2631" t="s">
        <v>1709</v>
      </c>
      <c r="K2631" t="s">
        <v>1856</v>
      </c>
      <c r="L2631" t="s">
        <v>285</v>
      </c>
      <c r="M2631" t="str">
        <f t="shared" si="157"/>
        <v>09</v>
      </c>
      <c r="N2631" t="s">
        <v>12</v>
      </c>
    </row>
    <row r="2632" spans="1:14" x14ac:dyDescent="0.25">
      <c r="A2632">
        <v>20150918</v>
      </c>
      <c r="B2632" t="str">
        <f>"060346"</f>
        <v>060346</v>
      </c>
      <c r="C2632" t="str">
        <f>"65212"</f>
        <v>65212</v>
      </c>
      <c r="D2632" t="s">
        <v>2017</v>
      </c>
      <c r="E2632" s="3">
        <v>7950.12</v>
      </c>
      <c r="F2632">
        <v>20150917</v>
      </c>
      <c r="G2632" t="s">
        <v>2018</v>
      </c>
      <c r="H2632" t="s">
        <v>2020</v>
      </c>
      <c r="I2632">
        <v>0</v>
      </c>
      <c r="J2632" t="s">
        <v>1709</v>
      </c>
      <c r="K2632" t="s">
        <v>1856</v>
      </c>
      <c r="L2632" t="s">
        <v>285</v>
      </c>
      <c r="M2632" t="str">
        <f t="shared" si="157"/>
        <v>09</v>
      </c>
      <c r="N2632" t="s">
        <v>12</v>
      </c>
    </row>
    <row r="2633" spans="1:14" x14ac:dyDescent="0.25">
      <c r="A2633">
        <v>20150918</v>
      </c>
      <c r="B2633" t="str">
        <f>"060348"</f>
        <v>060348</v>
      </c>
      <c r="C2633" t="str">
        <f>"65817"</f>
        <v>65817</v>
      </c>
      <c r="D2633" t="s">
        <v>2021</v>
      </c>
      <c r="E2633" s="3">
        <v>607.25</v>
      </c>
      <c r="F2633">
        <v>20150917</v>
      </c>
      <c r="G2633" t="s">
        <v>2022</v>
      </c>
      <c r="H2633" t="s">
        <v>2023</v>
      </c>
      <c r="I2633">
        <v>0</v>
      </c>
      <c r="J2633" t="s">
        <v>1709</v>
      </c>
      <c r="K2633" t="s">
        <v>1643</v>
      </c>
      <c r="L2633" t="s">
        <v>285</v>
      </c>
      <c r="M2633" t="str">
        <f t="shared" si="157"/>
        <v>09</v>
      </c>
      <c r="N2633" t="s">
        <v>12</v>
      </c>
    </row>
    <row r="2634" spans="1:14" x14ac:dyDescent="0.25">
      <c r="A2634">
        <v>20150918</v>
      </c>
      <c r="B2634" t="str">
        <f>"060352"</f>
        <v>060352</v>
      </c>
      <c r="C2634" t="str">
        <f>"77048"</f>
        <v>77048</v>
      </c>
      <c r="D2634" t="s">
        <v>2024</v>
      </c>
      <c r="E2634" s="3">
        <v>299</v>
      </c>
      <c r="F2634">
        <v>20150917</v>
      </c>
      <c r="G2634" t="s">
        <v>2025</v>
      </c>
      <c r="H2634" t="s">
        <v>2026</v>
      </c>
      <c r="I2634">
        <v>0</v>
      </c>
      <c r="J2634" t="s">
        <v>1709</v>
      </c>
      <c r="K2634" t="s">
        <v>1984</v>
      </c>
      <c r="L2634" t="s">
        <v>285</v>
      </c>
      <c r="M2634" t="str">
        <f t="shared" si="157"/>
        <v>09</v>
      </c>
      <c r="N2634" t="s">
        <v>12</v>
      </c>
    </row>
    <row r="2635" spans="1:14" x14ac:dyDescent="0.25">
      <c r="A2635">
        <v>20150918</v>
      </c>
      <c r="B2635" t="str">
        <f>"060352"</f>
        <v>060352</v>
      </c>
      <c r="C2635" t="str">
        <f>"77048"</f>
        <v>77048</v>
      </c>
      <c r="D2635" t="s">
        <v>2024</v>
      </c>
      <c r="E2635" s="3">
        <v>299</v>
      </c>
      <c r="F2635">
        <v>20150917</v>
      </c>
      <c r="G2635" t="s">
        <v>2025</v>
      </c>
      <c r="H2635" t="s">
        <v>2026</v>
      </c>
      <c r="I2635">
        <v>0</v>
      </c>
      <c r="J2635" t="s">
        <v>1709</v>
      </c>
      <c r="K2635" t="s">
        <v>1984</v>
      </c>
      <c r="L2635" t="s">
        <v>285</v>
      </c>
      <c r="M2635" t="str">
        <f t="shared" si="157"/>
        <v>09</v>
      </c>
      <c r="N2635" t="s">
        <v>12</v>
      </c>
    </row>
    <row r="2636" spans="1:14" x14ac:dyDescent="0.25">
      <c r="A2636">
        <v>20150918</v>
      </c>
      <c r="B2636" t="str">
        <f>"060352"</f>
        <v>060352</v>
      </c>
      <c r="C2636" t="str">
        <f>"77048"</f>
        <v>77048</v>
      </c>
      <c r="D2636" t="s">
        <v>2024</v>
      </c>
      <c r="E2636" s="3">
        <v>299</v>
      </c>
      <c r="F2636">
        <v>20150917</v>
      </c>
      <c r="G2636" t="s">
        <v>2025</v>
      </c>
      <c r="H2636" t="s">
        <v>2026</v>
      </c>
      <c r="I2636">
        <v>0</v>
      </c>
      <c r="J2636" t="s">
        <v>1709</v>
      </c>
      <c r="K2636" t="s">
        <v>1984</v>
      </c>
      <c r="L2636" t="s">
        <v>285</v>
      </c>
      <c r="M2636" t="str">
        <f t="shared" si="157"/>
        <v>09</v>
      </c>
      <c r="N2636" t="s">
        <v>12</v>
      </c>
    </row>
    <row r="2637" spans="1:14" x14ac:dyDescent="0.25">
      <c r="A2637">
        <v>20150918</v>
      </c>
      <c r="B2637" t="str">
        <f>"060352"</f>
        <v>060352</v>
      </c>
      <c r="C2637" t="str">
        <f>"77048"</f>
        <v>77048</v>
      </c>
      <c r="D2637" t="s">
        <v>2024</v>
      </c>
      <c r="E2637" s="3">
        <v>299</v>
      </c>
      <c r="F2637">
        <v>20150917</v>
      </c>
      <c r="G2637" t="s">
        <v>2025</v>
      </c>
      <c r="H2637" t="s">
        <v>2026</v>
      </c>
      <c r="I2637">
        <v>0</v>
      </c>
      <c r="J2637" t="s">
        <v>1709</v>
      </c>
      <c r="K2637" t="s">
        <v>1984</v>
      </c>
      <c r="L2637" t="s">
        <v>285</v>
      </c>
      <c r="M2637" t="str">
        <f t="shared" si="157"/>
        <v>09</v>
      </c>
      <c r="N2637" t="s">
        <v>12</v>
      </c>
    </row>
    <row r="2638" spans="1:14" x14ac:dyDescent="0.25">
      <c r="A2638">
        <v>20150918</v>
      </c>
      <c r="B2638" t="str">
        <f>"060352"</f>
        <v>060352</v>
      </c>
      <c r="C2638" t="str">
        <f>"77048"</f>
        <v>77048</v>
      </c>
      <c r="D2638" t="s">
        <v>2024</v>
      </c>
      <c r="E2638" s="3">
        <v>299</v>
      </c>
      <c r="F2638">
        <v>20150917</v>
      </c>
      <c r="G2638" t="s">
        <v>2025</v>
      </c>
      <c r="H2638" t="s">
        <v>2026</v>
      </c>
      <c r="I2638">
        <v>0</v>
      </c>
      <c r="J2638" t="s">
        <v>1709</v>
      </c>
      <c r="K2638" t="s">
        <v>1984</v>
      </c>
      <c r="L2638" t="s">
        <v>285</v>
      </c>
      <c r="M2638" t="str">
        <f t="shared" si="157"/>
        <v>09</v>
      </c>
      <c r="N2638" t="s">
        <v>12</v>
      </c>
    </row>
    <row r="2639" spans="1:14" x14ac:dyDescent="0.25">
      <c r="A2639">
        <v>20150918</v>
      </c>
      <c r="B2639" t="str">
        <f>"060353"</f>
        <v>060353</v>
      </c>
      <c r="C2639" t="str">
        <f>"76476"</f>
        <v>76476</v>
      </c>
      <c r="D2639" t="s">
        <v>373</v>
      </c>
      <c r="E2639" s="3">
        <v>100</v>
      </c>
      <c r="F2639">
        <v>20150917</v>
      </c>
      <c r="G2639" t="s">
        <v>2027</v>
      </c>
      <c r="H2639" t="s">
        <v>2028</v>
      </c>
      <c r="I2639">
        <v>0</v>
      </c>
      <c r="J2639" t="s">
        <v>1709</v>
      </c>
      <c r="K2639" t="s">
        <v>290</v>
      </c>
      <c r="L2639" t="s">
        <v>285</v>
      </c>
      <c r="M2639" t="str">
        <f t="shared" si="157"/>
        <v>09</v>
      </c>
      <c r="N2639" t="s">
        <v>12</v>
      </c>
    </row>
    <row r="2640" spans="1:14" x14ac:dyDescent="0.25">
      <c r="A2640">
        <v>20150918</v>
      </c>
      <c r="B2640" t="str">
        <f>"060355"</f>
        <v>060355</v>
      </c>
      <c r="C2640" t="str">
        <f>"76491"</f>
        <v>76491</v>
      </c>
      <c r="D2640" t="s">
        <v>2029</v>
      </c>
      <c r="E2640" s="3">
        <v>1300</v>
      </c>
      <c r="F2640">
        <v>20150917</v>
      </c>
      <c r="G2640" t="s">
        <v>2030</v>
      </c>
      <c r="H2640" t="s">
        <v>2031</v>
      </c>
      <c r="I2640">
        <v>0</v>
      </c>
      <c r="J2640" t="s">
        <v>1709</v>
      </c>
      <c r="K2640" t="s">
        <v>290</v>
      </c>
      <c r="L2640" t="s">
        <v>285</v>
      </c>
      <c r="M2640" t="str">
        <f t="shared" si="157"/>
        <v>09</v>
      </c>
      <c r="N2640" t="s">
        <v>12</v>
      </c>
    </row>
    <row r="2641" spans="1:14" x14ac:dyDescent="0.25">
      <c r="A2641">
        <v>20150918</v>
      </c>
      <c r="B2641" t="str">
        <f>"060356"</f>
        <v>060356</v>
      </c>
      <c r="C2641" t="str">
        <f>"78311"</f>
        <v>78311</v>
      </c>
      <c r="D2641" t="s">
        <v>458</v>
      </c>
      <c r="E2641" s="3">
        <v>20.99</v>
      </c>
      <c r="F2641">
        <v>20150918</v>
      </c>
      <c r="G2641" t="s">
        <v>1718</v>
      </c>
      <c r="H2641" t="s">
        <v>1877</v>
      </c>
      <c r="I2641">
        <v>0</v>
      </c>
      <c r="J2641" t="s">
        <v>1709</v>
      </c>
      <c r="K2641" t="s">
        <v>235</v>
      </c>
      <c r="L2641" t="s">
        <v>285</v>
      </c>
      <c r="M2641" t="str">
        <f t="shared" si="157"/>
        <v>09</v>
      </c>
      <c r="N2641" t="s">
        <v>12</v>
      </c>
    </row>
    <row r="2642" spans="1:14" x14ac:dyDescent="0.25">
      <c r="A2642">
        <v>20150918</v>
      </c>
      <c r="B2642" t="str">
        <f>"060356"</f>
        <v>060356</v>
      </c>
      <c r="C2642" t="str">
        <f>"78311"</f>
        <v>78311</v>
      </c>
      <c r="D2642" t="s">
        <v>458</v>
      </c>
      <c r="E2642" s="3">
        <v>20.149999999999999</v>
      </c>
      <c r="F2642">
        <v>20150918</v>
      </c>
      <c r="G2642" t="s">
        <v>1710</v>
      </c>
      <c r="H2642" t="s">
        <v>2005</v>
      </c>
      <c r="I2642">
        <v>0</v>
      </c>
      <c r="J2642" t="s">
        <v>1709</v>
      </c>
      <c r="K2642" t="s">
        <v>290</v>
      </c>
      <c r="L2642" t="s">
        <v>285</v>
      </c>
      <c r="M2642" t="str">
        <f t="shared" si="157"/>
        <v>09</v>
      </c>
      <c r="N2642" t="s">
        <v>12</v>
      </c>
    </row>
    <row r="2643" spans="1:14" x14ac:dyDescent="0.25">
      <c r="A2643">
        <v>20150918</v>
      </c>
      <c r="B2643" t="str">
        <f>"060358"</f>
        <v>060358</v>
      </c>
      <c r="C2643" t="str">
        <f>"80389"</f>
        <v>80389</v>
      </c>
      <c r="D2643" t="s">
        <v>2032</v>
      </c>
      <c r="E2643" s="3">
        <v>84.56</v>
      </c>
      <c r="F2643">
        <v>20150917</v>
      </c>
      <c r="G2643" t="s">
        <v>2033</v>
      </c>
      <c r="H2643" t="s">
        <v>2034</v>
      </c>
      <c r="I2643">
        <v>0</v>
      </c>
      <c r="J2643" t="s">
        <v>1709</v>
      </c>
      <c r="K2643" t="s">
        <v>1984</v>
      </c>
      <c r="L2643" t="s">
        <v>285</v>
      </c>
      <c r="M2643" t="str">
        <f t="shared" si="157"/>
        <v>09</v>
      </c>
      <c r="N2643" t="s">
        <v>12</v>
      </c>
    </row>
    <row r="2644" spans="1:14" x14ac:dyDescent="0.25">
      <c r="A2644">
        <v>20150918</v>
      </c>
      <c r="B2644" t="str">
        <f>"060358"</f>
        <v>060358</v>
      </c>
      <c r="C2644" t="str">
        <f>"80389"</f>
        <v>80389</v>
      </c>
      <c r="D2644" t="s">
        <v>2032</v>
      </c>
      <c r="E2644" s="3">
        <v>894.61</v>
      </c>
      <c r="F2644">
        <v>20150917</v>
      </c>
      <c r="G2644" t="s">
        <v>2035</v>
      </c>
      <c r="H2644" t="s">
        <v>2036</v>
      </c>
      <c r="I2644">
        <v>0</v>
      </c>
      <c r="J2644" t="s">
        <v>1709</v>
      </c>
      <c r="K2644" t="s">
        <v>1984</v>
      </c>
      <c r="L2644" t="s">
        <v>285</v>
      </c>
      <c r="M2644" t="str">
        <f t="shared" si="157"/>
        <v>09</v>
      </c>
      <c r="N2644" t="s">
        <v>12</v>
      </c>
    </row>
    <row r="2645" spans="1:14" x14ac:dyDescent="0.25">
      <c r="A2645">
        <v>20150918</v>
      </c>
      <c r="B2645" t="str">
        <f>"060358"</f>
        <v>060358</v>
      </c>
      <c r="C2645" t="str">
        <f>"80389"</f>
        <v>80389</v>
      </c>
      <c r="D2645" t="s">
        <v>2032</v>
      </c>
      <c r="E2645" s="3">
        <v>1435.01</v>
      </c>
      <c r="F2645">
        <v>20150917</v>
      </c>
      <c r="G2645" t="s">
        <v>2037</v>
      </c>
      <c r="H2645" t="s">
        <v>2038</v>
      </c>
      <c r="I2645">
        <v>0</v>
      </c>
      <c r="J2645" t="s">
        <v>1709</v>
      </c>
      <c r="K2645" t="s">
        <v>1984</v>
      </c>
      <c r="L2645" t="s">
        <v>285</v>
      </c>
      <c r="M2645" t="str">
        <f t="shared" si="157"/>
        <v>09</v>
      </c>
      <c r="N2645" t="s">
        <v>12</v>
      </c>
    </row>
    <row r="2646" spans="1:14" x14ac:dyDescent="0.25">
      <c r="A2646">
        <v>20150918</v>
      </c>
      <c r="B2646" t="str">
        <f>"060359"</f>
        <v>060359</v>
      </c>
      <c r="C2646" t="str">
        <f>"78730"</f>
        <v>78730</v>
      </c>
      <c r="D2646" t="s">
        <v>2039</v>
      </c>
      <c r="E2646" s="3">
        <v>183</v>
      </c>
      <c r="F2646">
        <v>20150917</v>
      </c>
      <c r="G2646" t="s">
        <v>2040</v>
      </c>
      <c r="H2646" t="s">
        <v>2041</v>
      </c>
      <c r="I2646">
        <v>0</v>
      </c>
      <c r="J2646" t="s">
        <v>1709</v>
      </c>
      <c r="K2646" t="s">
        <v>290</v>
      </c>
      <c r="L2646" t="s">
        <v>285</v>
      </c>
      <c r="M2646" t="str">
        <f t="shared" si="157"/>
        <v>09</v>
      </c>
      <c r="N2646" t="s">
        <v>12</v>
      </c>
    </row>
    <row r="2647" spans="1:14" x14ac:dyDescent="0.25">
      <c r="A2647">
        <v>20150918</v>
      </c>
      <c r="B2647" t="str">
        <f>"060360"</f>
        <v>060360</v>
      </c>
      <c r="C2647" t="str">
        <f>"78729"</f>
        <v>78729</v>
      </c>
      <c r="D2647" t="s">
        <v>2042</v>
      </c>
      <c r="E2647" s="3">
        <v>80</v>
      </c>
      <c r="F2647">
        <v>20150917</v>
      </c>
      <c r="G2647" t="s">
        <v>1710</v>
      </c>
      <c r="H2647" t="s">
        <v>2043</v>
      </c>
      <c r="I2647">
        <v>0</v>
      </c>
      <c r="J2647" t="s">
        <v>1709</v>
      </c>
      <c r="K2647" t="s">
        <v>290</v>
      </c>
      <c r="L2647" t="s">
        <v>285</v>
      </c>
      <c r="M2647" t="str">
        <f t="shared" si="157"/>
        <v>09</v>
      </c>
      <c r="N2647" t="s">
        <v>12</v>
      </c>
    </row>
    <row r="2648" spans="1:14" x14ac:dyDescent="0.25">
      <c r="A2648">
        <v>20150918</v>
      </c>
      <c r="B2648" t="str">
        <f>"060362"</f>
        <v>060362</v>
      </c>
      <c r="C2648" t="str">
        <f>"81500"</f>
        <v>81500</v>
      </c>
      <c r="D2648" t="s">
        <v>2044</v>
      </c>
      <c r="E2648" s="3">
        <v>4105.2</v>
      </c>
      <c r="F2648">
        <v>20150917</v>
      </c>
      <c r="G2648" t="s">
        <v>2045</v>
      </c>
      <c r="H2648" t="s">
        <v>2046</v>
      </c>
      <c r="I2648">
        <v>0</v>
      </c>
      <c r="J2648" t="s">
        <v>1709</v>
      </c>
      <c r="K2648" t="s">
        <v>290</v>
      </c>
      <c r="L2648" t="s">
        <v>285</v>
      </c>
      <c r="M2648" t="str">
        <f t="shared" si="157"/>
        <v>09</v>
      </c>
      <c r="N2648" t="s">
        <v>12</v>
      </c>
    </row>
    <row r="2649" spans="1:14" x14ac:dyDescent="0.25">
      <c r="A2649">
        <v>20150925</v>
      </c>
      <c r="B2649" t="str">
        <f>"060432"</f>
        <v>060432</v>
      </c>
      <c r="C2649" t="str">
        <f>"03710"</f>
        <v>03710</v>
      </c>
      <c r="D2649" t="s">
        <v>1553</v>
      </c>
      <c r="E2649" s="3">
        <v>127.59</v>
      </c>
      <c r="F2649">
        <v>20150923</v>
      </c>
      <c r="G2649" t="s">
        <v>2047</v>
      </c>
      <c r="H2649" t="s">
        <v>2048</v>
      </c>
      <c r="I2649">
        <v>0</v>
      </c>
      <c r="J2649" t="s">
        <v>1709</v>
      </c>
      <c r="K2649" t="s">
        <v>1882</v>
      </c>
      <c r="L2649" t="s">
        <v>285</v>
      </c>
      <c r="M2649" t="str">
        <f t="shared" si="157"/>
        <v>09</v>
      </c>
      <c r="N2649" t="s">
        <v>12</v>
      </c>
    </row>
    <row r="2650" spans="1:14" x14ac:dyDescent="0.25">
      <c r="A2650">
        <v>20150925</v>
      </c>
      <c r="B2650" t="str">
        <f>"060432"</f>
        <v>060432</v>
      </c>
      <c r="C2650" t="str">
        <f>"03710"</f>
        <v>03710</v>
      </c>
      <c r="D2650" t="s">
        <v>1553</v>
      </c>
      <c r="E2650" s="3">
        <v>239.93</v>
      </c>
      <c r="F2650">
        <v>20150923</v>
      </c>
      <c r="G2650" t="s">
        <v>2049</v>
      </c>
      <c r="H2650" t="s">
        <v>595</v>
      </c>
      <c r="I2650">
        <v>0</v>
      </c>
      <c r="J2650" t="s">
        <v>1709</v>
      </c>
      <c r="K2650" t="s">
        <v>1775</v>
      </c>
      <c r="L2650" t="s">
        <v>285</v>
      </c>
      <c r="M2650" t="str">
        <f t="shared" si="157"/>
        <v>09</v>
      </c>
      <c r="N2650" t="s">
        <v>12</v>
      </c>
    </row>
    <row r="2651" spans="1:14" x14ac:dyDescent="0.25">
      <c r="A2651">
        <v>20150925</v>
      </c>
      <c r="B2651" t="str">
        <f>"060432"</f>
        <v>060432</v>
      </c>
      <c r="C2651" t="str">
        <f>"03710"</f>
        <v>03710</v>
      </c>
      <c r="D2651" t="s">
        <v>1553</v>
      </c>
      <c r="E2651" s="3">
        <v>18.3</v>
      </c>
      <c r="F2651">
        <v>20150923</v>
      </c>
      <c r="G2651" t="s">
        <v>2049</v>
      </c>
      <c r="H2651" t="s">
        <v>2050</v>
      </c>
      <c r="I2651">
        <v>0</v>
      </c>
      <c r="J2651" t="s">
        <v>1709</v>
      </c>
      <c r="K2651" t="s">
        <v>1775</v>
      </c>
      <c r="L2651" t="s">
        <v>285</v>
      </c>
      <c r="M2651" t="str">
        <f t="shared" si="157"/>
        <v>09</v>
      </c>
      <c r="N2651" t="s">
        <v>12</v>
      </c>
    </row>
    <row r="2652" spans="1:14" x14ac:dyDescent="0.25">
      <c r="A2652">
        <v>20150925</v>
      </c>
      <c r="B2652" t="str">
        <f>"060433"</f>
        <v>060433</v>
      </c>
      <c r="C2652" t="str">
        <f>"29779"</f>
        <v>29779</v>
      </c>
      <c r="D2652" t="s">
        <v>1806</v>
      </c>
      <c r="E2652" s="3">
        <v>628.74</v>
      </c>
      <c r="F2652">
        <v>20150924</v>
      </c>
      <c r="G2652" t="s">
        <v>1718</v>
      </c>
      <c r="H2652" t="s">
        <v>2051</v>
      </c>
      <c r="I2652">
        <v>0</v>
      </c>
      <c r="J2652" t="s">
        <v>1709</v>
      </c>
      <c r="K2652" t="s">
        <v>235</v>
      </c>
      <c r="L2652" t="s">
        <v>285</v>
      </c>
      <c r="M2652" t="str">
        <f t="shared" si="157"/>
        <v>09</v>
      </c>
      <c r="N2652" t="s">
        <v>12</v>
      </c>
    </row>
    <row r="2653" spans="1:14" x14ac:dyDescent="0.25">
      <c r="A2653">
        <v>20150925</v>
      </c>
      <c r="B2653" t="str">
        <f>"060435"</f>
        <v>060435</v>
      </c>
      <c r="C2653" t="str">
        <f>"08719"</f>
        <v>08719</v>
      </c>
      <c r="D2653" t="s">
        <v>2052</v>
      </c>
      <c r="E2653" s="3">
        <v>209.07</v>
      </c>
      <c r="F2653">
        <v>20150924</v>
      </c>
      <c r="G2653" t="s">
        <v>2053</v>
      </c>
      <c r="H2653" t="s">
        <v>2054</v>
      </c>
      <c r="I2653">
        <v>0</v>
      </c>
      <c r="J2653" t="s">
        <v>1709</v>
      </c>
      <c r="K2653" t="s">
        <v>290</v>
      </c>
      <c r="L2653" t="s">
        <v>285</v>
      </c>
      <c r="M2653" t="str">
        <f t="shared" si="157"/>
        <v>09</v>
      </c>
      <c r="N2653" t="s">
        <v>12</v>
      </c>
    </row>
    <row r="2654" spans="1:14" x14ac:dyDescent="0.25">
      <c r="A2654">
        <v>20150925</v>
      </c>
      <c r="B2654" t="str">
        <f>"060436"</f>
        <v>060436</v>
      </c>
      <c r="C2654" t="str">
        <f>"08908"</f>
        <v>08908</v>
      </c>
      <c r="D2654" t="s">
        <v>2055</v>
      </c>
      <c r="E2654" s="3">
        <v>100</v>
      </c>
      <c r="F2654">
        <v>20150923</v>
      </c>
      <c r="G2654" t="s">
        <v>2056</v>
      </c>
      <c r="H2654" t="s">
        <v>2057</v>
      </c>
      <c r="I2654">
        <v>0</v>
      </c>
      <c r="J2654" t="s">
        <v>1709</v>
      </c>
      <c r="K2654" t="s">
        <v>95</v>
      </c>
      <c r="L2654" t="s">
        <v>285</v>
      </c>
      <c r="M2654" t="str">
        <f t="shared" ref="M2654:M2717" si="160">"09"</f>
        <v>09</v>
      </c>
      <c r="N2654" t="s">
        <v>12</v>
      </c>
    </row>
    <row r="2655" spans="1:14" x14ac:dyDescent="0.25">
      <c r="A2655">
        <v>20150925</v>
      </c>
      <c r="B2655" t="str">
        <f t="shared" ref="B2655:B2674" si="161">"060437"</f>
        <v>060437</v>
      </c>
      <c r="C2655" t="str">
        <f t="shared" ref="C2655:C2674" si="162">"09170"</f>
        <v>09170</v>
      </c>
      <c r="D2655" t="s">
        <v>596</v>
      </c>
      <c r="E2655" s="3">
        <v>-25</v>
      </c>
      <c r="F2655">
        <v>20150825</v>
      </c>
      <c r="G2655" t="s">
        <v>2058</v>
      </c>
      <c r="H2655" t="s">
        <v>2059</v>
      </c>
      <c r="I2655">
        <v>0</v>
      </c>
      <c r="J2655" t="s">
        <v>1709</v>
      </c>
      <c r="K2655" t="s">
        <v>235</v>
      </c>
      <c r="L2655" t="s">
        <v>1385</v>
      </c>
      <c r="M2655" t="str">
        <f t="shared" si="160"/>
        <v>09</v>
      </c>
      <c r="N2655" t="s">
        <v>12</v>
      </c>
    </row>
    <row r="2656" spans="1:14" x14ac:dyDescent="0.25">
      <c r="A2656">
        <v>20150925</v>
      </c>
      <c r="B2656" t="str">
        <f t="shared" si="161"/>
        <v>060437</v>
      </c>
      <c r="C2656" t="str">
        <f t="shared" si="162"/>
        <v>09170</v>
      </c>
      <c r="D2656" t="s">
        <v>596</v>
      </c>
      <c r="E2656" s="3">
        <v>23</v>
      </c>
      <c r="F2656">
        <v>20150924</v>
      </c>
      <c r="G2656" t="s">
        <v>1718</v>
      </c>
      <c r="H2656" t="s">
        <v>2060</v>
      </c>
      <c r="I2656">
        <v>0</v>
      </c>
      <c r="J2656" t="s">
        <v>1709</v>
      </c>
      <c r="K2656" t="s">
        <v>235</v>
      </c>
      <c r="L2656" t="s">
        <v>285</v>
      </c>
      <c r="M2656" t="str">
        <f t="shared" si="160"/>
        <v>09</v>
      </c>
      <c r="N2656" t="s">
        <v>12</v>
      </c>
    </row>
    <row r="2657" spans="1:14" x14ac:dyDescent="0.25">
      <c r="A2657">
        <v>20150925</v>
      </c>
      <c r="B2657" t="str">
        <f t="shared" si="161"/>
        <v>060437</v>
      </c>
      <c r="C2657" t="str">
        <f t="shared" si="162"/>
        <v>09170</v>
      </c>
      <c r="D2657" t="s">
        <v>596</v>
      </c>
      <c r="E2657" s="3">
        <v>58.72</v>
      </c>
      <c r="F2657">
        <v>20150924</v>
      </c>
      <c r="G2657" t="s">
        <v>1718</v>
      </c>
      <c r="H2657" t="s">
        <v>2061</v>
      </c>
      <c r="I2657">
        <v>0</v>
      </c>
      <c r="J2657" t="s">
        <v>1709</v>
      </c>
      <c r="K2657" t="s">
        <v>235</v>
      </c>
      <c r="L2657" t="s">
        <v>285</v>
      </c>
      <c r="M2657" t="str">
        <f t="shared" si="160"/>
        <v>09</v>
      </c>
      <c r="N2657" t="s">
        <v>12</v>
      </c>
    </row>
    <row r="2658" spans="1:14" x14ac:dyDescent="0.25">
      <c r="A2658">
        <v>20150925</v>
      </c>
      <c r="B2658" t="str">
        <f t="shared" si="161"/>
        <v>060437</v>
      </c>
      <c r="C2658" t="str">
        <f t="shared" si="162"/>
        <v>09170</v>
      </c>
      <c r="D2658" t="s">
        <v>596</v>
      </c>
      <c r="E2658" s="3">
        <v>35.1</v>
      </c>
      <c r="F2658">
        <v>20150924</v>
      </c>
      <c r="G2658" t="s">
        <v>1718</v>
      </c>
      <c r="H2658" t="s">
        <v>2062</v>
      </c>
      <c r="I2658">
        <v>0</v>
      </c>
      <c r="J2658" t="s">
        <v>1709</v>
      </c>
      <c r="K2658" t="s">
        <v>235</v>
      </c>
      <c r="L2658" t="s">
        <v>285</v>
      </c>
      <c r="M2658" t="str">
        <f t="shared" si="160"/>
        <v>09</v>
      </c>
      <c r="N2658" t="s">
        <v>12</v>
      </c>
    </row>
    <row r="2659" spans="1:14" x14ac:dyDescent="0.25">
      <c r="A2659">
        <v>20150925</v>
      </c>
      <c r="B2659" t="str">
        <f t="shared" si="161"/>
        <v>060437</v>
      </c>
      <c r="C2659" t="str">
        <f t="shared" si="162"/>
        <v>09170</v>
      </c>
      <c r="D2659" t="s">
        <v>596</v>
      </c>
      <c r="E2659" s="3">
        <v>287</v>
      </c>
      <c r="F2659">
        <v>20150924</v>
      </c>
      <c r="G2659" t="s">
        <v>1718</v>
      </c>
      <c r="H2659" t="s">
        <v>2063</v>
      </c>
      <c r="I2659">
        <v>0</v>
      </c>
      <c r="J2659" t="s">
        <v>1709</v>
      </c>
      <c r="K2659" t="s">
        <v>235</v>
      </c>
      <c r="L2659" t="s">
        <v>285</v>
      </c>
      <c r="M2659" t="str">
        <f t="shared" si="160"/>
        <v>09</v>
      </c>
      <c r="N2659" t="s">
        <v>12</v>
      </c>
    </row>
    <row r="2660" spans="1:14" x14ac:dyDescent="0.25">
      <c r="A2660">
        <v>20150925</v>
      </c>
      <c r="B2660" t="str">
        <f t="shared" si="161"/>
        <v>060437</v>
      </c>
      <c r="C2660" t="str">
        <f t="shared" si="162"/>
        <v>09170</v>
      </c>
      <c r="D2660" t="s">
        <v>596</v>
      </c>
      <c r="E2660" s="3">
        <v>118.58</v>
      </c>
      <c r="F2660">
        <v>20150924</v>
      </c>
      <c r="G2660" t="s">
        <v>1718</v>
      </c>
      <c r="H2660" t="s">
        <v>2064</v>
      </c>
      <c r="I2660">
        <v>0</v>
      </c>
      <c r="J2660" t="s">
        <v>1709</v>
      </c>
      <c r="K2660" t="s">
        <v>235</v>
      </c>
      <c r="L2660" t="s">
        <v>285</v>
      </c>
      <c r="M2660" t="str">
        <f t="shared" si="160"/>
        <v>09</v>
      </c>
      <c r="N2660" t="s">
        <v>12</v>
      </c>
    </row>
    <row r="2661" spans="1:14" x14ac:dyDescent="0.25">
      <c r="A2661">
        <v>20150925</v>
      </c>
      <c r="B2661" t="str">
        <f t="shared" si="161"/>
        <v>060437</v>
      </c>
      <c r="C2661" t="str">
        <f t="shared" si="162"/>
        <v>09170</v>
      </c>
      <c r="D2661" t="s">
        <v>596</v>
      </c>
      <c r="E2661" s="3">
        <v>180</v>
      </c>
      <c r="F2661">
        <v>20150924</v>
      </c>
      <c r="G2661" t="s">
        <v>1718</v>
      </c>
      <c r="H2661" t="s">
        <v>2065</v>
      </c>
      <c r="I2661">
        <v>0</v>
      </c>
      <c r="J2661" t="s">
        <v>1709</v>
      </c>
      <c r="K2661" t="s">
        <v>235</v>
      </c>
      <c r="L2661" t="s">
        <v>285</v>
      </c>
      <c r="M2661" t="str">
        <f t="shared" si="160"/>
        <v>09</v>
      </c>
      <c r="N2661" t="s">
        <v>12</v>
      </c>
    </row>
    <row r="2662" spans="1:14" x14ac:dyDescent="0.25">
      <c r="A2662">
        <v>20150925</v>
      </c>
      <c r="B2662" t="str">
        <f t="shared" si="161"/>
        <v>060437</v>
      </c>
      <c r="C2662" t="str">
        <f t="shared" si="162"/>
        <v>09170</v>
      </c>
      <c r="D2662" t="s">
        <v>596</v>
      </c>
      <c r="E2662" s="3">
        <v>101.28</v>
      </c>
      <c r="F2662">
        <v>20150924</v>
      </c>
      <c r="G2662" t="s">
        <v>1718</v>
      </c>
      <c r="H2662" t="s">
        <v>2066</v>
      </c>
      <c r="I2662">
        <v>0</v>
      </c>
      <c r="J2662" t="s">
        <v>1709</v>
      </c>
      <c r="K2662" t="s">
        <v>235</v>
      </c>
      <c r="L2662" t="s">
        <v>285</v>
      </c>
      <c r="M2662" t="str">
        <f t="shared" si="160"/>
        <v>09</v>
      </c>
      <c r="N2662" t="s">
        <v>12</v>
      </c>
    </row>
    <row r="2663" spans="1:14" x14ac:dyDescent="0.25">
      <c r="A2663">
        <v>20150925</v>
      </c>
      <c r="B2663" t="str">
        <f t="shared" si="161"/>
        <v>060437</v>
      </c>
      <c r="C2663" t="str">
        <f t="shared" si="162"/>
        <v>09170</v>
      </c>
      <c r="D2663" t="s">
        <v>596</v>
      </c>
      <c r="E2663" s="3">
        <v>25</v>
      </c>
      <c r="F2663">
        <v>20150924</v>
      </c>
      <c r="G2663" t="s">
        <v>1718</v>
      </c>
      <c r="H2663" t="s">
        <v>2067</v>
      </c>
      <c r="I2663">
        <v>0</v>
      </c>
      <c r="J2663" t="s">
        <v>1709</v>
      </c>
      <c r="K2663" t="s">
        <v>235</v>
      </c>
      <c r="L2663" t="s">
        <v>285</v>
      </c>
      <c r="M2663" t="str">
        <f t="shared" si="160"/>
        <v>09</v>
      </c>
      <c r="N2663" t="s">
        <v>12</v>
      </c>
    </row>
    <row r="2664" spans="1:14" x14ac:dyDescent="0.25">
      <c r="A2664">
        <v>20150925</v>
      </c>
      <c r="B2664" t="str">
        <f t="shared" si="161"/>
        <v>060437</v>
      </c>
      <c r="C2664" t="str">
        <f t="shared" si="162"/>
        <v>09170</v>
      </c>
      <c r="D2664" t="s">
        <v>596</v>
      </c>
      <c r="E2664" s="3">
        <v>40.619999999999997</v>
      </c>
      <c r="F2664">
        <v>20150924</v>
      </c>
      <c r="G2664" t="s">
        <v>1718</v>
      </c>
      <c r="H2664" t="s">
        <v>2068</v>
      </c>
      <c r="I2664">
        <v>0</v>
      </c>
      <c r="J2664" t="s">
        <v>1709</v>
      </c>
      <c r="K2664" t="s">
        <v>235</v>
      </c>
      <c r="L2664" t="s">
        <v>285</v>
      </c>
      <c r="M2664" t="str">
        <f t="shared" si="160"/>
        <v>09</v>
      </c>
      <c r="N2664" t="s">
        <v>12</v>
      </c>
    </row>
    <row r="2665" spans="1:14" x14ac:dyDescent="0.25">
      <c r="A2665">
        <v>20150925</v>
      </c>
      <c r="B2665" t="str">
        <f t="shared" si="161"/>
        <v>060437</v>
      </c>
      <c r="C2665" t="str">
        <f t="shared" si="162"/>
        <v>09170</v>
      </c>
      <c r="D2665" t="s">
        <v>596</v>
      </c>
      <c r="E2665" s="3">
        <v>42.85</v>
      </c>
      <c r="F2665">
        <v>20150924</v>
      </c>
      <c r="G2665" t="s">
        <v>1933</v>
      </c>
      <c r="H2665" t="s">
        <v>2069</v>
      </c>
      <c r="I2665">
        <v>0</v>
      </c>
      <c r="J2665" t="s">
        <v>1709</v>
      </c>
      <c r="K2665" t="s">
        <v>1558</v>
      </c>
      <c r="L2665" t="s">
        <v>285</v>
      </c>
      <c r="M2665" t="str">
        <f t="shared" si="160"/>
        <v>09</v>
      </c>
      <c r="N2665" t="s">
        <v>12</v>
      </c>
    </row>
    <row r="2666" spans="1:14" x14ac:dyDescent="0.25">
      <c r="A2666">
        <v>20150925</v>
      </c>
      <c r="B2666" t="str">
        <f t="shared" si="161"/>
        <v>060437</v>
      </c>
      <c r="C2666" t="str">
        <f t="shared" si="162"/>
        <v>09170</v>
      </c>
      <c r="D2666" t="s">
        <v>596</v>
      </c>
      <c r="E2666" s="3">
        <v>39.94</v>
      </c>
      <c r="F2666">
        <v>20150924</v>
      </c>
      <c r="G2666" t="s">
        <v>2070</v>
      </c>
      <c r="H2666" t="s">
        <v>2071</v>
      </c>
      <c r="I2666">
        <v>0</v>
      </c>
      <c r="J2666" t="s">
        <v>1709</v>
      </c>
      <c r="K2666" t="s">
        <v>290</v>
      </c>
      <c r="L2666" t="s">
        <v>285</v>
      </c>
      <c r="M2666" t="str">
        <f t="shared" si="160"/>
        <v>09</v>
      </c>
      <c r="N2666" t="s">
        <v>12</v>
      </c>
    </row>
    <row r="2667" spans="1:14" x14ac:dyDescent="0.25">
      <c r="A2667">
        <v>20150925</v>
      </c>
      <c r="B2667" t="str">
        <f t="shared" si="161"/>
        <v>060437</v>
      </c>
      <c r="C2667" t="str">
        <f t="shared" si="162"/>
        <v>09170</v>
      </c>
      <c r="D2667" t="s">
        <v>596</v>
      </c>
      <c r="E2667" s="3">
        <v>89.46</v>
      </c>
      <c r="F2667">
        <v>20150924</v>
      </c>
      <c r="G2667" t="s">
        <v>2070</v>
      </c>
      <c r="H2667" t="s">
        <v>2072</v>
      </c>
      <c r="I2667">
        <v>0</v>
      </c>
      <c r="J2667" t="s">
        <v>1709</v>
      </c>
      <c r="K2667" t="s">
        <v>290</v>
      </c>
      <c r="L2667" t="s">
        <v>285</v>
      </c>
      <c r="M2667" t="str">
        <f t="shared" si="160"/>
        <v>09</v>
      </c>
      <c r="N2667" t="s">
        <v>12</v>
      </c>
    </row>
    <row r="2668" spans="1:14" x14ac:dyDescent="0.25">
      <c r="A2668">
        <v>20150925</v>
      </c>
      <c r="B2668" t="str">
        <f t="shared" si="161"/>
        <v>060437</v>
      </c>
      <c r="C2668" t="str">
        <f t="shared" si="162"/>
        <v>09170</v>
      </c>
      <c r="D2668" t="s">
        <v>596</v>
      </c>
      <c r="E2668" s="3">
        <v>915.2</v>
      </c>
      <c r="F2668">
        <v>20150924</v>
      </c>
      <c r="G2668" t="s">
        <v>1850</v>
      </c>
      <c r="H2668" t="s">
        <v>2073</v>
      </c>
      <c r="I2668">
        <v>0</v>
      </c>
      <c r="J2668" t="s">
        <v>1709</v>
      </c>
      <c r="K2668" t="s">
        <v>290</v>
      </c>
      <c r="L2668" t="s">
        <v>285</v>
      </c>
      <c r="M2668" t="str">
        <f t="shared" si="160"/>
        <v>09</v>
      </c>
      <c r="N2668" t="s">
        <v>12</v>
      </c>
    </row>
    <row r="2669" spans="1:14" x14ac:dyDescent="0.25">
      <c r="A2669">
        <v>20150925</v>
      </c>
      <c r="B2669" t="str">
        <f t="shared" si="161"/>
        <v>060437</v>
      </c>
      <c r="C2669" t="str">
        <f t="shared" si="162"/>
        <v>09170</v>
      </c>
      <c r="D2669" t="s">
        <v>596</v>
      </c>
      <c r="E2669" s="3">
        <v>86.88</v>
      </c>
      <c r="F2669">
        <v>20150924</v>
      </c>
      <c r="G2669" t="s">
        <v>2074</v>
      </c>
      <c r="H2669" t="s">
        <v>2075</v>
      </c>
      <c r="I2669">
        <v>0</v>
      </c>
      <c r="J2669" t="s">
        <v>1709</v>
      </c>
      <c r="K2669" t="s">
        <v>1861</v>
      </c>
      <c r="L2669" t="s">
        <v>285</v>
      </c>
      <c r="M2669" t="str">
        <f t="shared" si="160"/>
        <v>09</v>
      </c>
      <c r="N2669" t="s">
        <v>12</v>
      </c>
    </row>
    <row r="2670" spans="1:14" x14ac:dyDescent="0.25">
      <c r="A2670">
        <v>20150925</v>
      </c>
      <c r="B2670" t="str">
        <f t="shared" si="161"/>
        <v>060437</v>
      </c>
      <c r="C2670" t="str">
        <f t="shared" si="162"/>
        <v>09170</v>
      </c>
      <c r="D2670" t="s">
        <v>596</v>
      </c>
      <c r="E2670" s="3">
        <v>54.74</v>
      </c>
      <c r="F2670">
        <v>20150924</v>
      </c>
      <c r="G2670" t="s">
        <v>2074</v>
      </c>
      <c r="H2670" t="s">
        <v>2076</v>
      </c>
      <c r="I2670">
        <v>0</v>
      </c>
      <c r="J2670" t="s">
        <v>1709</v>
      </c>
      <c r="K2670" t="s">
        <v>1861</v>
      </c>
      <c r="L2670" t="s">
        <v>285</v>
      </c>
      <c r="M2670" t="str">
        <f t="shared" si="160"/>
        <v>09</v>
      </c>
      <c r="N2670" t="s">
        <v>12</v>
      </c>
    </row>
    <row r="2671" spans="1:14" x14ac:dyDescent="0.25">
      <c r="A2671">
        <v>20150925</v>
      </c>
      <c r="B2671" t="str">
        <f t="shared" si="161"/>
        <v>060437</v>
      </c>
      <c r="C2671" t="str">
        <f t="shared" si="162"/>
        <v>09170</v>
      </c>
      <c r="D2671" t="s">
        <v>596</v>
      </c>
      <c r="E2671" s="3">
        <v>134.24</v>
      </c>
      <c r="F2671">
        <v>20150924</v>
      </c>
      <c r="G2671" t="s">
        <v>2074</v>
      </c>
      <c r="H2671" t="s">
        <v>2077</v>
      </c>
      <c r="I2671">
        <v>0</v>
      </c>
      <c r="J2671" t="s">
        <v>1709</v>
      </c>
      <c r="K2671" t="s">
        <v>1861</v>
      </c>
      <c r="L2671" t="s">
        <v>285</v>
      </c>
      <c r="M2671" t="str">
        <f t="shared" si="160"/>
        <v>09</v>
      </c>
      <c r="N2671" t="s">
        <v>12</v>
      </c>
    </row>
    <row r="2672" spans="1:14" x14ac:dyDescent="0.25">
      <c r="A2672">
        <v>20150925</v>
      </c>
      <c r="B2672" t="str">
        <f t="shared" si="161"/>
        <v>060437</v>
      </c>
      <c r="C2672" t="str">
        <f t="shared" si="162"/>
        <v>09170</v>
      </c>
      <c r="D2672" t="s">
        <v>596</v>
      </c>
      <c r="E2672" s="3">
        <v>32.979999999999997</v>
      </c>
      <c r="F2672">
        <v>20150924</v>
      </c>
      <c r="G2672" t="s">
        <v>2074</v>
      </c>
      <c r="H2672" t="s">
        <v>2078</v>
      </c>
      <c r="I2672">
        <v>0</v>
      </c>
      <c r="J2672" t="s">
        <v>1709</v>
      </c>
      <c r="K2672" t="s">
        <v>1861</v>
      </c>
      <c r="L2672" t="s">
        <v>285</v>
      </c>
      <c r="M2672" t="str">
        <f t="shared" si="160"/>
        <v>09</v>
      </c>
      <c r="N2672" t="s">
        <v>12</v>
      </c>
    </row>
    <row r="2673" spans="1:14" x14ac:dyDescent="0.25">
      <c r="A2673">
        <v>20150925</v>
      </c>
      <c r="B2673" t="str">
        <f t="shared" si="161"/>
        <v>060437</v>
      </c>
      <c r="C2673" t="str">
        <f t="shared" si="162"/>
        <v>09170</v>
      </c>
      <c r="D2673" t="s">
        <v>596</v>
      </c>
      <c r="E2673" s="3">
        <v>550.54999999999995</v>
      </c>
      <c r="F2673">
        <v>20150924</v>
      </c>
      <c r="G2673" t="s">
        <v>1859</v>
      </c>
      <c r="H2673" t="s">
        <v>2079</v>
      </c>
      <c r="I2673">
        <v>0</v>
      </c>
      <c r="J2673" t="s">
        <v>1709</v>
      </c>
      <c r="K2673" t="s">
        <v>1861</v>
      </c>
      <c r="L2673" t="s">
        <v>285</v>
      </c>
      <c r="M2673" t="str">
        <f t="shared" si="160"/>
        <v>09</v>
      </c>
      <c r="N2673" t="s">
        <v>12</v>
      </c>
    </row>
    <row r="2674" spans="1:14" x14ac:dyDescent="0.25">
      <c r="A2674">
        <v>20150925</v>
      </c>
      <c r="B2674" t="str">
        <f t="shared" si="161"/>
        <v>060437</v>
      </c>
      <c r="C2674" t="str">
        <f t="shared" si="162"/>
        <v>09170</v>
      </c>
      <c r="D2674" t="s">
        <v>596</v>
      </c>
      <c r="E2674" s="3">
        <v>143.80000000000001</v>
      </c>
      <c r="F2674">
        <v>20150924</v>
      </c>
      <c r="G2674" t="s">
        <v>2080</v>
      </c>
      <c r="H2674" t="s">
        <v>2081</v>
      </c>
      <c r="I2674">
        <v>0</v>
      </c>
      <c r="J2674" t="s">
        <v>1709</v>
      </c>
      <c r="K2674" t="s">
        <v>1861</v>
      </c>
      <c r="L2674" t="s">
        <v>285</v>
      </c>
      <c r="M2674" t="str">
        <f t="shared" si="160"/>
        <v>09</v>
      </c>
      <c r="N2674" t="s">
        <v>12</v>
      </c>
    </row>
    <row r="2675" spans="1:14" x14ac:dyDescent="0.25">
      <c r="A2675">
        <v>20150925</v>
      </c>
      <c r="B2675" t="str">
        <f t="shared" ref="B2675:B2682" si="163">"060438"</f>
        <v>060438</v>
      </c>
      <c r="C2675" t="str">
        <f t="shared" ref="C2675:C2682" si="164">"10040"</f>
        <v>10040</v>
      </c>
      <c r="D2675" t="s">
        <v>2082</v>
      </c>
      <c r="E2675" s="3">
        <v>12.5</v>
      </c>
      <c r="F2675">
        <v>20150923</v>
      </c>
      <c r="G2675" t="s">
        <v>2083</v>
      </c>
      <c r="H2675" t="s">
        <v>2084</v>
      </c>
      <c r="I2675">
        <v>0</v>
      </c>
      <c r="J2675" t="s">
        <v>1709</v>
      </c>
      <c r="K2675" t="s">
        <v>290</v>
      </c>
      <c r="L2675" t="s">
        <v>285</v>
      </c>
      <c r="M2675" t="str">
        <f t="shared" si="160"/>
        <v>09</v>
      </c>
      <c r="N2675" t="s">
        <v>12</v>
      </c>
    </row>
    <row r="2676" spans="1:14" x14ac:dyDescent="0.25">
      <c r="A2676">
        <v>20150925</v>
      </c>
      <c r="B2676" t="str">
        <f t="shared" si="163"/>
        <v>060438</v>
      </c>
      <c r="C2676" t="str">
        <f t="shared" si="164"/>
        <v>10040</v>
      </c>
      <c r="D2676" t="s">
        <v>2082</v>
      </c>
      <c r="E2676" s="3">
        <v>12.5</v>
      </c>
      <c r="F2676">
        <v>20150924</v>
      </c>
      <c r="G2676" t="s">
        <v>2083</v>
      </c>
      <c r="H2676" t="s">
        <v>2085</v>
      </c>
      <c r="I2676">
        <v>0</v>
      </c>
      <c r="J2676" t="s">
        <v>1709</v>
      </c>
      <c r="K2676" t="s">
        <v>290</v>
      </c>
      <c r="L2676" t="s">
        <v>285</v>
      </c>
      <c r="M2676" t="str">
        <f t="shared" si="160"/>
        <v>09</v>
      </c>
      <c r="N2676" t="s">
        <v>12</v>
      </c>
    </row>
    <row r="2677" spans="1:14" x14ac:dyDescent="0.25">
      <c r="A2677">
        <v>20150925</v>
      </c>
      <c r="B2677" t="str">
        <f t="shared" si="163"/>
        <v>060438</v>
      </c>
      <c r="C2677" t="str">
        <f t="shared" si="164"/>
        <v>10040</v>
      </c>
      <c r="D2677" t="s">
        <v>2082</v>
      </c>
      <c r="E2677" s="3">
        <v>12.5</v>
      </c>
      <c r="F2677">
        <v>20150923</v>
      </c>
      <c r="G2677" t="s">
        <v>2086</v>
      </c>
      <c r="H2677" t="s">
        <v>2084</v>
      </c>
      <c r="I2677">
        <v>0</v>
      </c>
      <c r="J2677" t="s">
        <v>1709</v>
      </c>
      <c r="K2677" t="s">
        <v>95</v>
      </c>
      <c r="L2677" t="s">
        <v>285</v>
      </c>
      <c r="M2677" t="str">
        <f t="shared" si="160"/>
        <v>09</v>
      </c>
      <c r="N2677" t="s">
        <v>12</v>
      </c>
    </row>
    <row r="2678" spans="1:14" x14ac:dyDescent="0.25">
      <c r="A2678">
        <v>20150925</v>
      </c>
      <c r="B2678" t="str">
        <f t="shared" si="163"/>
        <v>060438</v>
      </c>
      <c r="C2678" t="str">
        <f t="shared" si="164"/>
        <v>10040</v>
      </c>
      <c r="D2678" t="s">
        <v>2082</v>
      </c>
      <c r="E2678" s="3">
        <v>12.5</v>
      </c>
      <c r="F2678">
        <v>20150924</v>
      </c>
      <c r="G2678" t="s">
        <v>2086</v>
      </c>
      <c r="H2678" t="s">
        <v>2085</v>
      </c>
      <c r="I2678">
        <v>0</v>
      </c>
      <c r="J2678" t="s">
        <v>1709</v>
      </c>
      <c r="K2678" t="s">
        <v>95</v>
      </c>
      <c r="L2678" t="s">
        <v>285</v>
      </c>
      <c r="M2678" t="str">
        <f t="shared" si="160"/>
        <v>09</v>
      </c>
      <c r="N2678" t="s">
        <v>12</v>
      </c>
    </row>
    <row r="2679" spans="1:14" x14ac:dyDescent="0.25">
      <c r="A2679">
        <v>20150925</v>
      </c>
      <c r="B2679" t="str">
        <f t="shared" si="163"/>
        <v>060438</v>
      </c>
      <c r="C2679" t="str">
        <f t="shared" si="164"/>
        <v>10040</v>
      </c>
      <c r="D2679" t="s">
        <v>2082</v>
      </c>
      <c r="E2679" s="3">
        <v>12.5</v>
      </c>
      <c r="F2679">
        <v>20150923</v>
      </c>
      <c r="G2679" t="s">
        <v>2087</v>
      </c>
      <c r="H2679" t="s">
        <v>2084</v>
      </c>
      <c r="I2679">
        <v>0</v>
      </c>
      <c r="J2679" t="s">
        <v>1709</v>
      </c>
      <c r="K2679" t="s">
        <v>1643</v>
      </c>
      <c r="L2679" t="s">
        <v>285</v>
      </c>
      <c r="M2679" t="str">
        <f t="shared" si="160"/>
        <v>09</v>
      </c>
      <c r="N2679" t="s">
        <v>12</v>
      </c>
    </row>
    <row r="2680" spans="1:14" x14ac:dyDescent="0.25">
      <c r="A2680">
        <v>20150925</v>
      </c>
      <c r="B2680" t="str">
        <f t="shared" si="163"/>
        <v>060438</v>
      </c>
      <c r="C2680" t="str">
        <f t="shared" si="164"/>
        <v>10040</v>
      </c>
      <c r="D2680" t="s">
        <v>2082</v>
      </c>
      <c r="E2680" s="3">
        <v>12.5</v>
      </c>
      <c r="F2680">
        <v>20150924</v>
      </c>
      <c r="G2680" t="s">
        <v>2087</v>
      </c>
      <c r="H2680" t="s">
        <v>2085</v>
      </c>
      <c r="I2680">
        <v>0</v>
      </c>
      <c r="J2680" t="s">
        <v>1709</v>
      </c>
      <c r="K2680" t="s">
        <v>1643</v>
      </c>
      <c r="L2680" t="s">
        <v>285</v>
      </c>
      <c r="M2680" t="str">
        <f t="shared" si="160"/>
        <v>09</v>
      </c>
      <c r="N2680" t="s">
        <v>12</v>
      </c>
    </row>
    <row r="2681" spans="1:14" x14ac:dyDescent="0.25">
      <c r="A2681">
        <v>20150925</v>
      </c>
      <c r="B2681" t="str">
        <f t="shared" si="163"/>
        <v>060438</v>
      </c>
      <c r="C2681" t="str">
        <f t="shared" si="164"/>
        <v>10040</v>
      </c>
      <c r="D2681" t="s">
        <v>2082</v>
      </c>
      <c r="E2681" s="3">
        <v>12.5</v>
      </c>
      <c r="F2681">
        <v>20150923</v>
      </c>
      <c r="G2681" t="s">
        <v>2088</v>
      </c>
      <c r="H2681" t="s">
        <v>2084</v>
      </c>
      <c r="I2681">
        <v>0</v>
      </c>
      <c r="J2681" t="s">
        <v>1709</v>
      </c>
      <c r="K2681" t="s">
        <v>33</v>
      </c>
      <c r="L2681" t="s">
        <v>285</v>
      </c>
      <c r="M2681" t="str">
        <f t="shared" si="160"/>
        <v>09</v>
      </c>
      <c r="N2681" t="s">
        <v>12</v>
      </c>
    </row>
    <row r="2682" spans="1:14" x14ac:dyDescent="0.25">
      <c r="A2682">
        <v>20150925</v>
      </c>
      <c r="B2682" t="str">
        <f t="shared" si="163"/>
        <v>060438</v>
      </c>
      <c r="C2682" t="str">
        <f t="shared" si="164"/>
        <v>10040</v>
      </c>
      <c r="D2682" t="s">
        <v>2082</v>
      </c>
      <c r="E2682" s="3">
        <v>12.5</v>
      </c>
      <c r="F2682">
        <v>20150924</v>
      </c>
      <c r="G2682" t="s">
        <v>2088</v>
      </c>
      <c r="H2682" t="s">
        <v>2085</v>
      </c>
      <c r="I2682">
        <v>0</v>
      </c>
      <c r="J2682" t="s">
        <v>1709</v>
      </c>
      <c r="K2682" t="s">
        <v>33</v>
      </c>
      <c r="L2682" t="s">
        <v>285</v>
      </c>
      <c r="M2682" t="str">
        <f t="shared" si="160"/>
        <v>09</v>
      </c>
      <c r="N2682" t="s">
        <v>12</v>
      </c>
    </row>
    <row r="2683" spans="1:14" x14ac:dyDescent="0.25">
      <c r="A2683">
        <v>20150925</v>
      </c>
      <c r="B2683" t="str">
        <f>"060441"</f>
        <v>060441</v>
      </c>
      <c r="C2683" t="str">
        <f>"11759"</f>
        <v>11759</v>
      </c>
      <c r="D2683" t="s">
        <v>2089</v>
      </c>
      <c r="E2683" s="3">
        <v>412.22</v>
      </c>
      <c r="F2683">
        <v>20150923</v>
      </c>
      <c r="G2683" t="s">
        <v>2090</v>
      </c>
      <c r="H2683" t="s">
        <v>2091</v>
      </c>
      <c r="I2683">
        <v>0</v>
      </c>
      <c r="J2683" t="s">
        <v>1709</v>
      </c>
      <c r="K2683" t="s">
        <v>33</v>
      </c>
      <c r="L2683" t="s">
        <v>285</v>
      </c>
      <c r="M2683" t="str">
        <f t="shared" si="160"/>
        <v>09</v>
      </c>
      <c r="N2683" t="s">
        <v>12</v>
      </c>
    </row>
    <row r="2684" spans="1:14" x14ac:dyDescent="0.25">
      <c r="A2684">
        <v>20150925</v>
      </c>
      <c r="B2684" t="str">
        <f>"060442"</f>
        <v>060442</v>
      </c>
      <c r="C2684" t="str">
        <f>"13281"</f>
        <v>13281</v>
      </c>
      <c r="D2684" t="s">
        <v>2092</v>
      </c>
      <c r="E2684" s="3">
        <v>250</v>
      </c>
      <c r="F2684">
        <v>20150924</v>
      </c>
      <c r="G2684" t="s">
        <v>1718</v>
      </c>
      <c r="H2684" t="s">
        <v>2093</v>
      </c>
      <c r="I2684">
        <v>0</v>
      </c>
      <c r="J2684" t="s">
        <v>1709</v>
      </c>
      <c r="K2684" t="s">
        <v>235</v>
      </c>
      <c r="L2684" t="s">
        <v>285</v>
      </c>
      <c r="M2684" t="str">
        <f t="shared" si="160"/>
        <v>09</v>
      </c>
      <c r="N2684" t="s">
        <v>12</v>
      </c>
    </row>
    <row r="2685" spans="1:14" x14ac:dyDescent="0.25">
      <c r="A2685">
        <v>20150925</v>
      </c>
      <c r="B2685" t="str">
        <f>"060445"</f>
        <v>060445</v>
      </c>
      <c r="C2685" t="str">
        <f>"21049"</f>
        <v>21049</v>
      </c>
      <c r="D2685" t="s">
        <v>2094</v>
      </c>
      <c r="E2685" s="3">
        <v>20</v>
      </c>
      <c r="F2685">
        <v>20150923</v>
      </c>
      <c r="G2685" t="s">
        <v>2095</v>
      </c>
      <c r="H2685" t="s">
        <v>2096</v>
      </c>
      <c r="I2685">
        <v>0</v>
      </c>
      <c r="J2685" t="s">
        <v>1709</v>
      </c>
      <c r="K2685" t="s">
        <v>290</v>
      </c>
      <c r="L2685" t="s">
        <v>285</v>
      </c>
      <c r="M2685" t="str">
        <f t="shared" si="160"/>
        <v>09</v>
      </c>
      <c r="N2685" t="s">
        <v>12</v>
      </c>
    </row>
    <row r="2686" spans="1:14" x14ac:dyDescent="0.25">
      <c r="A2686">
        <v>20150925</v>
      </c>
      <c r="B2686" t="str">
        <f>"060445"</f>
        <v>060445</v>
      </c>
      <c r="C2686" t="str">
        <f>"21049"</f>
        <v>21049</v>
      </c>
      <c r="D2686" t="s">
        <v>2094</v>
      </c>
      <c r="E2686" s="3">
        <v>275</v>
      </c>
      <c r="F2686">
        <v>20150923</v>
      </c>
      <c r="G2686" t="s">
        <v>1712</v>
      </c>
      <c r="H2686" t="s">
        <v>2096</v>
      </c>
      <c r="I2686">
        <v>0</v>
      </c>
      <c r="J2686" t="s">
        <v>1709</v>
      </c>
      <c r="K2686" t="s">
        <v>290</v>
      </c>
      <c r="L2686" t="s">
        <v>285</v>
      </c>
      <c r="M2686" t="str">
        <f t="shared" si="160"/>
        <v>09</v>
      </c>
      <c r="N2686" t="s">
        <v>12</v>
      </c>
    </row>
    <row r="2687" spans="1:14" x14ac:dyDescent="0.25">
      <c r="A2687">
        <v>20150925</v>
      </c>
      <c r="B2687" t="str">
        <f>"060446"</f>
        <v>060446</v>
      </c>
      <c r="C2687" t="str">
        <f>"21901"</f>
        <v>21901</v>
      </c>
      <c r="D2687" t="s">
        <v>1965</v>
      </c>
      <c r="E2687" s="3">
        <v>2108.91</v>
      </c>
      <c r="F2687">
        <v>20150924</v>
      </c>
      <c r="G2687" t="s">
        <v>1854</v>
      </c>
      <c r="H2687" t="s">
        <v>2097</v>
      </c>
      <c r="I2687">
        <v>0</v>
      </c>
      <c r="J2687" t="s">
        <v>1709</v>
      </c>
      <c r="K2687" t="s">
        <v>1856</v>
      </c>
      <c r="L2687" t="s">
        <v>285</v>
      </c>
      <c r="M2687" t="str">
        <f t="shared" si="160"/>
        <v>09</v>
      </c>
      <c r="N2687" t="s">
        <v>12</v>
      </c>
    </row>
    <row r="2688" spans="1:14" x14ac:dyDescent="0.25">
      <c r="A2688">
        <v>20150925</v>
      </c>
      <c r="B2688" t="str">
        <f>"060446"</f>
        <v>060446</v>
      </c>
      <c r="C2688" t="str">
        <f>"21901"</f>
        <v>21901</v>
      </c>
      <c r="D2688" t="s">
        <v>1965</v>
      </c>
      <c r="E2688" s="3">
        <v>3387.89</v>
      </c>
      <c r="F2688">
        <v>20150924</v>
      </c>
      <c r="G2688" t="s">
        <v>1854</v>
      </c>
      <c r="H2688" t="s">
        <v>2098</v>
      </c>
      <c r="I2688">
        <v>0</v>
      </c>
      <c r="J2688" t="s">
        <v>1709</v>
      </c>
      <c r="K2688" t="s">
        <v>1856</v>
      </c>
      <c r="L2688" t="s">
        <v>285</v>
      </c>
      <c r="M2688" t="str">
        <f t="shared" si="160"/>
        <v>09</v>
      </c>
      <c r="N2688" t="s">
        <v>12</v>
      </c>
    </row>
    <row r="2689" spans="1:14" x14ac:dyDescent="0.25">
      <c r="A2689">
        <v>20150925</v>
      </c>
      <c r="B2689" t="str">
        <f>"060449"</f>
        <v>060449</v>
      </c>
      <c r="C2689" t="str">
        <f>"25221"</f>
        <v>25221</v>
      </c>
      <c r="D2689" t="s">
        <v>2099</v>
      </c>
      <c r="E2689" s="3">
        <v>28.18</v>
      </c>
      <c r="F2689">
        <v>20150923</v>
      </c>
      <c r="G2689" t="s">
        <v>2100</v>
      </c>
      <c r="H2689" t="s">
        <v>2101</v>
      </c>
      <c r="I2689">
        <v>0</v>
      </c>
      <c r="J2689" t="s">
        <v>1709</v>
      </c>
      <c r="K2689" t="s">
        <v>33</v>
      </c>
      <c r="L2689" t="s">
        <v>285</v>
      </c>
      <c r="M2689" t="str">
        <f t="shared" si="160"/>
        <v>09</v>
      </c>
      <c r="N2689" t="s">
        <v>12</v>
      </c>
    </row>
    <row r="2690" spans="1:14" x14ac:dyDescent="0.25">
      <c r="A2690">
        <v>20150925</v>
      </c>
      <c r="B2690" t="str">
        <f>"060450"</f>
        <v>060450</v>
      </c>
      <c r="C2690" t="str">
        <f>"25853"</f>
        <v>25853</v>
      </c>
      <c r="D2690" t="s">
        <v>532</v>
      </c>
      <c r="E2690" s="3">
        <v>9000</v>
      </c>
      <c r="F2690">
        <v>20150923</v>
      </c>
      <c r="G2690" t="s">
        <v>2102</v>
      </c>
      <c r="H2690" t="s">
        <v>2103</v>
      </c>
      <c r="I2690">
        <v>0</v>
      </c>
      <c r="J2690" t="s">
        <v>1709</v>
      </c>
      <c r="K2690" t="s">
        <v>290</v>
      </c>
      <c r="L2690" t="s">
        <v>285</v>
      </c>
      <c r="M2690" t="str">
        <f t="shared" si="160"/>
        <v>09</v>
      </c>
      <c r="N2690" t="s">
        <v>12</v>
      </c>
    </row>
    <row r="2691" spans="1:14" x14ac:dyDescent="0.25">
      <c r="A2691">
        <v>20150925</v>
      </c>
      <c r="B2691" t="str">
        <f>"060452"</f>
        <v>060452</v>
      </c>
      <c r="C2691" t="str">
        <f>"54555"</f>
        <v>54555</v>
      </c>
      <c r="D2691" t="s">
        <v>2104</v>
      </c>
      <c r="E2691" s="3">
        <v>157.63</v>
      </c>
      <c r="F2691">
        <v>20150923</v>
      </c>
      <c r="G2691" t="s">
        <v>2105</v>
      </c>
      <c r="H2691" t="s">
        <v>2106</v>
      </c>
      <c r="I2691">
        <v>0</v>
      </c>
      <c r="J2691" t="s">
        <v>1709</v>
      </c>
      <c r="K2691" t="s">
        <v>1782</v>
      </c>
      <c r="L2691" t="s">
        <v>285</v>
      </c>
      <c r="M2691" t="str">
        <f t="shared" si="160"/>
        <v>09</v>
      </c>
      <c r="N2691" t="s">
        <v>12</v>
      </c>
    </row>
    <row r="2692" spans="1:14" x14ac:dyDescent="0.25">
      <c r="A2692">
        <v>20150925</v>
      </c>
      <c r="B2692" t="str">
        <f>"060454"</f>
        <v>060454</v>
      </c>
      <c r="C2692" t="str">
        <f>"29633"</f>
        <v>29633</v>
      </c>
      <c r="D2692" t="s">
        <v>2107</v>
      </c>
      <c r="E2692" s="3">
        <v>1280.76</v>
      </c>
      <c r="F2692">
        <v>20150923</v>
      </c>
      <c r="G2692" t="s">
        <v>1859</v>
      </c>
      <c r="H2692" t="s">
        <v>2108</v>
      </c>
      <c r="I2692">
        <v>0</v>
      </c>
      <c r="J2692" t="s">
        <v>1709</v>
      </c>
      <c r="K2692" t="s">
        <v>1861</v>
      </c>
      <c r="L2692" t="s">
        <v>285</v>
      </c>
      <c r="M2692" t="str">
        <f t="shared" si="160"/>
        <v>09</v>
      </c>
      <c r="N2692" t="s">
        <v>12</v>
      </c>
    </row>
    <row r="2693" spans="1:14" x14ac:dyDescent="0.25">
      <c r="A2693">
        <v>20150925</v>
      </c>
      <c r="B2693" t="str">
        <f>"060460"</f>
        <v>060460</v>
      </c>
      <c r="C2693" t="str">
        <f>"37805"</f>
        <v>37805</v>
      </c>
      <c r="D2693" t="s">
        <v>1737</v>
      </c>
      <c r="E2693" s="3">
        <v>25</v>
      </c>
      <c r="F2693">
        <v>20150923</v>
      </c>
      <c r="G2693" t="s">
        <v>1738</v>
      </c>
      <c r="H2693" t="s">
        <v>1761</v>
      </c>
      <c r="I2693">
        <v>0</v>
      </c>
      <c r="J2693" t="s">
        <v>1709</v>
      </c>
      <c r="K2693" t="s">
        <v>290</v>
      </c>
      <c r="L2693" t="s">
        <v>285</v>
      </c>
      <c r="M2693" t="str">
        <f t="shared" si="160"/>
        <v>09</v>
      </c>
      <c r="N2693" t="s">
        <v>12</v>
      </c>
    </row>
    <row r="2694" spans="1:14" x14ac:dyDescent="0.25">
      <c r="A2694">
        <v>20150925</v>
      </c>
      <c r="B2694" t="str">
        <f>"060460"</f>
        <v>060460</v>
      </c>
      <c r="C2694" t="str">
        <f>"37805"</f>
        <v>37805</v>
      </c>
      <c r="D2694" t="s">
        <v>1737</v>
      </c>
      <c r="E2694" s="3">
        <v>375</v>
      </c>
      <c r="F2694">
        <v>20150923</v>
      </c>
      <c r="G2694" t="s">
        <v>1739</v>
      </c>
      <c r="H2694" t="s">
        <v>1761</v>
      </c>
      <c r="I2694">
        <v>0</v>
      </c>
      <c r="J2694" t="s">
        <v>1709</v>
      </c>
      <c r="K2694" t="s">
        <v>290</v>
      </c>
      <c r="L2694" t="s">
        <v>285</v>
      </c>
      <c r="M2694" t="str">
        <f t="shared" si="160"/>
        <v>09</v>
      </c>
      <c r="N2694" t="s">
        <v>12</v>
      </c>
    </row>
    <row r="2695" spans="1:14" x14ac:dyDescent="0.25">
      <c r="A2695">
        <v>20150925</v>
      </c>
      <c r="B2695" t="str">
        <f>"060461"</f>
        <v>060461</v>
      </c>
      <c r="C2695" t="str">
        <f>"39450"</f>
        <v>39450</v>
      </c>
      <c r="D2695" t="s">
        <v>2109</v>
      </c>
      <c r="E2695" s="3">
        <v>142.1</v>
      </c>
      <c r="F2695">
        <v>20150923</v>
      </c>
      <c r="G2695" t="s">
        <v>2110</v>
      </c>
      <c r="H2695" t="s">
        <v>2111</v>
      </c>
      <c r="I2695">
        <v>0</v>
      </c>
      <c r="J2695" t="s">
        <v>1709</v>
      </c>
      <c r="K2695" t="s">
        <v>33</v>
      </c>
      <c r="L2695" t="s">
        <v>285</v>
      </c>
      <c r="M2695" t="str">
        <f t="shared" si="160"/>
        <v>09</v>
      </c>
      <c r="N2695" t="s">
        <v>12</v>
      </c>
    </row>
    <row r="2696" spans="1:14" x14ac:dyDescent="0.25">
      <c r="A2696">
        <v>20150925</v>
      </c>
      <c r="B2696" t="str">
        <f>"060462"</f>
        <v>060462</v>
      </c>
      <c r="C2696" t="str">
        <f>"39572"</f>
        <v>39572</v>
      </c>
      <c r="D2696" t="s">
        <v>2112</v>
      </c>
      <c r="E2696" s="3">
        <v>65</v>
      </c>
      <c r="F2696">
        <v>20150923</v>
      </c>
      <c r="G2696" t="s">
        <v>2113</v>
      </c>
      <c r="H2696" t="s">
        <v>2114</v>
      </c>
      <c r="I2696">
        <v>0</v>
      </c>
      <c r="J2696" t="s">
        <v>1709</v>
      </c>
      <c r="K2696" t="s">
        <v>290</v>
      </c>
      <c r="L2696" t="s">
        <v>285</v>
      </c>
      <c r="M2696" t="str">
        <f t="shared" si="160"/>
        <v>09</v>
      </c>
      <c r="N2696" t="s">
        <v>12</v>
      </c>
    </row>
    <row r="2697" spans="1:14" x14ac:dyDescent="0.25">
      <c r="A2697">
        <v>20150925</v>
      </c>
      <c r="B2697" t="str">
        <f>"060462"</f>
        <v>060462</v>
      </c>
      <c r="C2697" t="str">
        <f>"39572"</f>
        <v>39572</v>
      </c>
      <c r="D2697" t="s">
        <v>2112</v>
      </c>
      <c r="E2697" s="3">
        <v>21.95</v>
      </c>
      <c r="F2697">
        <v>20150923</v>
      </c>
      <c r="G2697" t="s">
        <v>2115</v>
      </c>
      <c r="H2697" t="s">
        <v>2116</v>
      </c>
      <c r="I2697">
        <v>0</v>
      </c>
      <c r="J2697" t="s">
        <v>1709</v>
      </c>
      <c r="K2697" t="s">
        <v>290</v>
      </c>
      <c r="L2697" t="s">
        <v>285</v>
      </c>
      <c r="M2697" t="str">
        <f t="shared" si="160"/>
        <v>09</v>
      </c>
      <c r="N2697" t="s">
        <v>12</v>
      </c>
    </row>
    <row r="2698" spans="1:14" x14ac:dyDescent="0.25">
      <c r="A2698">
        <v>20150925</v>
      </c>
      <c r="B2698" t="str">
        <f>"060462"</f>
        <v>060462</v>
      </c>
      <c r="C2698" t="str">
        <f>"39572"</f>
        <v>39572</v>
      </c>
      <c r="D2698" t="s">
        <v>2112</v>
      </c>
      <c r="E2698" s="3">
        <v>1140</v>
      </c>
      <c r="F2698">
        <v>20150923</v>
      </c>
      <c r="G2698" t="s">
        <v>2115</v>
      </c>
      <c r="H2698" t="s">
        <v>2117</v>
      </c>
      <c r="I2698">
        <v>0</v>
      </c>
      <c r="J2698" t="s">
        <v>1709</v>
      </c>
      <c r="K2698" t="s">
        <v>290</v>
      </c>
      <c r="L2698" t="s">
        <v>285</v>
      </c>
      <c r="M2698" t="str">
        <f t="shared" si="160"/>
        <v>09</v>
      </c>
      <c r="N2698" t="s">
        <v>12</v>
      </c>
    </row>
    <row r="2699" spans="1:14" x14ac:dyDescent="0.25">
      <c r="A2699">
        <v>20150925</v>
      </c>
      <c r="B2699" t="str">
        <f>"060462"</f>
        <v>060462</v>
      </c>
      <c r="C2699" t="str">
        <f>"39572"</f>
        <v>39572</v>
      </c>
      <c r="D2699" t="s">
        <v>2112</v>
      </c>
      <c r="E2699" s="3">
        <v>253.2</v>
      </c>
      <c r="F2699">
        <v>20150923</v>
      </c>
      <c r="G2699" t="s">
        <v>2115</v>
      </c>
      <c r="H2699" t="s">
        <v>2118</v>
      </c>
      <c r="I2699">
        <v>0</v>
      </c>
      <c r="J2699" t="s">
        <v>1709</v>
      </c>
      <c r="K2699" t="s">
        <v>290</v>
      </c>
      <c r="L2699" t="s">
        <v>285</v>
      </c>
      <c r="M2699" t="str">
        <f t="shared" si="160"/>
        <v>09</v>
      </c>
      <c r="N2699" t="s">
        <v>12</v>
      </c>
    </row>
    <row r="2700" spans="1:14" x14ac:dyDescent="0.25">
      <c r="A2700">
        <v>20150925</v>
      </c>
      <c r="B2700" t="str">
        <f>"060463"</f>
        <v>060463</v>
      </c>
      <c r="C2700" t="str">
        <f>"08127"</f>
        <v>08127</v>
      </c>
      <c r="D2700" t="s">
        <v>2119</v>
      </c>
      <c r="E2700" s="3">
        <v>412.02</v>
      </c>
      <c r="F2700">
        <v>20150924</v>
      </c>
      <c r="G2700" t="s">
        <v>2027</v>
      </c>
      <c r="H2700" t="s">
        <v>2028</v>
      </c>
      <c r="I2700">
        <v>0</v>
      </c>
      <c r="J2700" t="s">
        <v>1709</v>
      </c>
      <c r="K2700" t="s">
        <v>290</v>
      </c>
      <c r="L2700" t="s">
        <v>285</v>
      </c>
      <c r="M2700" t="str">
        <f t="shared" si="160"/>
        <v>09</v>
      </c>
      <c r="N2700" t="s">
        <v>12</v>
      </c>
    </row>
    <row r="2701" spans="1:14" x14ac:dyDescent="0.25">
      <c r="A2701">
        <v>20150925</v>
      </c>
      <c r="B2701" t="str">
        <f>"060465"</f>
        <v>060465</v>
      </c>
      <c r="C2701" t="str">
        <f>"45694"</f>
        <v>45694</v>
      </c>
      <c r="D2701" t="s">
        <v>2120</v>
      </c>
      <c r="E2701" s="3">
        <v>1560</v>
      </c>
      <c r="F2701">
        <v>20150923</v>
      </c>
      <c r="G2701" t="s">
        <v>2121</v>
      </c>
      <c r="H2701" t="s">
        <v>2122</v>
      </c>
      <c r="I2701">
        <v>0</v>
      </c>
      <c r="J2701" t="s">
        <v>1709</v>
      </c>
      <c r="K2701" t="s">
        <v>290</v>
      </c>
      <c r="L2701" t="s">
        <v>285</v>
      </c>
      <c r="M2701" t="str">
        <f t="shared" si="160"/>
        <v>09</v>
      </c>
      <c r="N2701" t="s">
        <v>12</v>
      </c>
    </row>
    <row r="2702" spans="1:14" x14ac:dyDescent="0.25">
      <c r="A2702">
        <v>20150925</v>
      </c>
      <c r="B2702" t="str">
        <f>"060465"</f>
        <v>060465</v>
      </c>
      <c r="C2702" t="str">
        <f>"45694"</f>
        <v>45694</v>
      </c>
      <c r="D2702" t="s">
        <v>2120</v>
      </c>
      <c r="E2702" s="3">
        <v>1977</v>
      </c>
      <c r="F2702">
        <v>20150923</v>
      </c>
      <c r="G2702" t="s">
        <v>2123</v>
      </c>
      <c r="H2702" t="s">
        <v>2122</v>
      </c>
      <c r="I2702">
        <v>0</v>
      </c>
      <c r="J2702" t="s">
        <v>1709</v>
      </c>
      <c r="K2702" t="s">
        <v>33</v>
      </c>
      <c r="L2702" t="s">
        <v>285</v>
      </c>
      <c r="M2702" t="str">
        <f t="shared" si="160"/>
        <v>09</v>
      </c>
      <c r="N2702" t="s">
        <v>12</v>
      </c>
    </row>
    <row r="2703" spans="1:14" x14ac:dyDescent="0.25">
      <c r="A2703">
        <v>20150925</v>
      </c>
      <c r="B2703" t="str">
        <f>"060466"</f>
        <v>060466</v>
      </c>
      <c r="C2703" t="str">
        <f>"57791"</f>
        <v>57791</v>
      </c>
      <c r="D2703" t="s">
        <v>1878</v>
      </c>
      <c r="E2703" s="3">
        <v>311.24</v>
      </c>
      <c r="F2703">
        <v>20150923</v>
      </c>
      <c r="G2703" t="s">
        <v>2124</v>
      </c>
      <c r="H2703" t="s">
        <v>2125</v>
      </c>
      <c r="I2703">
        <v>0</v>
      </c>
      <c r="J2703" t="s">
        <v>1709</v>
      </c>
      <c r="K2703" t="s">
        <v>290</v>
      </c>
      <c r="L2703" t="s">
        <v>285</v>
      </c>
      <c r="M2703" t="str">
        <f t="shared" si="160"/>
        <v>09</v>
      </c>
      <c r="N2703" t="s">
        <v>12</v>
      </c>
    </row>
    <row r="2704" spans="1:14" x14ac:dyDescent="0.25">
      <c r="A2704">
        <v>20150925</v>
      </c>
      <c r="B2704" t="str">
        <f>"060468"</f>
        <v>060468</v>
      </c>
      <c r="C2704" t="str">
        <f>"49887"</f>
        <v>49887</v>
      </c>
      <c r="D2704" t="s">
        <v>2126</v>
      </c>
      <c r="E2704" s="3">
        <v>79.92</v>
      </c>
      <c r="F2704">
        <v>20150923</v>
      </c>
      <c r="G2704" t="s">
        <v>2127</v>
      </c>
      <c r="H2704" t="s">
        <v>2128</v>
      </c>
      <c r="I2704">
        <v>0</v>
      </c>
      <c r="J2704" t="s">
        <v>1709</v>
      </c>
      <c r="K2704" t="s">
        <v>33</v>
      </c>
      <c r="L2704" t="s">
        <v>285</v>
      </c>
      <c r="M2704" t="str">
        <f t="shared" si="160"/>
        <v>09</v>
      </c>
      <c r="N2704" t="s">
        <v>12</v>
      </c>
    </row>
    <row r="2705" spans="1:14" x14ac:dyDescent="0.25">
      <c r="A2705">
        <v>20150925</v>
      </c>
      <c r="B2705" t="str">
        <f>"060469"</f>
        <v>060469</v>
      </c>
      <c r="C2705" t="str">
        <f>"49959"</f>
        <v>49959</v>
      </c>
      <c r="D2705" t="s">
        <v>361</v>
      </c>
      <c r="E2705" s="3">
        <v>300</v>
      </c>
      <c r="F2705">
        <v>20150923</v>
      </c>
      <c r="G2705" t="s">
        <v>1788</v>
      </c>
      <c r="H2705" t="s">
        <v>2129</v>
      </c>
      <c r="I2705">
        <v>0</v>
      </c>
      <c r="J2705" t="s">
        <v>1709</v>
      </c>
      <c r="K2705" t="s">
        <v>1643</v>
      </c>
      <c r="L2705" t="s">
        <v>285</v>
      </c>
      <c r="M2705" t="str">
        <f t="shared" si="160"/>
        <v>09</v>
      </c>
      <c r="N2705" t="s">
        <v>12</v>
      </c>
    </row>
    <row r="2706" spans="1:14" x14ac:dyDescent="0.25">
      <c r="A2706">
        <v>20150925</v>
      </c>
      <c r="B2706" t="str">
        <f>"060470"</f>
        <v>060470</v>
      </c>
      <c r="C2706" t="str">
        <f>"52185"</f>
        <v>52185</v>
      </c>
      <c r="D2706" t="s">
        <v>2130</v>
      </c>
      <c r="E2706" s="3">
        <v>761.64</v>
      </c>
      <c r="F2706">
        <v>20150924</v>
      </c>
      <c r="G2706" t="s">
        <v>1718</v>
      </c>
      <c r="H2706" t="s">
        <v>2131</v>
      </c>
      <c r="I2706">
        <v>0</v>
      </c>
      <c r="J2706" t="s">
        <v>1709</v>
      </c>
      <c r="K2706" t="s">
        <v>235</v>
      </c>
      <c r="L2706" t="s">
        <v>285</v>
      </c>
      <c r="M2706" t="str">
        <f t="shared" si="160"/>
        <v>09</v>
      </c>
      <c r="N2706" t="s">
        <v>12</v>
      </c>
    </row>
    <row r="2707" spans="1:14" x14ac:dyDescent="0.25">
      <c r="A2707">
        <v>20150925</v>
      </c>
      <c r="B2707" t="str">
        <f>"060471"</f>
        <v>060471</v>
      </c>
      <c r="C2707" t="str">
        <f>"53483"</f>
        <v>53483</v>
      </c>
      <c r="D2707" t="s">
        <v>2132</v>
      </c>
      <c r="E2707" s="3">
        <v>594.1</v>
      </c>
      <c r="F2707">
        <v>20150924</v>
      </c>
      <c r="G2707" t="s">
        <v>1718</v>
      </c>
      <c r="H2707" t="s">
        <v>1944</v>
      </c>
      <c r="I2707">
        <v>0</v>
      </c>
      <c r="J2707" t="s">
        <v>1709</v>
      </c>
      <c r="K2707" t="s">
        <v>235</v>
      </c>
      <c r="L2707" t="s">
        <v>285</v>
      </c>
      <c r="M2707" t="str">
        <f t="shared" si="160"/>
        <v>09</v>
      </c>
      <c r="N2707" t="s">
        <v>12</v>
      </c>
    </row>
    <row r="2708" spans="1:14" x14ac:dyDescent="0.25">
      <c r="A2708">
        <v>20150925</v>
      </c>
      <c r="B2708" t="str">
        <f>"060476"</f>
        <v>060476</v>
      </c>
      <c r="C2708" t="str">
        <f>"58103"</f>
        <v>58103</v>
      </c>
      <c r="D2708" t="s">
        <v>1605</v>
      </c>
      <c r="E2708" s="3">
        <v>312.82</v>
      </c>
      <c r="F2708">
        <v>20150923</v>
      </c>
      <c r="G2708" t="s">
        <v>2133</v>
      </c>
      <c r="H2708" t="s">
        <v>2134</v>
      </c>
      <c r="I2708">
        <v>0</v>
      </c>
      <c r="J2708" t="s">
        <v>1709</v>
      </c>
      <c r="K2708" t="s">
        <v>290</v>
      </c>
      <c r="L2708" t="s">
        <v>285</v>
      </c>
      <c r="M2708" t="str">
        <f t="shared" si="160"/>
        <v>09</v>
      </c>
      <c r="N2708" t="s">
        <v>12</v>
      </c>
    </row>
    <row r="2709" spans="1:14" x14ac:dyDescent="0.25">
      <c r="A2709">
        <v>20150925</v>
      </c>
      <c r="B2709" t="str">
        <f>"060478"</f>
        <v>060478</v>
      </c>
      <c r="C2709" t="str">
        <f>"58927"</f>
        <v>58927</v>
      </c>
      <c r="D2709" t="s">
        <v>1899</v>
      </c>
      <c r="E2709" s="3">
        <v>265</v>
      </c>
      <c r="F2709">
        <v>20150924</v>
      </c>
      <c r="G2709" t="s">
        <v>1718</v>
      </c>
      <c r="H2709" t="s">
        <v>2135</v>
      </c>
      <c r="I2709">
        <v>0</v>
      </c>
      <c r="J2709" t="s">
        <v>1709</v>
      </c>
      <c r="K2709" t="s">
        <v>235</v>
      </c>
      <c r="L2709" t="s">
        <v>285</v>
      </c>
      <c r="M2709" t="str">
        <f t="shared" si="160"/>
        <v>09</v>
      </c>
      <c r="N2709" t="s">
        <v>12</v>
      </c>
    </row>
    <row r="2710" spans="1:14" x14ac:dyDescent="0.25">
      <c r="A2710">
        <v>20150925</v>
      </c>
      <c r="B2710" t="str">
        <f>"060478"</f>
        <v>060478</v>
      </c>
      <c r="C2710" t="str">
        <f>"58927"</f>
        <v>58927</v>
      </c>
      <c r="D2710" t="s">
        <v>1899</v>
      </c>
      <c r="E2710" s="3">
        <v>55</v>
      </c>
      <c r="F2710">
        <v>20150924</v>
      </c>
      <c r="G2710" t="s">
        <v>1718</v>
      </c>
      <c r="H2710" t="s">
        <v>1900</v>
      </c>
      <c r="I2710">
        <v>0</v>
      </c>
      <c r="J2710" t="s">
        <v>1709</v>
      </c>
      <c r="K2710" t="s">
        <v>235</v>
      </c>
      <c r="L2710" t="s">
        <v>285</v>
      </c>
      <c r="M2710" t="str">
        <f t="shared" si="160"/>
        <v>09</v>
      </c>
      <c r="N2710" t="s">
        <v>12</v>
      </c>
    </row>
    <row r="2711" spans="1:14" x14ac:dyDescent="0.25">
      <c r="A2711">
        <v>20150925</v>
      </c>
      <c r="B2711" t="str">
        <f>"060479"</f>
        <v>060479</v>
      </c>
      <c r="C2711" t="str">
        <f>"60178"</f>
        <v>60178</v>
      </c>
      <c r="D2711" t="s">
        <v>2136</v>
      </c>
      <c r="E2711" s="3">
        <v>132</v>
      </c>
      <c r="F2711">
        <v>20150923</v>
      </c>
      <c r="G2711" t="s">
        <v>2137</v>
      </c>
      <c r="H2711" t="s">
        <v>2138</v>
      </c>
      <c r="I2711">
        <v>0</v>
      </c>
      <c r="J2711" t="s">
        <v>1709</v>
      </c>
      <c r="K2711" t="s">
        <v>1643</v>
      </c>
      <c r="L2711" t="s">
        <v>285</v>
      </c>
      <c r="M2711" t="str">
        <f t="shared" si="160"/>
        <v>09</v>
      </c>
      <c r="N2711" t="s">
        <v>12</v>
      </c>
    </row>
    <row r="2712" spans="1:14" x14ac:dyDescent="0.25">
      <c r="A2712">
        <v>20150925</v>
      </c>
      <c r="B2712" t="str">
        <f>"060480"</f>
        <v>060480</v>
      </c>
      <c r="C2712" t="str">
        <f>"60139"</f>
        <v>60139</v>
      </c>
      <c r="D2712" t="s">
        <v>2139</v>
      </c>
      <c r="E2712" s="3">
        <v>705.89</v>
      </c>
      <c r="F2712">
        <v>20150923</v>
      </c>
      <c r="G2712" t="s">
        <v>2074</v>
      </c>
      <c r="H2712" t="s">
        <v>2140</v>
      </c>
      <c r="I2712">
        <v>0</v>
      </c>
      <c r="J2712" t="s">
        <v>1709</v>
      </c>
      <c r="K2712" t="s">
        <v>1861</v>
      </c>
      <c r="L2712" t="s">
        <v>285</v>
      </c>
      <c r="M2712" t="str">
        <f t="shared" si="160"/>
        <v>09</v>
      </c>
      <c r="N2712" t="s">
        <v>12</v>
      </c>
    </row>
    <row r="2713" spans="1:14" x14ac:dyDescent="0.25">
      <c r="A2713">
        <v>20150925</v>
      </c>
      <c r="B2713" t="str">
        <f>"060481"</f>
        <v>060481</v>
      </c>
      <c r="C2713" t="str">
        <f>"62325"</f>
        <v>62325</v>
      </c>
      <c r="D2713" t="s">
        <v>2141</v>
      </c>
      <c r="E2713" s="3">
        <v>6449.31</v>
      </c>
      <c r="F2713">
        <v>20150923</v>
      </c>
      <c r="G2713" t="s">
        <v>2142</v>
      </c>
      <c r="H2713" t="s">
        <v>2143</v>
      </c>
      <c r="I2713">
        <v>0</v>
      </c>
      <c r="J2713" t="s">
        <v>1709</v>
      </c>
      <c r="K2713" t="s">
        <v>33</v>
      </c>
      <c r="L2713" t="s">
        <v>285</v>
      </c>
      <c r="M2713" t="str">
        <f t="shared" si="160"/>
        <v>09</v>
      </c>
      <c r="N2713" t="s">
        <v>12</v>
      </c>
    </row>
    <row r="2714" spans="1:14" x14ac:dyDescent="0.25">
      <c r="A2714">
        <v>20150925</v>
      </c>
      <c r="B2714" t="str">
        <f>"060481"</f>
        <v>060481</v>
      </c>
      <c r="C2714" t="str">
        <f>"62325"</f>
        <v>62325</v>
      </c>
      <c r="D2714" t="s">
        <v>2141</v>
      </c>
      <c r="E2714" s="3">
        <v>10725.8</v>
      </c>
      <c r="F2714">
        <v>20150923</v>
      </c>
      <c r="G2714" t="s">
        <v>2144</v>
      </c>
      <c r="H2714" t="s">
        <v>2143</v>
      </c>
      <c r="I2714">
        <v>0</v>
      </c>
      <c r="J2714" t="s">
        <v>1709</v>
      </c>
      <c r="K2714" t="s">
        <v>1643</v>
      </c>
      <c r="L2714" t="s">
        <v>285</v>
      </c>
      <c r="M2714" t="str">
        <f t="shared" si="160"/>
        <v>09</v>
      </c>
      <c r="N2714" t="s">
        <v>12</v>
      </c>
    </row>
    <row r="2715" spans="1:14" x14ac:dyDescent="0.25">
      <c r="A2715">
        <v>20150925</v>
      </c>
      <c r="B2715" t="str">
        <f>"060485"</f>
        <v>060485</v>
      </c>
      <c r="C2715" t="str">
        <f>"63788"</f>
        <v>63788</v>
      </c>
      <c r="D2715" t="s">
        <v>2145</v>
      </c>
      <c r="E2715" s="3">
        <v>64.91</v>
      </c>
      <c r="F2715">
        <v>20150923</v>
      </c>
      <c r="G2715" t="s">
        <v>1732</v>
      </c>
      <c r="H2715" t="s">
        <v>1733</v>
      </c>
      <c r="I2715">
        <v>0</v>
      </c>
      <c r="J2715" t="s">
        <v>1709</v>
      </c>
      <c r="K2715" t="s">
        <v>290</v>
      </c>
      <c r="L2715" t="s">
        <v>285</v>
      </c>
      <c r="M2715" t="str">
        <f t="shared" si="160"/>
        <v>09</v>
      </c>
      <c r="N2715" t="s">
        <v>12</v>
      </c>
    </row>
    <row r="2716" spans="1:14" x14ac:dyDescent="0.25">
      <c r="A2716">
        <v>20150925</v>
      </c>
      <c r="B2716" t="str">
        <f>"060486"</f>
        <v>060486</v>
      </c>
      <c r="C2716" t="str">
        <f>"65807"</f>
        <v>65807</v>
      </c>
      <c r="D2716" t="s">
        <v>2146</v>
      </c>
      <c r="E2716" s="3">
        <v>4611</v>
      </c>
      <c r="F2716">
        <v>20150923</v>
      </c>
      <c r="G2716" t="s">
        <v>2147</v>
      </c>
      <c r="H2716" t="s">
        <v>2148</v>
      </c>
      <c r="I2716">
        <v>0</v>
      </c>
      <c r="J2716" t="s">
        <v>1709</v>
      </c>
      <c r="K2716" t="s">
        <v>1861</v>
      </c>
      <c r="L2716" t="s">
        <v>285</v>
      </c>
      <c r="M2716" t="str">
        <f t="shared" si="160"/>
        <v>09</v>
      </c>
      <c r="N2716" t="s">
        <v>12</v>
      </c>
    </row>
    <row r="2717" spans="1:14" x14ac:dyDescent="0.25">
      <c r="A2717">
        <v>20150925</v>
      </c>
      <c r="B2717" t="str">
        <f>"060487"</f>
        <v>060487</v>
      </c>
      <c r="C2717" t="str">
        <f>"67740"</f>
        <v>67740</v>
      </c>
      <c r="D2717" t="s">
        <v>2149</v>
      </c>
      <c r="E2717" s="3">
        <v>501.68</v>
      </c>
      <c r="F2717">
        <v>20150923</v>
      </c>
      <c r="G2717" t="s">
        <v>1854</v>
      </c>
      <c r="H2717" t="s">
        <v>2150</v>
      </c>
      <c r="I2717">
        <v>0</v>
      </c>
      <c r="J2717" t="s">
        <v>1709</v>
      </c>
      <c r="K2717" t="s">
        <v>1856</v>
      </c>
      <c r="L2717" t="s">
        <v>285</v>
      </c>
      <c r="M2717" t="str">
        <f t="shared" si="160"/>
        <v>09</v>
      </c>
      <c r="N2717" t="s">
        <v>12</v>
      </c>
    </row>
    <row r="2718" spans="1:14" x14ac:dyDescent="0.25">
      <c r="A2718">
        <v>20150925</v>
      </c>
      <c r="B2718" t="str">
        <f t="shared" ref="B2718:B2724" si="165">"060489"</f>
        <v>060489</v>
      </c>
      <c r="C2718" t="str">
        <f t="shared" ref="C2718:C2724" si="166">"72730"</f>
        <v>72730</v>
      </c>
      <c r="D2718" t="s">
        <v>1926</v>
      </c>
      <c r="E2718" s="3">
        <v>131.66</v>
      </c>
      <c r="F2718">
        <v>20150923</v>
      </c>
      <c r="G2718" t="s">
        <v>1974</v>
      </c>
      <c r="H2718" t="s">
        <v>2151</v>
      </c>
      <c r="I2718">
        <v>0</v>
      </c>
      <c r="J2718" t="s">
        <v>1709</v>
      </c>
      <c r="K2718" t="s">
        <v>290</v>
      </c>
      <c r="L2718" t="s">
        <v>285</v>
      </c>
      <c r="M2718" t="str">
        <f t="shared" ref="M2718:M2737" si="167">"09"</f>
        <v>09</v>
      </c>
      <c r="N2718" t="s">
        <v>12</v>
      </c>
    </row>
    <row r="2719" spans="1:14" x14ac:dyDescent="0.25">
      <c r="A2719">
        <v>20150925</v>
      </c>
      <c r="B2719" t="str">
        <f t="shared" si="165"/>
        <v>060489</v>
      </c>
      <c r="C2719" t="str">
        <f t="shared" si="166"/>
        <v>72730</v>
      </c>
      <c r="D2719" t="s">
        <v>1926</v>
      </c>
      <c r="E2719" s="3">
        <v>349.02</v>
      </c>
      <c r="F2719">
        <v>20150923</v>
      </c>
      <c r="G2719" t="s">
        <v>1974</v>
      </c>
      <c r="H2719" t="s">
        <v>2152</v>
      </c>
      <c r="I2719">
        <v>0</v>
      </c>
      <c r="J2719" t="s">
        <v>1709</v>
      </c>
      <c r="K2719" t="s">
        <v>290</v>
      </c>
      <c r="L2719" t="s">
        <v>285</v>
      </c>
      <c r="M2719" t="str">
        <f t="shared" si="167"/>
        <v>09</v>
      </c>
      <c r="N2719" t="s">
        <v>12</v>
      </c>
    </row>
    <row r="2720" spans="1:14" x14ac:dyDescent="0.25">
      <c r="A2720">
        <v>20150925</v>
      </c>
      <c r="B2720" t="str">
        <f t="shared" si="165"/>
        <v>060489</v>
      </c>
      <c r="C2720" t="str">
        <f t="shared" si="166"/>
        <v>72730</v>
      </c>
      <c r="D2720" t="s">
        <v>1926</v>
      </c>
      <c r="E2720" s="3">
        <v>149.06</v>
      </c>
      <c r="F2720">
        <v>20150923</v>
      </c>
      <c r="G2720" t="s">
        <v>2124</v>
      </c>
      <c r="H2720" t="s">
        <v>1928</v>
      </c>
      <c r="I2720">
        <v>0</v>
      </c>
      <c r="J2720" t="s">
        <v>1709</v>
      </c>
      <c r="K2720" t="s">
        <v>290</v>
      </c>
      <c r="L2720" t="s">
        <v>285</v>
      </c>
      <c r="M2720" t="str">
        <f t="shared" si="167"/>
        <v>09</v>
      </c>
      <c r="N2720" t="s">
        <v>12</v>
      </c>
    </row>
    <row r="2721" spans="1:14" x14ac:dyDescent="0.25">
      <c r="A2721">
        <v>20150925</v>
      </c>
      <c r="B2721" t="str">
        <f t="shared" si="165"/>
        <v>060489</v>
      </c>
      <c r="C2721" t="str">
        <f t="shared" si="166"/>
        <v>72730</v>
      </c>
      <c r="D2721" t="s">
        <v>1926</v>
      </c>
      <c r="E2721" s="3">
        <v>75.36</v>
      </c>
      <c r="F2721">
        <v>20150923</v>
      </c>
      <c r="G2721" t="s">
        <v>2153</v>
      </c>
      <c r="H2721" t="s">
        <v>2154</v>
      </c>
      <c r="I2721">
        <v>0</v>
      </c>
      <c r="J2721" t="s">
        <v>1709</v>
      </c>
      <c r="K2721" t="s">
        <v>290</v>
      </c>
      <c r="L2721" t="s">
        <v>285</v>
      </c>
      <c r="M2721" t="str">
        <f t="shared" si="167"/>
        <v>09</v>
      </c>
      <c r="N2721" t="s">
        <v>12</v>
      </c>
    </row>
    <row r="2722" spans="1:14" x14ac:dyDescent="0.25">
      <c r="A2722">
        <v>20150925</v>
      </c>
      <c r="B2722" t="str">
        <f t="shared" si="165"/>
        <v>060489</v>
      </c>
      <c r="C2722" t="str">
        <f t="shared" si="166"/>
        <v>72730</v>
      </c>
      <c r="D2722" t="s">
        <v>1926</v>
      </c>
      <c r="E2722" s="3">
        <v>84.6</v>
      </c>
      <c r="F2722">
        <v>20150923</v>
      </c>
      <c r="G2722" t="s">
        <v>2155</v>
      </c>
      <c r="H2722" t="s">
        <v>2156</v>
      </c>
      <c r="I2722">
        <v>0</v>
      </c>
      <c r="J2722" t="s">
        <v>1709</v>
      </c>
      <c r="K2722" t="s">
        <v>290</v>
      </c>
      <c r="L2722" t="s">
        <v>285</v>
      </c>
      <c r="M2722" t="str">
        <f t="shared" si="167"/>
        <v>09</v>
      </c>
      <c r="N2722" t="s">
        <v>12</v>
      </c>
    </row>
    <row r="2723" spans="1:14" x14ac:dyDescent="0.25">
      <c r="A2723">
        <v>20150925</v>
      </c>
      <c r="B2723" t="str">
        <f t="shared" si="165"/>
        <v>060489</v>
      </c>
      <c r="C2723" t="str">
        <f t="shared" si="166"/>
        <v>72730</v>
      </c>
      <c r="D2723" t="s">
        <v>1926</v>
      </c>
      <c r="E2723" s="3">
        <v>290.45</v>
      </c>
      <c r="F2723">
        <v>20150923</v>
      </c>
      <c r="G2723" t="s">
        <v>2155</v>
      </c>
      <c r="H2723" t="s">
        <v>2157</v>
      </c>
      <c r="I2723">
        <v>0</v>
      </c>
      <c r="J2723" t="s">
        <v>1709</v>
      </c>
      <c r="K2723" t="s">
        <v>290</v>
      </c>
      <c r="L2723" t="s">
        <v>285</v>
      </c>
      <c r="M2723" t="str">
        <f t="shared" si="167"/>
        <v>09</v>
      </c>
      <c r="N2723" t="s">
        <v>12</v>
      </c>
    </row>
    <row r="2724" spans="1:14" x14ac:dyDescent="0.25">
      <c r="A2724">
        <v>20150925</v>
      </c>
      <c r="B2724" t="str">
        <f t="shared" si="165"/>
        <v>060489</v>
      </c>
      <c r="C2724" t="str">
        <f t="shared" si="166"/>
        <v>72730</v>
      </c>
      <c r="D2724" t="s">
        <v>1926</v>
      </c>
      <c r="E2724" s="3">
        <v>44.99</v>
      </c>
      <c r="F2724">
        <v>20150923</v>
      </c>
      <c r="G2724" t="s">
        <v>2049</v>
      </c>
      <c r="H2724" t="s">
        <v>2158</v>
      </c>
      <c r="I2724">
        <v>0</v>
      </c>
      <c r="J2724" t="s">
        <v>1709</v>
      </c>
      <c r="K2724" t="s">
        <v>1775</v>
      </c>
      <c r="L2724" t="s">
        <v>285</v>
      </c>
      <c r="M2724" t="str">
        <f t="shared" si="167"/>
        <v>09</v>
      </c>
      <c r="N2724" t="s">
        <v>12</v>
      </c>
    </row>
    <row r="2725" spans="1:14" x14ac:dyDescent="0.25">
      <c r="A2725">
        <v>20150925</v>
      </c>
      <c r="B2725" t="str">
        <f>"060490"</f>
        <v>060490</v>
      </c>
      <c r="C2725" t="str">
        <f>"76505"</f>
        <v>76505</v>
      </c>
      <c r="D2725" t="s">
        <v>1785</v>
      </c>
      <c r="E2725" s="3">
        <v>630</v>
      </c>
      <c r="F2725">
        <v>20150923</v>
      </c>
      <c r="G2725" t="s">
        <v>2159</v>
      </c>
      <c r="H2725" t="s">
        <v>1784</v>
      </c>
      <c r="I2725">
        <v>0</v>
      </c>
      <c r="J2725" t="s">
        <v>1709</v>
      </c>
      <c r="K2725" t="s">
        <v>95</v>
      </c>
      <c r="L2725" t="s">
        <v>285</v>
      </c>
      <c r="M2725" t="str">
        <f t="shared" si="167"/>
        <v>09</v>
      </c>
      <c r="N2725" t="s">
        <v>12</v>
      </c>
    </row>
    <row r="2726" spans="1:14" x14ac:dyDescent="0.25">
      <c r="A2726">
        <v>20150925</v>
      </c>
      <c r="B2726" t="str">
        <f>"060491"</f>
        <v>060491</v>
      </c>
      <c r="C2726" t="str">
        <f>"76304"</f>
        <v>76304</v>
      </c>
      <c r="D2726" t="s">
        <v>1787</v>
      </c>
      <c r="E2726" s="3">
        <v>90</v>
      </c>
      <c r="F2726">
        <v>20150923</v>
      </c>
      <c r="G2726" t="s">
        <v>1788</v>
      </c>
      <c r="H2726" t="s">
        <v>2160</v>
      </c>
      <c r="I2726">
        <v>0</v>
      </c>
      <c r="J2726" t="s">
        <v>1709</v>
      </c>
      <c r="K2726" t="s">
        <v>1643</v>
      </c>
      <c r="L2726" t="s">
        <v>285</v>
      </c>
      <c r="M2726" t="str">
        <f t="shared" si="167"/>
        <v>09</v>
      </c>
      <c r="N2726" t="s">
        <v>12</v>
      </c>
    </row>
    <row r="2727" spans="1:14" x14ac:dyDescent="0.25">
      <c r="A2727">
        <v>20150925</v>
      </c>
      <c r="B2727" t="str">
        <f>"060491"</f>
        <v>060491</v>
      </c>
      <c r="C2727" t="str">
        <f>"76304"</f>
        <v>76304</v>
      </c>
      <c r="D2727" t="s">
        <v>1787</v>
      </c>
      <c r="E2727" s="3">
        <v>60</v>
      </c>
      <c r="F2727">
        <v>20150923</v>
      </c>
      <c r="G2727" t="s">
        <v>1788</v>
      </c>
      <c r="H2727" t="s">
        <v>2161</v>
      </c>
      <c r="I2727">
        <v>0</v>
      </c>
      <c r="J2727" t="s">
        <v>1709</v>
      </c>
      <c r="K2727" t="s">
        <v>1643</v>
      </c>
      <c r="L2727" t="s">
        <v>285</v>
      </c>
      <c r="M2727" t="str">
        <f t="shared" si="167"/>
        <v>09</v>
      </c>
      <c r="N2727" t="s">
        <v>12</v>
      </c>
    </row>
    <row r="2728" spans="1:14" x14ac:dyDescent="0.25">
      <c r="A2728">
        <v>20150925</v>
      </c>
      <c r="B2728" t="str">
        <f>"060493"</f>
        <v>060493</v>
      </c>
      <c r="C2728" t="str">
        <f>"81155"</f>
        <v>81155</v>
      </c>
      <c r="D2728" t="s">
        <v>131</v>
      </c>
      <c r="E2728" s="3">
        <v>180</v>
      </c>
      <c r="F2728">
        <v>20150923</v>
      </c>
      <c r="G2728" t="s">
        <v>2162</v>
      </c>
      <c r="H2728" t="s">
        <v>1795</v>
      </c>
      <c r="I2728">
        <v>0</v>
      </c>
      <c r="J2728" t="s">
        <v>1709</v>
      </c>
      <c r="K2728" t="s">
        <v>1643</v>
      </c>
      <c r="L2728" t="s">
        <v>285</v>
      </c>
      <c r="M2728" t="str">
        <f t="shared" si="167"/>
        <v>09</v>
      </c>
      <c r="N2728" t="s">
        <v>12</v>
      </c>
    </row>
    <row r="2729" spans="1:14" x14ac:dyDescent="0.25">
      <c r="A2729">
        <v>20150925</v>
      </c>
      <c r="B2729" t="str">
        <f>"060494"</f>
        <v>060494</v>
      </c>
      <c r="C2729" t="str">
        <f>"80700"</f>
        <v>80700</v>
      </c>
      <c r="D2729" t="s">
        <v>2163</v>
      </c>
      <c r="E2729" s="3">
        <v>3071.45</v>
      </c>
      <c r="F2729">
        <v>20150923</v>
      </c>
      <c r="G2729" t="s">
        <v>2164</v>
      </c>
      <c r="H2729" t="s">
        <v>2165</v>
      </c>
      <c r="I2729">
        <v>0</v>
      </c>
      <c r="J2729" t="s">
        <v>1709</v>
      </c>
      <c r="K2729" t="s">
        <v>1861</v>
      </c>
      <c r="L2729" t="s">
        <v>285</v>
      </c>
      <c r="M2729" t="str">
        <f t="shared" si="167"/>
        <v>09</v>
      </c>
      <c r="N2729" t="s">
        <v>12</v>
      </c>
    </row>
    <row r="2730" spans="1:14" x14ac:dyDescent="0.25">
      <c r="A2730">
        <v>20150925</v>
      </c>
      <c r="B2730" t="str">
        <f>"060495"</f>
        <v>060495</v>
      </c>
      <c r="C2730" t="str">
        <f>"82125"</f>
        <v>82125</v>
      </c>
      <c r="D2730" t="s">
        <v>2166</v>
      </c>
      <c r="E2730" s="3">
        <v>138</v>
      </c>
      <c r="F2730">
        <v>20150923</v>
      </c>
      <c r="G2730" t="s">
        <v>2074</v>
      </c>
      <c r="H2730" t="s">
        <v>2167</v>
      </c>
      <c r="I2730">
        <v>0</v>
      </c>
      <c r="J2730" t="s">
        <v>1709</v>
      </c>
      <c r="K2730" t="s">
        <v>1861</v>
      </c>
      <c r="L2730" t="s">
        <v>285</v>
      </c>
      <c r="M2730" t="str">
        <f t="shared" si="167"/>
        <v>09</v>
      </c>
      <c r="N2730" t="s">
        <v>12</v>
      </c>
    </row>
    <row r="2731" spans="1:14" x14ac:dyDescent="0.25">
      <c r="A2731">
        <v>20150925</v>
      </c>
      <c r="B2731" t="str">
        <f>"060497"</f>
        <v>060497</v>
      </c>
      <c r="C2731" t="str">
        <f>"83022"</f>
        <v>83022</v>
      </c>
      <c r="D2731" t="s">
        <v>394</v>
      </c>
      <c r="E2731" s="3">
        <v>21.28</v>
      </c>
      <c r="F2731">
        <v>20150924</v>
      </c>
      <c r="G2731" t="s">
        <v>2168</v>
      </c>
      <c r="H2731" t="s">
        <v>2169</v>
      </c>
      <c r="I2731">
        <v>0</v>
      </c>
      <c r="J2731" t="s">
        <v>1709</v>
      </c>
      <c r="K2731" t="s">
        <v>33</v>
      </c>
      <c r="L2731" t="s">
        <v>285</v>
      </c>
      <c r="M2731" t="str">
        <f t="shared" si="167"/>
        <v>09</v>
      </c>
      <c r="N2731" t="s">
        <v>12</v>
      </c>
    </row>
    <row r="2732" spans="1:14" x14ac:dyDescent="0.25">
      <c r="A2732">
        <v>20150925</v>
      </c>
      <c r="B2732" t="str">
        <f>"060497"</f>
        <v>060497</v>
      </c>
      <c r="C2732" t="str">
        <f>"83022"</f>
        <v>83022</v>
      </c>
      <c r="D2732" t="s">
        <v>394</v>
      </c>
      <c r="E2732" s="3">
        <v>51.28</v>
      </c>
      <c r="F2732">
        <v>20150924</v>
      </c>
      <c r="G2732" t="s">
        <v>2168</v>
      </c>
      <c r="H2732" t="s">
        <v>2170</v>
      </c>
      <c r="I2732">
        <v>0</v>
      </c>
      <c r="J2732" t="s">
        <v>1709</v>
      </c>
      <c r="K2732" t="s">
        <v>33</v>
      </c>
      <c r="L2732" t="s">
        <v>285</v>
      </c>
      <c r="M2732" t="str">
        <f t="shared" si="167"/>
        <v>09</v>
      </c>
      <c r="N2732" t="s">
        <v>12</v>
      </c>
    </row>
    <row r="2733" spans="1:14" x14ac:dyDescent="0.25">
      <c r="A2733">
        <v>20150925</v>
      </c>
      <c r="B2733" t="str">
        <f>"060497"</f>
        <v>060497</v>
      </c>
      <c r="C2733" t="str">
        <f>"83022"</f>
        <v>83022</v>
      </c>
      <c r="D2733" t="s">
        <v>394</v>
      </c>
      <c r="E2733" s="3">
        <v>31.49</v>
      </c>
      <c r="F2733">
        <v>20150924</v>
      </c>
      <c r="G2733" t="s">
        <v>2168</v>
      </c>
      <c r="H2733" t="s">
        <v>2171</v>
      </c>
      <c r="I2733">
        <v>0</v>
      </c>
      <c r="J2733" t="s">
        <v>1709</v>
      </c>
      <c r="K2733" t="s">
        <v>33</v>
      </c>
      <c r="L2733" t="s">
        <v>285</v>
      </c>
      <c r="M2733" t="str">
        <f t="shared" si="167"/>
        <v>09</v>
      </c>
      <c r="N2733" t="s">
        <v>12</v>
      </c>
    </row>
    <row r="2734" spans="1:14" x14ac:dyDescent="0.25">
      <c r="A2734">
        <v>20150925</v>
      </c>
      <c r="B2734" t="str">
        <f>"060497"</f>
        <v>060497</v>
      </c>
      <c r="C2734" t="str">
        <f>"83022"</f>
        <v>83022</v>
      </c>
      <c r="D2734" t="s">
        <v>394</v>
      </c>
      <c r="E2734" s="3">
        <v>111.29</v>
      </c>
      <c r="F2734">
        <v>20150924</v>
      </c>
      <c r="G2734" t="s">
        <v>2172</v>
      </c>
      <c r="H2734" t="s">
        <v>2173</v>
      </c>
      <c r="I2734">
        <v>0</v>
      </c>
      <c r="J2734" t="s">
        <v>1709</v>
      </c>
      <c r="K2734" t="s">
        <v>95</v>
      </c>
      <c r="L2734" t="s">
        <v>285</v>
      </c>
      <c r="M2734" t="str">
        <f t="shared" si="167"/>
        <v>09</v>
      </c>
      <c r="N2734" t="s">
        <v>12</v>
      </c>
    </row>
    <row r="2735" spans="1:14" x14ac:dyDescent="0.25">
      <c r="A2735">
        <v>20150925</v>
      </c>
      <c r="B2735" t="str">
        <f>"060498"</f>
        <v>060498</v>
      </c>
      <c r="C2735" t="str">
        <f>"84593"</f>
        <v>84593</v>
      </c>
      <c r="D2735" t="s">
        <v>2174</v>
      </c>
      <c r="E2735" s="3">
        <v>869.4</v>
      </c>
      <c r="F2735">
        <v>20150923</v>
      </c>
      <c r="G2735" t="s">
        <v>2137</v>
      </c>
      <c r="H2735" t="s">
        <v>2175</v>
      </c>
      <c r="I2735">
        <v>0</v>
      </c>
      <c r="J2735" t="s">
        <v>1709</v>
      </c>
      <c r="K2735" t="s">
        <v>1643</v>
      </c>
      <c r="L2735" t="s">
        <v>285</v>
      </c>
      <c r="M2735" t="str">
        <f t="shared" si="167"/>
        <v>09</v>
      </c>
      <c r="N2735" t="s">
        <v>12</v>
      </c>
    </row>
    <row r="2736" spans="1:14" x14ac:dyDescent="0.25">
      <c r="A2736">
        <v>20150929</v>
      </c>
      <c r="B2736" t="str">
        <f>"060500"</f>
        <v>060500</v>
      </c>
      <c r="C2736" t="str">
        <f>"74238"</f>
        <v>74238</v>
      </c>
      <c r="D2736" t="s">
        <v>2176</v>
      </c>
      <c r="E2736" s="3">
        <v>70</v>
      </c>
      <c r="F2736">
        <v>20150929</v>
      </c>
      <c r="G2736" t="s">
        <v>1786</v>
      </c>
      <c r="H2736" t="s">
        <v>2177</v>
      </c>
      <c r="I2736">
        <v>0</v>
      </c>
      <c r="J2736" t="s">
        <v>1709</v>
      </c>
      <c r="K2736" t="s">
        <v>290</v>
      </c>
      <c r="L2736" t="s">
        <v>17</v>
      </c>
      <c r="M2736" t="str">
        <f t="shared" si="167"/>
        <v>09</v>
      </c>
      <c r="N2736" t="s">
        <v>12</v>
      </c>
    </row>
    <row r="2737" spans="1:14" x14ac:dyDescent="0.25">
      <c r="A2737">
        <v>20150929</v>
      </c>
      <c r="B2737" t="str">
        <f>"060501"</f>
        <v>060501</v>
      </c>
      <c r="C2737" t="str">
        <f>"43162"</f>
        <v>43162</v>
      </c>
      <c r="D2737" t="s">
        <v>2178</v>
      </c>
      <c r="E2737" s="3">
        <v>50</v>
      </c>
      <c r="F2737">
        <v>20150929</v>
      </c>
      <c r="G2737" t="s">
        <v>1786</v>
      </c>
      <c r="H2737" t="s">
        <v>2179</v>
      </c>
      <c r="I2737">
        <v>0</v>
      </c>
      <c r="J2737" t="s">
        <v>1709</v>
      </c>
      <c r="K2737" t="s">
        <v>290</v>
      </c>
      <c r="L2737" t="s">
        <v>17</v>
      </c>
      <c r="M2737" t="str">
        <f t="shared" si="167"/>
        <v>09</v>
      </c>
      <c r="N2737" t="s">
        <v>12</v>
      </c>
    </row>
    <row r="2738" spans="1:14" x14ac:dyDescent="0.25">
      <c r="A2738">
        <v>20151006</v>
      </c>
      <c r="B2738" t="str">
        <f>"060503"</f>
        <v>060503</v>
      </c>
      <c r="C2738" t="str">
        <f>"77054"</f>
        <v>77054</v>
      </c>
      <c r="D2738" t="s">
        <v>2180</v>
      </c>
      <c r="E2738" s="3">
        <v>175</v>
      </c>
      <c r="F2738">
        <v>20151006</v>
      </c>
      <c r="G2738" t="s">
        <v>2181</v>
      </c>
      <c r="H2738" t="s">
        <v>2182</v>
      </c>
      <c r="I2738">
        <v>0</v>
      </c>
      <c r="J2738" t="s">
        <v>1709</v>
      </c>
      <c r="K2738" t="s">
        <v>33</v>
      </c>
      <c r="L2738" t="s">
        <v>17</v>
      </c>
      <c r="M2738" t="str">
        <f t="shared" ref="M2738:M2801" si="168">"10"</f>
        <v>10</v>
      </c>
      <c r="N2738" t="s">
        <v>12</v>
      </c>
    </row>
    <row r="2739" spans="1:14" x14ac:dyDescent="0.25">
      <c r="A2739">
        <v>20151008</v>
      </c>
      <c r="B2739" t="str">
        <f>"060504"</f>
        <v>060504</v>
      </c>
      <c r="C2739" t="str">
        <f>"40853"</f>
        <v>40853</v>
      </c>
      <c r="D2739" t="s">
        <v>2183</v>
      </c>
      <c r="E2739" s="3">
        <v>105.93</v>
      </c>
      <c r="F2739">
        <v>20151008</v>
      </c>
      <c r="G2739" t="s">
        <v>1794</v>
      </c>
      <c r="H2739" t="s">
        <v>2184</v>
      </c>
      <c r="I2739">
        <v>0</v>
      </c>
      <c r="J2739" t="s">
        <v>1709</v>
      </c>
      <c r="K2739" t="s">
        <v>290</v>
      </c>
      <c r="L2739" t="s">
        <v>285</v>
      </c>
      <c r="M2739" t="str">
        <f t="shared" si="168"/>
        <v>10</v>
      </c>
      <c r="N2739" t="s">
        <v>12</v>
      </c>
    </row>
    <row r="2740" spans="1:14" x14ac:dyDescent="0.25">
      <c r="A2740">
        <v>20151008</v>
      </c>
      <c r="B2740" t="str">
        <f>"060504"</f>
        <v>060504</v>
      </c>
      <c r="C2740" t="str">
        <f>"40853"</f>
        <v>40853</v>
      </c>
      <c r="D2740" t="s">
        <v>2183</v>
      </c>
      <c r="E2740" s="3">
        <v>105.93</v>
      </c>
      <c r="F2740">
        <v>20151008</v>
      </c>
      <c r="G2740" t="s">
        <v>1794</v>
      </c>
      <c r="H2740" t="s">
        <v>2184</v>
      </c>
      <c r="I2740">
        <v>0</v>
      </c>
      <c r="J2740" t="s">
        <v>1709</v>
      </c>
      <c r="K2740" t="s">
        <v>290</v>
      </c>
      <c r="L2740" t="s">
        <v>285</v>
      </c>
      <c r="M2740" t="str">
        <f t="shared" si="168"/>
        <v>10</v>
      </c>
      <c r="N2740" t="s">
        <v>12</v>
      </c>
    </row>
    <row r="2741" spans="1:14" x14ac:dyDescent="0.25">
      <c r="A2741">
        <v>20151008</v>
      </c>
      <c r="B2741" t="str">
        <f>"060505"</f>
        <v>060505</v>
      </c>
      <c r="C2741" t="str">
        <f>"63603"</f>
        <v>63603</v>
      </c>
      <c r="D2741" t="s">
        <v>2185</v>
      </c>
      <c r="E2741" s="3">
        <v>300</v>
      </c>
      <c r="F2741">
        <v>20151008</v>
      </c>
      <c r="G2741" t="s">
        <v>1710</v>
      </c>
      <c r="H2741" t="s">
        <v>2186</v>
      </c>
      <c r="I2741">
        <v>0</v>
      </c>
      <c r="J2741" t="s">
        <v>1709</v>
      </c>
      <c r="K2741" t="s">
        <v>290</v>
      </c>
      <c r="L2741" t="s">
        <v>285</v>
      </c>
      <c r="M2741" t="str">
        <f t="shared" si="168"/>
        <v>10</v>
      </c>
      <c r="N2741" t="s">
        <v>12</v>
      </c>
    </row>
    <row r="2742" spans="1:14" x14ac:dyDescent="0.25">
      <c r="A2742">
        <v>20151008</v>
      </c>
      <c r="B2742" t="str">
        <f>"060507"</f>
        <v>060507</v>
      </c>
      <c r="C2742" t="str">
        <f>"77048"</f>
        <v>77048</v>
      </c>
      <c r="D2742" t="s">
        <v>2024</v>
      </c>
      <c r="E2742" s="3">
        <v>45</v>
      </c>
      <c r="F2742">
        <v>20151008</v>
      </c>
      <c r="G2742" t="s">
        <v>2025</v>
      </c>
      <c r="H2742" t="s">
        <v>2026</v>
      </c>
      <c r="I2742">
        <v>0</v>
      </c>
      <c r="J2742" t="s">
        <v>1709</v>
      </c>
      <c r="K2742" t="s">
        <v>1984</v>
      </c>
      <c r="L2742" t="s">
        <v>285</v>
      </c>
      <c r="M2742" t="str">
        <f t="shared" si="168"/>
        <v>10</v>
      </c>
      <c r="N2742" t="s">
        <v>12</v>
      </c>
    </row>
    <row r="2743" spans="1:14" x14ac:dyDescent="0.25">
      <c r="A2743">
        <v>20151008</v>
      </c>
      <c r="B2743" t="str">
        <f>"060508"</f>
        <v>060508</v>
      </c>
      <c r="C2743" t="str">
        <f>"74238"</f>
        <v>74238</v>
      </c>
      <c r="D2743" t="s">
        <v>2176</v>
      </c>
      <c r="E2743" s="3">
        <v>130</v>
      </c>
      <c r="F2743">
        <v>20151008</v>
      </c>
      <c r="G2743" t="s">
        <v>1794</v>
      </c>
      <c r="H2743" t="s">
        <v>2184</v>
      </c>
      <c r="I2743">
        <v>0</v>
      </c>
      <c r="J2743" t="s">
        <v>1709</v>
      </c>
      <c r="K2743" t="s">
        <v>290</v>
      </c>
      <c r="L2743" t="s">
        <v>285</v>
      </c>
      <c r="M2743" t="str">
        <f t="shared" si="168"/>
        <v>10</v>
      </c>
      <c r="N2743" t="s">
        <v>12</v>
      </c>
    </row>
    <row r="2744" spans="1:14" x14ac:dyDescent="0.25">
      <c r="A2744">
        <v>20151008</v>
      </c>
      <c r="B2744" t="str">
        <f>"060509"</f>
        <v>060509</v>
      </c>
      <c r="C2744" t="str">
        <f>"78727"</f>
        <v>78727</v>
      </c>
      <c r="D2744" t="s">
        <v>2187</v>
      </c>
      <c r="E2744" s="3">
        <v>50</v>
      </c>
      <c r="F2744">
        <v>20151008</v>
      </c>
      <c r="G2744" t="s">
        <v>2188</v>
      </c>
      <c r="H2744" t="s">
        <v>2189</v>
      </c>
      <c r="I2744">
        <v>0</v>
      </c>
      <c r="J2744" t="s">
        <v>1709</v>
      </c>
      <c r="K2744" t="s">
        <v>95</v>
      </c>
      <c r="L2744" t="s">
        <v>285</v>
      </c>
      <c r="M2744" t="str">
        <f t="shared" si="168"/>
        <v>10</v>
      </c>
      <c r="N2744" t="s">
        <v>12</v>
      </c>
    </row>
    <row r="2745" spans="1:14" x14ac:dyDescent="0.25">
      <c r="A2745">
        <v>20151008</v>
      </c>
      <c r="B2745" t="str">
        <f>"060510"</f>
        <v>060510</v>
      </c>
      <c r="C2745" t="str">
        <f>"78730"</f>
        <v>78730</v>
      </c>
      <c r="D2745" t="s">
        <v>2039</v>
      </c>
      <c r="E2745" s="3">
        <v>95</v>
      </c>
      <c r="F2745">
        <v>20151008</v>
      </c>
      <c r="G2745" t="s">
        <v>2040</v>
      </c>
      <c r="H2745" t="s">
        <v>2190</v>
      </c>
      <c r="I2745">
        <v>0</v>
      </c>
      <c r="J2745" t="s">
        <v>1709</v>
      </c>
      <c r="K2745" t="s">
        <v>290</v>
      </c>
      <c r="L2745" t="s">
        <v>285</v>
      </c>
      <c r="M2745" t="str">
        <f t="shared" si="168"/>
        <v>10</v>
      </c>
      <c r="N2745" t="s">
        <v>12</v>
      </c>
    </row>
    <row r="2746" spans="1:14" x14ac:dyDescent="0.25">
      <c r="A2746">
        <v>20151008</v>
      </c>
      <c r="B2746" t="str">
        <f>"060510"</f>
        <v>060510</v>
      </c>
      <c r="C2746" t="str">
        <f>"78730"</f>
        <v>78730</v>
      </c>
      <c r="D2746" t="s">
        <v>2039</v>
      </c>
      <c r="E2746" s="3">
        <v>270</v>
      </c>
      <c r="F2746">
        <v>20151008</v>
      </c>
      <c r="G2746" t="s">
        <v>2188</v>
      </c>
      <c r="H2746" t="s">
        <v>2191</v>
      </c>
      <c r="I2746">
        <v>0</v>
      </c>
      <c r="J2746" t="s">
        <v>1709</v>
      </c>
      <c r="K2746" t="s">
        <v>95</v>
      </c>
      <c r="L2746" t="s">
        <v>285</v>
      </c>
      <c r="M2746" t="str">
        <f t="shared" si="168"/>
        <v>10</v>
      </c>
      <c r="N2746" t="s">
        <v>12</v>
      </c>
    </row>
    <row r="2747" spans="1:14" x14ac:dyDescent="0.25">
      <c r="A2747">
        <v>20151009</v>
      </c>
      <c r="B2747" t="str">
        <f>"060512"</f>
        <v>060512</v>
      </c>
      <c r="C2747" t="str">
        <f>"29779"</f>
        <v>29779</v>
      </c>
      <c r="D2747" t="s">
        <v>1806</v>
      </c>
      <c r="E2747" s="3">
        <v>560</v>
      </c>
      <c r="F2747">
        <v>20151008</v>
      </c>
      <c r="G2747" t="s">
        <v>2192</v>
      </c>
      <c r="H2747" t="s">
        <v>2193</v>
      </c>
      <c r="I2747">
        <v>0</v>
      </c>
      <c r="J2747" t="s">
        <v>1709</v>
      </c>
      <c r="K2747" t="s">
        <v>2194</v>
      </c>
      <c r="L2747" t="s">
        <v>285</v>
      </c>
      <c r="M2747" t="str">
        <f t="shared" si="168"/>
        <v>10</v>
      </c>
      <c r="N2747" t="s">
        <v>12</v>
      </c>
    </row>
    <row r="2748" spans="1:14" x14ac:dyDescent="0.25">
      <c r="A2748">
        <v>20151009</v>
      </c>
      <c r="B2748" t="str">
        <f>"060512"</f>
        <v>060512</v>
      </c>
      <c r="C2748" t="str">
        <f>"29779"</f>
        <v>29779</v>
      </c>
      <c r="D2748" t="s">
        <v>1806</v>
      </c>
      <c r="E2748" s="3">
        <v>560</v>
      </c>
      <c r="F2748">
        <v>20151008</v>
      </c>
      <c r="G2748" t="s">
        <v>2192</v>
      </c>
      <c r="H2748" t="s">
        <v>2195</v>
      </c>
      <c r="I2748">
        <v>0</v>
      </c>
      <c r="J2748" t="s">
        <v>1709</v>
      </c>
      <c r="K2748" t="s">
        <v>2194</v>
      </c>
      <c r="L2748" t="s">
        <v>285</v>
      </c>
      <c r="M2748" t="str">
        <f t="shared" si="168"/>
        <v>10</v>
      </c>
      <c r="N2748" t="s">
        <v>12</v>
      </c>
    </row>
    <row r="2749" spans="1:14" x14ac:dyDescent="0.25">
      <c r="A2749">
        <v>20151009</v>
      </c>
      <c r="B2749" t="str">
        <f>"060512"</f>
        <v>060512</v>
      </c>
      <c r="C2749" t="str">
        <f>"29779"</f>
        <v>29779</v>
      </c>
      <c r="D2749" t="s">
        <v>1806</v>
      </c>
      <c r="E2749" s="3">
        <v>560</v>
      </c>
      <c r="F2749">
        <v>20151008</v>
      </c>
      <c r="G2749" t="s">
        <v>2192</v>
      </c>
      <c r="H2749" t="s">
        <v>2196</v>
      </c>
      <c r="I2749">
        <v>0</v>
      </c>
      <c r="J2749" t="s">
        <v>1709</v>
      </c>
      <c r="K2749" t="s">
        <v>2194</v>
      </c>
      <c r="L2749" t="s">
        <v>285</v>
      </c>
      <c r="M2749" t="str">
        <f t="shared" si="168"/>
        <v>10</v>
      </c>
      <c r="N2749" t="s">
        <v>12</v>
      </c>
    </row>
    <row r="2750" spans="1:14" x14ac:dyDescent="0.25">
      <c r="A2750">
        <v>20151009</v>
      </c>
      <c r="B2750" t="str">
        <f>"060512"</f>
        <v>060512</v>
      </c>
      <c r="C2750" t="str">
        <f>"29779"</f>
        <v>29779</v>
      </c>
      <c r="D2750" t="s">
        <v>1806</v>
      </c>
      <c r="E2750" s="3">
        <v>350</v>
      </c>
      <c r="F2750">
        <v>20151008</v>
      </c>
      <c r="G2750" t="s">
        <v>2192</v>
      </c>
      <c r="H2750" t="s">
        <v>2197</v>
      </c>
      <c r="I2750">
        <v>0</v>
      </c>
      <c r="J2750" t="s">
        <v>1709</v>
      </c>
      <c r="K2750" t="s">
        <v>2194</v>
      </c>
      <c r="L2750" t="s">
        <v>285</v>
      </c>
      <c r="M2750" t="str">
        <f t="shared" si="168"/>
        <v>10</v>
      </c>
      <c r="N2750" t="s">
        <v>12</v>
      </c>
    </row>
    <row r="2751" spans="1:14" x14ac:dyDescent="0.25">
      <c r="A2751">
        <v>20151009</v>
      </c>
      <c r="B2751" t="str">
        <f>"060512"</f>
        <v>060512</v>
      </c>
      <c r="C2751" t="str">
        <f>"29779"</f>
        <v>29779</v>
      </c>
      <c r="D2751" t="s">
        <v>1806</v>
      </c>
      <c r="E2751" s="3">
        <v>468.74</v>
      </c>
      <c r="F2751">
        <v>20151008</v>
      </c>
      <c r="G2751" t="s">
        <v>2192</v>
      </c>
      <c r="H2751" t="s">
        <v>2051</v>
      </c>
      <c r="I2751">
        <v>0</v>
      </c>
      <c r="J2751" t="s">
        <v>1709</v>
      </c>
      <c r="K2751" t="s">
        <v>2194</v>
      </c>
      <c r="L2751" t="s">
        <v>285</v>
      </c>
      <c r="M2751" t="str">
        <f t="shared" si="168"/>
        <v>10</v>
      </c>
      <c r="N2751" t="s">
        <v>12</v>
      </c>
    </row>
    <row r="2752" spans="1:14" x14ac:dyDescent="0.25">
      <c r="A2752">
        <v>20151009</v>
      </c>
      <c r="B2752" t="str">
        <f>"060515"</f>
        <v>060515</v>
      </c>
      <c r="C2752" t="str">
        <f>"06480"</f>
        <v>06480</v>
      </c>
      <c r="D2752" t="s">
        <v>2198</v>
      </c>
      <c r="E2752" s="3">
        <v>606.47</v>
      </c>
      <c r="F2752">
        <v>20151008</v>
      </c>
      <c r="G2752" t="s">
        <v>2199</v>
      </c>
      <c r="H2752" t="s">
        <v>2200</v>
      </c>
      <c r="I2752">
        <v>0</v>
      </c>
      <c r="J2752" t="s">
        <v>1709</v>
      </c>
      <c r="K2752" t="s">
        <v>290</v>
      </c>
      <c r="L2752" t="s">
        <v>285</v>
      </c>
      <c r="M2752" t="str">
        <f t="shared" si="168"/>
        <v>10</v>
      </c>
      <c r="N2752" t="s">
        <v>12</v>
      </c>
    </row>
    <row r="2753" spans="1:14" x14ac:dyDescent="0.25">
      <c r="A2753">
        <v>20151009</v>
      </c>
      <c r="B2753" t="str">
        <f t="shared" ref="B2753:B2758" si="169">"060516"</f>
        <v>060516</v>
      </c>
      <c r="C2753" t="str">
        <f t="shared" ref="C2753:C2758" si="170">"06509"</f>
        <v>06509</v>
      </c>
      <c r="D2753" t="s">
        <v>1555</v>
      </c>
      <c r="E2753" s="3">
        <v>2728</v>
      </c>
      <c r="F2753">
        <v>20151008</v>
      </c>
      <c r="G2753" t="s">
        <v>2070</v>
      </c>
      <c r="H2753" t="s">
        <v>2201</v>
      </c>
      <c r="I2753">
        <v>0</v>
      </c>
      <c r="J2753" t="s">
        <v>1709</v>
      </c>
      <c r="K2753" t="s">
        <v>290</v>
      </c>
      <c r="L2753" t="s">
        <v>285</v>
      </c>
      <c r="M2753" t="str">
        <f t="shared" si="168"/>
        <v>10</v>
      </c>
      <c r="N2753" t="s">
        <v>12</v>
      </c>
    </row>
    <row r="2754" spans="1:14" x14ac:dyDescent="0.25">
      <c r="A2754">
        <v>20151009</v>
      </c>
      <c r="B2754" t="str">
        <f t="shared" si="169"/>
        <v>060516</v>
      </c>
      <c r="C2754" t="str">
        <f t="shared" si="170"/>
        <v>06509</v>
      </c>
      <c r="D2754" t="s">
        <v>1555</v>
      </c>
      <c r="E2754" s="3">
        <v>760</v>
      </c>
      <c r="F2754">
        <v>20151008</v>
      </c>
      <c r="G2754" t="s">
        <v>2202</v>
      </c>
      <c r="H2754" t="s">
        <v>2201</v>
      </c>
      <c r="I2754">
        <v>0</v>
      </c>
      <c r="J2754" t="s">
        <v>1709</v>
      </c>
      <c r="K2754" t="s">
        <v>1558</v>
      </c>
      <c r="L2754" t="s">
        <v>285</v>
      </c>
      <c r="M2754" t="str">
        <f t="shared" si="168"/>
        <v>10</v>
      </c>
      <c r="N2754" t="s">
        <v>12</v>
      </c>
    </row>
    <row r="2755" spans="1:14" x14ac:dyDescent="0.25">
      <c r="A2755">
        <v>20151009</v>
      </c>
      <c r="B2755" t="str">
        <f t="shared" si="169"/>
        <v>060516</v>
      </c>
      <c r="C2755" t="str">
        <f t="shared" si="170"/>
        <v>06509</v>
      </c>
      <c r="D2755" t="s">
        <v>1555</v>
      </c>
      <c r="E2755" s="3">
        <v>2280</v>
      </c>
      <c r="F2755">
        <v>20151008</v>
      </c>
      <c r="G2755" t="s">
        <v>2203</v>
      </c>
      <c r="H2755" t="s">
        <v>2201</v>
      </c>
      <c r="I2755">
        <v>0</v>
      </c>
      <c r="J2755" t="s">
        <v>1709</v>
      </c>
      <c r="K2755" t="s">
        <v>95</v>
      </c>
      <c r="L2755" t="s">
        <v>285</v>
      </c>
      <c r="M2755" t="str">
        <f t="shared" si="168"/>
        <v>10</v>
      </c>
      <c r="N2755" t="s">
        <v>12</v>
      </c>
    </row>
    <row r="2756" spans="1:14" x14ac:dyDescent="0.25">
      <c r="A2756">
        <v>20151009</v>
      </c>
      <c r="B2756" t="str">
        <f t="shared" si="169"/>
        <v>060516</v>
      </c>
      <c r="C2756" t="str">
        <f t="shared" si="170"/>
        <v>06509</v>
      </c>
      <c r="D2756" t="s">
        <v>1555</v>
      </c>
      <c r="E2756" s="3">
        <v>1520</v>
      </c>
      <c r="F2756">
        <v>20151008</v>
      </c>
      <c r="G2756" t="s">
        <v>2204</v>
      </c>
      <c r="H2756" t="s">
        <v>2201</v>
      </c>
      <c r="I2756">
        <v>0</v>
      </c>
      <c r="J2756" t="s">
        <v>1709</v>
      </c>
      <c r="K2756" t="s">
        <v>1643</v>
      </c>
      <c r="L2756" t="s">
        <v>285</v>
      </c>
      <c r="M2756" t="str">
        <f t="shared" si="168"/>
        <v>10</v>
      </c>
      <c r="N2756" t="s">
        <v>12</v>
      </c>
    </row>
    <row r="2757" spans="1:14" x14ac:dyDescent="0.25">
      <c r="A2757">
        <v>20151009</v>
      </c>
      <c r="B2757" t="str">
        <f t="shared" si="169"/>
        <v>060516</v>
      </c>
      <c r="C2757" t="str">
        <f t="shared" si="170"/>
        <v>06509</v>
      </c>
      <c r="D2757" t="s">
        <v>1555</v>
      </c>
      <c r="E2757" s="3">
        <v>1520</v>
      </c>
      <c r="F2757">
        <v>20151008</v>
      </c>
      <c r="G2757" t="s">
        <v>2205</v>
      </c>
      <c r="H2757" t="s">
        <v>2201</v>
      </c>
      <c r="I2757">
        <v>0</v>
      </c>
      <c r="J2757" t="s">
        <v>1709</v>
      </c>
      <c r="K2757" t="s">
        <v>33</v>
      </c>
      <c r="L2757" t="s">
        <v>285</v>
      </c>
      <c r="M2757" t="str">
        <f t="shared" si="168"/>
        <v>10</v>
      </c>
      <c r="N2757" t="s">
        <v>12</v>
      </c>
    </row>
    <row r="2758" spans="1:14" x14ac:dyDescent="0.25">
      <c r="A2758">
        <v>20151009</v>
      </c>
      <c r="B2758" t="str">
        <f t="shared" si="169"/>
        <v>060516</v>
      </c>
      <c r="C2758" t="str">
        <f t="shared" si="170"/>
        <v>06509</v>
      </c>
      <c r="D2758" t="s">
        <v>1555</v>
      </c>
      <c r="E2758" s="3">
        <v>880</v>
      </c>
      <c r="F2758">
        <v>20151008</v>
      </c>
      <c r="G2758" t="s">
        <v>2206</v>
      </c>
      <c r="H2758" t="s">
        <v>2201</v>
      </c>
      <c r="I2758">
        <v>0</v>
      </c>
      <c r="J2758" t="s">
        <v>1709</v>
      </c>
      <c r="K2758" t="s">
        <v>2207</v>
      </c>
      <c r="L2758" t="s">
        <v>285</v>
      </c>
      <c r="M2758" t="str">
        <f t="shared" si="168"/>
        <v>10</v>
      </c>
      <c r="N2758" t="s">
        <v>12</v>
      </c>
    </row>
    <row r="2759" spans="1:14" x14ac:dyDescent="0.25">
      <c r="A2759">
        <v>20151009</v>
      </c>
      <c r="B2759" t="str">
        <f>"060517"</f>
        <v>060517</v>
      </c>
      <c r="C2759" t="str">
        <f>"06893"</f>
        <v>06893</v>
      </c>
      <c r="D2759" t="s">
        <v>1956</v>
      </c>
      <c r="E2759" s="3">
        <v>120</v>
      </c>
      <c r="F2759">
        <v>20151008</v>
      </c>
      <c r="G2759" t="s">
        <v>1957</v>
      </c>
      <c r="H2759" t="s">
        <v>2208</v>
      </c>
      <c r="I2759">
        <v>0</v>
      </c>
      <c r="J2759" t="s">
        <v>1709</v>
      </c>
      <c r="K2759" t="s">
        <v>290</v>
      </c>
      <c r="L2759" t="s">
        <v>285</v>
      </c>
      <c r="M2759" t="str">
        <f t="shared" si="168"/>
        <v>10</v>
      </c>
      <c r="N2759" t="s">
        <v>12</v>
      </c>
    </row>
    <row r="2760" spans="1:14" x14ac:dyDescent="0.25">
      <c r="A2760">
        <v>20151009</v>
      </c>
      <c r="B2760" t="str">
        <f>"060517"</f>
        <v>060517</v>
      </c>
      <c r="C2760" t="str">
        <f>"06893"</f>
        <v>06893</v>
      </c>
      <c r="D2760" t="s">
        <v>1956</v>
      </c>
      <c r="E2760" s="3">
        <v>10</v>
      </c>
      <c r="F2760">
        <v>20151008</v>
      </c>
      <c r="G2760" t="s">
        <v>1957</v>
      </c>
      <c r="H2760" t="s">
        <v>2208</v>
      </c>
      <c r="I2760">
        <v>0</v>
      </c>
      <c r="J2760" t="s">
        <v>1709</v>
      </c>
      <c r="K2760" t="s">
        <v>290</v>
      </c>
      <c r="L2760" t="s">
        <v>285</v>
      </c>
      <c r="M2760" t="str">
        <f t="shared" si="168"/>
        <v>10</v>
      </c>
      <c r="N2760" t="s">
        <v>12</v>
      </c>
    </row>
    <row r="2761" spans="1:14" x14ac:dyDescent="0.25">
      <c r="A2761">
        <v>20151009</v>
      </c>
      <c r="B2761" t="str">
        <f t="shared" ref="B2761:B2766" si="171">"060518"</f>
        <v>060518</v>
      </c>
      <c r="C2761" t="str">
        <f t="shared" ref="C2761:C2766" si="172">"07701"</f>
        <v>07701</v>
      </c>
      <c r="D2761" t="s">
        <v>2209</v>
      </c>
      <c r="E2761" s="3">
        <v>89</v>
      </c>
      <c r="F2761">
        <v>20151008</v>
      </c>
      <c r="G2761" t="s">
        <v>1786</v>
      </c>
      <c r="H2761" t="s">
        <v>2210</v>
      </c>
      <c r="I2761">
        <v>0</v>
      </c>
      <c r="J2761" t="s">
        <v>1709</v>
      </c>
      <c r="K2761" t="s">
        <v>290</v>
      </c>
      <c r="L2761" t="s">
        <v>285</v>
      </c>
      <c r="M2761" t="str">
        <f t="shared" si="168"/>
        <v>10</v>
      </c>
      <c r="N2761" t="s">
        <v>12</v>
      </c>
    </row>
    <row r="2762" spans="1:14" x14ac:dyDescent="0.25">
      <c r="A2762">
        <v>20151009</v>
      </c>
      <c r="B2762" t="str">
        <f t="shared" si="171"/>
        <v>060518</v>
      </c>
      <c r="C2762" t="str">
        <f t="shared" si="172"/>
        <v>07701</v>
      </c>
      <c r="D2762" t="s">
        <v>2209</v>
      </c>
      <c r="E2762" s="3">
        <v>89</v>
      </c>
      <c r="F2762">
        <v>20151008</v>
      </c>
      <c r="G2762" t="s">
        <v>1786</v>
      </c>
      <c r="H2762" t="s">
        <v>2211</v>
      </c>
      <c r="I2762">
        <v>0</v>
      </c>
      <c r="J2762" t="s">
        <v>1709</v>
      </c>
      <c r="K2762" t="s">
        <v>290</v>
      </c>
      <c r="L2762" t="s">
        <v>285</v>
      </c>
      <c r="M2762" t="str">
        <f t="shared" si="168"/>
        <v>10</v>
      </c>
      <c r="N2762" t="s">
        <v>12</v>
      </c>
    </row>
    <row r="2763" spans="1:14" x14ac:dyDescent="0.25">
      <c r="A2763">
        <v>20151009</v>
      </c>
      <c r="B2763" t="str">
        <f t="shared" si="171"/>
        <v>060518</v>
      </c>
      <c r="C2763" t="str">
        <f t="shared" si="172"/>
        <v>07701</v>
      </c>
      <c r="D2763" t="s">
        <v>2209</v>
      </c>
      <c r="E2763" s="3">
        <v>89</v>
      </c>
      <c r="F2763">
        <v>20151008</v>
      </c>
      <c r="G2763" t="s">
        <v>1786</v>
      </c>
      <c r="H2763" t="s">
        <v>2212</v>
      </c>
      <c r="I2763">
        <v>0</v>
      </c>
      <c r="J2763" t="s">
        <v>1709</v>
      </c>
      <c r="K2763" t="s">
        <v>290</v>
      </c>
      <c r="L2763" t="s">
        <v>285</v>
      </c>
      <c r="M2763" t="str">
        <f t="shared" si="168"/>
        <v>10</v>
      </c>
      <c r="N2763" t="s">
        <v>12</v>
      </c>
    </row>
    <row r="2764" spans="1:14" x14ac:dyDescent="0.25">
      <c r="A2764">
        <v>20151009</v>
      </c>
      <c r="B2764" t="str">
        <f t="shared" si="171"/>
        <v>060518</v>
      </c>
      <c r="C2764" t="str">
        <f t="shared" si="172"/>
        <v>07701</v>
      </c>
      <c r="D2764" t="s">
        <v>2209</v>
      </c>
      <c r="E2764" s="3">
        <v>228</v>
      </c>
      <c r="F2764">
        <v>20151008</v>
      </c>
      <c r="G2764" t="s">
        <v>1786</v>
      </c>
      <c r="H2764" t="s">
        <v>2213</v>
      </c>
      <c r="I2764">
        <v>0</v>
      </c>
      <c r="J2764" t="s">
        <v>1709</v>
      </c>
      <c r="K2764" t="s">
        <v>290</v>
      </c>
      <c r="L2764" t="s">
        <v>285</v>
      </c>
      <c r="M2764" t="str">
        <f t="shared" si="168"/>
        <v>10</v>
      </c>
      <c r="N2764" t="s">
        <v>12</v>
      </c>
    </row>
    <row r="2765" spans="1:14" x14ac:dyDescent="0.25">
      <c r="A2765">
        <v>20151009</v>
      </c>
      <c r="B2765" t="str">
        <f t="shared" si="171"/>
        <v>060518</v>
      </c>
      <c r="C2765" t="str">
        <f t="shared" si="172"/>
        <v>07701</v>
      </c>
      <c r="D2765" t="s">
        <v>2209</v>
      </c>
      <c r="E2765" s="3">
        <v>80.099999999999994</v>
      </c>
      <c r="F2765">
        <v>20151008</v>
      </c>
      <c r="G2765" t="s">
        <v>2214</v>
      </c>
      <c r="H2765" t="s">
        <v>2215</v>
      </c>
      <c r="I2765">
        <v>0</v>
      </c>
      <c r="J2765" t="s">
        <v>1709</v>
      </c>
      <c r="K2765" t="s">
        <v>33</v>
      </c>
      <c r="L2765" t="s">
        <v>285</v>
      </c>
      <c r="M2765" t="str">
        <f t="shared" si="168"/>
        <v>10</v>
      </c>
      <c r="N2765" t="s">
        <v>12</v>
      </c>
    </row>
    <row r="2766" spans="1:14" x14ac:dyDescent="0.25">
      <c r="A2766">
        <v>20151009</v>
      </c>
      <c r="B2766" t="str">
        <f t="shared" si="171"/>
        <v>060518</v>
      </c>
      <c r="C2766" t="str">
        <f t="shared" si="172"/>
        <v>07701</v>
      </c>
      <c r="D2766" t="s">
        <v>2209</v>
      </c>
      <c r="E2766" s="3">
        <v>80.099999999999994</v>
      </c>
      <c r="F2766">
        <v>20151008</v>
      </c>
      <c r="G2766" t="s">
        <v>2214</v>
      </c>
      <c r="H2766" t="s">
        <v>2216</v>
      </c>
      <c r="I2766">
        <v>0</v>
      </c>
      <c r="J2766" t="s">
        <v>1709</v>
      </c>
      <c r="K2766" t="s">
        <v>33</v>
      </c>
      <c r="L2766" t="s">
        <v>285</v>
      </c>
      <c r="M2766" t="str">
        <f t="shared" si="168"/>
        <v>10</v>
      </c>
      <c r="N2766" t="s">
        <v>12</v>
      </c>
    </row>
    <row r="2767" spans="1:14" x14ac:dyDescent="0.25">
      <c r="A2767">
        <v>20151009</v>
      </c>
      <c r="B2767" t="str">
        <f>"060519"</f>
        <v>060519</v>
      </c>
      <c r="C2767" t="str">
        <f>"00390"</f>
        <v>00390</v>
      </c>
      <c r="D2767" t="s">
        <v>1717</v>
      </c>
      <c r="E2767" s="3">
        <v>459.45</v>
      </c>
      <c r="F2767">
        <v>20151008</v>
      </c>
      <c r="G2767" t="s">
        <v>2217</v>
      </c>
      <c r="H2767" t="s">
        <v>2218</v>
      </c>
      <c r="I2767">
        <v>0</v>
      </c>
      <c r="J2767" t="s">
        <v>1709</v>
      </c>
      <c r="K2767" t="s">
        <v>1984</v>
      </c>
      <c r="L2767" t="s">
        <v>285</v>
      </c>
      <c r="M2767" t="str">
        <f t="shared" si="168"/>
        <v>10</v>
      </c>
      <c r="N2767" t="s">
        <v>12</v>
      </c>
    </row>
    <row r="2768" spans="1:14" x14ac:dyDescent="0.25">
      <c r="A2768">
        <v>20151009</v>
      </c>
      <c r="B2768" t="str">
        <f>"060520"</f>
        <v>060520</v>
      </c>
      <c r="C2768" t="str">
        <f>"00392"</f>
        <v>00392</v>
      </c>
      <c r="D2768" t="s">
        <v>1717</v>
      </c>
      <c r="E2768" s="3">
        <v>6008.04</v>
      </c>
      <c r="F2768">
        <v>20151008</v>
      </c>
      <c r="G2768" t="s">
        <v>2219</v>
      </c>
      <c r="H2768" t="s">
        <v>2218</v>
      </c>
      <c r="I2768">
        <v>0</v>
      </c>
      <c r="J2768" t="s">
        <v>1709</v>
      </c>
      <c r="K2768" t="s">
        <v>1984</v>
      </c>
      <c r="L2768" t="s">
        <v>285</v>
      </c>
      <c r="M2768" t="str">
        <f t="shared" si="168"/>
        <v>10</v>
      </c>
      <c r="N2768" t="s">
        <v>12</v>
      </c>
    </row>
    <row r="2769" spans="1:14" x14ac:dyDescent="0.25">
      <c r="A2769">
        <v>20151009</v>
      </c>
      <c r="B2769" t="str">
        <f>"060522"</f>
        <v>060522</v>
      </c>
      <c r="C2769" t="str">
        <f>"08130"</f>
        <v>08130</v>
      </c>
      <c r="D2769" t="s">
        <v>2220</v>
      </c>
      <c r="E2769" s="3">
        <v>305.08999999999997</v>
      </c>
      <c r="F2769">
        <v>20151009</v>
      </c>
      <c r="G2769" t="s">
        <v>1880</v>
      </c>
      <c r="H2769" t="s">
        <v>2221</v>
      </c>
      <c r="I2769">
        <v>0</v>
      </c>
      <c r="J2769" t="s">
        <v>1709</v>
      </c>
      <c r="K2769" t="s">
        <v>1882</v>
      </c>
      <c r="L2769" t="s">
        <v>285</v>
      </c>
      <c r="M2769" t="str">
        <f t="shared" si="168"/>
        <v>10</v>
      </c>
      <c r="N2769" t="s">
        <v>12</v>
      </c>
    </row>
    <row r="2770" spans="1:14" x14ac:dyDescent="0.25">
      <c r="A2770">
        <v>20151009</v>
      </c>
      <c r="B2770" t="str">
        <f>"060523"</f>
        <v>060523</v>
      </c>
      <c r="C2770" t="str">
        <f>"10063"</f>
        <v>10063</v>
      </c>
      <c r="D2770" t="s">
        <v>1816</v>
      </c>
      <c r="E2770" s="3">
        <v>17.489999999999998</v>
      </c>
      <c r="F2770">
        <v>20151008</v>
      </c>
      <c r="G2770" t="s">
        <v>1961</v>
      </c>
      <c r="H2770" t="s">
        <v>609</v>
      </c>
      <c r="I2770">
        <v>0</v>
      </c>
      <c r="J2770" t="s">
        <v>1709</v>
      </c>
      <c r="K2770" t="s">
        <v>290</v>
      </c>
      <c r="L2770" t="s">
        <v>285</v>
      </c>
      <c r="M2770" t="str">
        <f t="shared" si="168"/>
        <v>10</v>
      </c>
      <c r="N2770" t="s">
        <v>12</v>
      </c>
    </row>
    <row r="2771" spans="1:14" x14ac:dyDescent="0.25">
      <c r="A2771">
        <v>20151009</v>
      </c>
      <c r="B2771" t="str">
        <f>"060523"</f>
        <v>060523</v>
      </c>
      <c r="C2771" t="str">
        <f>"10063"</f>
        <v>10063</v>
      </c>
      <c r="D2771" t="s">
        <v>1816</v>
      </c>
      <c r="E2771" s="3">
        <v>17.489999999999998</v>
      </c>
      <c r="F2771">
        <v>20151008</v>
      </c>
      <c r="G2771" t="s">
        <v>1961</v>
      </c>
      <c r="H2771" t="s">
        <v>2222</v>
      </c>
      <c r="I2771">
        <v>0</v>
      </c>
      <c r="J2771" t="s">
        <v>1709</v>
      </c>
      <c r="K2771" t="s">
        <v>290</v>
      </c>
      <c r="L2771" t="s">
        <v>285</v>
      </c>
      <c r="M2771" t="str">
        <f t="shared" si="168"/>
        <v>10</v>
      </c>
      <c r="N2771" t="s">
        <v>12</v>
      </c>
    </row>
    <row r="2772" spans="1:14" x14ac:dyDescent="0.25">
      <c r="A2772">
        <v>20151009</v>
      </c>
      <c r="B2772" t="str">
        <f>"060524"</f>
        <v>060524</v>
      </c>
      <c r="C2772" t="str">
        <f>"18256"</f>
        <v>18256</v>
      </c>
      <c r="D2772" t="s">
        <v>2223</v>
      </c>
      <c r="E2772" s="3">
        <v>31</v>
      </c>
      <c r="F2772">
        <v>20151008</v>
      </c>
      <c r="G2772" t="s">
        <v>2224</v>
      </c>
      <c r="H2772" t="s">
        <v>2225</v>
      </c>
      <c r="I2772">
        <v>0</v>
      </c>
      <c r="J2772" t="s">
        <v>1709</v>
      </c>
      <c r="K2772" t="s">
        <v>290</v>
      </c>
      <c r="L2772" t="s">
        <v>285</v>
      </c>
      <c r="M2772" t="str">
        <f t="shared" si="168"/>
        <v>10</v>
      </c>
      <c r="N2772" t="s">
        <v>12</v>
      </c>
    </row>
    <row r="2773" spans="1:14" x14ac:dyDescent="0.25">
      <c r="A2773">
        <v>20151009</v>
      </c>
      <c r="B2773" t="str">
        <f>"060525"</f>
        <v>060525</v>
      </c>
      <c r="C2773" t="str">
        <f>"19208"</f>
        <v>19208</v>
      </c>
      <c r="D2773" t="s">
        <v>294</v>
      </c>
      <c r="E2773" s="3">
        <v>200</v>
      </c>
      <c r="F2773">
        <v>20151008</v>
      </c>
      <c r="G2773" t="s">
        <v>1725</v>
      </c>
      <c r="H2773" t="s">
        <v>1726</v>
      </c>
      <c r="I2773">
        <v>0</v>
      </c>
      <c r="J2773" t="s">
        <v>1709</v>
      </c>
      <c r="K2773" t="s">
        <v>290</v>
      </c>
      <c r="L2773" t="s">
        <v>285</v>
      </c>
      <c r="M2773" t="str">
        <f t="shared" si="168"/>
        <v>10</v>
      </c>
      <c r="N2773" t="s">
        <v>12</v>
      </c>
    </row>
    <row r="2774" spans="1:14" x14ac:dyDescent="0.25">
      <c r="A2774">
        <v>20151009</v>
      </c>
      <c r="B2774" t="str">
        <f>"060527"</f>
        <v>060527</v>
      </c>
      <c r="C2774" t="str">
        <f>"16807"</f>
        <v>16807</v>
      </c>
      <c r="D2774" t="s">
        <v>1560</v>
      </c>
      <c r="E2774" s="3">
        <v>198</v>
      </c>
      <c r="F2774">
        <v>20151008</v>
      </c>
      <c r="G2774" t="s">
        <v>2226</v>
      </c>
      <c r="H2774" t="s">
        <v>2227</v>
      </c>
      <c r="I2774">
        <v>0</v>
      </c>
      <c r="J2774" t="s">
        <v>1709</v>
      </c>
      <c r="K2774" t="s">
        <v>33</v>
      </c>
      <c r="L2774" t="s">
        <v>285</v>
      </c>
      <c r="M2774" t="str">
        <f t="shared" si="168"/>
        <v>10</v>
      </c>
      <c r="N2774" t="s">
        <v>12</v>
      </c>
    </row>
    <row r="2775" spans="1:14" x14ac:dyDescent="0.25">
      <c r="A2775">
        <v>20151009</v>
      </c>
      <c r="B2775" t="str">
        <f>"060527"</f>
        <v>060527</v>
      </c>
      <c r="C2775" t="str">
        <f>"16807"</f>
        <v>16807</v>
      </c>
      <c r="D2775" t="s">
        <v>1560</v>
      </c>
      <c r="E2775" s="3">
        <v>99</v>
      </c>
      <c r="F2775">
        <v>20151008</v>
      </c>
      <c r="G2775" t="s">
        <v>2100</v>
      </c>
      <c r="H2775" t="s">
        <v>2227</v>
      </c>
      <c r="I2775">
        <v>0</v>
      </c>
      <c r="J2775" t="s">
        <v>1709</v>
      </c>
      <c r="K2775" t="s">
        <v>33</v>
      </c>
      <c r="L2775" t="s">
        <v>285</v>
      </c>
      <c r="M2775" t="str">
        <f t="shared" si="168"/>
        <v>10</v>
      </c>
      <c r="N2775" t="s">
        <v>12</v>
      </c>
    </row>
    <row r="2776" spans="1:14" x14ac:dyDescent="0.25">
      <c r="A2776">
        <v>20151009</v>
      </c>
      <c r="B2776" t="str">
        <f>"060527"</f>
        <v>060527</v>
      </c>
      <c r="C2776" t="str">
        <f>"16807"</f>
        <v>16807</v>
      </c>
      <c r="D2776" t="s">
        <v>1560</v>
      </c>
      <c r="E2776" s="3">
        <v>238.6</v>
      </c>
      <c r="F2776">
        <v>20151008</v>
      </c>
      <c r="G2776" t="s">
        <v>2228</v>
      </c>
      <c r="H2776" t="s">
        <v>2229</v>
      </c>
      <c r="I2776">
        <v>0</v>
      </c>
      <c r="J2776" t="s">
        <v>1709</v>
      </c>
      <c r="K2776" t="s">
        <v>290</v>
      </c>
      <c r="L2776" t="s">
        <v>285</v>
      </c>
      <c r="M2776" t="str">
        <f t="shared" si="168"/>
        <v>10</v>
      </c>
      <c r="N2776" t="s">
        <v>12</v>
      </c>
    </row>
    <row r="2777" spans="1:14" x14ac:dyDescent="0.25">
      <c r="A2777">
        <v>20151009</v>
      </c>
      <c r="B2777" t="str">
        <f>"060527"</f>
        <v>060527</v>
      </c>
      <c r="C2777" t="str">
        <f>"16807"</f>
        <v>16807</v>
      </c>
      <c r="D2777" t="s">
        <v>1560</v>
      </c>
      <c r="E2777" s="3">
        <v>238.6</v>
      </c>
      <c r="F2777">
        <v>20151008</v>
      </c>
      <c r="G2777" t="s">
        <v>2230</v>
      </c>
      <c r="H2777" t="s">
        <v>2229</v>
      </c>
      <c r="I2777">
        <v>0</v>
      </c>
      <c r="J2777" t="s">
        <v>1709</v>
      </c>
      <c r="K2777" t="s">
        <v>1643</v>
      </c>
      <c r="L2777" t="s">
        <v>285</v>
      </c>
      <c r="M2777" t="str">
        <f t="shared" si="168"/>
        <v>10</v>
      </c>
      <c r="N2777" t="s">
        <v>12</v>
      </c>
    </row>
    <row r="2778" spans="1:14" x14ac:dyDescent="0.25">
      <c r="A2778">
        <v>20151009</v>
      </c>
      <c r="B2778" t="str">
        <f>"060529"</f>
        <v>060529</v>
      </c>
      <c r="C2778" t="str">
        <f>"22284"</f>
        <v>22284</v>
      </c>
      <c r="D2778" t="s">
        <v>2231</v>
      </c>
      <c r="E2778" s="3">
        <v>379.77</v>
      </c>
      <c r="F2778">
        <v>20151008</v>
      </c>
      <c r="G2778" t="s">
        <v>2232</v>
      </c>
      <c r="H2778" t="s">
        <v>2233</v>
      </c>
      <c r="I2778">
        <v>0</v>
      </c>
      <c r="J2778" t="s">
        <v>1709</v>
      </c>
      <c r="K2778" t="s">
        <v>290</v>
      </c>
      <c r="L2778" t="s">
        <v>285</v>
      </c>
      <c r="M2778" t="str">
        <f t="shared" si="168"/>
        <v>10</v>
      </c>
      <c r="N2778" t="s">
        <v>12</v>
      </c>
    </row>
    <row r="2779" spans="1:14" x14ac:dyDescent="0.25">
      <c r="A2779">
        <v>20151009</v>
      </c>
      <c r="B2779" t="str">
        <f>"060529"</f>
        <v>060529</v>
      </c>
      <c r="C2779" t="str">
        <f>"22284"</f>
        <v>22284</v>
      </c>
      <c r="D2779" t="s">
        <v>2231</v>
      </c>
      <c r="E2779" s="3">
        <v>379.78</v>
      </c>
      <c r="F2779">
        <v>20151008</v>
      </c>
      <c r="G2779" t="s">
        <v>2234</v>
      </c>
      <c r="H2779" t="s">
        <v>2233</v>
      </c>
      <c r="I2779">
        <v>0</v>
      </c>
      <c r="J2779" t="s">
        <v>1709</v>
      </c>
      <c r="K2779" t="s">
        <v>290</v>
      </c>
      <c r="L2779" t="s">
        <v>285</v>
      </c>
      <c r="M2779" t="str">
        <f t="shared" si="168"/>
        <v>10</v>
      </c>
      <c r="N2779" t="s">
        <v>12</v>
      </c>
    </row>
    <row r="2780" spans="1:14" x14ac:dyDescent="0.25">
      <c r="A2780">
        <v>20151009</v>
      </c>
      <c r="B2780" t="str">
        <f t="shared" ref="B2780:B2791" si="173">"060534"</f>
        <v>060534</v>
      </c>
      <c r="C2780" t="str">
        <f t="shared" ref="C2780:C2791" si="174">"20706"</f>
        <v>20706</v>
      </c>
      <c r="D2780" t="s">
        <v>1823</v>
      </c>
      <c r="E2780" s="3">
        <v>12342.36</v>
      </c>
      <c r="F2780">
        <v>20151008</v>
      </c>
      <c r="G2780" t="s">
        <v>2235</v>
      </c>
      <c r="H2780" t="s">
        <v>2236</v>
      </c>
      <c r="I2780">
        <v>0</v>
      </c>
      <c r="J2780" t="s">
        <v>1709</v>
      </c>
      <c r="K2780" t="s">
        <v>290</v>
      </c>
      <c r="L2780" t="s">
        <v>285</v>
      </c>
      <c r="M2780" t="str">
        <f t="shared" si="168"/>
        <v>10</v>
      </c>
      <c r="N2780" t="s">
        <v>12</v>
      </c>
    </row>
    <row r="2781" spans="1:14" x14ac:dyDescent="0.25">
      <c r="A2781">
        <v>20151009</v>
      </c>
      <c r="B2781" t="str">
        <f t="shared" si="173"/>
        <v>060534</v>
      </c>
      <c r="C2781" t="str">
        <f t="shared" si="174"/>
        <v>20706</v>
      </c>
      <c r="D2781" t="s">
        <v>1823</v>
      </c>
      <c r="E2781" s="3">
        <v>69.56</v>
      </c>
      <c r="F2781">
        <v>20151008</v>
      </c>
      <c r="G2781" t="s">
        <v>2237</v>
      </c>
      <c r="H2781" t="s">
        <v>2238</v>
      </c>
      <c r="I2781">
        <v>0</v>
      </c>
      <c r="J2781" t="s">
        <v>1709</v>
      </c>
      <c r="K2781" t="s">
        <v>1558</v>
      </c>
      <c r="L2781" t="s">
        <v>285</v>
      </c>
      <c r="M2781" t="str">
        <f t="shared" si="168"/>
        <v>10</v>
      </c>
      <c r="N2781" t="s">
        <v>12</v>
      </c>
    </row>
    <row r="2782" spans="1:14" x14ac:dyDescent="0.25">
      <c r="A2782">
        <v>20151009</v>
      </c>
      <c r="B2782" t="str">
        <f t="shared" si="173"/>
        <v>060534</v>
      </c>
      <c r="C2782" t="str">
        <f t="shared" si="174"/>
        <v>20706</v>
      </c>
      <c r="D2782" t="s">
        <v>1823</v>
      </c>
      <c r="E2782" s="3">
        <v>4754.13</v>
      </c>
      <c r="F2782">
        <v>20151008</v>
      </c>
      <c r="G2782" t="s">
        <v>2239</v>
      </c>
      <c r="H2782" t="s">
        <v>2240</v>
      </c>
      <c r="I2782">
        <v>0</v>
      </c>
      <c r="J2782" t="s">
        <v>1709</v>
      </c>
      <c r="K2782" t="s">
        <v>95</v>
      </c>
      <c r="L2782" t="s">
        <v>285</v>
      </c>
      <c r="M2782" t="str">
        <f t="shared" si="168"/>
        <v>10</v>
      </c>
      <c r="N2782" t="s">
        <v>12</v>
      </c>
    </row>
    <row r="2783" spans="1:14" x14ac:dyDescent="0.25">
      <c r="A2783">
        <v>20151009</v>
      </c>
      <c r="B2783" t="str">
        <f t="shared" si="173"/>
        <v>060534</v>
      </c>
      <c r="C2783" t="str">
        <f t="shared" si="174"/>
        <v>20706</v>
      </c>
      <c r="D2783" t="s">
        <v>1823</v>
      </c>
      <c r="E2783" s="3">
        <v>4818.01</v>
      </c>
      <c r="F2783">
        <v>20151008</v>
      </c>
      <c r="G2783" t="s">
        <v>2241</v>
      </c>
      <c r="H2783" t="s">
        <v>2242</v>
      </c>
      <c r="I2783">
        <v>0</v>
      </c>
      <c r="J2783" t="s">
        <v>1709</v>
      </c>
      <c r="K2783" t="s">
        <v>1643</v>
      </c>
      <c r="L2783" t="s">
        <v>285</v>
      </c>
      <c r="M2783" t="str">
        <f t="shared" si="168"/>
        <v>10</v>
      </c>
      <c r="N2783" t="s">
        <v>12</v>
      </c>
    </row>
    <row r="2784" spans="1:14" x14ac:dyDescent="0.25">
      <c r="A2784">
        <v>20151009</v>
      </c>
      <c r="B2784" t="str">
        <f t="shared" si="173"/>
        <v>060534</v>
      </c>
      <c r="C2784" t="str">
        <f t="shared" si="174"/>
        <v>20706</v>
      </c>
      <c r="D2784" t="s">
        <v>1823</v>
      </c>
      <c r="E2784" s="3">
        <v>1451.81</v>
      </c>
      <c r="F2784">
        <v>20151008</v>
      </c>
      <c r="G2784" t="s">
        <v>2243</v>
      </c>
      <c r="H2784" t="s">
        <v>2244</v>
      </c>
      <c r="I2784">
        <v>0</v>
      </c>
      <c r="J2784" t="s">
        <v>1709</v>
      </c>
      <c r="K2784" t="s">
        <v>33</v>
      </c>
      <c r="L2784" t="s">
        <v>285</v>
      </c>
      <c r="M2784" t="str">
        <f t="shared" si="168"/>
        <v>10</v>
      </c>
      <c r="N2784" t="s">
        <v>12</v>
      </c>
    </row>
    <row r="2785" spans="1:14" x14ac:dyDescent="0.25">
      <c r="A2785">
        <v>20151009</v>
      </c>
      <c r="B2785" t="str">
        <f t="shared" si="173"/>
        <v>060534</v>
      </c>
      <c r="C2785" t="str">
        <f t="shared" si="174"/>
        <v>20706</v>
      </c>
      <c r="D2785" t="s">
        <v>1823</v>
      </c>
      <c r="E2785" s="3">
        <v>380.37</v>
      </c>
      <c r="F2785">
        <v>20151008</v>
      </c>
      <c r="G2785" t="s">
        <v>2245</v>
      </c>
      <c r="H2785" t="s">
        <v>2246</v>
      </c>
      <c r="I2785">
        <v>0</v>
      </c>
      <c r="J2785" t="s">
        <v>1709</v>
      </c>
      <c r="K2785" t="s">
        <v>2247</v>
      </c>
      <c r="L2785" t="s">
        <v>285</v>
      </c>
      <c r="M2785" t="str">
        <f t="shared" si="168"/>
        <v>10</v>
      </c>
      <c r="N2785" t="s">
        <v>12</v>
      </c>
    </row>
    <row r="2786" spans="1:14" x14ac:dyDescent="0.25">
      <c r="A2786">
        <v>20151009</v>
      </c>
      <c r="B2786" t="str">
        <f t="shared" si="173"/>
        <v>060534</v>
      </c>
      <c r="C2786" t="str">
        <f t="shared" si="174"/>
        <v>20706</v>
      </c>
      <c r="D2786" t="s">
        <v>1823</v>
      </c>
      <c r="E2786" s="3">
        <v>83.04</v>
      </c>
      <c r="F2786">
        <v>20151008</v>
      </c>
      <c r="G2786" t="s">
        <v>2248</v>
      </c>
      <c r="H2786" t="s">
        <v>2249</v>
      </c>
      <c r="I2786">
        <v>0</v>
      </c>
      <c r="J2786" t="s">
        <v>1709</v>
      </c>
      <c r="K2786" t="s">
        <v>1861</v>
      </c>
      <c r="L2786" t="s">
        <v>285</v>
      </c>
      <c r="M2786" t="str">
        <f t="shared" si="168"/>
        <v>10</v>
      </c>
      <c r="N2786" t="s">
        <v>12</v>
      </c>
    </row>
    <row r="2787" spans="1:14" x14ac:dyDescent="0.25">
      <c r="A2787">
        <v>20151009</v>
      </c>
      <c r="B2787" t="str">
        <f t="shared" si="173"/>
        <v>060534</v>
      </c>
      <c r="C2787" t="str">
        <f t="shared" si="174"/>
        <v>20706</v>
      </c>
      <c r="D2787" t="s">
        <v>1823</v>
      </c>
      <c r="E2787" s="3">
        <v>1957.55</v>
      </c>
      <c r="F2787">
        <v>20151008</v>
      </c>
      <c r="G2787" t="s">
        <v>2250</v>
      </c>
      <c r="H2787" t="s">
        <v>2251</v>
      </c>
      <c r="I2787">
        <v>0</v>
      </c>
      <c r="J2787" t="s">
        <v>1709</v>
      </c>
      <c r="K2787" t="s">
        <v>2252</v>
      </c>
      <c r="L2787" t="s">
        <v>285</v>
      </c>
      <c r="M2787" t="str">
        <f t="shared" si="168"/>
        <v>10</v>
      </c>
      <c r="N2787" t="s">
        <v>12</v>
      </c>
    </row>
    <row r="2788" spans="1:14" x14ac:dyDescent="0.25">
      <c r="A2788">
        <v>20151009</v>
      </c>
      <c r="B2788" t="str">
        <f t="shared" si="173"/>
        <v>060534</v>
      </c>
      <c r="C2788" t="str">
        <f t="shared" si="174"/>
        <v>20706</v>
      </c>
      <c r="D2788" t="s">
        <v>1823</v>
      </c>
      <c r="E2788" s="3">
        <v>541.01</v>
      </c>
      <c r="F2788">
        <v>20151008</v>
      </c>
      <c r="G2788" t="s">
        <v>2253</v>
      </c>
      <c r="H2788" t="s">
        <v>2254</v>
      </c>
      <c r="I2788">
        <v>0</v>
      </c>
      <c r="J2788" t="s">
        <v>1709</v>
      </c>
      <c r="K2788" t="s">
        <v>290</v>
      </c>
      <c r="L2788" t="s">
        <v>285</v>
      </c>
      <c r="M2788" t="str">
        <f t="shared" si="168"/>
        <v>10</v>
      </c>
      <c r="N2788" t="s">
        <v>12</v>
      </c>
    </row>
    <row r="2789" spans="1:14" x14ac:dyDescent="0.25">
      <c r="A2789">
        <v>20151009</v>
      </c>
      <c r="B2789" t="str">
        <f t="shared" si="173"/>
        <v>060534</v>
      </c>
      <c r="C2789" t="str">
        <f t="shared" si="174"/>
        <v>20706</v>
      </c>
      <c r="D2789" t="s">
        <v>1823</v>
      </c>
      <c r="E2789" s="3">
        <v>196.6</v>
      </c>
      <c r="F2789">
        <v>20151008</v>
      </c>
      <c r="G2789" t="s">
        <v>2255</v>
      </c>
      <c r="H2789" t="s">
        <v>2256</v>
      </c>
      <c r="I2789">
        <v>0</v>
      </c>
      <c r="J2789" t="s">
        <v>1709</v>
      </c>
      <c r="K2789" t="s">
        <v>95</v>
      </c>
      <c r="L2789" t="s">
        <v>285</v>
      </c>
      <c r="M2789" t="str">
        <f t="shared" si="168"/>
        <v>10</v>
      </c>
      <c r="N2789" t="s">
        <v>12</v>
      </c>
    </row>
    <row r="2790" spans="1:14" x14ac:dyDescent="0.25">
      <c r="A2790">
        <v>20151009</v>
      </c>
      <c r="B2790" t="str">
        <f t="shared" si="173"/>
        <v>060534</v>
      </c>
      <c r="C2790" t="str">
        <f t="shared" si="174"/>
        <v>20706</v>
      </c>
      <c r="D2790" t="s">
        <v>1823</v>
      </c>
      <c r="E2790" s="3">
        <v>278.58999999999997</v>
      </c>
      <c r="F2790">
        <v>20151008</v>
      </c>
      <c r="G2790" t="s">
        <v>2257</v>
      </c>
      <c r="H2790" t="s">
        <v>2258</v>
      </c>
      <c r="I2790">
        <v>0</v>
      </c>
      <c r="J2790" t="s">
        <v>1709</v>
      </c>
      <c r="K2790" t="s">
        <v>1643</v>
      </c>
      <c r="L2790" t="s">
        <v>285</v>
      </c>
      <c r="M2790" t="str">
        <f t="shared" si="168"/>
        <v>10</v>
      </c>
      <c r="N2790" t="s">
        <v>12</v>
      </c>
    </row>
    <row r="2791" spans="1:14" x14ac:dyDescent="0.25">
      <c r="A2791">
        <v>20151009</v>
      </c>
      <c r="B2791" t="str">
        <f t="shared" si="173"/>
        <v>060534</v>
      </c>
      <c r="C2791" t="str">
        <f t="shared" si="174"/>
        <v>20706</v>
      </c>
      <c r="D2791" t="s">
        <v>1823</v>
      </c>
      <c r="E2791" s="3">
        <v>151.05000000000001</v>
      </c>
      <c r="F2791">
        <v>20151008</v>
      </c>
      <c r="G2791" t="s">
        <v>2259</v>
      </c>
      <c r="H2791" t="s">
        <v>2260</v>
      </c>
      <c r="I2791">
        <v>0</v>
      </c>
      <c r="J2791" t="s">
        <v>1709</v>
      </c>
      <c r="K2791" t="s">
        <v>33</v>
      </c>
      <c r="L2791" t="s">
        <v>285</v>
      </c>
      <c r="M2791" t="str">
        <f t="shared" si="168"/>
        <v>10</v>
      </c>
      <c r="N2791" t="s">
        <v>12</v>
      </c>
    </row>
    <row r="2792" spans="1:14" x14ac:dyDescent="0.25">
      <c r="A2792">
        <v>20151009</v>
      </c>
      <c r="B2792" t="str">
        <f>"060537"</f>
        <v>060537</v>
      </c>
      <c r="C2792" t="str">
        <f>"21098"</f>
        <v>21098</v>
      </c>
      <c r="D2792" t="s">
        <v>2261</v>
      </c>
      <c r="E2792" s="3">
        <v>117.33</v>
      </c>
      <c r="F2792">
        <v>20151008</v>
      </c>
      <c r="G2792" t="s">
        <v>1758</v>
      </c>
      <c r="H2792" t="s">
        <v>595</v>
      </c>
      <c r="I2792">
        <v>0</v>
      </c>
      <c r="J2792" t="s">
        <v>1709</v>
      </c>
      <c r="K2792" t="s">
        <v>1643</v>
      </c>
      <c r="L2792" t="s">
        <v>285</v>
      </c>
      <c r="M2792" t="str">
        <f t="shared" si="168"/>
        <v>10</v>
      </c>
      <c r="N2792" t="s">
        <v>12</v>
      </c>
    </row>
    <row r="2793" spans="1:14" x14ac:dyDescent="0.25">
      <c r="A2793">
        <v>20151009</v>
      </c>
      <c r="B2793" t="str">
        <f>"060537"</f>
        <v>060537</v>
      </c>
      <c r="C2793" t="str">
        <f>"21098"</f>
        <v>21098</v>
      </c>
      <c r="D2793" t="s">
        <v>2261</v>
      </c>
      <c r="E2793" s="3">
        <v>464.92</v>
      </c>
      <c r="F2793">
        <v>20151008</v>
      </c>
      <c r="G2793" t="s">
        <v>2262</v>
      </c>
      <c r="H2793" t="s">
        <v>595</v>
      </c>
      <c r="I2793">
        <v>0</v>
      </c>
      <c r="J2793" t="s">
        <v>1709</v>
      </c>
      <c r="K2793" t="s">
        <v>1643</v>
      </c>
      <c r="L2793" t="s">
        <v>285</v>
      </c>
      <c r="M2793" t="str">
        <f t="shared" si="168"/>
        <v>10</v>
      </c>
      <c r="N2793" t="s">
        <v>12</v>
      </c>
    </row>
    <row r="2794" spans="1:14" x14ac:dyDescent="0.25">
      <c r="A2794">
        <v>20151009</v>
      </c>
      <c r="B2794" t="str">
        <f>"060537"</f>
        <v>060537</v>
      </c>
      <c r="C2794" t="str">
        <f>"21098"</f>
        <v>21098</v>
      </c>
      <c r="D2794" t="s">
        <v>2261</v>
      </c>
      <c r="E2794" s="3">
        <v>239.98</v>
      </c>
      <c r="F2794">
        <v>20151008</v>
      </c>
      <c r="G2794" t="s">
        <v>2262</v>
      </c>
      <c r="H2794" t="s">
        <v>2263</v>
      </c>
      <c r="I2794">
        <v>0</v>
      </c>
      <c r="J2794" t="s">
        <v>1709</v>
      </c>
      <c r="K2794" t="s">
        <v>1643</v>
      </c>
      <c r="L2794" t="s">
        <v>285</v>
      </c>
      <c r="M2794" t="str">
        <f t="shared" si="168"/>
        <v>10</v>
      </c>
      <c r="N2794" t="s">
        <v>12</v>
      </c>
    </row>
    <row r="2795" spans="1:14" x14ac:dyDescent="0.25">
      <c r="A2795">
        <v>20151009</v>
      </c>
      <c r="B2795" t="str">
        <f>"060537"</f>
        <v>060537</v>
      </c>
      <c r="C2795" t="str">
        <f>"21098"</f>
        <v>21098</v>
      </c>
      <c r="D2795" t="s">
        <v>2261</v>
      </c>
      <c r="E2795" s="3">
        <v>428.34</v>
      </c>
      <c r="F2795">
        <v>20151008</v>
      </c>
      <c r="G2795" t="s">
        <v>2264</v>
      </c>
      <c r="H2795" t="s">
        <v>595</v>
      </c>
      <c r="I2795">
        <v>0</v>
      </c>
      <c r="J2795" t="s">
        <v>1709</v>
      </c>
      <c r="K2795" t="s">
        <v>1643</v>
      </c>
      <c r="L2795" t="s">
        <v>285</v>
      </c>
      <c r="M2795" t="str">
        <f t="shared" si="168"/>
        <v>10</v>
      </c>
      <c r="N2795" t="s">
        <v>12</v>
      </c>
    </row>
    <row r="2796" spans="1:14" x14ac:dyDescent="0.25">
      <c r="A2796">
        <v>20151009</v>
      </c>
      <c r="B2796" t="str">
        <f>"060538"</f>
        <v>060538</v>
      </c>
      <c r="C2796" t="str">
        <f>"21360"</f>
        <v>21360</v>
      </c>
      <c r="D2796" t="s">
        <v>2265</v>
      </c>
      <c r="E2796" s="3">
        <v>68.180000000000007</v>
      </c>
      <c r="F2796">
        <v>20151008</v>
      </c>
      <c r="G2796" t="s">
        <v>1892</v>
      </c>
      <c r="H2796" t="s">
        <v>1881</v>
      </c>
      <c r="I2796">
        <v>0</v>
      </c>
      <c r="J2796" t="s">
        <v>1709</v>
      </c>
      <c r="K2796" t="s">
        <v>1893</v>
      </c>
      <c r="L2796" t="s">
        <v>285</v>
      </c>
      <c r="M2796" t="str">
        <f t="shared" si="168"/>
        <v>10</v>
      </c>
      <c r="N2796" t="s">
        <v>12</v>
      </c>
    </row>
    <row r="2797" spans="1:14" x14ac:dyDescent="0.25">
      <c r="A2797">
        <v>20151009</v>
      </c>
      <c r="B2797" t="str">
        <f>"060540"</f>
        <v>060540</v>
      </c>
      <c r="C2797" t="str">
        <f>"21875"</f>
        <v>21875</v>
      </c>
      <c r="D2797" t="s">
        <v>2266</v>
      </c>
      <c r="E2797" s="3">
        <v>88.75</v>
      </c>
      <c r="F2797">
        <v>20151008</v>
      </c>
      <c r="G2797" t="s">
        <v>1859</v>
      </c>
      <c r="H2797" t="s">
        <v>2267</v>
      </c>
      <c r="I2797">
        <v>0</v>
      </c>
      <c r="J2797" t="s">
        <v>1709</v>
      </c>
      <c r="K2797" t="s">
        <v>1861</v>
      </c>
      <c r="L2797" t="s">
        <v>285</v>
      </c>
      <c r="M2797" t="str">
        <f t="shared" si="168"/>
        <v>10</v>
      </c>
      <c r="N2797" t="s">
        <v>12</v>
      </c>
    </row>
    <row r="2798" spans="1:14" x14ac:dyDescent="0.25">
      <c r="A2798">
        <v>20151009</v>
      </c>
      <c r="B2798" t="str">
        <f t="shared" ref="B2798:B2803" si="175">"060541"</f>
        <v>060541</v>
      </c>
      <c r="C2798" t="str">
        <f t="shared" ref="C2798:C2803" si="176">"21901"</f>
        <v>21901</v>
      </c>
      <c r="D2798" t="s">
        <v>1965</v>
      </c>
      <c r="E2798" s="3">
        <v>21872.66</v>
      </c>
      <c r="F2798">
        <v>20151008</v>
      </c>
      <c r="G2798" t="s">
        <v>1854</v>
      </c>
      <c r="H2798" t="s">
        <v>2268</v>
      </c>
      <c r="I2798">
        <v>0</v>
      </c>
      <c r="J2798" t="s">
        <v>1709</v>
      </c>
      <c r="K2798" t="s">
        <v>1856</v>
      </c>
      <c r="L2798" t="s">
        <v>285</v>
      </c>
      <c r="M2798" t="str">
        <f t="shared" si="168"/>
        <v>10</v>
      </c>
      <c r="N2798" t="s">
        <v>12</v>
      </c>
    </row>
    <row r="2799" spans="1:14" x14ac:dyDescent="0.25">
      <c r="A2799">
        <v>20151009</v>
      </c>
      <c r="B2799" t="str">
        <f t="shared" si="175"/>
        <v>060541</v>
      </c>
      <c r="C2799" t="str">
        <f t="shared" si="176"/>
        <v>21901</v>
      </c>
      <c r="D2799" t="s">
        <v>1965</v>
      </c>
      <c r="E2799" s="3">
        <v>286</v>
      </c>
      <c r="F2799">
        <v>20151008</v>
      </c>
      <c r="G2799" t="s">
        <v>1854</v>
      </c>
      <c r="H2799" t="s">
        <v>2269</v>
      </c>
      <c r="I2799">
        <v>0</v>
      </c>
      <c r="J2799" t="s">
        <v>1709</v>
      </c>
      <c r="K2799" t="s">
        <v>1856</v>
      </c>
      <c r="L2799" t="s">
        <v>285</v>
      </c>
      <c r="M2799" t="str">
        <f t="shared" si="168"/>
        <v>10</v>
      </c>
      <c r="N2799" t="s">
        <v>12</v>
      </c>
    </row>
    <row r="2800" spans="1:14" x14ac:dyDescent="0.25">
      <c r="A2800">
        <v>20151009</v>
      </c>
      <c r="B2800" t="str">
        <f t="shared" si="175"/>
        <v>060541</v>
      </c>
      <c r="C2800" t="str">
        <f t="shared" si="176"/>
        <v>21901</v>
      </c>
      <c r="D2800" t="s">
        <v>1965</v>
      </c>
      <c r="E2800" s="3">
        <v>23.37</v>
      </c>
      <c r="F2800">
        <v>20151008</v>
      </c>
      <c r="G2800" t="s">
        <v>1854</v>
      </c>
      <c r="H2800" t="s">
        <v>2270</v>
      </c>
      <c r="I2800">
        <v>0</v>
      </c>
      <c r="J2800" t="s">
        <v>1709</v>
      </c>
      <c r="K2800" t="s">
        <v>1856</v>
      </c>
      <c r="L2800" t="s">
        <v>285</v>
      </c>
      <c r="M2800" t="str">
        <f t="shared" si="168"/>
        <v>10</v>
      </c>
      <c r="N2800" t="s">
        <v>12</v>
      </c>
    </row>
    <row r="2801" spans="1:14" x14ac:dyDescent="0.25">
      <c r="A2801">
        <v>20151009</v>
      </c>
      <c r="B2801" t="str">
        <f t="shared" si="175"/>
        <v>060541</v>
      </c>
      <c r="C2801" t="str">
        <f t="shared" si="176"/>
        <v>21901</v>
      </c>
      <c r="D2801" t="s">
        <v>1965</v>
      </c>
      <c r="E2801" s="3">
        <v>890.42</v>
      </c>
      <c r="F2801">
        <v>20151008</v>
      </c>
      <c r="G2801" t="s">
        <v>1854</v>
      </c>
      <c r="H2801" t="s">
        <v>2271</v>
      </c>
      <c r="I2801">
        <v>0</v>
      </c>
      <c r="J2801" t="s">
        <v>1709</v>
      </c>
      <c r="K2801" t="s">
        <v>1856</v>
      </c>
      <c r="L2801" t="s">
        <v>285</v>
      </c>
      <c r="M2801" t="str">
        <f t="shared" si="168"/>
        <v>10</v>
      </c>
      <c r="N2801" t="s">
        <v>12</v>
      </c>
    </row>
    <row r="2802" spans="1:14" x14ac:dyDescent="0.25">
      <c r="A2802">
        <v>20151009</v>
      </c>
      <c r="B2802" t="str">
        <f t="shared" si="175"/>
        <v>060541</v>
      </c>
      <c r="C2802" t="str">
        <f t="shared" si="176"/>
        <v>21901</v>
      </c>
      <c r="D2802" t="s">
        <v>1965</v>
      </c>
      <c r="E2802" s="3">
        <v>322.86</v>
      </c>
      <c r="F2802">
        <v>20151008</v>
      </c>
      <c r="G2802" t="s">
        <v>1854</v>
      </c>
      <c r="H2802" t="s">
        <v>2272</v>
      </c>
      <c r="I2802">
        <v>0</v>
      </c>
      <c r="J2802" t="s">
        <v>1709</v>
      </c>
      <c r="K2802" t="s">
        <v>1856</v>
      </c>
      <c r="L2802" t="s">
        <v>285</v>
      </c>
      <c r="M2802" t="str">
        <f t="shared" ref="M2802:M2865" si="177">"10"</f>
        <v>10</v>
      </c>
      <c r="N2802" t="s">
        <v>12</v>
      </c>
    </row>
    <row r="2803" spans="1:14" x14ac:dyDescent="0.25">
      <c r="A2803">
        <v>20151009</v>
      </c>
      <c r="B2803" t="str">
        <f t="shared" si="175"/>
        <v>060541</v>
      </c>
      <c r="C2803" t="str">
        <f t="shared" si="176"/>
        <v>21901</v>
      </c>
      <c r="D2803" t="s">
        <v>1965</v>
      </c>
      <c r="E2803" s="3">
        <v>878.5</v>
      </c>
      <c r="F2803">
        <v>20151008</v>
      </c>
      <c r="G2803" t="s">
        <v>1854</v>
      </c>
      <c r="H2803" t="s">
        <v>2273</v>
      </c>
      <c r="I2803">
        <v>0</v>
      </c>
      <c r="J2803" t="s">
        <v>1709</v>
      </c>
      <c r="K2803" t="s">
        <v>1856</v>
      </c>
      <c r="L2803" t="s">
        <v>285</v>
      </c>
      <c r="M2803" t="str">
        <f t="shared" si="177"/>
        <v>10</v>
      </c>
      <c r="N2803" t="s">
        <v>12</v>
      </c>
    </row>
    <row r="2804" spans="1:14" x14ac:dyDescent="0.25">
      <c r="A2804">
        <v>20151009</v>
      </c>
      <c r="B2804" t="str">
        <f>"060542"</f>
        <v>060542</v>
      </c>
      <c r="C2804" t="str">
        <f>"22129"</f>
        <v>22129</v>
      </c>
      <c r="D2804" t="s">
        <v>1072</v>
      </c>
      <c r="E2804" s="3">
        <v>150</v>
      </c>
      <c r="F2804">
        <v>20151008</v>
      </c>
      <c r="G2804" t="s">
        <v>1786</v>
      </c>
      <c r="H2804" t="s">
        <v>2274</v>
      </c>
      <c r="I2804">
        <v>0</v>
      </c>
      <c r="J2804" t="s">
        <v>1709</v>
      </c>
      <c r="K2804" t="s">
        <v>290</v>
      </c>
      <c r="L2804" t="s">
        <v>285</v>
      </c>
      <c r="M2804" t="str">
        <f t="shared" si="177"/>
        <v>10</v>
      </c>
      <c r="N2804" t="s">
        <v>12</v>
      </c>
    </row>
    <row r="2805" spans="1:14" x14ac:dyDescent="0.25">
      <c r="A2805">
        <v>20151009</v>
      </c>
      <c r="B2805" t="str">
        <f>"060545"</f>
        <v>060545</v>
      </c>
      <c r="C2805" t="str">
        <f>"23974"</f>
        <v>23974</v>
      </c>
      <c r="D2805" t="s">
        <v>1581</v>
      </c>
      <c r="E2805" s="3">
        <v>514.6</v>
      </c>
      <c r="F2805">
        <v>20151008</v>
      </c>
      <c r="G2805" t="s">
        <v>2275</v>
      </c>
      <c r="H2805" t="s">
        <v>2276</v>
      </c>
      <c r="I2805">
        <v>0</v>
      </c>
      <c r="J2805" t="s">
        <v>1709</v>
      </c>
      <c r="K2805" t="s">
        <v>95</v>
      </c>
      <c r="L2805" t="s">
        <v>285</v>
      </c>
      <c r="M2805" t="str">
        <f t="shared" si="177"/>
        <v>10</v>
      </c>
      <c r="N2805" t="s">
        <v>12</v>
      </c>
    </row>
    <row r="2806" spans="1:14" x14ac:dyDescent="0.25">
      <c r="A2806">
        <v>20151009</v>
      </c>
      <c r="B2806" t="str">
        <f>"060545"</f>
        <v>060545</v>
      </c>
      <c r="C2806" t="str">
        <f>"23974"</f>
        <v>23974</v>
      </c>
      <c r="D2806" t="s">
        <v>1581</v>
      </c>
      <c r="E2806" s="3">
        <v>2000</v>
      </c>
      <c r="F2806">
        <v>20151008</v>
      </c>
      <c r="G2806" t="s">
        <v>2277</v>
      </c>
      <c r="H2806" t="s">
        <v>2276</v>
      </c>
      <c r="I2806">
        <v>0</v>
      </c>
      <c r="J2806" t="s">
        <v>1709</v>
      </c>
      <c r="K2806" t="s">
        <v>95</v>
      </c>
      <c r="L2806" t="s">
        <v>285</v>
      </c>
      <c r="M2806" t="str">
        <f t="shared" si="177"/>
        <v>10</v>
      </c>
      <c r="N2806" t="s">
        <v>12</v>
      </c>
    </row>
    <row r="2807" spans="1:14" x14ac:dyDescent="0.25">
      <c r="A2807">
        <v>20151009</v>
      </c>
      <c r="B2807" t="str">
        <f>"060546"</f>
        <v>060546</v>
      </c>
      <c r="C2807" t="str">
        <f>"24130"</f>
        <v>24130</v>
      </c>
      <c r="D2807" t="s">
        <v>2278</v>
      </c>
      <c r="E2807" s="3">
        <v>1125</v>
      </c>
      <c r="F2807">
        <v>20151008</v>
      </c>
      <c r="G2807" t="s">
        <v>2279</v>
      </c>
      <c r="H2807" t="s">
        <v>2280</v>
      </c>
      <c r="I2807">
        <v>0</v>
      </c>
      <c r="J2807" t="s">
        <v>1709</v>
      </c>
      <c r="K2807" t="s">
        <v>1861</v>
      </c>
      <c r="L2807" t="s">
        <v>285</v>
      </c>
      <c r="M2807" t="str">
        <f t="shared" si="177"/>
        <v>10</v>
      </c>
      <c r="N2807" t="s">
        <v>12</v>
      </c>
    </row>
    <row r="2808" spans="1:14" x14ac:dyDescent="0.25">
      <c r="A2808">
        <v>20151009</v>
      </c>
      <c r="B2808" t="str">
        <f>"060546"</f>
        <v>060546</v>
      </c>
      <c r="C2808" t="str">
        <f>"24130"</f>
        <v>24130</v>
      </c>
      <c r="D2808" t="s">
        <v>2278</v>
      </c>
      <c r="E2808" s="3">
        <v>6619.96</v>
      </c>
      <c r="F2808">
        <v>20151008</v>
      </c>
      <c r="G2808" t="s">
        <v>2281</v>
      </c>
      <c r="H2808" t="s">
        <v>2282</v>
      </c>
      <c r="I2808">
        <v>0</v>
      </c>
      <c r="J2808" t="s">
        <v>1709</v>
      </c>
      <c r="K2808" t="s">
        <v>290</v>
      </c>
      <c r="L2808" t="s">
        <v>285</v>
      </c>
      <c r="M2808" t="str">
        <f t="shared" si="177"/>
        <v>10</v>
      </c>
      <c r="N2808" t="s">
        <v>12</v>
      </c>
    </row>
    <row r="2809" spans="1:14" x14ac:dyDescent="0.25">
      <c r="A2809">
        <v>20151009</v>
      </c>
      <c r="B2809" t="str">
        <f>"060547"</f>
        <v>060547</v>
      </c>
      <c r="C2809" t="str">
        <f>"25165"</f>
        <v>25165</v>
      </c>
      <c r="D2809" t="s">
        <v>1563</v>
      </c>
      <c r="E2809" s="3">
        <v>9930.1200000000008</v>
      </c>
      <c r="F2809">
        <v>20151008</v>
      </c>
      <c r="G2809" t="s">
        <v>2283</v>
      </c>
      <c r="H2809" t="s">
        <v>2284</v>
      </c>
      <c r="I2809">
        <v>0</v>
      </c>
      <c r="J2809" t="s">
        <v>1709</v>
      </c>
      <c r="K2809" t="s">
        <v>1643</v>
      </c>
      <c r="L2809" t="s">
        <v>285</v>
      </c>
      <c r="M2809" t="str">
        <f t="shared" si="177"/>
        <v>10</v>
      </c>
      <c r="N2809" t="s">
        <v>12</v>
      </c>
    </row>
    <row r="2810" spans="1:14" x14ac:dyDescent="0.25">
      <c r="A2810">
        <v>20151009</v>
      </c>
      <c r="B2810" t="str">
        <f>"060551"</f>
        <v>060551</v>
      </c>
      <c r="C2810" t="str">
        <f>"28680"</f>
        <v>28680</v>
      </c>
      <c r="D2810" t="s">
        <v>422</v>
      </c>
      <c r="E2810" s="3">
        <v>148</v>
      </c>
      <c r="F2810">
        <v>20151008</v>
      </c>
      <c r="G2810" t="s">
        <v>2285</v>
      </c>
      <c r="H2810" t="s">
        <v>2286</v>
      </c>
      <c r="I2810">
        <v>0</v>
      </c>
      <c r="J2810" t="s">
        <v>1709</v>
      </c>
      <c r="K2810" t="s">
        <v>95</v>
      </c>
      <c r="L2810" t="s">
        <v>285</v>
      </c>
      <c r="M2810" t="str">
        <f t="shared" si="177"/>
        <v>10</v>
      </c>
      <c r="N2810" t="s">
        <v>12</v>
      </c>
    </row>
    <row r="2811" spans="1:14" x14ac:dyDescent="0.25">
      <c r="A2811">
        <v>20151009</v>
      </c>
      <c r="B2811" t="str">
        <f>"060551"</f>
        <v>060551</v>
      </c>
      <c r="C2811" t="str">
        <f>"28680"</f>
        <v>28680</v>
      </c>
      <c r="D2811" t="s">
        <v>422</v>
      </c>
      <c r="E2811" s="3">
        <v>114.57</v>
      </c>
      <c r="F2811">
        <v>20151008</v>
      </c>
      <c r="G2811" t="s">
        <v>1732</v>
      </c>
      <c r="H2811" t="s">
        <v>2287</v>
      </c>
      <c r="I2811">
        <v>0</v>
      </c>
      <c r="J2811" t="s">
        <v>1709</v>
      </c>
      <c r="K2811" t="s">
        <v>290</v>
      </c>
      <c r="L2811" t="s">
        <v>285</v>
      </c>
      <c r="M2811" t="str">
        <f t="shared" si="177"/>
        <v>10</v>
      </c>
      <c r="N2811" t="s">
        <v>12</v>
      </c>
    </row>
    <row r="2812" spans="1:14" x14ac:dyDescent="0.25">
      <c r="A2812">
        <v>20151009</v>
      </c>
      <c r="B2812" t="str">
        <f>"060551"</f>
        <v>060551</v>
      </c>
      <c r="C2812" t="str">
        <f>"28680"</f>
        <v>28680</v>
      </c>
      <c r="D2812" t="s">
        <v>422</v>
      </c>
      <c r="E2812" s="3">
        <v>52</v>
      </c>
      <c r="F2812">
        <v>20151008</v>
      </c>
      <c r="G2812" t="s">
        <v>1725</v>
      </c>
      <c r="H2812" t="s">
        <v>2288</v>
      </c>
      <c r="I2812">
        <v>0</v>
      </c>
      <c r="J2812" t="s">
        <v>1709</v>
      </c>
      <c r="K2812" t="s">
        <v>290</v>
      </c>
      <c r="L2812" t="s">
        <v>285</v>
      </c>
      <c r="M2812" t="str">
        <f t="shared" si="177"/>
        <v>10</v>
      </c>
      <c r="N2812" t="s">
        <v>12</v>
      </c>
    </row>
    <row r="2813" spans="1:14" x14ac:dyDescent="0.25">
      <c r="A2813">
        <v>20151009</v>
      </c>
      <c r="B2813" t="str">
        <f>"060552"</f>
        <v>060552</v>
      </c>
      <c r="C2813" t="str">
        <f>"31771"</f>
        <v>31771</v>
      </c>
      <c r="D2813" t="s">
        <v>2289</v>
      </c>
      <c r="E2813" s="3">
        <v>4500</v>
      </c>
      <c r="F2813">
        <v>20151008</v>
      </c>
      <c r="G2813" t="s">
        <v>2290</v>
      </c>
      <c r="H2813" t="s">
        <v>2291</v>
      </c>
      <c r="I2813">
        <v>0</v>
      </c>
      <c r="J2813" t="s">
        <v>1709</v>
      </c>
      <c r="K2813" t="s">
        <v>1882</v>
      </c>
      <c r="L2813" t="s">
        <v>285</v>
      </c>
      <c r="M2813" t="str">
        <f t="shared" si="177"/>
        <v>10</v>
      </c>
      <c r="N2813" t="s">
        <v>12</v>
      </c>
    </row>
    <row r="2814" spans="1:14" x14ac:dyDescent="0.25">
      <c r="A2814">
        <v>20151009</v>
      </c>
      <c r="B2814" t="str">
        <f t="shared" ref="B2814:B2821" si="178">"060553"</f>
        <v>060553</v>
      </c>
      <c r="C2814" t="str">
        <f t="shared" ref="C2814:C2821" si="179">"29500"</f>
        <v>29500</v>
      </c>
      <c r="D2814" t="s">
        <v>1698</v>
      </c>
      <c r="E2814" s="3">
        <v>219.85</v>
      </c>
      <c r="F2814">
        <v>20151008</v>
      </c>
      <c r="G2814" t="s">
        <v>2281</v>
      </c>
      <c r="H2814" t="s">
        <v>2292</v>
      </c>
      <c r="I2814">
        <v>0</v>
      </c>
      <c r="J2814" t="s">
        <v>1709</v>
      </c>
      <c r="K2814" t="s">
        <v>290</v>
      </c>
      <c r="L2814" t="s">
        <v>285</v>
      </c>
      <c r="M2814" t="str">
        <f t="shared" si="177"/>
        <v>10</v>
      </c>
      <c r="N2814" t="s">
        <v>12</v>
      </c>
    </row>
    <row r="2815" spans="1:14" x14ac:dyDescent="0.25">
      <c r="A2815">
        <v>20151009</v>
      </c>
      <c r="B2815" t="str">
        <f t="shared" si="178"/>
        <v>060553</v>
      </c>
      <c r="C2815" t="str">
        <f t="shared" si="179"/>
        <v>29500</v>
      </c>
      <c r="D2815" t="s">
        <v>1698</v>
      </c>
      <c r="E2815" s="3">
        <v>170</v>
      </c>
      <c r="F2815">
        <v>20151008</v>
      </c>
      <c r="G2815" t="s">
        <v>2281</v>
      </c>
      <c r="H2815" t="s">
        <v>2293</v>
      </c>
      <c r="I2815">
        <v>0</v>
      </c>
      <c r="J2815" t="s">
        <v>1709</v>
      </c>
      <c r="K2815" t="s">
        <v>290</v>
      </c>
      <c r="L2815" t="s">
        <v>285</v>
      </c>
      <c r="M2815" t="str">
        <f t="shared" si="177"/>
        <v>10</v>
      </c>
      <c r="N2815" t="s">
        <v>12</v>
      </c>
    </row>
    <row r="2816" spans="1:14" x14ac:dyDescent="0.25">
      <c r="A2816">
        <v>20151009</v>
      </c>
      <c r="B2816" t="str">
        <f t="shared" si="178"/>
        <v>060553</v>
      </c>
      <c r="C2816" t="str">
        <f t="shared" si="179"/>
        <v>29500</v>
      </c>
      <c r="D2816" t="s">
        <v>1698</v>
      </c>
      <c r="E2816" s="3">
        <v>428.7</v>
      </c>
      <c r="F2816">
        <v>20151008</v>
      </c>
      <c r="G2816" t="s">
        <v>1859</v>
      </c>
      <c r="H2816" t="s">
        <v>2294</v>
      </c>
      <c r="I2816">
        <v>0</v>
      </c>
      <c r="J2816" t="s">
        <v>1709</v>
      </c>
      <c r="K2816" t="s">
        <v>1861</v>
      </c>
      <c r="L2816" t="s">
        <v>285</v>
      </c>
      <c r="M2816" t="str">
        <f t="shared" si="177"/>
        <v>10</v>
      </c>
      <c r="N2816" t="s">
        <v>12</v>
      </c>
    </row>
    <row r="2817" spans="1:14" x14ac:dyDescent="0.25">
      <c r="A2817">
        <v>20151009</v>
      </c>
      <c r="B2817" t="str">
        <f t="shared" si="178"/>
        <v>060553</v>
      </c>
      <c r="C2817" t="str">
        <f t="shared" si="179"/>
        <v>29500</v>
      </c>
      <c r="D2817" t="s">
        <v>1698</v>
      </c>
      <c r="E2817" s="3">
        <v>289.39</v>
      </c>
      <c r="F2817">
        <v>20151008</v>
      </c>
      <c r="G2817" t="s">
        <v>1859</v>
      </c>
      <c r="H2817" t="s">
        <v>2295</v>
      </c>
      <c r="I2817">
        <v>0</v>
      </c>
      <c r="J2817" t="s">
        <v>1709</v>
      </c>
      <c r="K2817" t="s">
        <v>1861</v>
      </c>
      <c r="L2817" t="s">
        <v>285</v>
      </c>
      <c r="M2817" t="str">
        <f t="shared" si="177"/>
        <v>10</v>
      </c>
      <c r="N2817" t="s">
        <v>12</v>
      </c>
    </row>
    <row r="2818" spans="1:14" x14ac:dyDescent="0.25">
      <c r="A2818">
        <v>20151009</v>
      </c>
      <c r="B2818" t="str">
        <f t="shared" si="178"/>
        <v>060553</v>
      </c>
      <c r="C2818" t="str">
        <f t="shared" si="179"/>
        <v>29500</v>
      </c>
      <c r="D2818" t="s">
        <v>1698</v>
      </c>
      <c r="E2818" s="3">
        <v>3623.08</v>
      </c>
      <c r="F2818">
        <v>20151008</v>
      </c>
      <c r="G2818" t="s">
        <v>1859</v>
      </c>
      <c r="H2818" t="s">
        <v>2295</v>
      </c>
      <c r="I2818">
        <v>0</v>
      </c>
      <c r="J2818" t="s">
        <v>1709</v>
      </c>
      <c r="K2818" t="s">
        <v>1861</v>
      </c>
      <c r="L2818" t="s">
        <v>285</v>
      </c>
      <c r="M2818" t="str">
        <f t="shared" si="177"/>
        <v>10</v>
      </c>
      <c r="N2818" t="s">
        <v>12</v>
      </c>
    </row>
    <row r="2819" spans="1:14" x14ac:dyDescent="0.25">
      <c r="A2819">
        <v>20151009</v>
      </c>
      <c r="B2819" t="str">
        <f t="shared" si="178"/>
        <v>060553</v>
      </c>
      <c r="C2819" t="str">
        <f t="shared" si="179"/>
        <v>29500</v>
      </c>
      <c r="D2819" t="s">
        <v>1698</v>
      </c>
      <c r="E2819" s="3">
        <v>281.45</v>
      </c>
      <c r="F2819">
        <v>20151008</v>
      </c>
      <c r="G2819" t="s">
        <v>1859</v>
      </c>
      <c r="H2819" t="s">
        <v>2296</v>
      </c>
      <c r="I2819">
        <v>0</v>
      </c>
      <c r="J2819" t="s">
        <v>1709</v>
      </c>
      <c r="K2819" t="s">
        <v>1861</v>
      </c>
      <c r="L2819" t="s">
        <v>285</v>
      </c>
      <c r="M2819" t="str">
        <f t="shared" si="177"/>
        <v>10</v>
      </c>
      <c r="N2819" t="s">
        <v>12</v>
      </c>
    </row>
    <row r="2820" spans="1:14" x14ac:dyDescent="0.25">
      <c r="A2820">
        <v>20151009</v>
      </c>
      <c r="B2820" t="str">
        <f t="shared" si="178"/>
        <v>060553</v>
      </c>
      <c r="C2820" t="str">
        <f t="shared" si="179"/>
        <v>29500</v>
      </c>
      <c r="D2820" t="s">
        <v>1698</v>
      </c>
      <c r="E2820" s="3">
        <v>450</v>
      </c>
      <c r="F2820">
        <v>20151008</v>
      </c>
      <c r="G2820" t="s">
        <v>1859</v>
      </c>
      <c r="H2820" t="s">
        <v>2297</v>
      </c>
      <c r="I2820">
        <v>0</v>
      </c>
      <c r="J2820" t="s">
        <v>1709</v>
      </c>
      <c r="K2820" t="s">
        <v>1861</v>
      </c>
      <c r="L2820" t="s">
        <v>285</v>
      </c>
      <c r="M2820" t="str">
        <f t="shared" si="177"/>
        <v>10</v>
      </c>
      <c r="N2820" t="s">
        <v>12</v>
      </c>
    </row>
    <row r="2821" spans="1:14" x14ac:dyDescent="0.25">
      <c r="A2821">
        <v>20151009</v>
      </c>
      <c r="B2821" t="str">
        <f t="shared" si="178"/>
        <v>060553</v>
      </c>
      <c r="C2821" t="str">
        <f t="shared" si="179"/>
        <v>29500</v>
      </c>
      <c r="D2821" t="s">
        <v>1698</v>
      </c>
      <c r="E2821" s="3">
        <v>3024</v>
      </c>
      <c r="F2821">
        <v>20151008</v>
      </c>
      <c r="G2821" t="s">
        <v>1859</v>
      </c>
      <c r="H2821" t="s">
        <v>2298</v>
      </c>
      <c r="I2821">
        <v>0</v>
      </c>
      <c r="J2821" t="s">
        <v>1709</v>
      </c>
      <c r="K2821" t="s">
        <v>1861</v>
      </c>
      <c r="L2821" t="s">
        <v>285</v>
      </c>
      <c r="M2821" t="str">
        <f t="shared" si="177"/>
        <v>10</v>
      </c>
      <c r="N2821" t="s">
        <v>12</v>
      </c>
    </row>
    <row r="2822" spans="1:14" x14ac:dyDescent="0.25">
      <c r="A2822">
        <v>20151009</v>
      </c>
      <c r="B2822" t="str">
        <f>"060555"</f>
        <v>060555</v>
      </c>
      <c r="C2822" t="str">
        <f>"30118"</f>
        <v>30118</v>
      </c>
      <c r="D2822" t="s">
        <v>351</v>
      </c>
      <c r="E2822" s="3">
        <v>90</v>
      </c>
      <c r="F2822">
        <v>20151008</v>
      </c>
      <c r="G2822" t="s">
        <v>1788</v>
      </c>
      <c r="H2822" t="s">
        <v>2299</v>
      </c>
      <c r="I2822">
        <v>0</v>
      </c>
      <c r="J2822" t="s">
        <v>1709</v>
      </c>
      <c r="K2822" t="s">
        <v>1643</v>
      </c>
      <c r="L2822" t="s">
        <v>285</v>
      </c>
      <c r="M2822" t="str">
        <f t="shared" si="177"/>
        <v>10</v>
      </c>
      <c r="N2822" t="s">
        <v>12</v>
      </c>
    </row>
    <row r="2823" spans="1:14" x14ac:dyDescent="0.25">
      <c r="A2823">
        <v>20151009</v>
      </c>
      <c r="B2823" t="str">
        <f>"060565"</f>
        <v>060565</v>
      </c>
      <c r="C2823" t="str">
        <f>"34271"</f>
        <v>34271</v>
      </c>
      <c r="D2823" t="s">
        <v>1704</v>
      </c>
      <c r="E2823" s="3">
        <v>4500</v>
      </c>
      <c r="F2823">
        <v>20151008</v>
      </c>
      <c r="G2823" t="s">
        <v>1718</v>
      </c>
      <c r="H2823" t="s">
        <v>1706</v>
      </c>
      <c r="I2823">
        <v>0</v>
      </c>
      <c r="J2823" t="s">
        <v>1709</v>
      </c>
      <c r="K2823" t="s">
        <v>235</v>
      </c>
      <c r="L2823" t="s">
        <v>285</v>
      </c>
      <c r="M2823" t="str">
        <f t="shared" si="177"/>
        <v>10</v>
      </c>
      <c r="N2823" t="s">
        <v>12</v>
      </c>
    </row>
    <row r="2824" spans="1:14" x14ac:dyDescent="0.25">
      <c r="A2824">
        <v>20151009</v>
      </c>
      <c r="B2824" t="str">
        <f>"060566"</f>
        <v>060566</v>
      </c>
      <c r="C2824" t="str">
        <f>"34680"</f>
        <v>34680</v>
      </c>
      <c r="D2824" t="s">
        <v>1683</v>
      </c>
      <c r="E2824" s="3">
        <v>953.23</v>
      </c>
      <c r="F2824">
        <v>20151008</v>
      </c>
      <c r="G2824" t="s">
        <v>2300</v>
      </c>
      <c r="H2824" t="s">
        <v>2301</v>
      </c>
      <c r="I2824">
        <v>0</v>
      </c>
      <c r="J2824" t="s">
        <v>1709</v>
      </c>
      <c r="K2824" t="s">
        <v>290</v>
      </c>
      <c r="L2824" t="s">
        <v>285</v>
      </c>
      <c r="M2824" t="str">
        <f t="shared" si="177"/>
        <v>10</v>
      </c>
      <c r="N2824" t="s">
        <v>12</v>
      </c>
    </row>
    <row r="2825" spans="1:14" x14ac:dyDescent="0.25">
      <c r="A2825">
        <v>20151009</v>
      </c>
      <c r="B2825" t="str">
        <f>"060566"</f>
        <v>060566</v>
      </c>
      <c r="C2825" t="str">
        <f>"34680"</f>
        <v>34680</v>
      </c>
      <c r="D2825" t="s">
        <v>1683</v>
      </c>
      <c r="E2825" s="3">
        <v>603.73</v>
      </c>
      <c r="F2825">
        <v>20151008</v>
      </c>
      <c r="G2825" t="s">
        <v>2300</v>
      </c>
      <c r="H2825" t="s">
        <v>2301</v>
      </c>
      <c r="I2825">
        <v>0</v>
      </c>
      <c r="J2825" t="s">
        <v>1709</v>
      </c>
      <c r="K2825" t="s">
        <v>290</v>
      </c>
      <c r="L2825" t="s">
        <v>285</v>
      </c>
      <c r="M2825" t="str">
        <f t="shared" si="177"/>
        <v>10</v>
      </c>
      <c r="N2825" t="s">
        <v>12</v>
      </c>
    </row>
    <row r="2826" spans="1:14" x14ac:dyDescent="0.25">
      <c r="A2826">
        <v>20151009</v>
      </c>
      <c r="B2826" t="str">
        <f>"060569"</f>
        <v>060569</v>
      </c>
      <c r="C2826" t="str">
        <f>"35430"</f>
        <v>35430</v>
      </c>
      <c r="D2826" t="s">
        <v>2302</v>
      </c>
      <c r="E2826" s="3">
        <v>136.86000000000001</v>
      </c>
      <c r="F2826">
        <v>20151008</v>
      </c>
      <c r="G2826" t="s">
        <v>2303</v>
      </c>
      <c r="H2826" t="s">
        <v>2304</v>
      </c>
      <c r="I2826">
        <v>0</v>
      </c>
      <c r="J2826" t="s">
        <v>1709</v>
      </c>
      <c r="K2826" t="s">
        <v>235</v>
      </c>
      <c r="L2826" t="s">
        <v>285</v>
      </c>
      <c r="M2826" t="str">
        <f t="shared" si="177"/>
        <v>10</v>
      </c>
      <c r="N2826" t="s">
        <v>12</v>
      </c>
    </row>
    <row r="2827" spans="1:14" x14ac:dyDescent="0.25">
      <c r="A2827">
        <v>20151009</v>
      </c>
      <c r="B2827" t="str">
        <f>"060570"</f>
        <v>060570</v>
      </c>
      <c r="C2827" t="str">
        <f>"35740"</f>
        <v>35740</v>
      </c>
      <c r="D2827" t="s">
        <v>2305</v>
      </c>
      <c r="E2827" s="3">
        <v>1623</v>
      </c>
      <c r="F2827">
        <v>20151008</v>
      </c>
      <c r="G2827" t="s">
        <v>2306</v>
      </c>
      <c r="H2827" t="s">
        <v>2076</v>
      </c>
      <c r="I2827">
        <v>0</v>
      </c>
      <c r="J2827" t="s">
        <v>1709</v>
      </c>
      <c r="K2827" t="s">
        <v>1861</v>
      </c>
      <c r="L2827" t="s">
        <v>285</v>
      </c>
      <c r="M2827" t="str">
        <f t="shared" si="177"/>
        <v>10</v>
      </c>
      <c r="N2827" t="s">
        <v>12</v>
      </c>
    </row>
    <row r="2828" spans="1:14" x14ac:dyDescent="0.25">
      <c r="A2828">
        <v>20151009</v>
      </c>
      <c r="B2828" t="str">
        <f>"060573"</f>
        <v>060573</v>
      </c>
      <c r="C2828" t="str">
        <f>"37500"</f>
        <v>37500</v>
      </c>
      <c r="D2828" t="s">
        <v>1652</v>
      </c>
      <c r="E2828" s="3">
        <v>4.53</v>
      </c>
      <c r="F2828">
        <v>20151008</v>
      </c>
      <c r="G2828" t="s">
        <v>2307</v>
      </c>
      <c r="H2828" t="s">
        <v>2308</v>
      </c>
      <c r="I2828">
        <v>0</v>
      </c>
      <c r="J2828" t="s">
        <v>1709</v>
      </c>
      <c r="K2828" t="s">
        <v>95</v>
      </c>
      <c r="L2828" t="s">
        <v>285</v>
      </c>
      <c r="M2828" t="str">
        <f t="shared" si="177"/>
        <v>10</v>
      </c>
      <c r="N2828" t="s">
        <v>12</v>
      </c>
    </row>
    <row r="2829" spans="1:14" x14ac:dyDescent="0.25">
      <c r="A2829">
        <v>20151009</v>
      </c>
      <c r="B2829" t="str">
        <f>"060573"</f>
        <v>060573</v>
      </c>
      <c r="C2829" t="str">
        <f>"37500"</f>
        <v>37500</v>
      </c>
      <c r="D2829" t="s">
        <v>1652</v>
      </c>
      <c r="E2829" s="3">
        <v>113.52</v>
      </c>
      <c r="F2829">
        <v>20151008</v>
      </c>
      <c r="G2829" t="s">
        <v>2309</v>
      </c>
      <c r="H2829" t="s">
        <v>2310</v>
      </c>
      <c r="I2829">
        <v>0</v>
      </c>
      <c r="J2829" t="s">
        <v>1709</v>
      </c>
      <c r="K2829" t="s">
        <v>1558</v>
      </c>
      <c r="L2829" t="s">
        <v>285</v>
      </c>
      <c r="M2829" t="str">
        <f t="shared" si="177"/>
        <v>10</v>
      </c>
      <c r="N2829" t="s">
        <v>12</v>
      </c>
    </row>
    <row r="2830" spans="1:14" x14ac:dyDescent="0.25">
      <c r="A2830">
        <v>20151009</v>
      </c>
      <c r="B2830" t="str">
        <f>"060573"</f>
        <v>060573</v>
      </c>
      <c r="C2830" t="str">
        <f>"37500"</f>
        <v>37500</v>
      </c>
      <c r="D2830" t="s">
        <v>1652</v>
      </c>
      <c r="E2830" s="3">
        <v>540</v>
      </c>
      <c r="F2830">
        <v>20151008</v>
      </c>
      <c r="G2830" t="s">
        <v>2311</v>
      </c>
      <c r="H2830" t="s">
        <v>2312</v>
      </c>
      <c r="I2830">
        <v>0</v>
      </c>
      <c r="J2830" t="s">
        <v>1709</v>
      </c>
      <c r="K2830" t="s">
        <v>290</v>
      </c>
      <c r="L2830" t="s">
        <v>285</v>
      </c>
      <c r="M2830" t="str">
        <f t="shared" si="177"/>
        <v>10</v>
      </c>
      <c r="N2830" t="s">
        <v>12</v>
      </c>
    </row>
    <row r="2831" spans="1:14" x14ac:dyDescent="0.25">
      <c r="A2831">
        <v>20151009</v>
      </c>
      <c r="B2831" t="str">
        <f>"060573"</f>
        <v>060573</v>
      </c>
      <c r="C2831" t="str">
        <f>"37500"</f>
        <v>37500</v>
      </c>
      <c r="D2831" t="s">
        <v>1652</v>
      </c>
      <c r="E2831" s="3">
        <v>82.47</v>
      </c>
      <c r="F2831">
        <v>20151008</v>
      </c>
      <c r="G2831" t="s">
        <v>2049</v>
      </c>
      <c r="H2831" t="s">
        <v>2313</v>
      </c>
      <c r="I2831">
        <v>0</v>
      </c>
      <c r="J2831" t="s">
        <v>1709</v>
      </c>
      <c r="K2831" t="s">
        <v>1775</v>
      </c>
      <c r="L2831" t="s">
        <v>285</v>
      </c>
      <c r="M2831" t="str">
        <f t="shared" si="177"/>
        <v>10</v>
      </c>
      <c r="N2831" t="s">
        <v>12</v>
      </c>
    </row>
    <row r="2832" spans="1:14" x14ac:dyDescent="0.25">
      <c r="A2832">
        <v>20151009</v>
      </c>
      <c r="B2832" t="str">
        <f>"060573"</f>
        <v>060573</v>
      </c>
      <c r="C2832" t="str">
        <f>"37500"</f>
        <v>37500</v>
      </c>
      <c r="D2832" t="s">
        <v>1652</v>
      </c>
      <c r="E2832" s="3">
        <v>56.32</v>
      </c>
      <c r="F2832">
        <v>20151008</v>
      </c>
      <c r="G2832" t="s">
        <v>2314</v>
      </c>
      <c r="H2832" t="s">
        <v>2173</v>
      </c>
      <c r="I2832">
        <v>0</v>
      </c>
      <c r="J2832" t="s">
        <v>1709</v>
      </c>
      <c r="K2832" t="s">
        <v>1984</v>
      </c>
      <c r="L2832" t="s">
        <v>285</v>
      </c>
      <c r="M2832" t="str">
        <f t="shared" si="177"/>
        <v>10</v>
      </c>
      <c r="N2832" t="s">
        <v>12</v>
      </c>
    </row>
    <row r="2833" spans="1:14" x14ac:dyDescent="0.25">
      <c r="A2833">
        <v>20151009</v>
      </c>
      <c r="B2833" t="str">
        <f>"060574"</f>
        <v>060574</v>
      </c>
      <c r="C2833" t="str">
        <f>"39572"</f>
        <v>39572</v>
      </c>
      <c r="D2833" t="s">
        <v>2112</v>
      </c>
      <c r="E2833" s="3">
        <v>140</v>
      </c>
      <c r="F2833">
        <v>20151008</v>
      </c>
      <c r="G2833" t="s">
        <v>2113</v>
      </c>
      <c r="H2833" t="s">
        <v>2315</v>
      </c>
      <c r="I2833">
        <v>0</v>
      </c>
      <c r="J2833" t="s">
        <v>1709</v>
      </c>
      <c r="K2833" t="s">
        <v>290</v>
      </c>
      <c r="L2833" t="s">
        <v>285</v>
      </c>
      <c r="M2833" t="str">
        <f t="shared" si="177"/>
        <v>10</v>
      </c>
      <c r="N2833" t="s">
        <v>12</v>
      </c>
    </row>
    <row r="2834" spans="1:14" x14ac:dyDescent="0.25">
      <c r="A2834">
        <v>20151009</v>
      </c>
      <c r="B2834" t="str">
        <f>"060574"</f>
        <v>060574</v>
      </c>
      <c r="C2834" t="str">
        <f>"39572"</f>
        <v>39572</v>
      </c>
      <c r="D2834" t="s">
        <v>2112</v>
      </c>
      <c r="E2834" s="3">
        <v>85</v>
      </c>
      <c r="F2834">
        <v>20151008</v>
      </c>
      <c r="G2834" t="s">
        <v>2113</v>
      </c>
      <c r="H2834" t="s">
        <v>2316</v>
      </c>
      <c r="I2834">
        <v>0</v>
      </c>
      <c r="J2834" t="s">
        <v>1709</v>
      </c>
      <c r="K2834" t="s">
        <v>290</v>
      </c>
      <c r="L2834" t="s">
        <v>285</v>
      </c>
      <c r="M2834" t="str">
        <f t="shared" si="177"/>
        <v>10</v>
      </c>
      <c r="N2834" t="s">
        <v>12</v>
      </c>
    </row>
    <row r="2835" spans="1:14" x14ac:dyDescent="0.25">
      <c r="A2835">
        <v>20151009</v>
      </c>
      <c r="B2835" t="str">
        <f>"060574"</f>
        <v>060574</v>
      </c>
      <c r="C2835" t="str">
        <f>"39572"</f>
        <v>39572</v>
      </c>
      <c r="D2835" t="s">
        <v>2112</v>
      </c>
      <c r="E2835" s="3">
        <v>338.45</v>
      </c>
      <c r="F2835">
        <v>20151008</v>
      </c>
      <c r="G2835" t="s">
        <v>2115</v>
      </c>
      <c r="H2835" t="s">
        <v>2117</v>
      </c>
      <c r="I2835">
        <v>0</v>
      </c>
      <c r="J2835" t="s">
        <v>1709</v>
      </c>
      <c r="K2835" t="s">
        <v>290</v>
      </c>
      <c r="L2835" t="s">
        <v>285</v>
      </c>
      <c r="M2835" t="str">
        <f t="shared" si="177"/>
        <v>10</v>
      </c>
      <c r="N2835" t="s">
        <v>12</v>
      </c>
    </row>
    <row r="2836" spans="1:14" x14ac:dyDescent="0.25">
      <c r="A2836">
        <v>20151009</v>
      </c>
      <c r="B2836" t="str">
        <f t="shared" ref="B2836:B2841" si="180">"060576"</f>
        <v>060576</v>
      </c>
      <c r="C2836" t="str">
        <f t="shared" ref="C2836:C2841" si="181">"41230"</f>
        <v>41230</v>
      </c>
      <c r="D2836" t="s">
        <v>604</v>
      </c>
      <c r="E2836" s="3">
        <v>458.34</v>
      </c>
      <c r="F2836">
        <v>20151008</v>
      </c>
      <c r="G2836" t="s">
        <v>2317</v>
      </c>
      <c r="H2836" t="s">
        <v>2073</v>
      </c>
      <c r="I2836">
        <v>0</v>
      </c>
      <c r="J2836" t="s">
        <v>1709</v>
      </c>
      <c r="K2836" t="s">
        <v>290</v>
      </c>
      <c r="L2836" t="s">
        <v>285</v>
      </c>
      <c r="M2836" t="str">
        <f t="shared" si="177"/>
        <v>10</v>
      </c>
      <c r="N2836" t="s">
        <v>12</v>
      </c>
    </row>
    <row r="2837" spans="1:14" x14ac:dyDescent="0.25">
      <c r="A2837">
        <v>20151009</v>
      </c>
      <c r="B2837" t="str">
        <f t="shared" si="180"/>
        <v>060576</v>
      </c>
      <c r="C2837" t="str">
        <f t="shared" si="181"/>
        <v>41230</v>
      </c>
      <c r="D2837" t="s">
        <v>604</v>
      </c>
      <c r="E2837" s="3">
        <v>177.99</v>
      </c>
      <c r="F2837">
        <v>20151008</v>
      </c>
      <c r="G2837" t="s">
        <v>2317</v>
      </c>
      <c r="H2837" t="s">
        <v>2073</v>
      </c>
      <c r="I2837">
        <v>0</v>
      </c>
      <c r="J2837" t="s">
        <v>1709</v>
      </c>
      <c r="K2837" t="s">
        <v>290</v>
      </c>
      <c r="L2837" t="s">
        <v>285</v>
      </c>
      <c r="M2837" t="str">
        <f t="shared" si="177"/>
        <v>10</v>
      </c>
      <c r="N2837" t="s">
        <v>12</v>
      </c>
    </row>
    <row r="2838" spans="1:14" x14ac:dyDescent="0.25">
      <c r="A2838">
        <v>20151009</v>
      </c>
      <c r="B2838" t="str">
        <f t="shared" si="180"/>
        <v>060576</v>
      </c>
      <c r="C2838" t="str">
        <f t="shared" si="181"/>
        <v>41230</v>
      </c>
      <c r="D2838" t="s">
        <v>604</v>
      </c>
      <c r="E2838" s="3">
        <v>16.91</v>
      </c>
      <c r="F2838">
        <v>20151008</v>
      </c>
      <c r="G2838" t="s">
        <v>2317</v>
      </c>
      <c r="H2838" t="s">
        <v>2073</v>
      </c>
      <c r="I2838">
        <v>0</v>
      </c>
      <c r="J2838" t="s">
        <v>1709</v>
      </c>
      <c r="K2838" t="s">
        <v>290</v>
      </c>
      <c r="L2838" t="s">
        <v>285</v>
      </c>
      <c r="M2838" t="str">
        <f t="shared" si="177"/>
        <v>10</v>
      </c>
      <c r="N2838" t="s">
        <v>12</v>
      </c>
    </row>
    <row r="2839" spans="1:14" x14ac:dyDescent="0.25">
      <c r="A2839">
        <v>20151009</v>
      </c>
      <c r="B2839" t="str">
        <f t="shared" si="180"/>
        <v>060576</v>
      </c>
      <c r="C2839" t="str">
        <f t="shared" si="181"/>
        <v>41230</v>
      </c>
      <c r="D2839" t="s">
        <v>604</v>
      </c>
      <c r="E2839" s="3">
        <v>43.53</v>
      </c>
      <c r="F2839">
        <v>20151008</v>
      </c>
      <c r="G2839" t="s">
        <v>2317</v>
      </c>
      <c r="H2839" t="s">
        <v>2073</v>
      </c>
      <c r="I2839">
        <v>0</v>
      </c>
      <c r="J2839" t="s">
        <v>1709</v>
      </c>
      <c r="K2839" t="s">
        <v>290</v>
      </c>
      <c r="L2839" t="s">
        <v>285</v>
      </c>
      <c r="M2839" t="str">
        <f t="shared" si="177"/>
        <v>10</v>
      </c>
      <c r="N2839" t="s">
        <v>12</v>
      </c>
    </row>
    <row r="2840" spans="1:14" x14ac:dyDescent="0.25">
      <c r="A2840">
        <v>20151009</v>
      </c>
      <c r="B2840" t="str">
        <f t="shared" si="180"/>
        <v>060576</v>
      </c>
      <c r="C2840" t="str">
        <f t="shared" si="181"/>
        <v>41230</v>
      </c>
      <c r="D2840" t="s">
        <v>604</v>
      </c>
      <c r="E2840" s="3">
        <v>13.88</v>
      </c>
      <c r="F2840">
        <v>20151008</v>
      </c>
      <c r="G2840" t="s">
        <v>2317</v>
      </c>
      <c r="H2840" t="s">
        <v>2073</v>
      </c>
      <c r="I2840">
        <v>0</v>
      </c>
      <c r="J2840" t="s">
        <v>1709</v>
      </c>
      <c r="K2840" t="s">
        <v>290</v>
      </c>
      <c r="L2840" t="s">
        <v>285</v>
      </c>
      <c r="M2840" t="str">
        <f t="shared" si="177"/>
        <v>10</v>
      </c>
      <c r="N2840" t="s">
        <v>12</v>
      </c>
    </row>
    <row r="2841" spans="1:14" x14ac:dyDescent="0.25">
      <c r="A2841">
        <v>20151009</v>
      </c>
      <c r="B2841" t="str">
        <f t="shared" si="180"/>
        <v>060576</v>
      </c>
      <c r="C2841" t="str">
        <f t="shared" si="181"/>
        <v>41230</v>
      </c>
      <c r="D2841" t="s">
        <v>604</v>
      </c>
      <c r="E2841" s="3">
        <v>-194</v>
      </c>
      <c r="F2841">
        <v>20150916</v>
      </c>
      <c r="G2841" t="s">
        <v>2317</v>
      </c>
      <c r="H2841" t="s">
        <v>2318</v>
      </c>
      <c r="I2841">
        <v>0</v>
      </c>
      <c r="J2841" t="s">
        <v>1709</v>
      </c>
      <c r="K2841" t="s">
        <v>290</v>
      </c>
      <c r="L2841" t="s">
        <v>1385</v>
      </c>
      <c r="M2841" t="str">
        <f t="shared" si="177"/>
        <v>10</v>
      </c>
      <c r="N2841" t="s">
        <v>12</v>
      </c>
    </row>
    <row r="2842" spans="1:14" x14ac:dyDescent="0.25">
      <c r="A2842">
        <v>20151009</v>
      </c>
      <c r="B2842" t="str">
        <f>"060577"</f>
        <v>060577</v>
      </c>
      <c r="C2842" t="str">
        <f>"39226"</f>
        <v>39226</v>
      </c>
      <c r="D2842" t="s">
        <v>2319</v>
      </c>
      <c r="E2842" s="3">
        <v>30</v>
      </c>
      <c r="F2842">
        <v>20151008</v>
      </c>
      <c r="G2842" t="s">
        <v>2320</v>
      </c>
      <c r="H2842" t="s">
        <v>2208</v>
      </c>
      <c r="I2842">
        <v>0</v>
      </c>
      <c r="J2842" t="s">
        <v>1709</v>
      </c>
      <c r="K2842" t="s">
        <v>290</v>
      </c>
      <c r="L2842" t="s">
        <v>285</v>
      </c>
      <c r="M2842" t="str">
        <f t="shared" si="177"/>
        <v>10</v>
      </c>
      <c r="N2842" t="s">
        <v>12</v>
      </c>
    </row>
    <row r="2843" spans="1:14" x14ac:dyDescent="0.25">
      <c r="A2843">
        <v>20151009</v>
      </c>
      <c r="B2843" t="str">
        <f>"060577"</f>
        <v>060577</v>
      </c>
      <c r="C2843" t="str">
        <f>"39226"</f>
        <v>39226</v>
      </c>
      <c r="D2843" t="s">
        <v>2319</v>
      </c>
      <c r="E2843" s="3">
        <v>195</v>
      </c>
      <c r="F2843">
        <v>20151008</v>
      </c>
      <c r="G2843" t="s">
        <v>2321</v>
      </c>
      <c r="H2843" t="s">
        <v>2208</v>
      </c>
      <c r="I2843">
        <v>0</v>
      </c>
      <c r="J2843" t="s">
        <v>1709</v>
      </c>
      <c r="K2843" t="s">
        <v>290</v>
      </c>
      <c r="L2843" t="s">
        <v>285</v>
      </c>
      <c r="M2843" t="str">
        <f t="shared" si="177"/>
        <v>10</v>
      </c>
      <c r="N2843" t="s">
        <v>12</v>
      </c>
    </row>
    <row r="2844" spans="1:14" x14ac:dyDescent="0.25">
      <c r="A2844">
        <v>20151009</v>
      </c>
      <c r="B2844" t="str">
        <f>"060578"</f>
        <v>060578</v>
      </c>
      <c r="C2844" t="str">
        <f>"63511"</f>
        <v>63511</v>
      </c>
      <c r="D2844" t="s">
        <v>2322</v>
      </c>
      <c r="E2844" s="3">
        <v>104.65</v>
      </c>
      <c r="F2844">
        <v>20151008</v>
      </c>
      <c r="G2844" t="s">
        <v>1758</v>
      </c>
      <c r="H2844" t="s">
        <v>2323</v>
      </c>
      <c r="I2844">
        <v>0</v>
      </c>
      <c r="J2844" t="s">
        <v>1709</v>
      </c>
      <c r="K2844" t="s">
        <v>1643</v>
      </c>
      <c r="L2844" t="s">
        <v>285</v>
      </c>
      <c r="M2844" t="str">
        <f t="shared" si="177"/>
        <v>10</v>
      </c>
      <c r="N2844" t="s">
        <v>12</v>
      </c>
    </row>
    <row r="2845" spans="1:14" x14ac:dyDescent="0.25">
      <c r="A2845">
        <v>20151009</v>
      </c>
      <c r="B2845" t="str">
        <f>"060579"</f>
        <v>060579</v>
      </c>
      <c r="C2845" t="str">
        <f>"42150"</f>
        <v>42150</v>
      </c>
      <c r="D2845" t="s">
        <v>2324</v>
      </c>
      <c r="E2845" s="3">
        <v>645</v>
      </c>
      <c r="F2845">
        <v>20151008</v>
      </c>
      <c r="G2845" t="s">
        <v>2325</v>
      </c>
      <c r="H2845" t="s">
        <v>2326</v>
      </c>
      <c r="I2845">
        <v>0</v>
      </c>
      <c r="J2845" t="s">
        <v>1709</v>
      </c>
      <c r="K2845" t="s">
        <v>1643</v>
      </c>
      <c r="L2845" t="s">
        <v>285</v>
      </c>
      <c r="M2845" t="str">
        <f t="shared" si="177"/>
        <v>10</v>
      </c>
      <c r="N2845" t="s">
        <v>12</v>
      </c>
    </row>
    <row r="2846" spans="1:14" x14ac:dyDescent="0.25">
      <c r="A2846">
        <v>20151009</v>
      </c>
      <c r="B2846" t="str">
        <f>"060582"</f>
        <v>060582</v>
      </c>
      <c r="C2846" t="str">
        <f>"45496"</f>
        <v>45496</v>
      </c>
      <c r="D2846" t="s">
        <v>2327</v>
      </c>
      <c r="E2846" s="3">
        <v>216.37</v>
      </c>
      <c r="F2846">
        <v>20151008</v>
      </c>
      <c r="G2846" t="s">
        <v>2047</v>
      </c>
      <c r="H2846" t="s">
        <v>595</v>
      </c>
      <c r="I2846">
        <v>0</v>
      </c>
      <c r="J2846" t="s">
        <v>1709</v>
      </c>
      <c r="K2846" t="s">
        <v>1882</v>
      </c>
      <c r="L2846" t="s">
        <v>285</v>
      </c>
      <c r="M2846" t="str">
        <f t="shared" si="177"/>
        <v>10</v>
      </c>
      <c r="N2846" t="s">
        <v>12</v>
      </c>
    </row>
    <row r="2847" spans="1:14" x14ac:dyDescent="0.25">
      <c r="A2847">
        <v>20151009</v>
      </c>
      <c r="B2847" t="str">
        <f>"060582"</f>
        <v>060582</v>
      </c>
      <c r="C2847" t="str">
        <f>"45496"</f>
        <v>45496</v>
      </c>
      <c r="D2847" t="s">
        <v>2327</v>
      </c>
      <c r="E2847" s="3">
        <v>52.99</v>
      </c>
      <c r="F2847">
        <v>20151008</v>
      </c>
      <c r="G2847" t="s">
        <v>2047</v>
      </c>
      <c r="H2847" t="s">
        <v>1927</v>
      </c>
      <c r="I2847">
        <v>0</v>
      </c>
      <c r="J2847" t="s">
        <v>1709</v>
      </c>
      <c r="K2847" t="s">
        <v>1882</v>
      </c>
      <c r="L2847" t="s">
        <v>285</v>
      </c>
      <c r="M2847" t="str">
        <f t="shared" si="177"/>
        <v>10</v>
      </c>
      <c r="N2847" t="s">
        <v>12</v>
      </c>
    </row>
    <row r="2848" spans="1:14" x14ac:dyDescent="0.25">
      <c r="A2848">
        <v>20151009</v>
      </c>
      <c r="B2848" t="str">
        <f>"060582"</f>
        <v>060582</v>
      </c>
      <c r="C2848" t="str">
        <f>"45496"</f>
        <v>45496</v>
      </c>
      <c r="D2848" t="s">
        <v>2327</v>
      </c>
      <c r="E2848" s="3">
        <v>174.36</v>
      </c>
      <c r="F2848">
        <v>20151008</v>
      </c>
      <c r="G2848" t="s">
        <v>2047</v>
      </c>
      <c r="H2848" t="s">
        <v>2328</v>
      </c>
      <c r="I2848">
        <v>0</v>
      </c>
      <c r="J2848" t="s">
        <v>1709</v>
      </c>
      <c r="K2848" t="s">
        <v>1882</v>
      </c>
      <c r="L2848" t="s">
        <v>285</v>
      </c>
      <c r="M2848" t="str">
        <f t="shared" si="177"/>
        <v>10</v>
      </c>
      <c r="N2848" t="s">
        <v>12</v>
      </c>
    </row>
    <row r="2849" spans="1:14" x14ac:dyDescent="0.25">
      <c r="A2849">
        <v>20151009</v>
      </c>
      <c r="B2849" t="str">
        <f>"060587"</f>
        <v>060587</v>
      </c>
      <c r="C2849" t="str">
        <f>"47728"</f>
        <v>47728</v>
      </c>
      <c r="D2849" t="s">
        <v>2329</v>
      </c>
      <c r="E2849" s="3">
        <v>75</v>
      </c>
      <c r="F2849">
        <v>20151008</v>
      </c>
      <c r="G2849" t="s">
        <v>2330</v>
      </c>
      <c r="H2849" t="s">
        <v>2331</v>
      </c>
      <c r="I2849">
        <v>0</v>
      </c>
      <c r="J2849" t="s">
        <v>1709</v>
      </c>
      <c r="K2849" t="s">
        <v>1984</v>
      </c>
      <c r="L2849" t="s">
        <v>285</v>
      </c>
      <c r="M2849" t="str">
        <f t="shared" si="177"/>
        <v>10</v>
      </c>
      <c r="N2849" t="s">
        <v>12</v>
      </c>
    </row>
    <row r="2850" spans="1:14" x14ac:dyDescent="0.25">
      <c r="A2850">
        <v>20151009</v>
      </c>
      <c r="B2850" t="str">
        <f>"060588"</f>
        <v>060588</v>
      </c>
      <c r="C2850" t="str">
        <f>"48069"</f>
        <v>48069</v>
      </c>
      <c r="D2850" t="s">
        <v>2332</v>
      </c>
      <c r="E2850" s="3">
        <v>750</v>
      </c>
      <c r="F2850">
        <v>20151008</v>
      </c>
      <c r="G2850" t="s">
        <v>2333</v>
      </c>
      <c r="H2850" t="s">
        <v>2334</v>
      </c>
      <c r="I2850">
        <v>0</v>
      </c>
      <c r="J2850" t="s">
        <v>1709</v>
      </c>
      <c r="K2850" t="s">
        <v>290</v>
      </c>
      <c r="L2850" t="s">
        <v>285</v>
      </c>
      <c r="M2850" t="str">
        <f t="shared" si="177"/>
        <v>10</v>
      </c>
      <c r="N2850" t="s">
        <v>12</v>
      </c>
    </row>
    <row r="2851" spans="1:14" x14ac:dyDescent="0.25">
      <c r="A2851">
        <v>20151009</v>
      </c>
      <c r="B2851" t="str">
        <f>"060590"</f>
        <v>060590</v>
      </c>
      <c r="C2851" t="str">
        <f>"48470"</f>
        <v>48470</v>
      </c>
      <c r="D2851" t="s">
        <v>2335</v>
      </c>
      <c r="E2851" s="3">
        <v>42.97</v>
      </c>
      <c r="F2851">
        <v>20151008</v>
      </c>
      <c r="G2851" t="s">
        <v>2333</v>
      </c>
      <c r="H2851" t="s">
        <v>2336</v>
      </c>
      <c r="I2851">
        <v>0</v>
      </c>
      <c r="J2851" t="s">
        <v>1709</v>
      </c>
      <c r="K2851" t="s">
        <v>290</v>
      </c>
      <c r="L2851" t="s">
        <v>285</v>
      </c>
      <c r="M2851" t="str">
        <f t="shared" si="177"/>
        <v>10</v>
      </c>
      <c r="N2851" t="s">
        <v>12</v>
      </c>
    </row>
    <row r="2852" spans="1:14" x14ac:dyDescent="0.25">
      <c r="A2852">
        <v>20151009</v>
      </c>
      <c r="B2852" t="str">
        <f>"060591"</f>
        <v>060591</v>
      </c>
      <c r="C2852" t="str">
        <f>"49748"</f>
        <v>49748</v>
      </c>
      <c r="D2852" t="s">
        <v>1885</v>
      </c>
      <c r="E2852" s="3">
        <v>109.9</v>
      </c>
      <c r="F2852">
        <v>20151008</v>
      </c>
      <c r="G2852" t="s">
        <v>1886</v>
      </c>
      <c r="H2852" t="s">
        <v>2337</v>
      </c>
      <c r="I2852">
        <v>0</v>
      </c>
      <c r="J2852" t="s">
        <v>1709</v>
      </c>
      <c r="K2852" t="s">
        <v>290</v>
      </c>
      <c r="L2852" t="s">
        <v>285</v>
      </c>
      <c r="M2852" t="str">
        <f t="shared" si="177"/>
        <v>10</v>
      </c>
      <c r="N2852" t="s">
        <v>12</v>
      </c>
    </row>
    <row r="2853" spans="1:14" x14ac:dyDescent="0.25">
      <c r="A2853">
        <v>20151009</v>
      </c>
      <c r="B2853" t="str">
        <f>"060591"</f>
        <v>060591</v>
      </c>
      <c r="C2853" t="str">
        <f>"49748"</f>
        <v>49748</v>
      </c>
      <c r="D2853" t="s">
        <v>1885</v>
      </c>
      <c r="E2853" s="3">
        <v>75</v>
      </c>
      <c r="F2853">
        <v>20151008</v>
      </c>
      <c r="G2853" t="s">
        <v>1786</v>
      </c>
      <c r="H2853" t="s">
        <v>2338</v>
      </c>
      <c r="I2853">
        <v>0</v>
      </c>
      <c r="J2853" t="s">
        <v>1709</v>
      </c>
      <c r="K2853" t="s">
        <v>290</v>
      </c>
      <c r="L2853" t="s">
        <v>285</v>
      </c>
      <c r="M2853" t="str">
        <f t="shared" si="177"/>
        <v>10</v>
      </c>
      <c r="N2853" t="s">
        <v>12</v>
      </c>
    </row>
    <row r="2854" spans="1:14" x14ac:dyDescent="0.25">
      <c r="A2854">
        <v>20151009</v>
      </c>
      <c r="B2854" t="str">
        <f>"060591"</f>
        <v>060591</v>
      </c>
      <c r="C2854" t="str">
        <f>"49748"</f>
        <v>49748</v>
      </c>
      <c r="D2854" t="s">
        <v>1885</v>
      </c>
      <c r="E2854" s="3">
        <v>41.14</v>
      </c>
      <c r="F2854">
        <v>20151008</v>
      </c>
      <c r="G2854" t="s">
        <v>2339</v>
      </c>
      <c r="H2854" t="s">
        <v>2340</v>
      </c>
      <c r="I2854">
        <v>0</v>
      </c>
      <c r="J2854" t="s">
        <v>1709</v>
      </c>
      <c r="K2854" t="s">
        <v>290</v>
      </c>
      <c r="L2854" t="s">
        <v>285</v>
      </c>
      <c r="M2854" t="str">
        <f t="shared" si="177"/>
        <v>10</v>
      </c>
      <c r="N2854" t="s">
        <v>12</v>
      </c>
    </row>
    <row r="2855" spans="1:14" x14ac:dyDescent="0.25">
      <c r="A2855">
        <v>20151009</v>
      </c>
      <c r="B2855" t="str">
        <f>"060591"</f>
        <v>060591</v>
      </c>
      <c r="C2855" t="str">
        <f>"49748"</f>
        <v>49748</v>
      </c>
      <c r="D2855" t="s">
        <v>1885</v>
      </c>
      <c r="E2855" s="3">
        <v>68.290000000000006</v>
      </c>
      <c r="F2855">
        <v>20151008</v>
      </c>
      <c r="G2855" t="s">
        <v>2339</v>
      </c>
      <c r="H2855" t="s">
        <v>2341</v>
      </c>
      <c r="I2855">
        <v>0</v>
      </c>
      <c r="J2855" t="s">
        <v>1709</v>
      </c>
      <c r="K2855" t="s">
        <v>290</v>
      </c>
      <c r="L2855" t="s">
        <v>285</v>
      </c>
      <c r="M2855" t="str">
        <f t="shared" si="177"/>
        <v>10</v>
      </c>
      <c r="N2855" t="s">
        <v>12</v>
      </c>
    </row>
    <row r="2856" spans="1:14" x14ac:dyDescent="0.25">
      <c r="A2856">
        <v>20151009</v>
      </c>
      <c r="B2856" t="str">
        <f>"060592"</f>
        <v>060592</v>
      </c>
      <c r="C2856" t="str">
        <f>"49898"</f>
        <v>49898</v>
      </c>
      <c r="D2856" t="s">
        <v>2342</v>
      </c>
      <c r="E2856" s="3">
        <v>116.92</v>
      </c>
      <c r="F2856">
        <v>20151008</v>
      </c>
      <c r="G2856" t="s">
        <v>1859</v>
      </c>
      <c r="H2856" t="s">
        <v>2343</v>
      </c>
      <c r="I2856">
        <v>0</v>
      </c>
      <c r="J2856" t="s">
        <v>1709</v>
      </c>
      <c r="K2856" t="s">
        <v>1861</v>
      </c>
      <c r="L2856" t="s">
        <v>285</v>
      </c>
      <c r="M2856" t="str">
        <f t="shared" si="177"/>
        <v>10</v>
      </c>
      <c r="N2856" t="s">
        <v>12</v>
      </c>
    </row>
    <row r="2857" spans="1:14" x14ac:dyDescent="0.25">
      <c r="A2857">
        <v>20151009</v>
      </c>
      <c r="B2857" t="str">
        <f>"060595"</f>
        <v>060595</v>
      </c>
      <c r="C2857" t="str">
        <f>"49959"</f>
        <v>49959</v>
      </c>
      <c r="D2857" t="s">
        <v>361</v>
      </c>
      <c r="E2857" s="3">
        <v>300</v>
      </c>
      <c r="F2857">
        <v>20151008</v>
      </c>
      <c r="G2857" t="s">
        <v>1788</v>
      </c>
      <c r="H2857" t="s">
        <v>2344</v>
      </c>
      <c r="I2857">
        <v>0</v>
      </c>
      <c r="J2857" t="s">
        <v>1709</v>
      </c>
      <c r="K2857" t="s">
        <v>1643</v>
      </c>
      <c r="L2857" t="s">
        <v>285</v>
      </c>
      <c r="M2857" t="str">
        <f t="shared" si="177"/>
        <v>10</v>
      </c>
      <c r="N2857" t="s">
        <v>12</v>
      </c>
    </row>
    <row r="2858" spans="1:14" x14ac:dyDescent="0.25">
      <c r="A2858">
        <v>20151009</v>
      </c>
      <c r="B2858" t="str">
        <f>"060595"</f>
        <v>060595</v>
      </c>
      <c r="C2858" t="str">
        <f>"49959"</f>
        <v>49959</v>
      </c>
      <c r="D2858" t="s">
        <v>361</v>
      </c>
      <c r="E2858" s="3">
        <v>300</v>
      </c>
      <c r="F2858">
        <v>20151008</v>
      </c>
      <c r="G2858" t="s">
        <v>1788</v>
      </c>
      <c r="H2858" t="s">
        <v>2345</v>
      </c>
      <c r="I2858">
        <v>0</v>
      </c>
      <c r="J2858" t="s">
        <v>1709</v>
      </c>
      <c r="K2858" t="s">
        <v>1643</v>
      </c>
      <c r="L2858" t="s">
        <v>285</v>
      </c>
      <c r="M2858" t="str">
        <f t="shared" si="177"/>
        <v>10</v>
      </c>
      <c r="N2858" t="s">
        <v>12</v>
      </c>
    </row>
    <row r="2859" spans="1:14" x14ac:dyDescent="0.25">
      <c r="A2859">
        <v>20151009</v>
      </c>
      <c r="B2859" t="str">
        <f>"060596"</f>
        <v>060596</v>
      </c>
      <c r="C2859" t="str">
        <f>"49964"</f>
        <v>49964</v>
      </c>
      <c r="D2859" t="s">
        <v>2346</v>
      </c>
      <c r="E2859" s="3">
        <v>94.82</v>
      </c>
      <c r="F2859">
        <v>20151008</v>
      </c>
      <c r="G2859" t="s">
        <v>2347</v>
      </c>
      <c r="H2859" t="s">
        <v>2348</v>
      </c>
      <c r="I2859">
        <v>0</v>
      </c>
      <c r="J2859" t="s">
        <v>1709</v>
      </c>
      <c r="K2859" t="s">
        <v>2194</v>
      </c>
      <c r="L2859" t="s">
        <v>285</v>
      </c>
      <c r="M2859" t="str">
        <f t="shared" si="177"/>
        <v>10</v>
      </c>
      <c r="N2859" t="s">
        <v>12</v>
      </c>
    </row>
    <row r="2860" spans="1:14" x14ac:dyDescent="0.25">
      <c r="A2860">
        <v>20151009</v>
      </c>
      <c r="B2860" t="str">
        <f>"060598"</f>
        <v>060598</v>
      </c>
      <c r="C2860" t="str">
        <f>"50453"</f>
        <v>50453</v>
      </c>
      <c r="D2860" t="s">
        <v>1577</v>
      </c>
      <c r="E2860" s="3">
        <v>36.97</v>
      </c>
      <c r="F2860">
        <v>20151008</v>
      </c>
      <c r="G2860" t="s">
        <v>2349</v>
      </c>
      <c r="H2860" t="s">
        <v>2350</v>
      </c>
      <c r="I2860">
        <v>0</v>
      </c>
      <c r="J2860" t="s">
        <v>1709</v>
      </c>
      <c r="K2860" t="s">
        <v>1558</v>
      </c>
      <c r="L2860" t="s">
        <v>285</v>
      </c>
      <c r="M2860" t="str">
        <f t="shared" si="177"/>
        <v>10</v>
      </c>
      <c r="N2860" t="s">
        <v>12</v>
      </c>
    </row>
    <row r="2861" spans="1:14" x14ac:dyDescent="0.25">
      <c r="A2861">
        <v>20151009</v>
      </c>
      <c r="B2861" t="str">
        <f>"060598"</f>
        <v>060598</v>
      </c>
      <c r="C2861" t="str">
        <f>"50453"</f>
        <v>50453</v>
      </c>
      <c r="D2861" t="s">
        <v>1577</v>
      </c>
      <c r="E2861" s="3">
        <v>37.28</v>
      </c>
      <c r="F2861">
        <v>20151008</v>
      </c>
      <c r="G2861" t="s">
        <v>1933</v>
      </c>
      <c r="H2861" t="s">
        <v>2351</v>
      </c>
      <c r="I2861">
        <v>0</v>
      </c>
      <c r="J2861" t="s">
        <v>1709</v>
      </c>
      <c r="K2861" t="s">
        <v>1558</v>
      </c>
      <c r="L2861" t="s">
        <v>285</v>
      </c>
      <c r="M2861" t="str">
        <f t="shared" si="177"/>
        <v>10</v>
      </c>
      <c r="N2861" t="s">
        <v>12</v>
      </c>
    </row>
    <row r="2862" spans="1:14" x14ac:dyDescent="0.25">
      <c r="A2862">
        <v>20151009</v>
      </c>
      <c r="B2862" t="str">
        <f>"060599"</f>
        <v>060599</v>
      </c>
      <c r="C2862" t="str">
        <f>"51475"</f>
        <v>51475</v>
      </c>
      <c r="D2862" t="s">
        <v>2352</v>
      </c>
      <c r="E2862" s="3">
        <v>213.1</v>
      </c>
      <c r="F2862">
        <v>20151008</v>
      </c>
      <c r="G2862" t="s">
        <v>1718</v>
      </c>
      <c r="H2862" t="s">
        <v>2353</v>
      </c>
      <c r="I2862">
        <v>0</v>
      </c>
      <c r="J2862" t="s">
        <v>1709</v>
      </c>
      <c r="K2862" t="s">
        <v>235</v>
      </c>
      <c r="L2862" t="s">
        <v>285</v>
      </c>
      <c r="M2862" t="str">
        <f t="shared" si="177"/>
        <v>10</v>
      </c>
      <c r="N2862" t="s">
        <v>12</v>
      </c>
    </row>
    <row r="2863" spans="1:14" x14ac:dyDescent="0.25">
      <c r="A2863">
        <v>20151009</v>
      </c>
      <c r="B2863" t="str">
        <f>"060600"</f>
        <v>060600</v>
      </c>
      <c r="C2863" t="str">
        <f>"53992"</f>
        <v>53992</v>
      </c>
      <c r="D2863" t="s">
        <v>2354</v>
      </c>
      <c r="E2863" s="3">
        <v>275.04000000000002</v>
      </c>
      <c r="F2863">
        <v>20151008</v>
      </c>
      <c r="G2863" t="s">
        <v>1840</v>
      </c>
      <c r="H2863" t="s">
        <v>1766</v>
      </c>
      <c r="I2863">
        <v>0</v>
      </c>
      <c r="J2863" t="s">
        <v>1709</v>
      </c>
      <c r="K2863" t="s">
        <v>1744</v>
      </c>
      <c r="L2863" t="s">
        <v>285</v>
      </c>
      <c r="M2863" t="str">
        <f t="shared" si="177"/>
        <v>10</v>
      </c>
      <c r="N2863" t="s">
        <v>12</v>
      </c>
    </row>
    <row r="2864" spans="1:14" x14ac:dyDescent="0.25">
      <c r="A2864">
        <v>20151009</v>
      </c>
      <c r="B2864" t="str">
        <f>"060602"</f>
        <v>060602</v>
      </c>
      <c r="C2864" t="str">
        <f>"56013"</f>
        <v>56013</v>
      </c>
      <c r="D2864" t="s">
        <v>2355</v>
      </c>
      <c r="E2864" s="3">
        <v>320</v>
      </c>
      <c r="F2864">
        <v>20151008</v>
      </c>
      <c r="G2864" t="s">
        <v>2356</v>
      </c>
      <c r="H2864" t="s">
        <v>2357</v>
      </c>
      <c r="I2864">
        <v>0</v>
      </c>
      <c r="J2864" t="s">
        <v>1709</v>
      </c>
      <c r="K2864" t="s">
        <v>1861</v>
      </c>
      <c r="L2864" t="s">
        <v>285</v>
      </c>
      <c r="M2864" t="str">
        <f t="shared" si="177"/>
        <v>10</v>
      </c>
      <c r="N2864" t="s">
        <v>12</v>
      </c>
    </row>
    <row r="2865" spans="1:14" x14ac:dyDescent="0.25">
      <c r="A2865">
        <v>20151009</v>
      </c>
      <c r="B2865" t="str">
        <f>"060603"</f>
        <v>060603</v>
      </c>
      <c r="C2865" t="str">
        <f>"56217"</f>
        <v>56217</v>
      </c>
      <c r="D2865" t="s">
        <v>1421</v>
      </c>
      <c r="E2865" s="3">
        <v>63.98</v>
      </c>
      <c r="F2865">
        <v>20151008</v>
      </c>
      <c r="G2865" t="s">
        <v>2100</v>
      </c>
      <c r="H2865" t="s">
        <v>2358</v>
      </c>
      <c r="I2865">
        <v>0</v>
      </c>
      <c r="J2865" t="s">
        <v>1709</v>
      </c>
      <c r="K2865" t="s">
        <v>33</v>
      </c>
      <c r="L2865" t="s">
        <v>285</v>
      </c>
      <c r="M2865" t="str">
        <f t="shared" si="177"/>
        <v>10</v>
      </c>
      <c r="N2865" t="s">
        <v>12</v>
      </c>
    </row>
    <row r="2866" spans="1:14" x14ac:dyDescent="0.25">
      <c r="A2866">
        <v>20151009</v>
      </c>
      <c r="B2866" t="str">
        <f>"060603"</f>
        <v>060603</v>
      </c>
      <c r="C2866" t="str">
        <f>"56217"</f>
        <v>56217</v>
      </c>
      <c r="D2866" t="s">
        <v>1421</v>
      </c>
      <c r="E2866" s="3">
        <v>86.33</v>
      </c>
      <c r="F2866">
        <v>20151008</v>
      </c>
      <c r="G2866" t="s">
        <v>2100</v>
      </c>
      <c r="H2866" t="s">
        <v>595</v>
      </c>
      <c r="I2866">
        <v>0</v>
      </c>
      <c r="J2866" t="s">
        <v>1709</v>
      </c>
      <c r="K2866" t="s">
        <v>33</v>
      </c>
      <c r="L2866" t="s">
        <v>285</v>
      </c>
      <c r="M2866" t="str">
        <f t="shared" ref="M2866:M2929" si="182">"10"</f>
        <v>10</v>
      </c>
      <c r="N2866" t="s">
        <v>12</v>
      </c>
    </row>
    <row r="2867" spans="1:14" x14ac:dyDescent="0.25">
      <c r="A2867">
        <v>20151009</v>
      </c>
      <c r="B2867" t="str">
        <f>"060605"</f>
        <v>060605</v>
      </c>
      <c r="C2867" t="str">
        <f>"56183"</f>
        <v>56183</v>
      </c>
      <c r="D2867" t="s">
        <v>2359</v>
      </c>
      <c r="E2867" s="3">
        <v>59.98</v>
      </c>
      <c r="F2867">
        <v>20151008</v>
      </c>
      <c r="G2867" t="s">
        <v>2360</v>
      </c>
      <c r="H2867" t="s">
        <v>2361</v>
      </c>
      <c r="I2867">
        <v>0</v>
      </c>
      <c r="J2867" t="s">
        <v>1709</v>
      </c>
      <c r="K2867" t="s">
        <v>1856</v>
      </c>
      <c r="L2867" t="s">
        <v>285</v>
      </c>
      <c r="M2867" t="str">
        <f t="shared" si="182"/>
        <v>10</v>
      </c>
      <c r="N2867" t="s">
        <v>12</v>
      </c>
    </row>
    <row r="2868" spans="1:14" x14ac:dyDescent="0.25">
      <c r="A2868">
        <v>20151009</v>
      </c>
      <c r="B2868" t="str">
        <f>"060608"</f>
        <v>060608</v>
      </c>
      <c r="C2868" t="str">
        <f>"57329"</f>
        <v>57329</v>
      </c>
      <c r="D2868" t="s">
        <v>2362</v>
      </c>
      <c r="E2868" s="3">
        <v>79.19</v>
      </c>
      <c r="F2868">
        <v>20151009</v>
      </c>
      <c r="G2868" t="s">
        <v>1718</v>
      </c>
      <c r="H2868" t="s">
        <v>2363</v>
      </c>
      <c r="I2868">
        <v>0</v>
      </c>
      <c r="J2868" t="s">
        <v>1709</v>
      </c>
      <c r="K2868" t="s">
        <v>235</v>
      </c>
      <c r="L2868" t="s">
        <v>285</v>
      </c>
      <c r="M2868" t="str">
        <f t="shared" si="182"/>
        <v>10</v>
      </c>
      <c r="N2868" t="s">
        <v>12</v>
      </c>
    </row>
    <row r="2869" spans="1:14" x14ac:dyDescent="0.25">
      <c r="A2869">
        <v>20151009</v>
      </c>
      <c r="B2869" t="str">
        <f>"060611"</f>
        <v>060611</v>
      </c>
      <c r="C2869" t="str">
        <f>"57662"</f>
        <v>57662</v>
      </c>
      <c r="D2869" t="s">
        <v>2364</v>
      </c>
      <c r="E2869" s="3">
        <v>73</v>
      </c>
      <c r="F2869">
        <v>20151009</v>
      </c>
      <c r="G2869" t="s">
        <v>2365</v>
      </c>
      <c r="H2869" t="s">
        <v>2366</v>
      </c>
      <c r="I2869">
        <v>0</v>
      </c>
      <c r="J2869" t="s">
        <v>1709</v>
      </c>
      <c r="K2869" t="s">
        <v>290</v>
      </c>
      <c r="L2869" t="s">
        <v>285</v>
      </c>
      <c r="M2869" t="str">
        <f t="shared" si="182"/>
        <v>10</v>
      </c>
      <c r="N2869" t="s">
        <v>12</v>
      </c>
    </row>
    <row r="2870" spans="1:14" x14ac:dyDescent="0.25">
      <c r="A2870">
        <v>20151009</v>
      </c>
      <c r="B2870" t="str">
        <f>"060611"</f>
        <v>060611</v>
      </c>
      <c r="C2870" t="str">
        <f>"57662"</f>
        <v>57662</v>
      </c>
      <c r="D2870" t="s">
        <v>2364</v>
      </c>
      <c r="E2870" s="3">
        <v>78</v>
      </c>
      <c r="F2870">
        <v>20151009</v>
      </c>
      <c r="G2870" t="s">
        <v>2365</v>
      </c>
      <c r="H2870" t="s">
        <v>2366</v>
      </c>
      <c r="I2870">
        <v>0</v>
      </c>
      <c r="J2870" t="s">
        <v>1709</v>
      </c>
      <c r="K2870" t="s">
        <v>290</v>
      </c>
      <c r="L2870" t="s">
        <v>285</v>
      </c>
      <c r="M2870" t="str">
        <f t="shared" si="182"/>
        <v>10</v>
      </c>
      <c r="N2870" t="s">
        <v>12</v>
      </c>
    </row>
    <row r="2871" spans="1:14" x14ac:dyDescent="0.25">
      <c r="A2871">
        <v>20151009</v>
      </c>
      <c r="B2871" t="str">
        <f>"060611"</f>
        <v>060611</v>
      </c>
      <c r="C2871" t="str">
        <f>"57662"</f>
        <v>57662</v>
      </c>
      <c r="D2871" t="s">
        <v>2364</v>
      </c>
      <c r="E2871" s="3">
        <v>144</v>
      </c>
      <c r="F2871">
        <v>20151009</v>
      </c>
      <c r="G2871" t="s">
        <v>2365</v>
      </c>
      <c r="H2871" t="s">
        <v>2366</v>
      </c>
      <c r="I2871">
        <v>0</v>
      </c>
      <c r="J2871" t="s">
        <v>1709</v>
      </c>
      <c r="K2871" t="s">
        <v>290</v>
      </c>
      <c r="L2871" t="s">
        <v>285</v>
      </c>
      <c r="M2871" t="str">
        <f t="shared" si="182"/>
        <v>10</v>
      </c>
      <c r="N2871" t="s">
        <v>12</v>
      </c>
    </row>
    <row r="2872" spans="1:14" x14ac:dyDescent="0.25">
      <c r="A2872">
        <v>20151009</v>
      </c>
      <c r="B2872" t="str">
        <f>"060615"</f>
        <v>060615</v>
      </c>
      <c r="C2872" t="str">
        <f>"58204"</f>
        <v>58204</v>
      </c>
      <c r="D2872" t="s">
        <v>1816</v>
      </c>
      <c r="E2872" s="3">
        <v>19.989999999999998</v>
      </c>
      <c r="F2872">
        <v>20151009</v>
      </c>
      <c r="G2872" t="s">
        <v>1845</v>
      </c>
      <c r="H2872" t="s">
        <v>2367</v>
      </c>
      <c r="I2872">
        <v>0</v>
      </c>
      <c r="J2872" t="s">
        <v>1709</v>
      </c>
      <c r="K2872" t="s">
        <v>290</v>
      </c>
      <c r="L2872" t="s">
        <v>285</v>
      </c>
      <c r="M2872" t="str">
        <f t="shared" si="182"/>
        <v>10</v>
      </c>
      <c r="N2872" t="s">
        <v>12</v>
      </c>
    </row>
    <row r="2873" spans="1:14" x14ac:dyDescent="0.25">
      <c r="A2873">
        <v>20151009</v>
      </c>
      <c r="B2873" t="str">
        <f>"060615"</f>
        <v>060615</v>
      </c>
      <c r="C2873" t="str">
        <f>"58204"</f>
        <v>58204</v>
      </c>
      <c r="D2873" t="s">
        <v>1816</v>
      </c>
      <c r="E2873" s="3">
        <v>15.57</v>
      </c>
      <c r="F2873">
        <v>20151009</v>
      </c>
      <c r="G2873" t="s">
        <v>1961</v>
      </c>
      <c r="H2873" t="s">
        <v>473</v>
      </c>
      <c r="I2873">
        <v>0</v>
      </c>
      <c r="J2873" t="s">
        <v>1709</v>
      </c>
      <c r="K2873" t="s">
        <v>290</v>
      </c>
      <c r="L2873" t="s">
        <v>285</v>
      </c>
      <c r="M2873" t="str">
        <f t="shared" si="182"/>
        <v>10</v>
      </c>
      <c r="N2873" t="s">
        <v>12</v>
      </c>
    </row>
    <row r="2874" spans="1:14" x14ac:dyDescent="0.25">
      <c r="A2874">
        <v>20151009</v>
      </c>
      <c r="B2874" t="str">
        <f>"060615"</f>
        <v>060615</v>
      </c>
      <c r="C2874" t="str">
        <f>"58204"</f>
        <v>58204</v>
      </c>
      <c r="D2874" t="s">
        <v>1816</v>
      </c>
      <c r="E2874" s="3">
        <v>10</v>
      </c>
      <c r="F2874">
        <v>20151009</v>
      </c>
      <c r="G2874" t="s">
        <v>2368</v>
      </c>
      <c r="H2874" t="s">
        <v>2369</v>
      </c>
      <c r="I2874">
        <v>0</v>
      </c>
      <c r="J2874" t="s">
        <v>1709</v>
      </c>
      <c r="K2874" t="s">
        <v>290</v>
      </c>
      <c r="L2874" t="s">
        <v>285</v>
      </c>
      <c r="M2874" t="str">
        <f t="shared" si="182"/>
        <v>10</v>
      </c>
      <c r="N2874" t="s">
        <v>12</v>
      </c>
    </row>
    <row r="2875" spans="1:14" x14ac:dyDescent="0.25">
      <c r="A2875">
        <v>20151009</v>
      </c>
      <c r="B2875" t="str">
        <f>"060615"</f>
        <v>060615</v>
      </c>
      <c r="C2875" t="str">
        <f>"58204"</f>
        <v>58204</v>
      </c>
      <c r="D2875" t="s">
        <v>1816</v>
      </c>
      <c r="E2875" s="3">
        <v>4.21</v>
      </c>
      <c r="F2875">
        <v>20151009</v>
      </c>
      <c r="G2875" t="s">
        <v>1725</v>
      </c>
      <c r="H2875" t="s">
        <v>2370</v>
      </c>
      <c r="I2875">
        <v>0</v>
      </c>
      <c r="J2875" t="s">
        <v>1709</v>
      </c>
      <c r="K2875" t="s">
        <v>290</v>
      </c>
      <c r="L2875" t="s">
        <v>285</v>
      </c>
      <c r="M2875" t="str">
        <f t="shared" si="182"/>
        <v>10</v>
      </c>
      <c r="N2875" t="s">
        <v>12</v>
      </c>
    </row>
    <row r="2876" spans="1:14" x14ac:dyDescent="0.25">
      <c r="A2876">
        <v>20151009</v>
      </c>
      <c r="B2876" t="str">
        <f>"060616"</f>
        <v>060616</v>
      </c>
      <c r="C2876" t="str">
        <f>"58203"</f>
        <v>58203</v>
      </c>
      <c r="D2876" t="s">
        <v>2371</v>
      </c>
      <c r="E2876" s="3">
        <v>89.92</v>
      </c>
      <c r="F2876">
        <v>20151009</v>
      </c>
      <c r="G2876" t="s">
        <v>2264</v>
      </c>
      <c r="H2876" t="s">
        <v>2372</v>
      </c>
      <c r="I2876">
        <v>0</v>
      </c>
      <c r="J2876" t="s">
        <v>1709</v>
      </c>
      <c r="K2876" t="s">
        <v>1643</v>
      </c>
      <c r="L2876" t="s">
        <v>285</v>
      </c>
      <c r="M2876" t="str">
        <f t="shared" si="182"/>
        <v>10</v>
      </c>
      <c r="N2876" t="s">
        <v>12</v>
      </c>
    </row>
    <row r="2877" spans="1:14" x14ac:dyDescent="0.25">
      <c r="A2877">
        <v>20151009</v>
      </c>
      <c r="B2877" t="str">
        <f>"060619"</f>
        <v>060619</v>
      </c>
      <c r="C2877" t="str">
        <f>"59097"</f>
        <v>59097</v>
      </c>
      <c r="D2877" t="s">
        <v>1755</v>
      </c>
      <c r="E2877" s="3">
        <v>223.74</v>
      </c>
      <c r="F2877">
        <v>20151009</v>
      </c>
      <c r="G2877" t="s">
        <v>2317</v>
      </c>
      <c r="H2877" t="s">
        <v>2073</v>
      </c>
      <c r="I2877">
        <v>0</v>
      </c>
      <c r="J2877" t="s">
        <v>1709</v>
      </c>
      <c r="K2877" t="s">
        <v>290</v>
      </c>
      <c r="L2877" t="s">
        <v>285</v>
      </c>
      <c r="M2877" t="str">
        <f t="shared" si="182"/>
        <v>10</v>
      </c>
      <c r="N2877" t="s">
        <v>12</v>
      </c>
    </row>
    <row r="2878" spans="1:14" x14ac:dyDescent="0.25">
      <c r="A2878">
        <v>20151009</v>
      </c>
      <c r="B2878" t="str">
        <f>"060620"</f>
        <v>060620</v>
      </c>
      <c r="C2878" t="str">
        <f>"60835"</f>
        <v>60835</v>
      </c>
      <c r="D2878" t="s">
        <v>1904</v>
      </c>
      <c r="E2878" s="3">
        <v>2545</v>
      </c>
      <c r="F2878">
        <v>20151009</v>
      </c>
      <c r="G2878" t="s">
        <v>1854</v>
      </c>
      <c r="H2878" t="s">
        <v>2373</v>
      </c>
      <c r="I2878">
        <v>0</v>
      </c>
      <c r="J2878" t="s">
        <v>1709</v>
      </c>
      <c r="K2878" t="s">
        <v>1856</v>
      </c>
      <c r="L2878" t="s">
        <v>285</v>
      </c>
      <c r="M2878" t="str">
        <f t="shared" si="182"/>
        <v>10</v>
      </c>
      <c r="N2878" t="s">
        <v>12</v>
      </c>
    </row>
    <row r="2879" spans="1:14" x14ac:dyDescent="0.25">
      <c r="A2879">
        <v>20151009</v>
      </c>
      <c r="B2879" t="str">
        <f>"060623"</f>
        <v>060623</v>
      </c>
      <c r="C2879" t="str">
        <f>"61912"</f>
        <v>61912</v>
      </c>
      <c r="D2879" t="s">
        <v>2374</v>
      </c>
      <c r="E2879" s="3">
        <v>92.7</v>
      </c>
      <c r="F2879">
        <v>20151009</v>
      </c>
      <c r="G2879" t="s">
        <v>2100</v>
      </c>
      <c r="H2879" t="s">
        <v>2375</v>
      </c>
      <c r="I2879">
        <v>0</v>
      </c>
      <c r="J2879" t="s">
        <v>1709</v>
      </c>
      <c r="K2879" t="s">
        <v>33</v>
      </c>
      <c r="L2879" t="s">
        <v>285</v>
      </c>
      <c r="M2879" t="str">
        <f t="shared" si="182"/>
        <v>10</v>
      </c>
      <c r="N2879" t="s">
        <v>12</v>
      </c>
    </row>
    <row r="2880" spans="1:14" x14ac:dyDescent="0.25">
      <c r="A2880">
        <v>20151009</v>
      </c>
      <c r="B2880" t="str">
        <f>"060625"</f>
        <v>060625</v>
      </c>
      <c r="C2880" t="str">
        <f>"00355"</f>
        <v>00355</v>
      </c>
      <c r="D2880" t="s">
        <v>1909</v>
      </c>
      <c r="E2880" s="3">
        <v>28</v>
      </c>
      <c r="F2880">
        <v>20151009</v>
      </c>
      <c r="G2880" t="s">
        <v>2376</v>
      </c>
      <c r="H2880" t="s">
        <v>2010</v>
      </c>
      <c r="I2880">
        <v>0</v>
      </c>
      <c r="J2880" t="s">
        <v>1709</v>
      </c>
      <c r="K2880" t="s">
        <v>2377</v>
      </c>
      <c r="L2880" t="s">
        <v>285</v>
      </c>
      <c r="M2880" t="str">
        <f t="shared" si="182"/>
        <v>10</v>
      </c>
      <c r="N2880" t="s">
        <v>12</v>
      </c>
    </row>
    <row r="2881" spans="1:14" x14ac:dyDescent="0.25">
      <c r="A2881">
        <v>20151009</v>
      </c>
      <c r="B2881" t="str">
        <f>"060630"</f>
        <v>060630</v>
      </c>
      <c r="C2881" t="str">
        <f>"62340"</f>
        <v>62340</v>
      </c>
      <c r="D2881" t="s">
        <v>1911</v>
      </c>
      <c r="E2881" s="3">
        <v>4135.32</v>
      </c>
      <c r="F2881">
        <v>20151009</v>
      </c>
      <c r="G2881" t="s">
        <v>1912</v>
      </c>
      <c r="H2881" t="s">
        <v>1843</v>
      </c>
      <c r="I2881">
        <v>0</v>
      </c>
      <c r="J2881" t="s">
        <v>1709</v>
      </c>
      <c r="K2881" t="s">
        <v>1861</v>
      </c>
      <c r="L2881" t="s">
        <v>285</v>
      </c>
      <c r="M2881" t="str">
        <f t="shared" si="182"/>
        <v>10</v>
      </c>
      <c r="N2881" t="s">
        <v>12</v>
      </c>
    </row>
    <row r="2882" spans="1:14" x14ac:dyDescent="0.25">
      <c r="A2882">
        <v>20151009</v>
      </c>
      <c r="B2882" t="str">
        <f>"060633"</f>
        <v>060633</v>
      </c>
      <c r="C2882" t="str">
        <f>"63053"</f>
        <v>63053</v>
      </c>
      <c r="D2882" t="s">
        <v>2012</v>
      </c>
      <c r="E2882" s="3">
        <v>470.4</v>
      </c>
      <c r="F2882">
        <v>20151009</v>
      </c>
      <c r="G2882" t="s">
        <v>2124</v>
      </c>
      <c r="H2882" t="s">
        <v>2378</v>
      </c>
      <c r="I2882">
        <v>0</v>
      </c>
      <c r="J2882" t="s">
        <v>1709</v>
      </c>
      <c r="K2882" t="s">
        <v>290</v>
      </c>
      <c r="L2882" t="s">
        <v>285</v>
      </c>
      <c r="M2882" t="str">
        <f t="shared" si="182"/>
        <v>10</v>
      </c>
      <c r="N2882" t="s">
        <v>12</v>
      </c>
    </row>
    <row r="2883" spans="1:14" x14ac:dyDescent="0.25">
      <c r="A2883">
        <v>20151009</v>
      </c>
      <c r="B2883" t="str">
        <f>"060634"</f>
        <v>060634</v>
      </c>
      <c r="C2883" t="str">
        <f>"40852"</f>
        <v>40852</v>
      </c>
      <c r="D2883" t="s">
        <v>2015</v>
      </c>
      <c r="E2883" s="3">
        <v>1400</v>
      </c>
      <c r="F2883">
        <v>20151009</v>
      </c>
      <c r="G2883" t="s">
        <v>1977</v>
      </c>
      <c r="H2883" t="s">
        <v>2016</v>
      </c>
      <c r="I2883">
        <v>0</v>
      </c>
      <c r="J2883" t="s">
        <v>1709</v>
      </c>
      <c r="K2883" t="s">
        <v>290</v>
      </c>
      <c r="L2883" t="s">
        <v>285</v>
      </c>
      <c r="M2883" t="str">
        <f t="shared" si="182"/>
        <v>10</v>
      </c>
      <c r="N2883" t="s">
        <v>12</v>
      </c>
    </row>
    <row r="2884" spans="1:14" x14ac:dyDescent="0.25">
      <c r="A2884">
        <v>20151009</v>
      </c>
      <c r="B2884" t="str">
        <f>"060640"</f>
        <v>060640</v>
      </c>
      <c r="C2884" t="str">
        <f>"64562"</f>
        <v>64562</v>
      </c>
      <c r="D2884" t="s">
        <v>2379</v>
      </c>
      <c r="E2884" s="3">
        <v>121.83</v>
      </c>
      <c r="F2884">
        <v>20151009</v>
      </c>
      <c r="G2884" t="s">
        <v>2380</v>
      </c>
      <c r="H2884" t="s">
        <v>2381</v>
      </c>
      <c r="I2884">
        <v>0</v>
      </c>
      <c r="J2884" t="s">
        <v>1709</v>
      </c>
      <c r="K2884" t="s">
        <v>33</v>
      </c>
      <c r="L2884" t="s">
        <v>285</v>
      </c>
      <c r="M2884" t="str">
        <f t="shared" si="182"/>
        <v>10</v>
      </c>
      <c r="N2884" t="s">
        <v>12</v>
      </c>
    </row>
    <row r="2885" spans="1:14" x14ac:dyDescent="0.25">
      <c r="A2885">
        <v>20151009</v>
      </c>
      <c r="B2885" t="str">
        <f>"060641"</f>
        <v>060641</v>
      </c>
      <c r="C2885" t="str">
        <f>"65802"</f>
        <v>65802</v>
      </c>
      <c r="D2885" t="s">
        <v>2382</v>
      </c>
      <c r="E2885" s="3">
        <v>25</v>
      </c>
      <c r="F2885">
        <v>20151009</v>
      </c>
      <c r="G2885" t="s">
        <v>1933</v>
      </c>
      <c r="H2885" t="s">
        <v>2383</v>
      </c>
      <c r="I2885">
        <v>0</v>
      </c>
      <c r="J2885" t="s">
        <v>1709</v>
      </c>
      <c r="K2885" t="s">
        <v>1558</v>
      </c>
      <c r="L2885" t="s">
        <v>285</v>
      </c>
      <c r="M2885" t="str">
        <f t="shared" si="182"/>
        <v>10</v>
      </c>
      <c r="N2885" t="s">
        <v>12</v>
      </c>
    </row>
    <row r="2886" spans="1:14" x14ac:dyDescent="0.25">
      <c r="A2886">
        <v>20151009</v>
      </c>
      <c r="B2886" t="str">
        <f>"060641"</f>
        <v>060641</v>
      </c>
      <c r="C2886" t="str">
        <f>"65802"</f>
        <v>65802</v>
      </c>
      <c r="D2886" t="s">
        <v>2382</v>
      </c>
      <c r="E2886" s="3">
        <v>45.95</v>
      </c>
      <c r="F2886">
        <v>20151009</v>
      </c>
      <c r="G2886" t="s">
        <v>2384</v>
      </c>
      <c r="H2886" t="s">
        <v>2385</v>
      </c>
      <c r="I2886">
        <v>0</v>
      </c>
      <c r="J2886" t="s">
        <v>1709</v>
      </c>
      <c r="K2886" t="s">
        <v>33</v>
      </c>
      <c r="L2886" t="s">
        <v>285</v>
      </c>
      <c r="M2886" t="str">
        <f t="shared" si="182"/>
        <v>10</v>
      </c>
      <c r="N2886" t="s">
        <v>12</v>
      </c>
    </row>
    <row r="2887" spans="1:14" x14ac:dyDescent="0.25">
      <c r="A2887">
        <v>20151009</v>
      </c>
      <c r="B2887" t="str">
        <f>"060643"</f>
        <v>060643</v>
      </c>
      <c r="C2887" t="str">
        <f>"65826"</f>
        <v>65826</v>
      </c>
      <c r="D2887" t="s">
        <v>2386</v>
      </c>
      <c r="E2887" s="3">
        <v>1155.97</v>
      </c>
      <c r="F2887">
        <v>20151009</v>
      </c>
      <c r="G2887" t="s">
        <v>2387</v>
      </c>
      <c r="H2887" t="s">
        <v>595</v>
      </c>
      <c r="I2887">
        <v>0</v>
      </c>
      <c r="J2887" t="s">
        <v>1709</v>
      </c>
      <c r="K2887" t="s">
        <v>1643</v>
      </c>
      <c r="L2887" t="s">
        <v>285</v>
      </c>
      <c r="M2887" t="str">
        <f t="shared" si="182"/>
        <v>10</v>
      </c>
      <c r="N2887" t="s">
        <v>12</v>
      </c>
    </row>
    <row r="2888" spans="1:14" x14ac:dyDescent="0.25">
      <c r="A2888">
        <v>20151009</v>
      </c>
      <c r="B2888" t="str">
        <f>"060646"</f>
        <v>060646</v>
      </c>
      <c r="C2888" t="str">
        <f>"71225"</f>
        <v>71225</v>
      </c>
      <c r="D2888" t="s">
        <v>1920</v>
      </c>
      <c r="E2888" s="3">
        <v>687.84</v>
      </c>
      <c r="F2888">
        <v>20151009</v>
      </c>
      <c r="G2888" t="s">
        <v>1854</v>
      </c>
      <c r="H2888" t="s">
        <v>2388</v>
      </c>
      <c r="I2888">
        <v>0</v>
      </c>
      <c r="J2888" t="s">
        <v>1709</v>
      </c>
      <c r="K2888" t="s">
        <v>1856</v>
      </c>
      <c r="L2888" t="s">
        <v>285</v>
      </c>
      <c r="M2888" t="str">
        <f t="shared" si="182"/>
        <v>10</v>
      </c>
      <c r="N2888" t="s">
        <v>12</v>
      </c>
    </row>
    <row r="2889" spans="1:14" x14ac:dyDescent="0.25">
      <c r="A2889">
        <v>20151009</v>
      </c>
      <c r="B2889" t="str">
        <f>"060646"</f>
        <v>060646</v>
      </c>
      <c r="C2889" t="str">
        <f>"71225"</f>
        <v>71225</v>
      </c>
      <c r="D2889" t="s">
        <v>1920</v>
      </c>
      <c r="E2889" s="3">
        <v>30</v>
      </c>
      <c r="F2889">
        <v>20151009</v>
      </c>
      <c r="G2889" t="s">
        <v>1854</v>
      </c>
      <c r="H2889" t="s">
        <v>1922</v>
      </c>
      <c r="I2889">
        <v>0</v>
      </c>
      <c r="J2889" t="s">
        <v>1709</v>
      </c>
      <c r="K2889" t="s">
        <v>1856</v>
      </c>
      <c r="L2889" t="s">
        <v>285</v>
      </c>
      <c r="M2889" t="str">
        <f t="shared" si="182"/>
        <v>10</v>
      </c>
      <c r="N2889" t="s">
        <v>12</v>
      </c>
    </row>
    <row r="2890" spans="1:14" x14ac:dyDescent="0.25">
      <c r="A2890">
        <v>20151009</v>
      </c>
      <c r="B2890" t="str">
        <f>"060646"</f>
        <v>060646</v>
      </c>
      <c r="C2890" t="str">
        <f>"71225"</f>
        <v>71225</v>
      </c>
      <c r="D2890" t="s">
        <v>1920</v>
      </c>
      <c r="E2890" s="3">
        <v>320.10000000000002</v>
      </c>
      <c r="F2890">
        <v>20151009</v>
      </c>
      <c r="G2890" t="s">
        <v>1854</v>
      </c>
      <c r="H2890" t="s">
        <v>2389</v>
      </c>
      <c r="I2890">
        <v>0</v>
      </c>
      <c r="J2890" t="s">
        <v>1709</v>
      </c>
      <c r="K2890" t="s">
        <v>1856</v>
      </c>
      <c r="L2890" t="s">
        <v>285</v>
      </c>
      <c r="M2890" t="str">
        <f t="shared" si="182"/>
        <v>10</v>
      </c>
      <c r="N2890" t="s">
        <v>12</v>
      </c>
    </row>
    <row r="2891" spans="1:14" x14ac:dyDescent="0.25">
      <c r="A2891">
        <v>20151009</v>
      </c>
      <c r="B2891" t="str">
        <f>"060646"</f>
        <v>060646</v>
      </c>
      <c r="C2891" t="str">
        <f>"71225"</f>
        <v>71225</v>
      </c>
      <c r="D2891" t="s">
        <v>1920</v>
      </c>
      <c r="E2891" s="3">
        <v>104.75</v>
      </c>
      <c r="F2891">
        <v>20151009</v>
      </c>
      <c r="G2891" t="s">
        <v>2164</v>
      </c>
      <c r="H2891" t="s">
        <v>2390</v>
      </c>
      <c r="I2891">
        <v>0</v>
      </c>
      <c r="J2891" t="s">
        <v>1709</v>
      </c>
      <c r="K2891" t="s">
        <v>1861</v>
      </c>
      <c r="L2891" t="s">
        <v>285</v>
      </c>
      <c r="M2891" t="str">
        <f t="shared" si="182"/>
        <v>10</v>
      </c>
      <c r="N2891" t="s">
        <v>12</v>
      </c>
    </row>
    <row r="2892" spans="1:14" x14ac:dyDescent="0.25">
      <c r="A2892">
        <v>20151009</v>
      </c>
      <c r="B2892" t="str">
        <f>"060646"</f>
        <v>060646</v>
      </c>
      <c r="C2892" t="str">
        <f>"71225"</f>
        <v>71225</v>
      </c>
      <c r="D2892" t="s">
        <v>1920</v>
      </c>
      <c r="E2892" s="3">
        <v>690.72</v>
      </c>
      <c r="F2892">
        <v>20151009</v>
      </c>
      <c r="G2892" t="s">
        <v>2164</v>
      </c>
      <c r="H2892" t="s">
        <v>2391</v>
      </c>
      <c r="I2892">
        <v>0</v>
      </c>
      <c r="J2892" t="s">
        <v>1709</v>
      </c>
      <c r="K2892" t="s">
        <v>1861</v>
      </c>
      <c r="L2892" t="s">
        <v>285</v>
      </c>
      <c r="M2892" t="str">
        <f t="shared" si="182"/>
        <v>10</v>
      </c>
      <c r="N2892" t="s">
        <v>12</v>
      </c>
    </row>
    <row r="2893" spans="1:14" x14ac:dyDescent="0.25">
      <c r="A2893">
        <v>20151009</v>
      </c>
      <c r="B2893" t="str">
        <f>"060651"</f>
        <v>060651</v>
      </c>
      <c r="C2893" t="str">
        <f>"74385"</f>
        <v>74385</v>
      </c>
      <c r="D2893" t="s">
        <v>1767</v>
      </c>
      <c r="E2893" s="3">
        <v>33.44</v>
      </c>
      <c r="F2893">
        <v>20151009</v>
      </c>
      <c r="G2893" t="s">
        <v>1768</v>
      </c>
      <c r="H2893" t="s">
        <v>2392</v>
      </c>
      <c r="I2893">
        <v>0</v>
      </c>
      <c r="J2893" t="s">
        <v>1709</v>
      </c>
      <c r="K2893" t="s">
        <v>1744</v>
      </c>
      <c r="L2893" t="s">
        <v>285</v>
      </c>
      <c r="M2893" t="str">
        <f t="shared" si="182"/>
        <v>10</v>
      </c>
      <c r="N2893" t="s">
        <v>12</v>
      </c>
    </row>
    <row r="2894" spans="1:14" x14ac:dyDescent="0.25">
      <c r="A2894">
        <v>20151009</v>
      </c>
      <c r="B2894" t="str">
        <f>"060652"</f>
        <v>060652</v>
      </c>
      <c r="C2894" t="str">
        <f>"76548"</f>
        <v>76548</v>
      </c>
      <c r="D2894" t="s">
        <v>1776</v>
      </c>
      <c r="E2894" s="3">
        <v>290</v>
      </c>
      <c r="F2894">
        <v>20151009</v>
      </c>
      <c r="G2894" t="s">
        <v>1880</v>
      </c>
      <c r="H2894" t="s">
        <v>2221</v>
      </c>
      <c r="I2894">
        <v>0</v>
      </c>
      <c r="J2894" t="s">
        <v>1709</v>
      </c>
      <c r="K2894" t="s">
        <v>1882</v>
      </c>
      <c r="L2894" t="s">
        <v>285</v>
      </c>
      <c r="M2894" t="str">
        <f t="shared" si="182"/>
        <v>10</v>
      </c>
      <c r="N2894" t="s">
        <v>12</v>
      </c>
    </row>
    <row r="2895" spans="1:14" x14ac:dyDescent="0.25">
      <c r="A2895">
        <v>20151009</v>
      </c>
      <c r="B2895" t="str">
        <f>"060654"</f>
        <v>060654</v>
      </c>
      <c r="C2895" t="str">
        <f>"78309"</f>
        <v>78309</v>
      </c>
      <c r="D2895" t="s">
        <v>2393</v>
      </c>
      <c r="E2895" s="3">
        <v>373</v>
      </c>
      <c r="F2895">
        <v>20151009</v>
      </c>
      <c r="G2895" t="s">
        <v>2394</v>
      </c>
      <c r="H2895" t="s">
        <v>2395</v>
      </c>
      <c r="I2895">
        <v>0</v>
      </c>
      <c r="J2895" t="s">
        <v>1709</v>
      </c>
      <c r="K2895" t="s">
        <v>1643</v>
      </c>
      <c r="L2895" t="s">
        <v>285</v>
      </c>
      <c r="M2895" t="str">
        <f t="shared" si="182"/>
        <v>10</v>
      </c>
      <c r="N2895" t="s">
        <v>12</v>
      </c>
    </row>
    <row r="2896" spans="1:14" x14ac:dyDescent="0.25">
      <c r="A2896">
        <v>20151009</v>
      </c>
      <c r="B2896" t="str">
        <f>"060654"</f>
        <v>060654</v>
      </c>
      <c r="C2896" t="str">
        <f>"78309"</f>
        <v>78309</v>
      </c>
      <c r="D2896" t="s">
        <v>2393</v>
      </c>
      <c r="E2896" s="3">
        <v>373</v>
      </c>
      <c r="F2896">
        <v>20151009</v>
      </c>
      <c r="G2896" t="s">
        <v>2394</v>
      </c>
      <c r="H2896" t="s">
        <v>2396</v>
      </c>
      <c r="I2896">
        <v>0</v>
      </c>
      <c r="J2896" t="s">
        <v>1709</v>
      </c>
      <c r="K2896" t="s">
        <v>1643</v>
      </c>
      <c r="L2896" t="s">
        <v>285</v>
      </c>
      <c r="M2896" t="str">
        <f t="shared" si="182"/>
        <v>10</v>
      </c>
      <c r="N2896" t="s">
        <v>12</v>
      </c>
    </row>
    <row r="2897" spans="1:14" x14ac:dyDescent="0.25">
      <c r="A2897">
        <v>20151009</v>
      </c>
      <c r="B2897" t="str">
        <f>"060654"</f>
        <v>060654</v>
      </c>
      <c r="C2897" t="str">
        <f>"78309"</f>
        <v>78309</v>
      </c>
      <c r="D2897" t="s">
        <v>2393</v>
      </c>
      <c r="E2897" s="3">
        <v>373</v>
      </c>
      <c r="F2897">
        <v>20151009</v>
      </c>
      <c r="G2897" t="s">
        <v>2394</v>
      </c>
      <c r="H2897" t="s">
        <v>2397</v>
      </c>
      <c r="I2897">
        <v>0</v>
      </c>
      <c r="J2897" t="s">
        <v>1709</v>
      </c>
      <c r="K2897" t="s">
        <v>1643</v>
      </c>
      <c r="L2897" t="s">
        <v>285</v>
      </c>
      <c r="M2897" t="str">
        <f t="shared" si="182"/>
        <v>10</v>
      </c>
      <c r="N2897" t="s">
        <v>12</v>
      </c>
    </row>
    <row r="2898" spans="1:14" x14ac:dyDescent="0.25">
      <c r="A2898">
        <v>20151009</v>
      </c>
      <c r="B2898" t="str">
        <f>"060654"</f>
        <v>060654</v>
      </c>
      <c r="C2898" t="str">
        <f>"78309"</f>
        <v>78309</v>
      </c>
      <c r="D2898" t="s">
        <v>2393</v>
      </c>
      <c r="E2898" s="3">
        <v>373</v>
      </c>
      <c r="F2898">
        <v>20151009</v>
      </c>
      <c r="G2898" t="s">
        <v>2394</v>
      </c>
      <c r="H2898" t="s">
        <v>2398</v>
      </c>
      <c r="I2898">
        <v>0</v>
      </c>
      <c r="J2898" t="s">
        <v>1709</v>
      </c>
      <c r="K2898" t="s">
        <v>1643</v>
      </c>
      <c r="L2898" t="s">
        <v>285</v>
      </c>
      <c r="M2898" t="str">
        <f t="shared" si="182"/>
        <v>10</v>
      </c>
      <c r="N2898" t="s">
        <v>12</v>
      </c>
    </row>
    <row r="2899" spans="1:14" x14ac:dyDescent="0.25">
      <c r="A2899">
        <v>20151009</v>
      </c>
      <c r="B2899" t="str">
        <f>"060655"</f>
        <v>060655</v>
      </c>
      <c r="C2899" t="str">
        <f>"78280"</f>
        <v>78280</v>
      </c>
      <c r="D2899" t="s">
        <v>1932</v>
      </c>
      <c r="E2899" s="3">
        <v>215</v>
      </c>
      <c r="F2899">
        <v>20151009</v>
      </c>
      <c r="G2899" t="s">
        <v>2330</v>
      </c>
      <c r="H2899" t="s">
        <v>1934</v>
      </c>
      <c r="I2899">
        <v>0</v>
      </c>
      <c r="J2899" t="s">
        <v>1709</v>
      </c>
      <c r="K2899" t="s">
        <v>1984</v>
      </c>
      <c r="L2899" t="s">
        <v>285</v>
      </c>
      <c r="M2899" t="str">
        <f t="shared" si="182"/>
        <v>10</v>
      </c>
      <c r="N2899" t="s">
        <v>12</v>
      </c>
    </row>
    <row r="2900" spans="1:14" x14ac:dyDescent="0.25">
      <c r="A2900">
        <v>20151009</v>
      </c>
      <c r="B2900" t="str">
        <f>"060656"</f>
        <v>060656</v>
      </c>
      <c r="C2900" t="str">
        <f>"78311"</f>
        <v>78311</v>
      </c>
      <c r="D2900" t="s">
        <v>458</v>
      </c>
      <c r="E2900" s="3">
        <v>6.31</v>
      </c>
      <c r="F2900">
        <v>20151009</v>
      </c>
      <c r="G2900" t="s">
        <v>1957</v>
      </c>
      <c r="H2900" t="s">
        <v>2399</v>
      </c>
      <c r="I2900">
        <v>0</v>
      </c>
      <c r="J2900" t="s">
        <v>1709</v>
      </c>
      <c r="K2900" t="s">
        <v>290</v>
      </c>
      <c r="L2900" t="s">
        <v>285</v>
      </c>
      <c r="M2900" t="str">
        <f t="shared" si="182"/>
        <v>10</v>
      </c>
      <c r="N2900" t="s">
        <v>12</v>
      </c>
    </row>
    <row r="2901" spans="1:14" x14ac:dyDescent="0.25">
      <c r="A2901">
        <v>20151009</v>
      </c>
      <c r="B2901" t="str">
        <f>"060656"</f>
        <v>060656</v>
      </c>
      <c r="C2901" t="str">
        <f>"78311"</f>
        <v>78311</v>
      </c>
      <c r="D2901" t="s">
        <v>458</v>
      </c>
      <c r="E2901" s="3">
        <v>39.880000000000003</v>
      </c>
      <c r="F2901">
        <v>20151009</v>
      </c>
      <c r="G2901" t="s">
        <v>1712</v>
      </c>
      <c r="H2901" t="s">
        <v>2400</v>
      </c>
      <c r="I2901">
        <v>0</v>
      </c>
      <c r="J2901" t="s">
        <v>1709</v>
      </c>
      <c r="K2901" t="s">
        <v>290</v>
      </c>
      <c r="L2901" t="s">
        <v>285</v>
      </c>
      <c r="M2901" t="str">
        <f t="shared" si="182"/>
        <v>10</v>
      </c>
      <c r="N2901" t="s">
        <v>12</v>
      </c>
    </row>
    <row r="2902" spans="1:14" x14ac:dyDescent="0.25">
      <c r="A2902">
        <v>20151009</v>
      </c>
      <c r="B2902" t="str">
        <f>"060656"</f>
        <v>060656</v>
      </c>
      <c r="C2902" t="str">
        <f>"78311"</f>
        <v>78311</v>
      </c>
      <c r="D2902" t="s">
        <v>458</v>
      </c>
      <c r="E2902" s="3">
        <v>40.04</v>
      </c>
      <c r="F2902">
        <v>20151009</v>
      </c>
      <c r="G2902" t="s">
        <v>1712</v>
      </c>
      <c r="H2902" t="s">
        <v>2401</v>
      </c>
      <c r="I2902">
        <v>0</v>
      </c>
      <c r="J2902" t="s">
        <v>1709</v>
      </c>
      <c r="K2902" t="s">
        <v>290</v>
      </c>
      <c r="L2902" t="s">
        <v>285</v>
      </c>
      <c r="M2902" t="str">
        <f t="shared" si="182"/>
        <v>10</v>
      </c>
      <c r="N2902" t="s">
        <v>12</v>
      </c>
    </row>
    <row r="2903" spans="1:14" x14ac:dyDescent="0.25">
      <c r="A2903">
        <v>20151009</v>
      </c>
      <c r="B2903" t="str">
        <f>"060656"</f>
        <v>060656</v>
      </c>
      <c r="C2903" t="str">
        <f>"78311"</f>
        <v>78311</v>
      </c>
      <c r="D2903" t="s">
        <v>458</v>
      </c>
      <c r="E2903" s="3">
        <v>25.51</v>
      </c>
      <c r="F2903">
        <v>20151009</v>
      </c>
      <c r="G2903" t="s">
        <v>1710</v>
      </c>
      <c r="H2903" t="s">
        <v>2402</v>
      </c>
      <c r="I2903">
        <v>0</v>
      </c>
      <c r="J2903" t="s">
        <v>1709</v>
      </c>
      <c r="K2903" t="s">
        <v>290</v>
      </c>
      <c r="L2903" t="s">
        <v>285</v>
      </c>
      <c r="M2903" t="str">
        <f t="shared" si="182"/>
        <v>10</v>
      </c>
      <c r="N2903" t="s">
        <v>12</v>
      </c>
    </row>
    <row r="2904" spans="1:14" x14ac:dyDescent="0.25">
      <c r="A2904">
        <v>20151009</v>
      </c>
      <c r="B2904" t="str">
        <f>"060657"</f>
        <v>060657</v>
      </c>
      <c r="C2904" t="str">
        <f>"79661"</f>
        <v>79661</v>
      </c>
      <c r="D2904" t="s">
        <v>2403</v>
      </c>
      <c r="E2904" s="3">
        <v>115</v>
      </c>
      <c r="F2904">
        <v>20151009</v>
      </c>
      <c r="G2904" t="s">
        <v>2404</v>
      </c>
      <c r="H2904" t="s">
        <v>2405</v>
      </c>
      <c r="I2904">
        <v>0</v>
      </c>
      <c r="J2904" t="s">
        <v>1709</v>
      </c>
      <c r="K2904" t="s">
        <v>290</v>
      </c>
      <c r="L2904" t="s">
        <v>285</v>
      </c>
      <c r="M2904" t="str">
        <f t="shared" si="182"/>
        <v>10</v>
      </c>
      <c r="N2904" t="s">
        <v>12</v>
      </c>
    </row>
    <row r="2905" spans="1:14" x14ac:dyDescent="0.25">
      <c r="A2905">
        <v>20151009</v>
      </c>
      <c r="B2905" t="str">
        <f>"060659"</f>
        <v>060659</v>
      </c>
      <c r="C2905" t="str">
        <f>"80485"</f>
        <v>80485</v>
      </c>
      <c r="D2905" t="s">
        <v>2406</v>
      </c>
      <c r="E2905" s="3">
        <v>472.57</v>
      </c>
      <c r="F2905">
        <v>20151009</v>
      </c>
      <c r="G2905" t="s">
        <v>2407</v>
      </c>
      <c r="H2905" t="s">
        <v>2408</v>
      </c>
      <c r="I2905">
        <v>0</v>
      </c>
      <c r="J2905" t="s">
        <v>1709</v>
      </c>
      <c r="K2905" t="s">
        <v>290</v>
      </c>
      <c r="L2905" t="s">
        <v>285</v>
      </c>
      <c r="M2905" t="str">
        <f t="shared" si="182"/>
        <v>10</v>
      </c>
      <c r="N2905" t="s">
        <v>12</v>
      </c>
    </row>
    <row r="2906" spans="1:14" x14ac:dyDescent="0.25">
      <c r="A2906">
        <v>20151009</v>
      </c>
      <c r="B2906" t="str">
        <f>"060660"</f>
        <v>060660</v>
      </c>
      <c r="C2906" t="str">
        <f>"80500"</f>
        <v>80500</v>
      </c>
      <c r="D2906" t="s">
        <v>2409</v>
      </c>
      <c r="E2906" s="3">
        <v>165.62</v>
      </c>
      <c r="F2906">
        <v>20151009</v>
      </c>
      <c r="G2906" t="s">
        <v>2333</v>
      </c>
      <c r="H2906" t="s">
        <v>2410</v>
      </c>
      <c r="I2906">
        <v>0</v>
      </c>
      <c r="J2906" t="s">
        <v>1709</v>
      </c>
      <c r="K2906" t="s">
        <v>290</v>
      </c>
      <c r="L2906" t="s">
        <v>285</v>
      </c>
      <c r="M2906" t="str">
        <f t="shared" si="182"/>
        <v>10</v>
      </c>
      <c r="N2906" t="s">
        <v>12</v>
      </c>
    </row>
    <row r="2907" spans="1:14" x14ac:dyDescent="0.25">
      <c r="A2907">
        <v>20151009</v>
      </c>
      <c r="B2907" t="str">
        <f>"060662"</f>
        <v>060662</v>
      </c>
      <c r="C2907" t="str">
        <f>"80600"</f>
        <v>80600</v>
      </c>
      <c r="D2907" t="s">
        <v>2411</v>
      </c>
      <c r="E2907" s="3">
        <v>346.5</v>
      </c>
      <c r="F2907">
        <v>20151009</v>
      </c>
      <c r="G2907" t="s">
        <v>2412</v>
      </c>
      <c r="H2907" t="s">
        <v>2413</v>
      </c>
      <c r="I2907">
        <v>0</v>
      </c>
      <c r="J2907" t="s">
        <v>1709</v>
      </c>
      <c r="K2907" t="s">
        <v>290</v>
      </c>
      <c r="L2907" t="s">
        <v>285</v>
      </c>
      <c r="M2907" t="str">
        <f t="shared" si="182"/>
        <v>10</v>
      </c>
      <c r="N2907" t="s">
        <v>12</v>
      </c>
    </row>
    <row r="2908" spans="1:14" x14ac:dyDescent="0.25">
      <c r="A2908">
        <v>20151009</v>
      </c>
      <c r="B2908" t="str">
        <f>"060662"</f>
        <v>060662</v>
      </c>
      <c r="C2908" t="str">
        <f>"80600"</f>
        <v>80600</v>
      </c>
      <c r="D2908" t="s">
        <v>2411</v>
      </c>
      <c r="E2908" s="3">
        <v>27.5</v>
      </c>
      <c r="F2908">
        <v>20151009</v>
      </c>
      <c r="G2908" t="s">
        <v>2412</v>
      </c>
      <c r="H2908" t="s">
        <v>2413</v>
      </c>
      <c r="I2908">
        <v>0</v>
      </c>
      <c r="J2908" t="s">
        <v>1709</v>
      </c>
      <c r="K2908" t="s">
        <v>290</v>
      </c>
      <c r="L2908" t="s">
        <v>285</v>
      </c>
      <c r="M2908" t="str">
        <f t="shared" si="182"/>
        <v>10</v>
      </c>
      <c r="N2908" t="s">
        <v>12</v>
      </c>
    </row>
    <row r="2909" spans="1:14" x14ac:dyDescent="0.25">
      <c r="A2909">
        <v>20151009</v>
      </c>
      <c r="B2909" t="str">
        <f>"060663"</f>
        <v>060663</v>
      </c>
      <c r="C2909" t="str">
        <f>"80611"</f>
        <v>80611</v>
      </c>
      <c r="D2909" t="s">
        <v>1796</v>
      </c>
      <c r="E2909" s="3">
        <v>2208.35</v>
      </c>
      <c r="F2909">
        <v>20151009</v>
      </c>
      <c r="G2909" t="s">
        <v>2414</v>
      </c>
      <c r="H2909" t="s">
        <v>1842</v>
      </c>
      <c r="I2909">
        <v>0</v>
      </c>
      <c r="J2909" t="s">
        <v>1709</v>
      </c>
      <c r="K2909" t="s">
        <v>133</v>
      </c>
      <c r="L2909" t="s">
        <v>285</v>
      </c>
      <c r="M2909" t="str">
        <f t="shared" si="182"/>
        <v>10</v>
      </c>
      <c r="N2909" t="s">
        <v>12</v>
      </c>
    </row>
    <row r="2910" spans="1:14" x14ac:dyDescent="0.25">
      <c r="A2910">
        <v>20151009</v>
      </c>
      <c r="B2910" t="str">
        <f>"060666"</f>
        <v>060666</v>
      </c>
      <c r="C2910" t="str">
        <f>"81299"</f>
        <v>81299</v>
      </c>
      <c r="D2910" t="s">
        <v>2415</v>
      </c>
      <c r="E2910" s="3">
        <v>96</v>
      </c>
      <c r="F2910">
        <v>20151009</v>
      </c>
      <c r="G2910" t="s">
        <v>2416</v>
      </c>
      <c r="H2910" t="s">
        <v>2417</v>
      </c>
      <c r="I2910">
        <v>0</v>
      </c>
      <c r="J2910" t="s">
        <v>1709</v>
      </c>
      <c r="K2910" t="s">
        <v>1744</v>
      </c>
      <c r="L2910" t="s">
        <v>285</v>
      </c>
      <c r="M2910" t="str">
        <f t="shared" si="182"/>
        <v>10</v>
      </c>
      <c r="N2910" t="s">
        <v>12</v>
      </c>
    </row>
    <row r="2911" spans="1:14" x14ac:dyDescent="0.25">
      <c r="A2911">
        <v>20151015</v>
      </c>
      <c r="B2911" t="str">
        <f>"060671"</f>
        <v>060671</v>
      </c>
      <c r="C2911" t="str">
        <f>"49959"</f>
        <v>49959</v>
      </c>
      <c r="D2911" t="s">
        <v>361</v>
      </c>
      <c r="E2911" s="3">
        <v>165</v>
      </c>
      <c r="F2911">
        <v>20151015</v>
      </c>
      <c r="G2911" t="s">
        <v>2418</v>
      </c>
      <c r="H2911" t="s">
        <v>2419</v>
      </c>
      <c r="I2911">
        <v>0</v>
      </c>
      <c r="J2911" t="s">
        <v>1709</v>
      </c>
      <c r="K2911" t="s">
        <v>290</v>
      </c>
      <c r="L2911" t="s">
        <v>285</v>
      </c>
      <c r="M2911" t="str">
        <f t="shared" si="182"/>
        <v>10</v>
      </c>
      <c r="N2911" t="s">
        <v>12</v>
      </c>
    </row>
    <row r="2912" spans="1:14" x14ac:dyDescent="0.25">
      <c r="A2912">
        <v>20151015</v>
      </c>
      <c r="B2912" t="str">
        <f>"060671"</f>
        <v>060671</v>
      </c>
      <c r="C2912" t="str">
        <f>"49959"</f>
        <v>49959</v>
      </c>
      <c r="D2912" t="s">
        <v>361</v>
      </c>
      <c r="E2912" s="3">
        <v>300</v>
      </c>
      <c r="F2912">
        <v>20151015</v>
      </c>
      <c r="G2912" t="s">
        <v>1788</v>
      </c>
      <c r="H2912" t="s">
        <v>2420</v>
      </c>
      <c r="I2912">
        <v>0</v>
      </c>
      <c r="J2912" t="s">
        <v>1709</v>
      </c>
      <c r="K2912" t="s">
        <v>1643</v>
      </c>
      <c r="L2912" t="s">
        <v>285</v>
      </c>
      <c r="M2912" t="str">
        <f t="shared" si="182"/>
        <v>10</v>
      </c>
      <c r="N2912" t="s">
        <v>12</v>
      </c>
    </row>
    <row r="2913" spans="1:14" x14ac:dyDescent="0.25">
      <c r="A2913">
        <v>20151016</v>
      </c>
      <c r="B2913" t="str">
        <f>"060672"</f>
        <v>060672</v>
      </c>
      <c r="C2913" t="str">
        <f>"01196"</f>
        <v>01196</v>
      </c>
      <c r="D2913" t="s">
        <v>2421</v>
      </c>
      <c r="E2913" s="3">
        <v>97.32</v>
      </c>
      <c r="F2913">
        <v>20151015</v>
      </c>
      <c r="G2913" t="s">
        <v>2333</v>
      </c>
      <c r="H2913" t="s">
        <v>2410</v>
      </c>
      <c r="I2913">
        <v>0</v>
      </c>
      <c r="J2913" t="s">
        <v>1709</v>
      </c>
      <c r="K2913" t="s">
        <v>290</v>
      </c>
      <c r="L2913" t="s">
        <v>285</v>
      </c>
      <c r="M2913" t="str">
        <f t="shared" si="182"/>
        <v>10</v>
      </c>
      <c r="N2913" t="s">
        <v>12</v>
      </c>
    </row>
    <row r="2914" spans="1:14" x14ac:dyDescent="0.25">
      <c r="A2914">
        <v>20151016</v>
      </c>
      <c r="B2914" t="str">
        <f>"060672"</f>
        <v>060672</v>
      </c>
      <c r="C2914" t="str">
        <f>"01196"</f>
        <v>01196</v>
      </c>
      <c r="D2914" t="s">
        <v>2421</v>
      </c>
      <c r="E2914" s="3">
        <v>23.92</v>
      </c>
      <c r="F2914">
        <v>20151015</v>
      </c>
      <c r="G2914" t="s">
        <v>2422</v>
      </c>
      <c r="H2914" t="s">
        <v>2423</v>
      </c>
      <c r="I2914">
        <v>0</v>
      </c>
      <c r="J2914" t="s">
        <v>1709</v>
      </c>
      <c r="K2914" t="s">
        <v>290</v>
      </c>
      <c r="L2914" t="s">
        <v>285</v>
      </c>
      <c r="M2914" t="str">
        <f t="shared" si="182"/>
        <v>10</v>
      </c>
      <c r="N2914" t="s">
        <v>12</v>
      </c>
    </row>
    <row r="2915" spans="1:14" x14ac:dyDescent="0.25">
      <c r="A2915">
        <v>20151016</v>
      </c>
      <c r="B2915" t="str">
        <f>"060672"</f>
        <v>060672</v>
      </c>
      <c r="C2915" t="str">
        <f>"01196"</f>
        <v>01196</v>
      </c>
      <c r="D2915" t="s">
        <v>2421</v>
      </c>
      <c r="E2915" s="3">
        <v>148.44999999999999</v>
      </c>
      <c r="F2915">
        <v>20151015</v>
      </c>
      <c r="G2915" t="s">
        <v>2422</v>
      </c>
      <c r="H2915" t="s">
        <v>2423</v>
      </c>
      <c r="I2915">
        <v>0</v>
      </c>
      <c r="J2915" t="s">
        <v>1709</v>
      </c>
      <c r="K2915" t="s">
        <v>290</v>
      </c>
      <c r="L2915" t="s">
        <v>285</v>
      </c>
      <c r="M2915" t="str">
        <f t="shared" si="182"/>
        <v>10</v>
      </c>
      <c r="N2915" t="s">
        <v>12</v>
      </c>
    </row>
    <row r="2916" spans="1:14" x14ac:dyDescent="0.25">
      <c r="A2916">
        <v>20151016</v>
      </c>
      <c r="B2916" t="str">
        <f>"060673"</f>
        <v>060673</v>
      </c>
      <c r="C2916" t="str">
        <f>"01530"</f>
        <v>01530</v>
      </c>
      <c r="D2916" t="s">
        <v>1943</v>
      </c>
      <c r="E2916" s="3">
        <v>171</v>
      </c>
      <c r="F2916">
        <v>20151015</v>
      </c>
      <c r="G2916" t="s">
        <v>2424</v>
      </c>
      <c r="H2916" t="s">
        <v>1842</v>
      </c>
      <c r="I2916">
        <v>0</v>
      </c>
      <c r="J2916" t="s">
        <v>1709</v>
      </c>
      <c r="K2916" t="s">
        <v>1775</v>
      </c>
      <c r="L2916" t="s">
        <v>285</v>
      </c>
      <c r="M2916" t="str">
        <f t="shared" si="182"/>
        <v>10</v>
      </c>
      <c r="N2916" t="s">
        <v>12</v>
      </c>
    </row>
    <row r="2917" spans="1:14" x14ac:dyDescent="0.25">
      <c r="A2917">
        <v>20151016</v>
      </c>
      <c r="B2917" t="str">
        <f>"060674"</f>
        <v>060674</v>
      </c>
      <c r="C2917" t="str">
        <f>"03694"</f>
        <v>03694</v>
      </c>
      <c r="D2917" t="s">
        <v>550</v>
      </c>
      <c r="E2917" s="3">
        <v>100</v>
      </c>
      <c r="F2917">
        <v>20151015</v>
      </c>
      <c r="G2917" t="s">
        <v>2425</v>
      </c>
      <c r="H2917" t="s">
        <v>2426</v>
      </c>
      <c r="I2917">
        <v>0</v>
      </c>
      <c r="J2917" t="s">
        <v>1709</v>
      </c>
      <c r="K2917" t="s">
        <v>290</v>
      </c>
      <c r="L2917" t="s">
        <v>285</v>
      </c>
      <c r="M2917" t="str">
        <f t="shared" si="182"/>
        <v>10</v>
      </c>
      <c r="N2917" t="s">
        <v>12</v>
      </c>
    </row>
    <row r="2918" spans="1:14" x14ac:dyDescent="0.25">
      <c r="A2918">
        <v>20151016</v>
      </c>
      <c r="B2918" t="str">
        <f>"060676"</f>
        <v>060676</v>
      </c>
      <c r="C2918" t="str">
        <f>"03829"</f>
        <v>03829</v>
      </c>
      <c r="D2918" t="s">
        <v>1808</v>
      </c>
      <c r="E2918" s="3">
        <v>264.25</v>
      </c>
      <c r="F2918">
        <v>20151015</v>
      </c>
      <c r="G2918" t="s">
        <v>2427</v>
      </c>
      <c r="H2918" t="s">
        <v>2428</v>
      </c>
      <c r="I2918">
        <v>0</v>
      </c>
      <c r="J2918" t="s">
        <v>1709</v>
      </c>
      <c r="K2918" t="s">
        <v>1861</v>
      </c>
      <c r="L2918" t="s">
        <v>285</v>
      </c>
      <c r="M2918" t="str">
        <f t="shared" si="182"/>
        <v>10</v>
      </c>
      <c r="N2918" t="s">
        <v>12</v>
      </c>
    </row>
    <row r="2919" spans="1:14" x14ac:dyDescent="0.25">
      <c r="A2919">
        <v>20151016</v>
      </c>
      <c r="B2919" t="str">
        <f>"060676"</f>
        <v>060676</v>
      </c>
      <c r="C2919" t="str">
        <f>"03829"</f>
        <v>03829</v>
      </c>
      <c r="D2919" t="s">
        <v>1808</v>
      </c>
      <c r="E2919" s="3">
        <v>290.3</v>
      </c>
      <c r="F2919">
        <v>20151015</v>
      </c>
      <c r="G2919" t="s">
        <v>2427</v>
      </c>
      <c r="H2919" t="s">
        <v>2429</v>
      </c>
      <c r="I2919">
        <v>0</v>
      </c>
      <c r="J2919" t="s">
        <v>1709</v>
      </c>
      <c r="K2919" t="s">
        <v>1861</v>
      </c>
      <c r="L2919" t="s">
        <v>285</v>
      </c>
      <c r="M2919" t="str">
        <f t="shared" si="182"/>
        <v>10</v>
      </c>
      <c r="N2919" t="s">
        <v>12</v>
      </c>
    </row>
    <row r="2920" spans="1:14" x14ac:dyDescent="0.25">
      <c r="A2920">
        <v>20151016</v>
      </c>
      <c r="B2920" t="str">
        <f>"060676"</f>
        <v>060676</v>
      </c>
      <c r="C2920" t="str">
        <f>"03829"</f>
        <v>03829</v>
      </c>
      <c r="D2920" t="s">
        <v>1808</v>
      </c>
      <c r="E2920" s="3">
        <v>246</v>
      </c>
      <c r="F2920">
        <v>20151015</v>
      </c>
      <c r="G2920" t="s">
        <v>2427</v>
      </c>
      <c r="H2920" t="s">
        <v>2430</v>
      </c>
      <c r="I2920">
        <v>0</v>
      </c>
      <c r="J2920" t="s">
        <v>1709</v>
      </c>
      <c r="K2920" t="s">
        <v>1861</v>
      </c>
      <c r="L2920" t="s">
        <v>285</v>
      </c>
      <c r="M2920" t="str">
        <f t="shared" si="182"/>
        <v>10</v>
      </c>
      <c r="N2920" t="s">
        <v>12</v>
      </c>
    </row>
    <row r="2921" spans="1:14" x14ac:dyDescent="0.25">
      <c r="A2921">
        <v>20151016</v>
      </c>
      <c r="B2921" t="str">
        <f>"060676"</f>
        <v>060676</v>
      </c>
      <c r="C2921" t="str">
        <f>"03829"</f>
        <v>03829</v>
      </c>
      <c r="D2921" t="s">
        <v>1808</v>
      </c>
      <c r="E2921" s="3">
        <v>268.5</v>
      </c>
      <c r="F2921">
        <v>20151015</v>
      </c>
      <c r="G2921" t="s">
        <v>2427</v>
      </c>
      <c r="H2921" t="s">
        <v>2431</v>
      </c>
      <c r="I2921">
        <v>0</v>
      </c>
      <c r="J2921" t="s">
        <v>1709</v>
      </c>
      <c r="K2921" t="s">
        <v>1861</v>
      </c>
      <c r="L2921" t="s">
        <v>285</v>
      </c>
      <c r="M2921" t="str">
        <f t="shared" si="182"/>
        <v>10</v>
      </c>
      <c r="N2921" t="s">
        <v>12</v>
      </c>
    </row>
    <row r="2922" spans="1:14" x14ac:dyDescent="0.25">
      <c r="A2922">
        <v>20151016</v>
      </c>
      <c r="B2922" t="str">
        <f>"060677"</f>
        <v>060677</v>
      </c>
      <c r="C2922" t="str">
        <f>"04240"</f>
        <v>04240</v>
      </c>
      <c r="D2922" t="s">
        <v>2432</v>
      </c>
      <c r="E2922" s="3">
        <v>246.52</v>
      </c>
      <c r="F2922">
        <v>20151015</v>
      </c>
      <c r="G2922" t="s">
        <v>2433</v>
      </c>
      <c r="H2922" t="s">
        <v>2434</v>
      </c>
      <c r="I2922">
        <v>0</v>
      </c>
      <c r="J2922" t="s">
        <v>1709</v>
      </c>
      <c r="K2922" t="s">
        <v>290</v>
      </c>
      <c r="L2922" t="s">
        <v>285</v>
      </c>
      <c r="M2922" t="str">
        <f t="shared" si="182"/>
        <v>10</v>
      </c>
      <c r="N2922" t="s">
        <v>12</v>
      </c>
    </row>
    <row r="2923" spans="1:14" x14ac:dyDescent="0.25">
      <c r="A2923">
        <v>20151016</v>
      </c>
      <c r="B2923" t="str">
        <f>"060677"</f>
        <v>060677</v>
      </c>
      <c r="C2923" t="str">
        <f>"04240"</f>
        <v>04240</v>
      </c>
      <c r="D2923" t="s">
        <v>2432</v>
      </c>
      <c r="E2923" s="3">
        <v>169.95</v>
      </c>
      <c r="F2923">
        <v>20151015</v>
      </c>
      <c r="G2923" t="s">
        <v>2047</v>
      </c>
      <c r="H2923" t="s">
        <v>2435</v>
      </c>
      <c r="I2923">
        <v>0</v>
      </c>
      <c r="J2923" t="s">
        <v>1709</v>
      </c>
      <c r="K2923" t="s">
        <v>1882</v>
      </c>
      <c r="L2923" t="s">
        <v>285</v>
      </c>
      <c r="M2923" t="str">
        <f t="shared" si="182"/>
        <v>10</v>
      </c>
      <c r="N2923" t="s">
        <v>12</v>
      </c>
    </row>
    <row r="2924" spans="1:14" x14ac:dyDescent="0.25">
      <c r="A2924">
        <v>20151016</v>
      </c>
      <c r="B2924" t="str">
        <f>"060679"</f>
        <v>060679</v>
      </c>
      <c r="C2924" t="str">
        <f>"08132"</f>
        <v>08132</v>
      </c>
      <c r="D2924" t="s">
        <v>2436</v>
      </c>
      <c r="E2924" s="3">
        <v>234</v>
      </c>
      <c r="F2924">
        <v>20151015</v>
      </c>
      <c r="G2924" t="s">
        <v>2074</v>
      </c>
      <c r="H2924" t="s">
        <v>2437</v>
      </c>
      <c r="I2924">
        <v>0</v>
      </c>
      <c r="J2924" t="s">
        <v>1709</v>
      </c>
      <c r="K2924" t="s">
        <v>1861</v>
      </c>
      <c r="L2924" t="s">
        <v>285</v>
      </c>
      <c r="M2924" t="str">
        <f t="shared" si="182"/>
        <v>10</v>
      </c>
      <c r="N2924" t="s">
        <v>12</v>
      </c>
    </row>
    <row r="2925" spans="1:14" x14ac:dyDescent="0.25">
      <c r="A2925">
        <v>20151016</v>
      </c>
      <c r="B2925" t="str">
        <f t="shared" ref="B2925:B2930" si="183">"060680"</f>
        <v>060680</v>
      </c>
      <c r="C2925" t="str">
        <f t="shared" ref="C2925:C2930" si="184">"08196"</f>
        <v>08196</v>
      </c>
      <c r="D2925" t="s">
        <v>2438</v>
      </c>
      <c r="E2925" s="3">
        <v>96.97</v>
      </c>
      <c r="F2925">
        <v>20151015</v>
      </c>
      <c r="G2925" t="s">
        <v>2422</v>
      </c>
      <c r="H2925" t="s">
        <v>2439</v>
      </c>
      <c r="I2925">
        <v>0</v>
      </c>
      <c r="J2925" t="s">
        <v>1709</v>
      </c>
      <c r="K2925" t="s">
        <v>290</v>
      </c>
      <c r="L2925" t="s">
        <v>285</v>
      </c>
      <c r="M2925" t="str">
        <f t="shared" si="182"/>
        <v>10</v>
      </c>
      <c r="N2925" t="s">
        <v>12</v>
      </c>
    </row>
    <row r="2926" spans="1:14" x14ac:dyDescent="0.25">
      <c r="A2926">
        <v>20151016</v>
      </c>
      <c r="B2926" t="str">
        <f t="shared" si="183"/>
        <v>060680</v>
      </c>
      <c r="C2926" t="str">
        <f t="shared" si="184"/>
        <v>08196</v>
      </c>
      <c r="D2926" t="s">
        <v>2438</v>
      </c>
      <c r="E2926" s="3">
        <v>40</v>
      </c>
      <c r="F2926">
        <v>20151015</v>
      </c>
      <c r="G2926" t="s">
        <v>2422</v>
      </c>
      <c r="H2926" t="s">
        <v>2440</v>
      </c>
      <c r="I2926">
        <v>0</v>
      </c>
      <c r="J2926" t="s">
        <v>1709</v>
      </c>
      <c r="K2926" t="s">
        <v>290</v>
      </c>
      <c r="L2926" t="s">
        <v>285</v>
      </c>
      <c r="M2926" t="str">
        <f t="shared" si="182"/>
        <v>10</v>
      </c>
      <c r="N2926" t="s">
        <v>12</v>
      </c>
    </row>
    <row r="2927" spans="1:14" x14ac:dyDescent="0.25">
      <c r="A2927">
        <v>20151016</v>
      </c>
      <c r="B2927" t="str">
        <f t="shared" si="183"/>
        <v>060680</v>
      </c>
      <c r="C2927" t="str">
        <f t="shared" si="184"/>
        <v>08196</v>
      </c>
      <c r="D2927" t="s">
        <v>2438</v>
      </c>
      <c r="E2927" s="3">
        <v>123.03</v>
      </c>
      <c r="F2927">
        <v>20151015</v>
      </c>
      <c r="G2927" t="s">
        <v>2422</v>
      </c>
      <c r="H2927" t="s">
        <v>2441</v>
      </c>
      <c r="I2927">
        <v>0</v>
      </c>
      <c r="J2927" t="s">
        <v>1709</v>
      </c>
      <c r="K2927" t="s">
        <v>290</v>
      </c>
      <c r="L2927" t="s">
        <v>285</v>
      </c>
      <c r="M2927" t="str">
        <f t="shared" si="182"/>
        <v>10</v>
      </c>
      <c r="N2927" t="s">
        <v>12</v>
      </c>
    </row>
    <row r="2928" spans="1:14" x14ac:dyDescent="0.25">
      <c r="A2928">
        <v>20151016</v>
      </c>
      <c r="B2928" t="str">
        <f t="shared" si="183"/>
        <v>060680</v>
      </c>
      <c r="C2928" t="str">
        <f t="shared" si="184"/>
        <v>08196</v>
      </c>
      <c r="D2928" t="s">
        <v>2438</v>
      </c>
      <c r="E2928" s="3">
        <v>24.6</v>
      </c>
      <c r="F2928">
        <v>20151015</v>
      </c>
      <c r="G2928" t="s">
        <v>2422</v>
      </c>
      <c r="H2928" t="s">
        <v>2442</v>
      </c>
      <c r="I2928">
        <v>0</v>
      </c>
      <c r="J2928" t="s">
        <v>1709</v>
      </c>
      <c r="K2928" t="s">
        <v>290</v>
      </c>
      <c r="L2928" t="s">
        <v>285</v>
      </c>
      <c r="M2928" t="str">
        <f t="shared" si="182"/>
        <v>10</v>
      </c>
      <c r="N2928" t="s">
        <v>12</v>
      </c>
    </row>
    <row r="2929" spans="1:14" x14ac:dyDescent="0.25">
      <c r="A2929">
        <v>20151016</v>
      </c>
      <c r="B2929" t="str">
        <f t="shared" si="183"/>
        <v>060680</v>
      </c>
      <c r="C2929" t="str">
        <f t="shared" si="184"/>
        <v>08196</v>
      </c>
      <c r="D2929" t="s">
        <v>2438</v>
      </c>
      <c r="E2929" s="3">
        <v>62.11</v>
      </c>
      <c r="F2929">
        <v>20151015</v>
      </c>
      <c r="G2929" t="s">
        <v>2422</v>
      </c>
      <c r="H2929" t="s">
        <v>2443</v>
      </c>
      <c r="I2929">
        <v>0</v>
      </c>
      <c r="J2929" t="s">
        <v>1709</v>
      </c>
      <c r="K2929" t="s">
        <v>290</v>
      </c>
      <c r="L2929" t="s">
        <v>285</v>
      </c>
      <c r="M2929" t="str">
        <f t="shared" si="182"/>
        <v>10</v>
      </c>
      <c r="N2929" t="s">
        <v>12</v>
      </c>
    </row>
    <row r="2930" spans="1:14" x14ac:dyDescent="0.25">
      <c r="A2930">
        <v>20151016</v>
      </c>
      <c r="B2930" t="str">
        <f t="shared" si="183"/>
        <v>060680</v>
      </c>
      <c r="C2930" t="str">
        <f t="shared" si="184"/>
        <v>08196</v>
      </c>
      <c r="D2930" t="s">
        <v>2438</v>
      </c>
      <c r="E2930" s="3">
        <v>18.010000000000002</v>
      </c>
      <c r="F2930">
        <v>20151015</v>
      </c>
      <c r="G2930" t="s">
        <v>2422</v>
      </c>
      <c r="H2930" t="s">
        <v>2444</v>
      </c>
      <c r="I2930">
        <v>0</v>
      </c>
      <c r="J2930" t="s">
        <v>1709</v>
      </c>
      <c r="K2930" t="s">
        <v>290</v>
      </c>
      <c r="L2930" t="s">
        <v>285</v>
      </c>
      <c r="M2930" t="str">
        <f t="shared" ref="M2930:M2993" si="185">"10"</f>
        <v>10</v>
      </c>
      <c r="N2930" t="s">
        <v>12</v>
      </c>
    </row>
    <row r="2931" spans="1:14" x14ac:dyDescent="0.25">
      <c r="A2931">
        <v>20151016</v>
      </c>
      <c r="B2931" t="str">
        <f>"060681"</f>
        <v>060681</v>
      </c>
      <c r="C2931" t="str">
        <f>"10022"</f>
        <v>10022</v>
      </c>
      <c r="D2931" t="s">
        <v>2445</v>
      </c>
      <c r="E2931" s="3">
        <v>59321</v>
      </c>
      <c r="F2931">
        <v>20151015</v>
      </c>
      <c r="G2931" t="s">
        <v>2446</v>
      </c>
      <c r="H2931" t="s">
        <v>2447</v>
      </c>
      <c r="I2931">
        <v>0</v>
      </c>
      <c r="J2931" t="s">
        <v>1709</v>
      </c>
      <c r="K2931" t="s">
        <v>290</v>
      </c>
      <c r="L2931" t="s">
        <v>285</v>
      </c>
      <c r="M2931" t="str">
        <f t="shared" si="185"/>
        <v>10</v>
      </c>
      <c r="N2931" t="s">
        <v>12</v>
      </c>
    </row>
    <row r="2932" spans="1:14" x14ac:dyDescent="0.25">
      <c r="A2932">
        <v>20151016</v>
      </c>
      <c r="B2932" t="str">
        <f>"060681"</f>
        <v>060681</v>
      </c>
      <c r="C2932" t="str">
        <f>"10022"</f>
        <v>10022</v>
      </c>
      <c r="D2932" t="s">
        <v>2445</v>
      </c>
      <c r="E2932" s="3">
        <v>-59321</v>
      </c>
      <c r="F2932">
        <v>20151022</v>
      </c>
      <c r="G2932" t="s">
        <v>2446</v>
      </c>
      <c r="H2932" t="s">
        <v>228</v>
      </c>
      <c r="I2932">
        <v>0</v>
      </c>
      <c r="J2932" t="s">
        <v>1709</v>
      </c>
      <c r="K2932" t="s">
        <v>290</v>
      </c>
      <c r="L2932" t="s">
        <v>17</v>
      </c>
      <c r="M2932" t="str">
        <f t="shared" si="185"/>
        <v>10</v>
      </c>
      <c r="N2932" t="s">
        <v>12</v>
      </c>
    </row>
    <row r="2933" spans="1:14" x14ac:dyDescent="0.25">
      <c r="A2933">
        <v>20151016</v>
      </c>
      <c r="B2933" t="str">
        <f>"060682"</f>
        <v>060682</v>
      </c>
      <c r="C2933" t="str">
        <f>"10063"</f>
        <v>10063</v>
      </c>
      <c r="D2933" t="s">
        <v>1816</v>
      </c>
      <c r="E2933" s="3">
        <v>46.13</v>
      </c>
      <c r="F2933">
        <v>20151015</v>
      </c>
      <c r="G2933" t="s">
        <v>1961</v>
      </c>
      <c r="H2933" t="s">
        <v>529</v>
      </c>
      <c r="I2933">
        <v>0</v>
      </c>
      <c r="J2933" t="s">
        <v>1709</v>
      </c>
      <c r="K2933" t="s">
        <v>290</v>
      </c>
      <c r="L2933" t="s">
        <v>285</v>
      </c>
      <c r="M2933" t="str">
        <f t="shared" si="185"/>
        <v>10</v>
      </c>
      <c r="N2933" t="s">
        <v>12</v>
      </c>
    </row>
    <row r="2934" spans="1:14" x14ac:dyDescent="0.25">
      <c r="A2934">
        <v>20151016</v>
      </c>
      <c r="B2934" t="str">
        <f>"060682"</f>
        <v>060682</v>
      </c>
      <c r="C2934" t="str">
        <f>"10063"</f>
        <v>10063</v>
      </c>
      <c r="D2934" t="s">
        <v>1816</v>
      </c>
      <c r="E2934" s="3">
        <v>46.13</v>
      </c>
      <c r="F2934">
        <v>20151015</v>
      </c>
      <c r="G2934" t="s">
        <v>1961</v>
      </c>
      <c r="H2934" t="s">
        <v>505</v>
      </c>
      <c r="I2934">
        <v>0</v>
      </c>
      <c r="J2934" t="s">
        <v>1709</v>
      </c>
      <c r="K2934" t="s">
        <v>290</v>
      </c>
      <c r="L2934" t="s">
        <v>285</v>
      </c>
      <c r="M2934" t="str">
        <f t="shared" si="185"/>
        <v>10</v>
      </c>
      <c r="N2934" t="s">
        <v>12</v>
      </c>
    </row>
    <row r="2935" spans="1:14" x14ac:dyDescent="0.25">
      <c r="A2935">
        <v>20151016</v>
      </c>
      <c r="B2935" t="str">
        <f>"060686"</f>
        <v>060686</v>
      </c>
      <c r="C2935" t="str">
        <f>"13165"</f>
        <v>13165</v>
      </c>
      <c r="D2935" t="s">
        <v>2448</v>
      </c>
      <c r="E2935" s="3">
        <v>150</v>
      </c>
      <c r="F2935">
        <v>20151015</v>
      </c>
      <c r="G2935" t="s">
        <v>2449</v>
      </c>
      <c r="H2935" t="s">
        <v>2057</v>
      </c>
      <c r="I2935">
        <v>0</v>
      </c>
      <c r="J2935" t="s">
        <v>1709</v>
      </c>
      <c r="K2935" t="s">
        <v>290</v>
      </c>
      <c r="L2935" t="s">
        <v>285</v>
      </c>
      <c r="M2935" t="str">
        <f t="shared" si="185"/>
        <v>10</v>
      </c>
      <c r="N2935" t="s">
        <v>12</v>
      </c>
    </row>
    <row r="2936" spans="1:14" x14ac:dyDescent="0.25">
      <c r="A2936">
        <v>20151016</v>
      </c>
      <c r="B2936" t="str">
        <f>"060688"</f>
        <v>060688</v>
      </c>
      <c r="C2936" t="str">
        <f>"13268"</f>
        <v>13268</v>
      </c>
      <c r="D2936" t="s">
        <v>2450</v>
      </c>
      <c r="E2936" s="3">
        <v>289.74</v>
      </c>
      <c r="F2936">
        <v>20151015</v>
      </c>
      <c r="G2936" t="s">
        <v>2303</v>
      </c>
      <c r="H2936" t="s">
        <v>2451</v>
      </c>
      <c r="I2936">
        <v>0</v>
      </c>
      <c r="J2936" t="s">
        <v>1709</v>
      </c>
      <c r="K2936" t="s">
        <v>235</v>
      </c>
      <c r="L2936" t="s">
        <v>285</v>
      </c>
      <c r="M2936" t="str">
        <f t="shared" si="185"/>
        <v>10</v>
      </c>
      <c r="N2936" t="s">
        <v>12</v>
      </c>
    </row>
    <row r="2937" spans="1:14" x14ac:dyDescent="0.25">
      <c r="A2937">
        <v>20151016</v>
      </c>
      <c r="B2937" t="str">
        <f>"060688"</f>
        <v>060688</v>
      </c>
      <c r="C2937" t="str">
        <f>"13268"</f>
        <v>13268</v>
      </c>
      <c r="D2937" t="s">
        <v>2450</v>
      </c>
      <c r="E2937" s="3">
        <v>171.99</v>
      </c>
      <c r="F2937">
        <v>20151015</v>
      </c>
      <c r="G2937" t="s">
        <v>2303</v>
      </c>
      <c r="H2937" t="s">
        <v>2452</v>
      </c>
      <c r="I2937">
        <v>0</v>
      </c>
      <c r="J2937" t="s">
        <v>1709</v>
      </c>
      <c r="K2937" t="s">
        <v>235</v>
      </c>
      <c r="L2937" t="s">
        <v>285</v>
      </c>
      <c r="M2937" t="str">
        <f t="shared" si="185"/>
        <v>10</v>
      </c>
      <c r="N2937" t="s">
        <v>12</v>
      </c>
    </row>
    <row r="2938" spans="1:14" x14ac:dyDescent="0.25">
      <c r="A2938">
        <v>20151016</v>
      </c>
      <c r="B2938" t="str">
        <f>"060688"</f>
        <v>060688</v>
      </c>
      <c r="C2938" t="str">
        <f>"13268"</f>
        <v>13268</v>
      </c>
      <c r="D2938" t="s">
        <v>2450</v>
      </c>
      <c r="E2938" s="3">
        <v>78.08</v>
      </c>
      <c r="F2938">
        <v>20151015</v>
      </c>
      <c r="G2938" t="s">
        <v>2303</v>
      </c>
      <c r="H2938" t="s">
        <v>2453</v>
      </c>
      <c r="I2938">
        <v>0</v>
      </c>
      <c r="J2938" t="s">
        <v>1709</v>
      </c>
      <c r="K2938" t="s">
        <v>235</v>
      </c>
      <c r="L2938" t="s">
        <v>285</v>
      </c>
      <c r="M2938" t="str">
        <f t="shared" si="185"/>
        <v>10</v>
      </c>
      <c r="N2938" t="s">
        <v>12</v>
      </c>
    </row>
    <row r="2939" spans="1:14" x14ac:dyDescent="0.25">
      <c r="A2939">
        <v>20151016</v>
      </c>
      <c r="B2939" t="str">
        <f>"060688"</f>
        <v>060688</v>
      </c>
      <c r="C2939" t="str">
        <f>"13268"</f>
        <v>13268</v>
      </c>
      <c r="D2939" t="s">
        <v>2450</v>
      </c>
      <c r="E2939" s="3">
        <v>90.88</v>
      </c>
      <c r="F2939">
        <v>20151015</v>
      </c>
      <c r="G2939" t="s">
        <v>2303</v>
      </c>
      <c r="H2939" t="s">
        <v>2453</v>
      </c>
      <c r="I2939">
        <v>0</v>
      </c>
      <c r="J2939" t="s">
        <v>1709</v>
      </c>
      <c r="K2939" t="s">
        <v>235</v>
      </c>
      <c r="L2939" t="s">
        <v>285</v>
      </c>
      <c r="M2939" t="str">
        <f t="shared" si="185"/>
        <v>10</v>
      </c>
      <c r="N2939" t="s">
        <v>12</v>
      </c>
    </row>
    <row r="2940" spans="1:14" x14ac:dyDescent="0.25">
      <c r="A2940">
        <v>20151016</v>
      </c>
      <c r="B2940" t="str">
        <f>"060692"</f>
        <v>060692</v>
      </c>
      <c r="C2940" t="str">
        <f>"19211"</f>
        <v>19211</v>
      </c>
      <c r="D2940" t="s">
        <v>2454</v>
      </c>
      <c r="E2940" s="3">
        <v>31.99</v>
      </c>
      <c r="F2940">
        <v>20151015</v>
      </c>
      <c r="G2940" t="s">
        <v>1880</v>
      </c>
      <c r="H2940" t="s">
        <v>1881</v>
      </c>
      <c r="I2940">
        <v>0</v>
      </c>
      <c r="J2940" t="s">
        <v>1709</v>
      </c>
      <c r="K2940" t="s">
        <v>1882</v>
      </c>
      <c r="L2940" t="s">
        <v>285</v>
      </c>
      <c r="M2940" t="str">
        <f t="shared" si="185"/>
        <v>10</v>
      </c>
      <c r="N2940" t="s">
        <v>12</v>
      </c>
    </row>
    <row r="2941" spans="1:14" x14ac:dyDescent="0.25">
      <c r="A2941">
        <v>20151016</v>
      </c>
      <c r="B2941" t="str">
        <f>"060694"</f>
        <v>060694</v>
      </c>
      <c r="C2941" t="str">
        <f>"21842"</f>
        <v>21842</v>
      </c>
      <c r="D2941" t="s">
        <v>2455</v>
      </c>
      <c r="E2941" s="3">
        <v>545</v>
      </c>
      <c r="F2941">
        <v>20151015</v>
      </c>
      <c r="G2941" t="s">
        <v>1854</v>
      </c>
      <c r="H2941" t="s">
        <v>2456</v>
      </c>
      <c r="I2941">
        <v>0</v>
      </c>
      <c r="J2941" t="s">
        <v>1709</v>
      </c>
      <c r="K2941" t="s">
        <v>1856</v>
      </c>
      <c r="L2941" t="s">
        <v>285</v>
      </c>
      <c r="M2941" t="str">
        <f t="shared" si="185"/>
        <v>10</v>
      </c>
      <c r="N2941" t="s">
        <v>12</v>
      </c>
    </row>
    <row r="2942" spans="1:14" x14ac:dyDescent="0.25">
      <c r="A2942">
        <v>20151016</v>
      </c>
      <c r="B2942" t="str">
        <f>"060694"</f>
        <v>060694</v>
      </c>
      <c r="C2942" t="str">
        <f>"21842"</f>
        <v>21842</v>
      </c>
      <c r="D2942" t="s">
        <v>2455</v>
      </c>
      <c r="E2942" s="3">
        <v>140</v>
      </c>
      <c r="F2942">
        <v>20151015</v>
      </c>
      <c r="G2942" t="s">
        <v>1854</v>
      </c>
      <c r="H2942" t="s">
        <v>2457</v>
      </c>
      <c r="I2942">
        <v>0</v>
      </c>
      <c r="J2942" t="s">
        <v>1709</v>
      </c>
      <c r="K2942" t="s">
        <v>1856</v>
      </c>
      <c r="L2942" t="s">
        <v>285</v>
      </c>
      <c r="M2942" t="str">
        <f t="shared" si="185"/>
        <v>10</v>
      </c>
      <c r="N2942" t="s">
        <v>12</v>
      </c>
    </row>
    <row r="2943" spans="1:14" x14ac:dyDescent="0.25">
      <c r="A2943">
        <v>20151016</v>
      </c>
      <c r="B2943" t="str">
        <f>"060694"</f>
        <v>060694</v>
      </c>
      <c r="C2943" t="str">
        <f>"21842"</f>
        <v>21842</v>
      </c>
      <c r="D2943" t="s">
        <v>2455</v>
      </c>
      <c r="E2943" s="3">
        <v>88</v>
      </c>
      <c r="F2943">
        <v>20151015</v>
      </c>
      <c r="G2943" t="s">
        <v>2164</v>
      </c>
      <c r="H2943" t="s">
        <v>2458</v>
      </c>
      <c r="I2943">
        <v>0</v>
      </c>
      <c r="J2943" t="s">
        <v>1709</v>
      </c>
      <c r="K2943" t="s">
        <v>1861</v>
      </c>
      <c r="L2943" t="s">
        <v>285</v>
      </c>
      <c r="M2943" t="str">
        <f t="shared" si="185"/>
        <v>10</v>
      </c>
      <c r="N2943" t="s">
        <v>12</v>
      </c>
    </row>
    <row r="2944" spans="1:14" x14ac:dyDescent="0.25">
      <c r="A2944">
        <v>20151016</v>
      </c>
      <c r="B2944" t="str">
        <f>"060694"</f>
        <v>060694</v>
      </c>
      <c r="C2944" t="str">
        <f>"21842"</f>
        <v>21842</v>
      </c>
      <c r="D2944" t="s">
        <v>2455</v>
      </c>
      <c r="E2944" s="3">
        <v>91.1</v>
      </c>
      <c r="F2944">
        <v>20151015</v>
      </c>
      <c r="G2944" t="s">
        <v>2164</v>
      </c>
      <c r="H2944" t="s">
        <v>2459</v>
      </c>
      <c r="I2944">
        <v>0</v>
      </c>
      <c r="J2944" t="s">
        <v>1709</v>
      </c>
      <c r="K2944" t="s">
        <v>1861</v>
      </c>
      <c r="L2944" t="s">
        <v>285</v>
      </c>
      <c r="M2944" t="str">
        <f t="shared" si="185"/>
        <v>10</v>
      </c>
      <c r="N2944" t="s">
        <v>12</v>
      </c>
    </row>
    <row r="2945" spans="1:14" x14ac:dyDescent="0.25">
      <c r="A2945">
        <v>20151016</v>
      </c>
      <c r="B2945" t="str">
        <f>"060694"</f>
        <v>060694</v>
      </c>
      <c r="C2945" t="str">
        <f>"21842"</f>
        <v>21842</v>
      </c>
      <c r="D2945" t="s">
        <v>2455</v>
      </c>
      <c r="E2945" s="3">
        <v>126.1</v>
      </c>
      <c r="F2945">
        <v>20151015</v>
      </c>
      <c r="G2945" t="s">
        <v>2164</v>
      </c>
      <c r="H2945" t="s">
        <v>2460</v>
      </c>
      <c r="I2945">
        <v>0</v>
      </c>
      <c r="J2945" t="s">
        <v>1709</v>
      </c>
      <c r="K2945" t="s">
        <v>1861</v>
      </c>
      <c r="L2945" t="s">
        <v>285</v>
      </c>
      <c r="M2945" t="str">
        <f t="shared" si="185"/>
        <v>10</v>
      </c>
      <c r="N2945" t="s">
        <v>12</v>
      </c>
    </row>
    <row r="2946" spans="1:14" x14ac:dyDescent="0.25">
      <c r="A2946">
        <v>20151016</v>
      </c>
      <c r="B2946" t="str">
        <f t="shared" ref="B2946:B2952" si="186">"060695"</f>
        <v>060695</v>
      </c>
      <c r="C2946" t="str">
        <f t="shared" ref="C2946:C2952" si="187">"14821"</f>
        <v>14821</v>
      </c>
      <c r="D2946" t="s">
        <v>2461</v>
      </c>
      <c r="E2946" s="3">
        <v>42.32</v>
      </c>
      <c r="F2946">
        <v>20151015</v>
      </c>
      <c r="G2946" t="s">
        <v>2303</v>
      </c>
      <c r="H2946" t="s">
        <v>2462</v>
      </c>
      <c r="I2946">
        <v>0</v>
      </c>
      <c r="J2946" t="s">
        <v>1709</v>
      </c>
      <c r="K2946" t="s">
        <v>235</v>
      </c>
      <c r="L2946" t="s">
        <v>285</v>
      </c>
      <c r="M2946" t="str">
        <f t="shared" si="185"/>
        <v>10</v>
      </c>
      <c r="N2946" t="s">
        <v>12</v>
      </c>
    </row>
    <row r="2947" spans="1:14" x14ac:dyDescent="0.25">
      <c r="A2947">
        <v>20151016</v>
      </c>
      <c r="B2947" t="str">
        <f t="shared" si="186"/>
        <v>060695</v>
      </c>
      <c r="C2947" t="str">
        <f t="shared" si="187"/>
        <v>14821</v>
      </c>
      <c r="D2947" t="s">
        <v>2461</v>
      </c>
      <c r="E2947" s="3">
        <v>698.28</v>
      </c>
      <c r="F2947">
        <v>20151015</v>
      </c>
      <c r="G2947" t="s">
        <v>2303</v>
      </c>
      <c r="H2947" t="s">
        <v>2462</v>
      </c>
      <c r="I2947">
        <v>0</v>
      </c>
      <c r="J2947" t="s">
        <v>1709</v>
      </c>
      <c r="K2947" t="s">
        <v>235</v>
      </c>
      <c r="L2947" t="s">
        <v>285</v>
      </c>
      <c r="M2947" t="str">
        <f t="shared" si="185"/>
        <v>10</v>
      </c>
      <c r="N2947" t="s">
        <v>12</v>
      </c>
    </row>
    <row r="2948" spans="1:14" x14ac:dyDescent="0.25">
      <c r="A2948">
        <v>20151016</v>
      </c>
      <c r="B2948" t="str">
        <f t="shared" si="186"/>
        <v>060695</v>
      </c>
      <c r="C2948" t="str">
        <f t="shared" si="187"/>
        <v>14821</v>
      </c>
      <c r="D2948" t="s">
        <v>2461</v>
      </c>
      <c r="E2948" s="3">
        <v>226.2</v>
      </c>
      <c r="F2948">
        <v>20151015</v>
      </c>
      <c r="G2948" t="s">
        <v>2303</v>
      </c>
      <c r="H2948" t="s">
        <v>2463</v>
      </c>
      <c r="I2948">
        <v>0</v>
      </c>
      <c r="J2948" t="s">
        <v>1709</v>
      </c>
      <c r="K2948" t="s">
        <v>235</v>
      </c>
      <c r="L2948" t="s">
        <v>285</v>
      </c>
      <c r="M2948" t="str">
        <f t="shared" si="185"/>
        <v>10</v>
      </c>
      <c r="N2948" t="s">
        <v>12</v>
      </c>
    </row>
    <row r="2949" spans="1:14" x14ac:dyDescent="0.25">
      <c r="A2949">
        <v>20151016</v>
      </c>
      <c r="B2949" t="str">
        <f t="shared" si="186"/>
        <v>060695</v>
      </c>
      <c r="C2949" t="str">
        <f t="shared" si="187"/>
        <v>14821</v>
      </c>
      <c r="D2949" t="s">
        <v>2461</v>
      </c>
      <c r="E2949" s="3">
        <v>916.8</v>
      </c>
      <c r="F2949">
        <v>20151015</v>
      </c>
      <c r="G2949" t="s">
        <v>2303</v>
      </c>
      <c r="H2949" t="s">
        <v>2464</v>
      </c>
      <c r="I2949">
        <v>0</v>
      </c>
      <c r="J2949" t="s">
        <v>1709</v>
      </c>
      <c r="K2949" t="s">
        <v>235</v>
      </c>
      <c r="L2949" t="s">
        <v>285</v>
      </c>
      <c r="M2949" t="str">
        <f t="shared" si="185"/>
        <v>10</v>
      </c>
      <c r="N2949" t="s">
        <v>12</v>
      </c>
    </row>
    <row r="2950" spans="1:14" x14ac:dyDescent="0.25">
      <c r="A2950">
        <v>20151016</v>
      </c>
      <c r="B2950" t="str">
        <f t="shared" si="186"/>
        <v>060695</v>
      </c>
      <c r="C2950" t="str">
        <f t="shared" si="187"/>
        <v>14821</v>
      </c>
      <c r="D2950" t="s">
        <v>2461</v>
      </c>
      <c r="E2950" s="3">
        <v>15161.44</v>
      </c>
      <c r="F2950">
        <v>20151015</v>
      </c>
      <c r="G2950" t="s">
        <v>2303</v>
      </c>
      <c r="H2950" t="s">
        <v>2465</v>
      </c>
      <c r="I2950">
        <v>0</v>
      </c>
      <c r="J2950" t="s">
        <v>1709</v>
      </c>
      <c r="K2950" t="s">
        <v>235</v>
      </c>
      <c r="L2950" t="s">
        <v>285</v>
      </c>
      <c r="M2950" t="str">
        <f t="shared" si="185"/>
        <v>10</v>
      </c>
      <c r="N2950" t="s">
        <v>12</v>
      </c>
    </row>
    <row r="2951" spans="1:14" x14ac:dyDescent="0.25">
      <c r="A2951">
        <v>20151016</v>
      </c>
      <c r="B2951" t="str">
        <f t="shared" si="186"/>
        <v>060695</v>
      </c>
      <c r="C2951" t="str">
        <f t="shared" si="187"/>
        <v>14821</v>
      </c>
      <c r="D2951" t="s">
        <v>2461</v>
      </c>
      <c r="E2951" s="3">
        <v>13010.8</v>
      </c>
      <c r="F2951">
        <v>20151015</v>
      </c>
      <c r="G2951" t="s">
        <v>2303</v>
      </c>
      <c r="H2951" t="s">
        <v>2466</v>
      </c>
      <c r="I2951">
        <v>0</v>
      </c>
      <c r="J2951" t="s">
        <v>1709</v>
      </c>
      <c r="K2951" t="s">
        <v>235</v>
      </c>
      <c r="L2951" t="s">
        <v>285</v>
      </c>
      <c r="M2951" t="str">
        <f t="shared" si="185"/>
        <v>10</v>
      </c>
      <c r="N2951" t="s">
        <v>12</v>
      </c>
    </row>
    <row r="2952" spans="1:14" x14ac:dyDescent="0.25">
      <c r="A2952">
        <v>20151016</v>
      </c>
      <c r="B2952" t="str">
        <f t="shared" si="186"/>
        <v>060695</v>
      </c>
      <c r="C2952" t="str">
        <f t="shared" si="187"/>
        <v>14821</v>
      </c>
      <c r="D2952" t="s">
        <v>2461</v>
      </c>
      <c r="E2952" s="3">
        <v>119.96</v>
      </c>
      <c r="F2952">
        <v>20151015</v>
      </c>
      <c r="G2952" t="s">
        <v>2303</v>
      </c>
      <c r="H2952" t="s">
        <v>2467</v>
      </c>
      <c r="I2952">
        <v>0</v>
      </c>
      <c r="J2952" t="s">
        <v>1709</v>
      </c>
      <c r="K2952" t="s">
        <v>235</v>
      </c>
      <c r="L2952" t="s">
        <v>285</v>
      </c>
      <c r="M2952" t="str">
        <f t="shared" si="185"/>
        <v>10</v>
      </c>
      <c r="N2952" t="s">
        <v>12</v>
      </c>
    </row>
    <row r="2953" spans="1:14" x14ac:dyDescent="0.25">
      <c r="A2953">
        <v>20151016</v>
      </c>
      <c r="B2953" t="str">
        <f>"060698"</f>
        <v>060698</v>
      </c>
      <c r="C2953" t="str">
        <f>"46281"</f>
        <v>46281</v>
      </c>
      <c r="D2953" t="s">
        <v>2468</v>
      </c>
      <c r="E2953" s="3">
        <v>675</v>
      </c>
      <c r="F2953">
        <v>20151015</v>
      </c>
      <c r="G2953" t="s">
        <v>2317</v>
      </c>
      <c r="H2953" t="s">
        <v>2073</v>
      </c>
      <c r="I2953">
        <v>0</v>
      </c>
      <c r="J2953" t="s">
        <v>1709</v>
      </c>
      <c r="K2953" t="s">
        <v>290</v>
      </c>
      <c r="L2953" t="s">
        <v>285</v>
      </c>
      <c r="M2953" t="str">
        <f t="shared" si="185"/>
        <v>10</v>
      </c>
      <c r="N2953" t="s">
        <v>12</v>
      </c>
    </row>
    <row r="2954" spans="1:14" x14ac:dyDescent="0.25">
      <c r="A2954">
        <v>20151016</v>
      </c>
      <c r="B2954" t="str">
        <f t="shared" ref="B2954:B2961" si="188">"060700"</f>
        <v>060700</v>
      </c>
      <c r="C2954" t="str">
        <f t="shared" ref="C2954:C2961" si="189">"20683"</f>
        <v>20683</v>
      </c>
      <c r="D2954" t="s">
        <v>1818</v>
      </c>
      <c r="E2954" s="3">
        <v>49.39</v>
      </c>
      <c r="F2954">
        <v>20151015</v>
      </c>
      <c r="G2954" t="s">
        <v>2469</v>
      </c>
      <c r="H2954" t="s">
        <v>2470</v>
      </c>
      <c r="I2954">
        <v>0</v>
      </c>
      <c r="J2954" t="s">
        <v>1709</v>
      </c>
      <c r="K2954" t="s">
        <v>290</v>
      </c>
      <c r="L2954" t="s">
        <v>285</v>
      </c>
      <c r="M2954" t="str">
        <f t="shared" si="185"/>
        <v>10</v>
      </c>
      <c r="N2954" t="s">
        <v>12</v>
      </c>
    </row>
    <row r="2955" spans="1:14" x14ac:dyDescent="0.25">
      <c r="A2955">
        <v>20151016</v>
      </c>
      <c r="B2955" t="str">
        <f t="shared" si="188"/>
        <v>060700</v>
      </c>
      <c r="C2955" t="str">
        <f t="shared" si="189"/>
        <v>20683</v>
      </c>
      <c r="D2955" t="s">
        <v>1818</v>
      </c>
      <c r="E2955" s="3">
        <v>96.62</v>
      </c>
      <c r="F2955">
        <v>20151015</v>
      </c>
      <c r="G2955" t="s">
        <v>2469</v>
      </c>
      <c r="H2955" t="s">
        <v>2471</v>
      </c>
      <c r="I2955">
        <v>0</v>
      </c>
      <c r="J2955" t="s">
        <v>1709</v>
      </c>
      <c r="K2955" t="s">
        <v>290</v>
      </c>
      <c r="L2955" t="s">
        <v>285</v>
      </c>
      <c r="M2955" t="str">
        <f t="shared" si="185"/>
        <v>10</v>
      </c>
      <c r="N2955" t="s">
        <v>12</v>
      </c>
    </row>
    <row r="2956" spans="1:14" x14ac:dyDescent="0.25">
      <c r="A2956">
        <v>20151016</v>
      </c>
      <c r="B2956" t="str">
        <f t="shared" si="188"/>
        <v>060700</v>
      </c>
      <c r="C2956" t="str">
        <f t="shared" si="189"/>
        <v>20683</v>
      </c>
      <c r="D2956" t="s">
        <v>1818</v>
      </c>
      <c r="E2956" s="3">
        <v>48.03</v>
      </c>
      <c r="F2956">
        <v>20151015</v>
      </c>
      <c r="G2956" t="s">
        <v>2469</v>
      </c>
      <c r="H2956" t="s">
        <v>2472</v>
      </c>
      <c r="I2956">
        <v>0</v>
      </c>
      <c r="J2956" t="s">
        <v>1709</v>
      </c>
      <c r="K2956" t="s">
        <v>290</v>
      </c>
      <c r="L2956" t="s">
        <v>285</v>
      </c>
      <c r="M2956" t="str">
        <f t="shared" si="185"/>
        <v>10</v>
      </c>
      <c r="N2956" t="s">
        <v>12</v>
      </c>
    </row>
    <row r="2957" spans="1:14" x14ac:dyDescent="0.25">
      <c r="A2957">
        <v>20151016</v>
      </c>
      <c r="B2957" t="str">
        <f t="shared" si="188"/>
        <v>060700</v>
      </c>
      <c r="C2957" t="str">
        <f t="shared" si="189"/>
        <v>20683</v>
      </c>
      <c r="D2957" t="s">
        <v>1818</v>
      </c>
      <c r="E2957" s="3">
        <v>49.39</v>
      </c>
      <c r="F2957">
        <v>20151015</v>
      </c>
      <c r="G2957" t="s">
        <v>2469</v>
      </c>
      <c r="H2957" t="s">
        <v>2473</v>
      </c>
      <c r="I2957">
        <v>0</v>
      </c>
      <c r="J2957" t="s">
        <v>1709</v>
      </c>
      <c r="K2957" t="s">
        <v>290</v>
      </c>
      <c r="L2957" t="s">
        <v>285</v>
      </c>
      <c r="M2957" t="str">
        <f t="shared" si="185"/>
        <v>10</v>
      </c>
      <c r="N2957" t="s">
        <v>12</v>
      </c>
    </row>
    <row r="2958" spans="1:14" x14ac:dyDescent="0.25">
      <c r="A2958">
        <v>20151016</v>
      </c>
      <c r="B2958" t="str">
        <f t="shared" si="188"/>
        <v>060700</v>
      </c>
      <c r="C2958" t="str">
        <f t="shared" si="189"/>
        <v>20683</v>
      </c>
      <c r="D2958" t="s">
        <v>1818</v>
      </c>
      <c r="E2958" s="3">
        <v>11.96</v>
      </c>
      <c r="F2958">
        <v>20151015</v>
      </c>
      <c r="G2958" t="s">
        <v>2333</v>
      </c>
      <c r="H2958" t="s">
        <v>2470</v>
      </c>
      <c r="I2958">
        <v>0</v>
      </c>
      <c r="J2958" t="s">
        <v>1709</v>
      </c>
      <c r="K2958" t="s">
        <v>290</v>
      </c>
      <c r="L2958" t="s">
        <v>285</v>
      </c>
      <c r="M2958" t="str">
        <f t="shared" si="185"/>
        <v>10</v>
      </c>
      <c r="N2958" t="s">
        <v>12</v>
      </c>
    </row>
    <row r="2959" spans="1:14" x14ac:dyDescent="0.25">
      <c r="A2959">
        <v>20151016</v>
      </c>
      <c r="B2959" t="str">
        <f t="shared" si="188"/>
        <v>060700</v>
      </c>
      <c r="C2959" t="str">
        <f t="shared" si="189"/>
        <v>20683</v>
      </c>
      <c r="D2959" t="s">
        <v>1818</v>
      </c>
      <c r="E2959" s="3">
        <v>8.33</v>
      </c>
      <c r="F2959">
        <v>20151015</v>
      </c>
      <c r="G2959" t="s">
        <v>2333</v>
      </c>
      <c r="H2959" t="s">
        <v>2471</v>
      </c>
      <c r="I2959">
        <v>0</v>
      </c>
      <c r="J2959" t="s">
        <v>1709</v>
      </c>
      <c r="K2959" t="s">
        <v>290</v>
      </c>
      <c r="L2959" t="s">
        <v>285</v>
      </c>
      <c r="M2959" t="str">
        <f t="shared" si="185"/>
        <v>10</v>
      </c>
      <c r="N2959" t="s">
        <v>12</v>
      </c>
    </row>
    <row r="2960" spans="1:14" x14ac:dyDescent="0.25">
      <c r="A2960">
        <v>20151016</v>
      </c>
      <c r="B2960" t="str">
        <f t="shared" si="188"/>
        <v>060700</v>
      </c>
      <c r="C2960" t="str">
        <f t="shared" si="189"/>
        <v>20683</v>
      </c>
      <c r="D2960" t="s">
        <v>1818</v>
      </c>
      <c r="E2960" s="3">
        <v>11.96</v>
      </c>
      <c r="F2960">
        <v>20151015</v>
      </c>
      <c r="G2960" t="s">
        <v>2333</v>
      </c>
      <c r="H2960" t="s">
        <v>2472</v>
      </c>
      <c r="I2960">
        <v>0</v>
      </c>
      <c r="J2960" t="s">
        <v>1709</v>
      </c>
      <c r="K2960" t="s">
        <v>290</v>
      </c>
      <c r="L2960" t="s">
        <v>285</v>
      </c>
      <c r="M2960" t="str">
        <f t="shared" si="185"/>
        <v>10</v>
      </c>
      <c r="N2960" t="s">
        <v>12</v>
      </c>
    </row>
    <row r="2961" spans="1:14" x14ac:dyDescent="0.25">
      <c r="A2961">
        <v>20151016</v>
      </c>
      <c r="B2961" t="str">
        <f t="shared" si="188"/>
        <v>060700</v>
      </c>
      <c r="C2961" t="str">
        <f t="shared" si="189"/>
        <v>20683</v>
      </c>
      <c r="D2961" t="s">
        <v>1818</v>
      </c>
      <c r="E2961" s="3">
        <v>11.96</v>
      </c>
      <c r="F2961">
        <v>20151015</v>
      </c>
      <c r="G2961" t="s">
        <v>2333</v>
      </c>
      <c r="H2961" t="s">
        <v>2473</v>
      </c>
      <c r="I2961">
        <v>0</v>
      </c>
      <c r="J2961" t="s">
        <v>1709</v>
      </c>
      <c r="K2961" t="s">
        <v>290</v>
      </c>
      <c r="L2961" t="s">
        <v>285</v>
      </c>
      <c r="M2961" t="str">
        <f t="shared" si="185"/>
        <v>10</v>
      </c>
      <c r="N2961" t="s">
        <v>12</v>
      </c>
    </row>
    <row r="2962" spans="1:14" x14ac:dyDescent="0.25">
      <c r="A2962">
        <v>20151016</v>
      </c>
      <c r="B2962" t="str">
        <f>"060704"</f>
        <v>060704</v>
      </c>
      <c r="C2962" t="str">
        <f>"21769"</f>
        <v>21769</v>
      </c>
      <c r="D2962" t="s">
        <v>1836</v>
      </c>
      <c r="E2962" s="3">
        <v>2605.36</v>
      </c>
      <c r="F2962">
        <v>20151015</v>
      </c>
      <c r="G2962" t="s">
        <v>2192</v>
      </c>
      <c r="H2962" t="s">
        <v>2474</v>
      </c>
      <c r="I2962">
        <v>0</v>
      </c>
      <c r="J2962" t="s">
        <v>1709</v>
      </c>
      <c r="K2962" t="s">
        <v>2194</v>
      </c>
      <c r="L2962" t="s">
        <v>285</v>
      </c>
      <c r="M2962" t="str">
        <f t="shared" si="185"/>
        <v>10</v>
      </c>
      <c r="N2962" t="s">
        <v>12</v>
      </c>
    </row>
    <row r="2963" spans="1:14" x14ac:dyDescent="0.25">
      <c r="A2963">
        <v>20151016</v>
      </c>
      <c r="B2963" t="str">
        <f>"060705"</f>
        <v>060705</v>
      </c>
      <c r="C2963" t="str">
        <f>"21860"</f>
        <v>21860</v>
      </c>
      <c r="D2963" t="s">
        <v>1838</v>
      </c>
      <c r="E2963" s="3">
        <v>329.24</v>
      </c>
      <c r="F2963">
        <v>20151015</v>
      </c>
      <c r="G2963" t="s">
        <v>2475</v>
      </c>
      <c r="H2963" t="s">
        <v>2476</v>
      </c>
      <c r="I2963">
        <v>0</v>
      </c>
      <c r="J2963" t="s">
        <v>1709</v>
      </c>
      <c r="K2963" t="s">
        <v>1775</v>
      </c>
      <c r="L2963" t="s">
        <v>285</v>
      </c>
      <c r="M2963" t="str">
        <f t="shared" si="185"/>
        <v>10</v>
      </c>
      <c r="N2963" t="s">
        <v>12</v>
      </c>
    </row>
    <row r="2964" spans="1:14" x14ac:dyDescent="0.25">
      <c r="A2964">
        <v>20151016</v>
      </c>
      <c r="B2964" t="str">
        <f>"060705"</f>
        <v>060705</v>
      </c>
      <c r="C2964" t="str">
        <f>"21860"</f>
        <v>21860</v>
      </c>
      <c r="D2964" t="s">
        <v>1838</v>
      </c>
      <c r="E2964" s="3">
        <v>349</v>
      </c>
      <c r="F2964">
        <v>20151015</v>
      </c>
      <c r="G2964" t="s">
        <v>2475</v>
      </c>
      <c r="H2964" t="s">
        <v>2477</v>
      </c>
      <c r="I2964">
        <v>0</v>
      </c>
      <c r="J2964" t="s">
        <v>1709</v>
      </c>
      <c r="K2964" t="s">
        <v>1775</v>
      </c>
      <c r="L2964" t="s">
        <v>285</v>
      </c>
      <c r="M2964" t="str">
        <f t="shared" si="185"/>
        <v>10</v>
      </c>
      <c r="N2964" t="s">
        <v>12</v>
      </c>
    </row>
    <row r="2965" spans="1:14" x14ac:dyDescent="0.25">
      <c r="A2965">
        <v>20151016</v>
      </c>
      <c r="B2965" t="str">
        <f>"060706"</f>
        <v>060706</v>
      </c>
      <c r="C2965" t="str">
        <f>"22302"</f>
        <v>22302</v>
      </c>
      <c r="D2965" t="s">
        <v>2478</v>
      </c>
      <c r="E2965" s="3">
        <v>296.48</v>
      </c>
      <c r="F2965">
        <v>20151015</v>
      </c>
      <c r="G2965" t="s">
        <v>2025</v>
      </c>
      <c r="H2965" t="s">
        <v>2479</v>
      </c>
      <c r="I2965">
        <v>0</v>
      </c>
      <c r="J2965" t="s">
        <v>1709</v>
      </c>
      <c r="K2965" t="s">
        <v>1984</v>
      </c>
      <c r="L2965" t="s">
        <v>285</v>
      </c>
      <c r="M2965" t="str">
        <f t="shared" si="185"/>
        <v>10</v>
      </c>
      <c r="N2965" t="s">
        <v>12</v>
      </c>
    </row>
    <row r="2966" spans="1:14" x14ac:dyDescent="0.25">
      <c r="A2966">
        <v>20151016</v>
      </c>
      <c r="B2966" t="str">
        <f>"060712"</f>
        <v>060712</v>
      </c>
      <c r="C2966" t="str">
        <f>"24960"</f>
        <v>24960</v>
      </c>
      <c r="D2966" t="s">
        <v>39</v>
      </c>
      <c r="E2966" s="3">
        <v>555.45000000000005</v>
      </c>
      <c r="F2966">
        <v>20151015</v>
      </c>
      <c r="G2966" t="s">
        <v>1841</v>
      </c>
      <c r="H2966" t="s">
        <v>2480</v>
      </c>
      <c r="I2966">
        <v>0</v>
      </c>
      <c r="J2966" t="s">
        <v>1709</v>
      </c>
      <c r="K2966" t="s">
        <v>1775</v>
      </c>
      <c r="L2966" t="s">
        <v>285</v>
      </c>
      <c r="M2966" t="str">
        <f t="shared" si="185"/>
        <v>10</v>
      </c>
      <c r="N2966" t="s">
        <v>12</v>
      </c>
    </row>
    <row r="2967" spans="1:14" x14ac:dyDescent="0.25">
      <c r="A2967">
        <v>20151016</v>
      </c>
      <c r="B2967" t="str">
        <f>"060716"</f>
        <v>060716</v>
      </c>
      <c r="C2967" t="str">
        <f>"25871"</f>
        <v>25871</v>
      </c>
      <c r="D2967" t="s">
        <v>647</v>
      </c>
      <c r="E2967" s="3">
        <v>254.5</v>
      </c>
      <c r="F2967">
        <v>20151015</v>
      </c>
      <c r="G2967" t="s">
        <v>1728</v>
      </c>
      <c r="H2967" t="s">
        <v>2402</v>
      </c>
      <c r="I2967">
        <v>0</v>
      </c>
      <c r="J2967" t="s">
        <v>1709</v>
      </c>
      <c r="K2967" t="s">
        <v>290</v>
      </c>
      <c r="L2967" t="s">
        <v>285</v>
      </c>
      <c r="M2967" t="str">
        <f t="shared" si="185"/>
        <v>10</v>
      </c>
      <c r="N2967" t="s">
        <v>12</v>
      </c>
    </row>
    <row r="2968" spans="1:14" x14ac:dyDescent="0.25">
      <c r="A2968">
        <v>20151016</v>
      </c>
      <c r="B2968" t="str">
        <f>"060716"</f>
        <v>060716</v>
      </c>
      <c r="C2968" t="str">
        <f>"25871"</f>
        <v>25871</v>
      </c>
      <c r="D2968" t="s">
        <v>647</v>
      </c>
      <c r="E2968" s="3">
        <v>247.5</v>
      </c>
      <c r="F2968">
        <v>20151015</v>
      </c>
      <c r="G2968" t="s">
        <v>1728</v>
      </c>
      <c r="H2968" t="s">
        <v>2481</v>
      </c>
      <c r="I2968">
        <v>0</v>
      </c>
      <c r="J2968" t="s">
        <v>1709</v>
      </c>
      <c r="K2968" t="s">
        <v>290</v>
      </c>
      <c r="L2968" t="s">
        <v>285</v>
      </c>
      <c r="M2968" t="str">
        <f t="shared" si="185"/>
        <v>10</v>
      </c>
      <c r="N2968" t="s">
        <v>12</v>
      </c>
    </row>
    <row r="2969" spans="1:14" x14ac:dyDescent="0.25">
      <c r="A2969">
        <v>20151016</v>
      </c>
      <c r="B2969" t="str">
        <f>"060717"</f>
        <v>060717</v>
      </c>
      <c r="C2969" t="str">
        <f>"54555"</f>
        <v>54555</v>
      </c>
      <c r="D2969" t="s">
        <v>2104</v>
      </c>
      <c r="E2969" s="3">
        <v>32.909999999999997</v>
      </c>
      <c r="F2969">
        <v>20151015</v>
      </c>
      <c r="G2969" t="s">
        <v>1916</v>
      </c>
      <c r="H2969" t="s">
        <v>2482</v>
      </c>
      <c r="I2969">
        <v>0</v>
      </c>
      <c r="J2969" t="s">
        <v>1709</v>
      </c>
      <c r="K2969" t="s">
        <v>1782</v>
      </c>
      <c r="L2969" t="s">
        <v>285</v>
      </c>
      <c r="M2969" t="str">
        <f t="shared" si="185"/>
        <v>10</v>
      </c>
      <c r="N2969" t="s">
        <v>12</v>
      </c>
    </row>
    <row r="2970" spans="1:14" x14ac:dyDescent="0.25">
      <c r="A2970">
        <v>20151016</v>
      </c>
      <c r="B2970" t="str">
        <f t="shared" ref="B2970:B2977" si="190">"060718"</f>
        <v>060718</v>
      </c>
      <c r="C2970" t="str">
        <f t="shared" ref="C2970:C2977" si="191">"27900"</f>
        <v>27900</v>
      </c>
      <c r="D2970" t="s">
        <v>1596</v>
      </c>
      <c r="E2970" s="3">
        <v>1500</v>
      </c>
      <c r="F2970">
        <v>20151015</v>
      </c>
      <c r="G2970" t="s">
        <v>2483</v>
      </c>
      <c r="H2970" t="s">
        <v>2484</v>
      </c>
      <c r="I2970">
        <v>0</v>
      </c>
      <c r="J2970" t="s">
        <v>1709</v>
      </c>
      <c r="K2970" t="s">
        <v>290</v>
      </c>
      <c r="L2970" t="s">
        <v>285</v>
      </c>
      <c r="M2970" t="str">
        <f t="shared" si="185"/>
        <v>10</v>
      </c>
      <c r="N2970" t="s">
        <v>12</v>
      </c>
    </row>
    <row r="2971" spans="1:14" x14ac:dyDescent="0.25">
      <c r="A2971">
        <v>20151016</v>
      </c>
      <c r="B2971" t="str">
        <f t="shared" si="190"/>
        <v>060718</v>
      </c>
      <c r="C2971" t="str">
        <f t="shared" si="191"/>
        <v>27900</v>
      </c>
      <c r="D2971" t="s">
        <v>1596</v>
      </c>
      <c r="E2971" s="3">
        <v>1250</v>
      </c>
      <c r="F2971">
        <v>20151015</v>
      </c>
      <c r="G2971" t="s">
        <v>2485</v>
      </c>
      <c r="H2971" t="s">
        <v>2484</v>
      </c>
      <c r="I2971">
        <v>0</v>
      </c>
      <c r="J2971" t="s">
        <v>1709</v>
      </c>
      <c r="K2971" t="s">
        <v>95</v>
      </c>
      <c r="L2971" t="s">
        <v>285</v>
      </c>
      <c r="M2971" t="str">
        <f t="shared" si="185"/>
        <v>10</v>
      </c>
      <c r="N2971" t="s">
        <v>12</v>
      </c>
    </row>
    <row r="2972" spans="1:14" x14ac:dyDescent="0.25">
      <c r="A2972">
        <v>20151016</v>
      </c>
      <c r="B2972" t="str">
        <f t="shared" si="190"/>
        <v>060718</v>
      </c>
      <c r="C2972" t="str">
        <f t="shared" si="191"/>
        <v>27900</v>
      </c>
      <c r="D2972" t="s">
        <v>1596</v>
      </c>
      <c r="E2972" s="3">
        <v>100</v>
      </c>
      <c r="F2972">
        <v>20151015</v>
      </c>
      <c r="G2972" t="s">
        <v>2285</v>
      </c>
      <c r="H2972" t="s">
        <v>2486</v>
      </c>
      <c r="I2972">
        <v>0</v>
      </c>
      <c r="J2972" t="s">
        <v>1709</v>
      </c>
      <c r="K2972" t="s">
        <v>95</v>
      </c>
      <c r="L2972" t="s">
        <v>285</v>
      </c>
      <c r="M2972" t="str">
        <f t="shared" si="185"/>
        <v>10</v>
      </c>
      <c r="N2972" t="s">
        <v>12</v>
      </c>
    </row>
    <row r="2973" spans="1:14" x14ac:dyDescent="0.25">
      <c r="A2973">
        <v>20151016</v>
      </c>
      <c r="B2973" t="str">
        <f t="shared" si="190"/>
        <v>060718</v>
      </c>
      <c r="C2973" t="str">
        <f t="shared" si="191"/>
        <v>27900</v>
      </c>
      <c r="D2973" t="s">
        <v>1596</v>
      </c>
      <c r="E2973" s="3">
        <v>90</v>
      </c>
      <c r="F2973">
        <v>20151015</v>
      </c>
      <c r="G2973" t="s">
        <v>2285</v>
      </c>
      <c r="H2973" t="s">
        <v>2487</v>
      </c>
      <c r="I2973">
        <v>0</v>
      </c>
      <c r="J2973" t="s">
        <v>1709</v>
      </c>
      <c r="K2973" t="s">
        <v>95</v>
      </c>
      <c r="L2973" t="s">
        <v>285</v>
      </c>
      <c r="M2973" t="str">
        <f t="shared" si="185"/>
        <v>10</v>
      </c>
      <c r="N2973" t="s">
        <v>12</v>
      </c>
    </row>
    <row r="2974" spans="1:14" x14ac:dyDescent="0.25">
      <c r="A2974">
        <v>20151016</v>
      </c>
      <c r="B2974" t="str">
        <f t="shared" si="190"/>
        <v>060718</v>
      </c>
      <c r="C2974" t="str">
        <f t="shared" si="191"/>
        <v>27900</v>
      </c>
      <c r="D2974" t="s">
        <v>1596</v>
      </c>
      <c r="E2974" s="3">
        <v>100</v>
      </c>
      <c r="F2974">
        <v>20151015</v>
      </c>
      <c r="G2974" t="s">
        <v>2488</v>
      </c>
      <c r="H2974" t="s">
        <v>2489</v>
      </c>
      <c r="I2974">
        <v>0</v>
      </c>
      <c r="J2974" t="s">
        <v>1709</v>
      </c>
      <c r="K2974" t="s">
        <v>95</v>
      </c>
      <c r="L2974" t="s">
        <v>285</v>
      </c>
      <c r="M2974" t="str">
        <f t="shared" si="185"/>
        <v>10</v>
      </c>
      <c r="N2974" t="s">
        <v>12</v>
      </c>
    </row>
    <row r="2975" spans="1:14" x14ac:dyDescent="0.25">
      <c r="A2975">
        <v>20151016</v>
      </c>
      <c r="B2975" t="str">
        <f t="shared" si="190"/>
        <v>060718</v>
      </c>
      <c r="C2975" t="str">
        <f t="shared" si="191"/>
        <v>27900</v>
      </c>
      <c r="D2975" t="s">
        <v>1596</v>
      </c>
      <c r="E2975" s="3">
        <v>200</v>
      </c>
      <c r="F2975">
        <v>20151015</v>
      </c>
      <c r="G2975" t="s">
        <v>2490</v>
      </c>
      <c r="H2975" t="s">
        <v>2491</v>
      </c>
      <c r="I2975">
        <v>0</v>
      </c>
      <c r="J2975" t="s">
        <v>1709</v>
      </c>
      <c r="K2975" t="s">
        <v>1856</v>
      </c>
      <c r="L2975" t="s">
        <v>285</v>
      </c>
      <c r="M2975" t="str">
        <f t="shared" si="185"/>
        <v>10</v>
      </c>
      <c r="N2975" t="s">
        <v>12</v>
      </c>
    </row>
    <row r="2976" spans="1:14" x14ac:dyDescent="0.25">
      <c r="A2976">
        <v>20151016</v>
      </c>
      <c r="B2976" t="str">
        <f t="shared" si="190"/>
        <v>060718</v>
      </c>
      <c r="C2976" t="str">
        <f t="shared" si="191"/>
        <v>27900</v>
      </c>
      <c r="D2976" t="s">
        <v>1596</v>
      </c>
      <c r="E2976" s="3">
        <v>165</v>
      </c>
      <c r="F2976">
        <v>20151015</v>
      </c>
      <c r="G2976" t="s">
        <v>2490</v>
      </c>
      <c r="H2976" t="s">
        <v>2492</v>
      </c>
      <c r="I2976">
        <v>0</v>
      </c>
      <c r="J2976" t="s">
        <v>1709</v>
      </c>
      <c r="K2976" t="s">
        <v>1856</v>
      </c>
      <c r="L2976" t="s">
        <v>285</v>
      </c>
      <c r="M2976" t="str">
        <f t="shared" si="185"/>
        <v>10</v>
      </c>
      <c r="N2976" t="s">
        <v>12</v>
      </c>
    </row>
    <row r="2977" spans="1:14" x14ac:dyDescent="0.25">
      <c r="A2977">
        <v>20151016</v>
      </c>
      <c r="B2977" t="str">
        <f t="shared" si="190"/>
        <v>060718</v>
      </c>
      <c r="C2977" t="str">
        <f t="shared" si="191"/>
        <v>27900</v>
      </c>
      <c r="D2977" t="s">
        <v>1596</v>
      </c>
      <c r="E2977" s="3">
        <v>100</v>
      </c>
      <c r="F2977">
        <v>20151015</v>
      </c>
      <c r="G2977" t="s">
        <v>2493</v>
      </c>
      <c r="H2977" t="s">
        <v>2486</v>
      </c>
      <c r="I2977">
        <v>0</v>
      </c>
      <c r="J2977" t="s">
        <v>1709</v>
      </c>
      <c r="K2977" t="s">
        <v>2207</v>
      </c>
      <c r="L2977" t="s">
        <v>285</v>
      </c>
      <c r="M2977" t="str">
        <f t="shared" si="185"/>
        <v>10</v>
      </c>
      <c r="N2977" t="s">
        <v>12</v>
      </c>
    </row>
    <row r="2978" spans="1:14" x14ac:dyDescent="0.25">
      <c r="A2978">
        <v>20151016</v>
      </c>
      <c r="B2978" t="str">
        <f t="shared" ref="B2978:B2984" si="192">"060721"</f>
        <v>060721</v>
      </c>
      <c r="C2978" t="str">
        <f t="shared" ref="C2978:C2984" si="193">"29628"</f>
        <v>29628</v>
      </c>
      <c r="D2978" t="s">
        <v>2494</v>
      </c>
      <c r="E2978" s="3">
        <v>98.39</v>
      </c>
      <c r="F2978">
        <v>20151015</v>
      </c>
      <c r="G2978" t="s">
        <v>2495</v>
      </c>
      <c r="H2978" t="s">
        <v>2496</v>
      </c>
      <c r="I2978">
        <v>0</v>
      </c>
      <c r="J2978" t="s">
        <v>1709</v>
      </c>
      <c r="K2978" t="s">
        <v>235</v>
      </c>
      <c r="L2978" t="s">
        <v>285</v>
      </c>
      <c r="M2978" t="str">
        <f t="shared" si="185"/>
        <v>10</v>
      </c>
      <c r="N2978" t="s">
        <v>12</v>
      </c>
    </row>
    <row r="2979" spans="1:14" x14ac:dyDescent="0.25">
      <c r="A2979">
        <v>20151016</v>
      </c>
      <c r="B2979" t="str">
        <f t="shared" si="192"/>
        <v>060721</v>
      </c>
      <c r="C2979" t="str">
        <f t="shared" si="193"/>
        <v>29628</v>
      </c>
      <c r="D2979" t="s">
        <v>2494</v>
      </c>
      <c r="E2979" s="3">
        <v>271.99</v>
      </c>
      <c r="F2979">
        <v>20151015</v>
      </c>
      <c r="G2979" t="s">
        <v>2495</v>
      </c>
      <c r="H2979" t="s">
        <v>2497</v>
      </c>
      <c r="I2979">
        <v>0</v>
      </c>
      <c r="J2979" t="s">
        <v>1709</v>
      </c>
      <c r="K2979" t="s">
        <v>235</v>
      </c>
      <c r="L2979" t="s">
        <v>285</v>
      </c>
      <c r="M2979" t="str">
        <f t="shared" si="185"/>
        <v>10</v>
      </c>
      <c r="N2979" t="s">
        <v>12</v>
      </c>
    </row>
    <row r="2980" spans="1:14" x14ac:dyDescent="0.25">
      <c r="A2980">
        <v>20151016</v>
      </c>
      <c r="B2980" t="str">
        <f t="shared" si="192"/>
        <v>060721</v>
      </c>
      <c r="C2980" t="str">
        <f t="shared" si="193"/>
        <v>29628</v>
      </c>
      <c r="D2980" t="s">
        <v>2494</v>
      </c>
      <c r="E2980" s="3">
        <v>139.99</v>
      </c>
      <c r="F2980">
        <v>20151015</v>
      </c>
      <c r="G2980" t="s">
        <v>2495</v>
      </c>
      <c r="H2980" t="s">
        <v>2498</v>
      </c>
      <c r="I2980">
        <v>0</v>
      </c>
      <c r="J2980" t="s">
        <v>1709</v>
      </c>
      <c r="K2980" t="s">
        <v>235</v>
      </c>
      <c r="L2980" t="s">
        <v>285</v>
      </c>
      <c r="M2980" t="str">
        <f t="shared" si="185"/>
        <v>10</v>
      </c>
      <c r="N2980" t="s">
        <v>12</v>
      </c>
    </row>
    <row r="2981" spans="1:14" x14ac:dyDescent="0.25">
      <c r="A2981">
        <v>20151016</v>
      </c>
      <c r="B2981" t="str">
        <f t="shared" si="192"/>
        <v>060721</v>
      </c>
      <c r="C2981" t="str">
        <f t="shared" si="193"/>
        <v>29628</v>
      </c>
      <c r="D2981" t="s">
        <v>2494</v>
      </c>
      <c r="E2981" s="3">
        <v>543.98</v>
      </c>
      <c r="F2981">
        <v>20151015</v>
      </c>
      <c r="G2981" t="s">
        <v>2495</v>
      </c>
      <c r="H2981" t="s">
        <v>2497</v>
      </c>
      <c r="I2981">
        <v>0</v>
      </c>
      <c r="J2981" t="s">
        <v>1709</v>
      </c>
      <c r="K2981" t="s">
        <v>235</v>
      </c>
      <c r="L2981" t="s">
        <v>285</v>
      </c>
      <c r="M2981" t="str">
        <f t="shared" si="185"/>
        <v>10</v>
      </c>
      <c r="N2981" t="s">
        <v>12</v>
      </c>
    </row>
    <row r="2982" spans="1:14" x14ac:dyDescent="0.25">
      <c r="A2982">
        <v>20151016</v>
      </c>
      <c r="B2982" t="str">
        <f t="shared" si="192"/>
        <v>060721</v>
      </c>
      <c r="C2982" t="str">
        <f t="shared" si="193"/>
        <v>29628</v>
      </c>
      <c r="D2982" t="s">
        <v>2494</v>
      </c>
      <c r="E2982" s="3">
        <v>528.96</v>
      </c>
      <c r="F2982">
        <v>20151015</v>
      </c>
      <c r="G2982" t="s">
        <v>2495</v>
      </c>
      <c r="H2982" t="s">
        <v>2499</v>
      </c>
      <c r="I2982">
        <v>0</v>
      </c>
      <c r="J2982" t="s">
        <v>1709</v>
      </c>
      <c r="K2982" t="s">
        <v>235</v>
      </c>
      <c r="L2982" t="s">
        <v>285</v>
      </c>
      <c r="M2982" t="str">
        <f t="shared" si="185"/>
        <v>10</v>
      </c>
      <c r="N2982" t="s">
        <v>12</v>
      </c>
    </row>
    <row r="2983" spans="1:14" x14ac:dyDescent="0.25">
      <c r="A2983">
        <v>20151016</v>
      </c>
      <c r="B2983" t="str">
        <f t="shared" si="192"/>
        <v>060721</v>
      </c>
      <c r="C2983" t="str">
        <f t="shared" si="193"/>
        <v>29628</v>
      </c>
      <c r="D2983" t="s">
        <v>2494</v>
      </c>
      <c r="E2983" s="3">
        <v>375.38</v>
      </c>
      <c r="F2983">
        <v>20151015</v>
      </c>
      <c r="G2983" t="s">
        <v>2495</v>
      </c>
      <c r="H2983" t="s">
        <v>2500</v>
      </c>
      <c r="I2983">
        <v>0</v>
      </c>
      <c r="J2983" t="s">
        <v>1709</v>
      </c>
      <c r="K2983" t="s">
        <v>235</v>
      </c>
      <c r="L2983" t="s">
        <v>285</v>
      </c>
      <c r="M2983" t="str">
        <f t="shared" si="185"/>
        <v>10</v>
      </c>
      <c r="N2983" t="s">
        <v>12</v>
      </c>
    </row>
    <row r="2984" spans="1:14" x14ac:dyDescent="0.25">
      <c r="A2984">
        <v>20151016</v>
      </c>
      <c r="B2984" t="str">
        <f t="shared" si="192"/>
        <v>060721</v>
      </c>
      <c r="C2984" t="str">
        <f t="shared" si="193"/>
        <v>29628</v>
      </c>
      <c r="D2984" t="s">
        <v>2494</v>
      </c>
      <c r="E2984" s="3">
        <v>287.98</v>
      </c>
      <c r="F2984">
        <v>20151015</v>
      </c>
      <c r="G2984" t="s">
        <v>2495</v>
      </c>
      <c r="H2984" t="s">
        <v>2501</v>
      </c>
      <c r="I2984">
        <v>0</v>
      </c>
      <c r="J2984" t="s">
        <v>1709</v>
      </c>
      <c r="K2984" t="s">
        <v>235</v>
      </c>
      <c r="L2984" t="s">
        <v>285</v>
      </c>
      <c r="M2984" t="str">
        <f t="shared" si="185"/>
        <v>10</v>
      </c>
      <c r="N2984" t="s">
        <v>12</v>
      </c>
    </row>
    <row r="2985" spans="1:14" x14ac:dyDescent="0.25">
      <c r="A2985">
        <v>20151016</v>
      </c>
      <c r="B2985" t="str">
        <f>"060724"</f>
        <v>060724</v>
      </c>
      <c r="C2985" t="str">
        <f>"31113"</f>
        <v>31113</v>
      </c>
      <c r="D2985" t="s">
        <v>2502</v>
      </c>
      <c r="E2985" s="3">
        <v>150</v>
      </c>
      <c r="F2985">
        <v>20151015</v>
      </c>
      <c r="G2985" t="s">
        <v>2449</v>
      </c>
      <c r="H2985" t="s">
        <v>2057</v>
      </c>
      <c r="I2985">
        <v>0</v>
      </c>
      <c r="J2985" t="s">
        <v>1709</v>
      </c>
      <c r="K2985" t="s">
        <v>290</v>
      </c>
      <c r="L2985" t="s">
        <v>285</v>
      </c>
      <c r="M2985" t="str">
        <f t="shared" si="185"/>
        <v>10</v>
      </c>
      <c r="N2985" t="s">
        <v>12</v>
      </c>
    </row>
    <row r="2986" spans="1:14" x14ac:dyDescent="0.25">
      <c r="A2986">
        <v>20151016</v>
      </c>
      <c r="B2986" t="str">
        <f>"060728"</f>
        <v>060728</v>
      </c>
      <c r="C2986" t="str">
        <f>"34670"</f>
        <v>34670</v>
      </c>
      <c r="D2986" t="s">
        <v>2503</v>
      </c>
      <c r="E2986" s="3">
        <v>55.99</v>
      </c>
      <c r="F2986">
        <v>20151015</v>
      </c>
      <c r="G2986" t="s">
        <v>1888</v>
      </c>
      <c r="H2986" t="s">
        <v>2504</v>
      </c>
      <c r="I2986">
        <v>0</v>
      </c>
      <c r="J2986" t="s">
        <v>1709</v>
      </c>
      <c r="K2986" t="s">
        <v>290</v>
      </c>
      <c r="L2986" t="s">
        <v>285</v>
      </c>
      <c r="M2986" t="str">
        <f t="shared" si="185"/>
        <v>10</v>
      </c>
      <c r="N2986" t="s">
        <v>12</v>
      </c>
    </row>
    <row r="2987" spans="1:14" x14ac:dyDescent="0.25">
      <c r="A2987">
        <v>20151016</v>
      </c>
      <c r="B2987" t="str">
        <f>"060728"</f>
        <v>060728</v>
      </c>
      <c r="C2987" t="str">
        <f>"34670"</f>
        <v>34670</v>
      </c>
      <c r="D2987" t="s">
        <v>2503</v>
      </c>
      <c r="E2987" s="3">
        <v>91.67</v>
      </c>
      <c r="F2987">
        <v>20151015</v>
      </c>
      <c r="G2987" t="s">
        <v>1888</v>
      </c>
      <c r="H2987" t="s">
        <v>2504</v>
      </c>
      <c r="I2987">
        <v>0</v>
      </c>
      <c r="J2987" t="s">
        <v>1709</v>
      </c>
      <c r="K2987" t="s">
        <v>290</v>
      </c>
      <c r="L2987" t="s">
        <v>285</v>
      </c>
      <c r="M2987" t="str">
        <f t="shared" si="185"/>
        <v>10</v>
      </c>
      <c r="N2987" t="s">
        <v>12</v>
      </c>
    </row>
    <row r="2988" spans="1:14" x14ac:dyDescent="0.25">
      <c r="A2988">
        <v>20151016</v>
      </c>
      <c r="B2988" t="str">
        <f>"060729"</f>
        <v>060729</v>
      </c>
      <c r="C2988" t="str">
        <f>"35100"</f>
        <v>35100</v>
      </c>
      <c r="D2988" t="s">
        <v>2505</v>
      </c>
      <c r="E2988" s="3">
        <v>136.72</v>
      </c>
      <c r="F2988">
        <v>20151015</v>
      </c>
      <c r="G2988" t="s">
        <v>2124</v>
      </c>
      <c r="H2988" t="s">
        <v>2506</v>
      </c>
      <c r="I2988">
        <v>0</v>
      </c>
      <c r="J2988" t="s">
        <v>1709</v>
      </c>
      <c r="K2988" t="s">
        <v>290</v>
      </c>
      <c r="L2988" t="s">
        <v>285</v>
      </c>
      <c r="M2988" t="str">
        <f t="shared" si="185"/>
        <v>10</v>
      </c>
      <c r="N2988" t="s">
        <v>12</v>
      </c>
    </row>
    <row r="2989" spans="1:14" x14ac:dyDescent="0.25">
      <c r="A2989">
        <v>20151016</v>
      </c>
      <c r="B2989" t="str">
        <f>"060730"</f>
        <v>060730</v>
      </c>
      <c r="C2989" t="str">
        <f>"37260"</f>
        <v>37260</v>
      </c>
      <c r="D2989" t="s">
        <v>2507</v>
      </c>
      <c r="E2989" s="3">
        <v>500</v>
      </c>
      <c r="F2989">
        <v>20151015</v>
      </c>
      <c r="G2989" t="s">
        <v>2449</v>
      </c>
      <c r="H2989" t="s">
        <v>2057</v>
      </c>
      <c r="I2989">
        <v>0</v>
      </c>
      <c r="J2989" t="s">
        <v>1709</v>
      </c>
      <c r="K2989" t="s">
        <v>290</v>
      </c>
      <c r="L2989" t="s">
        <v>285</v>
      </c>
      <c r="M2989" t="str">
        <f t="shared" si="185"/>
        <v>10</v>
      </c>
      <c r="N2989" t="s">
        <v>12</v>
      </c>
    </row>
    <row r="2990" spans="1:14" x14ac:dyDescent="0.25">
      <c r="A2990">
        <v>20151016</v>
      </c>
      <c r="B2990" t="str">
        <f>"060730"</f>
        <v>060730</v>
      </c>
      <c r="C2990" t="str">
        <f>"37260"</f>
        <v>37260</v>
      </c>
      <c r="D2990" t="s">
        <v>2507</v>
      </c>
      <c r="E2990" s="3">
        <v>250</v>
      </c>
      <c r="F2990">
        <v>20151015</v>
      </c>
      <c r="G2990" t="s">
        <v>2508</v>
      </c>
      <c r="H2990" t="s">
        <v>2509</v>
      </c>
      <c r="I2990">
        <v>0</v>
      </c>
      <c r="J2990" t="s">
        <v>1709</v>
      </c>
      <c r="K2990" t="s">
        <v>290</v>
      </c>
      <c r="L2990" t="s">
        <v>285</v>
      </c>
      <c r="M2990" t="str">
        <f t="shared" si="185"/>
        <v>10</v>
      </c>
      <c r="N2990" t="s">
        <v>12</v>
      </c>
    </row>
    <row r="2991" spans="1:14" x14ac:dyDescent="0.25">
      <c r="A2991">
        <v>20151016</v>
      </c>
      <c r="B2991" t="str">
        <f>"060735"</f>
        <v>060735</v>
      </c>
      <c r="C2991" t="str">
        <f>"39572"</f>
        <v>39572</v>
      </c>
      <c r="D2991" t="s">
        <v>2112</v>
      </c>
      <c r="E2991" s="3">
        <v>100</v>
      </c>
      <c r="F2991">
        <v>20151015</v>
      </c>
      <c r="G2991" t="s">
        <v>2113</v>
      </c>
      <c r="H2991" t="s">
        <v>2510</v>
      </c>
      <c r="I2991">
        <v>0</v>
      </c>
      <c r="J2991" t="s">
        <v>1709</v>
      </c>
      <c r="K2991" t="s">
        <v>290</v>
      </c>
      <c r="L2991" t="s">
        <v>285</v>
      </c>
      <c r="M2991" t="str">
        <f t="shared" si="185"/>
        <v>10</v>
      </c>
      <c r="N2991" t="s">
        <v>12</v>
      </c>
    </row>
    <row r="2992" spans="1:14" x14ac:dyDescent="0.25">
      <c r="A2992">
        <v>20151016</v>
      </c>
      <c r="B2992" t="str">
        <f>"060735"</f>
        <v>060735</v>
      </c>
      <c r="C2992" t="str">
        <f>"39572"</f>
        <v>39572</v>
      </c>
      <c r="D2992" t="s">
        <v>2112</v>
      </c>
      <c r="E2992" s="3">
        <v>217.95</v>
      </c>
      <c r="F2992">
        <v>20151015</v>
      </c>
      <c r="G2992" t="s">
        <v>2115</v>
      </c>
      <c r="H2992" t="s">
        <v>2511</v>
      </c>
      <c r="I2992">
        <v>0</v>
      </c>
      <c r="J2992" t="s">
        <v>1709</v>
      </c>
      <c r="K2992" t="s">
        <v>290</v>
      </c>
      <c r="L2992" t="s">
        <v>285</v>
      </c>
      <c r="M2992" t="str">
        <f t="shared" si="185"/>
        <v>10</v>
      </c>
      <c r="N2992" t="s">
        <v>12</v>
      </c>
    </row>
    <row r="2993" spans="1:14" x14ac:dyDescent="0.25">
      <c r="A2993">
        <v>20151016</v>
      </c>
      <c r="B2993" t="str">
        <f>"060735"</f>
        <v>060735</v>
      </c>
      <c r="C2993" t="str">
        <f>"39572"</f>
        <v>39572</v>
      </c>
      <c r="D2993" t="s">
        <v>2112</v>
      </c>
      <c r="E2993" s="3">
        <v>71.150000000000006</v>
      </c>
      <c r="F2993">
        <v>20151015</v>
      </c>
      <c r="G2993" t="s">
        <v>2115</v>
      </c>
      <c r="H2993" t="s">
        <v>2512</v>
      </c>
      <c r="I2993">
        <v>0</v>
      </c>
      <c r="J2993" t="s">
        <v>1709</v>
      </c>
      <c r="K2993" t="s">
        <v>290</v>
      </c>
      <c r="L2993" t="s">
        <v>285</v>
      </c>
      <c r="M2993" t="str">
        <f t="shared" si="185"/>
        <v>10</v>
      </c>
      <c r="N2993" t="s">
        <v>12</v>
      </c>
    </row>
    <row r="2994" spans="1:14" x14ac:dyDescent="0.25">
      <c r="A2994">
        <v>20151016</v>
      </c>
      <c r="B2994" t="str">
        <f>"060736"</f>
        <v>060736</v>
      </c>
      <c r="C2994" t="str">
        <f>"42212"</f>
        <v>42212</v>
      </c>
      <c r="D2994" t="s">
        <v>2513</v>
      </c>
      <c r="E2994" s="3">
        <v>63.73</v>
      </c>
      <c r="F2994">
        <v>20151016</v>
      </c>
      <c r="G2994" t="s">
        <v>1969</v>
      </c>
      <c r="H2994" t="s">
        <v>1970</v>
      </c>
      <c r="I2994">
        <v>0</v>
      </c>
      <c r="J2994" t="s">
        <v>1709</v>
      </c>
      <c r="K2994" t="s">
        <v>290</v>
      </c>
      <c r="L2994" t="s">
        <v>285</v>
      </c>
      <c r="M2994" t="str">
        <f t="shared" ref="M2994:M3057" si="194">"10"</f>
        <v>10</v>
      </c>
      <c r="N2994" t="s">
        <v>12</v>
      </c>
    </row>
    <row r="2995" spans="1:14" x14ac:dyDescent="0.25">
      <c r="A2995">
        <v>20151016</v>
      </c>
      <c r="B2995" t="str">
        <f>"060737"</f>
        <v>060737</v>
      </c>
      <c r="C2995" t="str">
        <f>"43507"</f>
        <v>43507</v>
      </c>
      <c r="D2995" t="s">
        <v>2514</v>
      </c>
      <c r="E2995" s="3">
        <v>3000</v>
      </c>
      <c r="F2995">
        <v>20151016</v>
      </c>
      <c r="G2995" t="s">
        <v>2279</v>
      </c>
      <c r="H2995" t="s">
        <v>2515</v>
      </c>
      <c r="I2995">
        <v>0</v>
      </c>
      <c r="J2995" t="s">
        <v>1709</v>
      </c>
      <c r="K2995" t="s">
        <v>1861</v>
      </c>
      <c r="L2995" t="s">
        <v>285</v>
      </c>
      <c r="M2995" t="str">
        <f t="shared" si="194"/>
        <v>10</v>
      </c>
      <c r="N2995" t="s">
        <v>12</v>
      </c>
    </row>
    <row r="2996" spans="1:14" x14ac:dyDescent="0.25">
      <c r="A2996">
        <v>20151016</v>
      </c>
      <c r="B2996" t="str">
        <f>"060737"</f>
        <v>060737</v>
      </c>
      <c r="C2996" t="str">
        <f>"43507"</f>
        <v>43507</v>
      </c>
      <c r="D2996" t="s">
        <v>2514</v>
      </c>
      <c r="E2996" s="3">
        <v>859.11</v>
      </c>
      <c r="F2996">
        <v>20151016</v>
      </c>
      <c r="G2996" t="s">
        <v>2279</v>
      </c>
      <c r="H2996" t="s">
        <v>2515</v>
      </c>
      <c r="I2996">
        <v>0</v>
      </c>
      <c r="J2996" t="s">
        <v>1709</v>
      </c>
      <c r="K2996" t="s">
        <v>1861</v>
      </c>
      <c r="L2996" t="s">
        <v>285</v>
      </c>
      <c r="M2996" t="str">
        <f t="shared" si="194"/>
        <v>10</v>
      </c>
      <c r="N2996" t="s">
        <v>12</v>
      </c>
    </row>
    <row r="2997" spans="1:14" x14ac:dyDescent="0.25">
      <c r="A2997">
        <v>20151016</v>
      </c>
      <c r="B2997" t="str">
        <f>"060737"</f>
        <v>060737</v>
      </c>
      <c r="C2997" t="str">
        <f>"43507"</f>
        <v>43507</v>
      </c>
      <c r="D2997" t="s">
        <v>2514</v>
      </c>
      <c r="E2997" s="3">
        <v>762.84</v>
      </c>
      <c r="F2997">
        <v>20151016</v>
      </c>
      <c r="G2997" t="s">
        <v>2279</v>
      </c>
      <c r="H2997" t="s">
        <v>2516</v>
      </c>
      <c r="I2997">
        <v>0</v>
      </c>
      <c r="J2997" t="s">
        <v>1709</v>
      </c>
      <c r="K2997" t="s">
        <v>1861</v>
      </c>
      <c r="L2997" t="s">
        <v>285</v>
      </c>
      <c r="M2997" t="str">
        <f t="shared" si="194"/>
        <v>10</v>
      </c>
      <c r="N2997" t="s">
        <v>12</v>
      </c>
    </row>
    <row r="2998" spans="1:14" x14ac:dyDescent="0.25">
      <c r="A2998">
        <v>20151016</v>
      </c>
      <c r="B2998" t="str">
        <f>"060737"</f>
        <v>060737</v>
      </c>
      <c r="C2998" t="str">
        <f>"43507"</f>
        <v>43507</v>
      </c>
      <c r="D2998" t="s">
        <v>2514</v>
      </c>
      <c r="E2998" s="3">
        <v>396.58</v>
      </c>
      <c r="F2998">
        <v>20151016</v>
      </c>
      <c r="G2998" t="s">
        <v>2279</v>
      </c>
      <c r="H2998" t="s">
        <v>2515</v>
      </c>
      <c r="I2998">
        <v>0</v>
      </c>
      <c r="J2998" t="s">
        <v>1709</v>
      </c>
      <c r="K2998" t="s">
        <v>1861</v>
      </c>
      <c r="L2998" t="s">
        <v>285</v>
      </c>
      <c r="M2998" t="str">
        <f t="shared" si="194"/>
        <v>10</v>
      </c>
      <c r="N2998" t="s">
        <v>12</v>
      </c>
    </row>
    <row r="2999" spans="1:14" x14ac:dyDescent="0.25">
      <c r="A2999">
        <v>20151016</v>
      </c>
      <c r="B2999" t="str">
        <f>"060739"</f>
        <v>060739</v>
      </c>
      <c r="C2999" t="str">
        <f>"46369"</f>
        <v>46369</v>
      </c>
      <c r="D2999" t="s">
        <v>1991</v>
      </c>
      <c r="E2999" s="3">
        <v>308</v>
      </c>
      <c r="F2999">
        <v>20151016</v>
      </c>
      <c r="G2999" t="s">
        <v>1718</v>
      </c>
      <c r="H2999" t="s">
        <v>2517</v>
      </c>
      <c r="I2999">
        <v>0</v>
      </c>
      <c r="J2999" t="s">
        <v>1709</v>
      </c>
      <c r="K2999" t="s">
        <v>235</v>
      </c>
      <c r="L2999" t="s">
        <v>285</v>
      </c>
      <c r="M2999" t="str">
        <f t="shared" si="194"/>
        <v>10</v>
      </c>
      <c r="N2999" t="s">
        <v>12</v>
      </c>
    </row>
    <row r="3000" spans="1:14" x14ac:dyDescent="0.25">
      <c r="A3000">
        <v>20151016</v>
      </c>
      <c r="B3000" t="str">
        <f>"060739"</f>
        <v>060739</v>
      </c>
      <c r="C3000" t="str">
        <f>"46369"</f>
        <v>46369</v>
      </c>
      <c r="D3000" t="s">
        <v>1991</v>
      </c>
      <c r="E3000" s="3">
        <v>872</v>
      </c>
      <c r="F3000">
        <v>20151016</v>
      </c>
      <c r="G3000" t="s">
        <v>1992</v>
      </c>
      <c r="H3000" t="s">
        <v>2517</v>
      </c>
      <c r="I3000">
        <v>0</v>
      </c>
      <c r="J3000" t="s">
        <v>1709</v>
      </c>
      <c r="K3000" t="s">
        <v>1861</v>
      </c>
      <c r="L3000" t="s">
        <v>285</v>
      </c>
      <c r="M3000" t="str">
        <f t="shared" si="194"/>
        <v>10</v>
      </c>
      <c r="N3000" t="s">
        <v>12</v>
      </c>
    </row>
    <row r="3001" spans="1:14" x14ac:dyDescent="0.25">
      <c r="A3001">
        <v>20151016</v>
      </c>
      <c r="B3001" t="str">
        <f>"060740"</f>
        <v>060740</v>
      </c>
      <c r="C3001" t="str">
        <f>"46398"</f>
        <v>46398</v>
      </c>
      <c r="D3001" t="s">
        <v>1994</v>
      </c>
      <c r="E3001" s="3">
        <v>9518.39</v>
      </c>
      <c r="F3001">
        <v>20151016</v>
      </c>
      <c r="G3001" t="s">
        <v>1995</v>
      </c>
      <c r="H3001" t="s">
        <v>1996</v>
      </c>
      <c r="I3001">
        <v>0</v>
      </c>
      <c r="J3001" t="s">
        <v>1709</v>
      </c>
      <c r="K3001" t="s">
        <v>235</v>
      </c>
      <c r="L3001" t="s">
        <v>285</v>
      </c>
      <c r="M3001" t="str">
        <f t="shared" si="194"/>
        <v>10</v>
      </c>
      <c r="N3001" t="s">
        <v>12</v>
      </c>
    </row>
    <row r="3002" spans="1:14" x14ac:dyDescent="0.25">
      <c r="A3002">
        <v>20151016</v>
      </c>
      <c r="B3002" t="str">
        <f>"060740"</f>
        <v>060740</v>
      </c>
      <c r="C3002" t="str">
        <f>"46398"</f>
        <v>46398</v>
      </c>
      <c r="D3002" t="s">
        <v>1994</v>
      </c>
      <c r="E3002" s="3">
        <v>1820</v>
      </c>
      <c r="F3002">
        <v>20151016</v>
      </c>
      <c r="G3002" t="s">
        <v>1995</v>
      </c>
      <c r="H3002" t="s">
        <v>1997</v>
      </c>
      <c r="I3002">
        <v>0</v>
      </c>
      <c r="J3002" t="s">
        <v>1709</v>
      </c>
      <c r="K3002" t="s">
        <v>235</v>
      </c>
      <c r="L3002" t="s">
        <v>285</v>
      </c>
      <c r="M3002" t="str">
        <f t="shared" si="194"/>
        <v>10</v>
      </c>
      <c r="N3002" t="s">
        <v>12</v>
      </c>
    </row>
    <row r="3003" spans="1:14" x14ac:dyDescent="0.25">
      <c r="A3003">
        <v>20151016</v>
      </c>
      <c r="B3003" t="str">
        <f>"060740"</f>
        <v>060740</v>
      </c>
      <c r="C3003" t="str">
        <f>"46398"</f>
        <v>46398</v>
      </c>
      <c r="D3003" t="s">
        <v>1994</v>
      </c>
      <c r="E3003" s="3">
        <v>1393.7</v>
      </c>
      <c r="F3003">
        <v>20151016</v>
      </c>
      <c r="G3003" t="s">
        <v>1998</v>
      </c>
      <c r="H3003" t="s">
        <v>1996</v>
      </c>
      <c r="I3003">
        <v>0</v>
      </c>
      <c r="J3003" t="s">
        <v>1709</v>
      </c>
      <c r="K3003" t="s">
        <v>1942</v>
      </c>
      <c r="L3003" t="s">
        <v>285</v>
      </c>
      <c r="M3003" t="str">
        <f t="shared" si="194"/>
        <v>10</v>
      </c>
      <c r="N3003" t="s">
        <v>12</v>
      </c>
    </row>
    <row r="3004" spans="1:14" x14ac:dyDescent="0.25">
      <c r="A3004">
        <v>20151016</v>
      </c>
      <c r="B3004" t="str">
        <f t="shared" ref="B3004:B3009" si="195">"060741"</f>
        <v>060741</v>
      </c>
      <c r="C3004" t="str">
        <f t="shared" ref="C3004:C3009" si="196">"46351"</f>
        <v>46351</v>
      </c>
      <c r="D3004" t="s">
        <v>2518</v>
      </c>
      <c r="E3004" s="3">
        <v>10288.02</v>
      </c>
      <c r="F3004">
        <v>20151016</v>
      </c>
      <c r="G3004" t="s">
        <v>1995</v>
      </c>
      <c r="H3004" t="s">
        <v>2519</v>
      </c>
      <c r="I3004">
        <v>0</v>
      </c>
      <c r="J3004" t="s">
        <v>1709</v>
      </c>
      <c r="K3004" t="s">
        <v>235</v>
      </c>
      <c r="L3004" t="s">
        <v>285</v>
      </c>
      <c r="M3004" t="str">
        <f t="shared" si="194"/>
        <v>10</v>
      </c>
      <c r="N3004" t="s">
        <v>12</v>
      </c>
    </row>
    <row r="3005" spans="1:14" x14ac:dyDescent="0.25">
      <c r="A3005">
        <v>20151016</v>
      </c>
      <c r="B3005" t="str">
        <f t="shared" si="195"/>
        <v>060741</v>
      </c>
      <c r="C3005" t="str">
        <f t="shared" si="196"/>
        <v>46351</v>
      </c>
      <c r="D3005" t="s">
        <v>2518</v>
      </c>
      <c r="E3005" s="3">
        <v>10288.02</v>
      </c>
      <c r="F3005">
        <v>20151016</v>
      </c>
      <c r="G3005" t="s">
        <v>1995</v>
      </c>
      <c r="H3005" t="s">
        <v>2520</v>
      </c>
      <c r="I3005">
        <v>0</v>
      </c>
      <c r="J3005" t="s">
        <v>1709</v>
      </c>
      <c r="K3005" t="s">
        <v>235</v>
      </c>
      <c r="L3005" t="s">
        <v>285</v>
      </c>
      <c r="M3005" t="str">
        <f t="shared" si="194"/>
        <v>10</v>
      </c>
      <c r="N3005" t="s">
        <v>12</v>
      </c>
    </row>
    <row r="3006" spans="1:14" x14ac:dyDescent="0.25">
      <c r="A3006">
        <v>20151016</v>
      </c>
      <c r="B3006" t="str">
        <f t="shared" si="195"/>
        <v>060741</v>
      </c>
      <c r="C3006" t="str">
        <f t="shared" si="196"/>
        <v>46351</v>
      </c>
      <c r="D3006" t="s">
        <v>2518</v>
      </c>
      <c r="E3006" s="3">
        <v>928.87</v>
      </c>
      <c r="F3006">
        <v>20151016</v>
      </c>
      <c r="G3006" t="s">
        <v>1995</v>
      </c>
      <c r="H3006" t="s">
        <v>2521</v>
      </c>
      <c r="I3006">
        <v>0</v>
      </c>
      <c r="J3006" t="s">
        <v>1709</v>
      </c>
      <c r="K3006" t="s">
        <v>235</v>
      </c>
      <c r="L3006" t="s">
        <v>285</v>
      </c>
      <c r="M3006" t="str">
        <f t="shared" si="194"/>
        <v>10</v>
      </c>
      <c r="N3006" t="s">
        <v>12</v>
      </c>
    </row>
    <row r="3007" spans="1:14" x14ac:dyDescent="0.25">
      <c r="A3007">
        <v>20151016</v>
      </c>
      <c r="B3007" t="str">
        <f t="shared" si="195"/>
        <v>060741</v>
      </c>
      <c r="C3007" t="str">
        <f t="shared" si="196"/>
        <v>46351</v>
      </c>
      <c r="D3007" t="s">
        <v>2518</v>
      </c>
      <c r="E3007" s="3">
        <v>633.32000000000005</v>
      </c>
      <c r="F3007">
        <v>20151016</v>
      </c>
      <c r="G3007" t="s">
        <v>1995</v>
      </c>
      <c r="H3007" t="s">
        <v>2522</v>
      </c>
      <c r="I3007">
        <v>0</v>
      </c>
      <c r="J3007" t="s">
        <v>1709</v>
      </c>
      <c r="K3007" t="s">
        <v>235</v>
      </c>
      <c r="L3007" t="s">
        <v>285</v>
      </c>
      <c r="M3007" t="str">
        <f t="shared" si="194"/>
        <v>10</v>
      </c>
      <c r="N3007" t="s">
        <v>12</v>
      </c>
    </row>
    <row r="3008" spans="1:14" x14ac:dyDescent="0.25">
      <c r="A3008">
        <v>20151016</v>
      </c>
      <c r="B3008" t="str">
        <f t="shared" si="195"/>
        <v>060741</v>
      </c>
      <c r="C3008" t="str">
        <f t="shared" si="196"/>
        <v>46351</v>
      </c>
      <c r="D3008" t="s">
        <v>2518</v>
      </c>
      <c r="E3008" s="3">
        <v>4248.04</v>
      </c>
      <c r="F3008">
        <v>20151016</v>
      </c>
      <c r="G3008" t="s">
        <v>2523</v>
      </c>
      <c r="H3008" t="s">
        <v>2519</v>
      </c>
      <c r="I3008">
        <v>0</v>
      </c>
      <c r="J3008" t="s">
        <v>1709</v>
      </c>
      <c r="K3008" t="s">
        <v>1942</v>
      </c>
      <c r="L3008" t="s">
        <v>285</v>
      </c>
      <c r="M3008" t="str">
        <f t="shared" si="194"/>
        <v>10</v>
      </c>
      <c r="N3008" t="s">
        <v>12</v>
      </c>
    </row>
    <row r="3009" spans="1:14" x14ac:dyDescent="0.25">
      <c r="A3009">
        <v>20151016</v>
      </c>
      <c r="B3009" t="str">
        <f t="shared" si="195"/>
        <v>060741</v>
      </c>
      <c r="C3009" t="str">
        <f t="shared" si="196"/>
        <v>46351</v>
      </c>
      <c r="D3009" t="s">
        <v>2518</v>
      </c>
      <c r="E3009" s="3">
        <v>4248.04</v>
      </c>
      <c r="F3009">
        <v>20151016</v>
      </c>
      <c r="G3009" t="s">
        <v>2523</v>
      </c>
      <c r="H3009" t="s">
        <v>2520</v>
      </c>
      <c r="I3009">
        <v>0</v>
      </c>
      <c r="J3009" t="s">
        <v>1709</v>
      </c>
      <c r="K3009" t="s">
        <v>1942</v>
      </c>
      <c r="L3009" t="s">
        <v>285</v>
      </c>
      <c r="M3009" t="str">
        <f t="shared" si="194"/>
        <v>10</v>
      </c>
      <c r="N3009" t="s">
        <v>12</v>
      </c>
    </row>
    <row r="3010" spans="1:14" x14ac:dyDescent="0.25">
      <c r="A3010">
        <v>20151016</v>
      </c>
      <c r="B3010" t="str">
        <f>"060744"</f>
        <v>060744</v>
      </c>
      <c r="C3010" t="str">
        <f>"47728"</f>
        <v>47728</v>
      </c>
      <c r="D3010" t="s">
        <v>2329</v>
      </c>
      <c r="E3010" s="3">
        <v>30</v>
      </c>
      <c r="F3010">
        <v>20151016</v>
      </c>
      <c r="G3010" t="s">
        <v>1786</v>
      </c>
      <c r="H3010" t="s">
        <v>2524</v>
      </c>
      <c r="I3010">
        <v>0</v>
      </c>
      <c r="J3010" t="s">
        <v>1709</v>
      </c>
      <c r="K3010" t="s">
        <v>290</v>
      </c>
      <c r="L3010" t="s">
        <v>285</v>
      </c>
      <c r="M3010" t="str">
        <f t="shared" si="194"/>
        <v>10</v>
      </c>
      <c r="N3010" t="s">
        <v>12</v>
      </c>
    </row>
    <row r="3011" spans="1:14" x14ac:dyDescent="0.25">
      <c r="A3011">
        <v>20151016</v>
      </c>
      <c r="B3011" t="str">
        <f>"060747"</f>
        <v>060747</v>
      </c>
      <c r="C3011" t="str">
        <f>"49748"</f>
        <v>49748</v>
      </c>
      <c r="D3011" t="s">
        <v>1885</v>
      </c>
      <c r="E3011" s="3">
        <v>125.87</v>
      </c>
      <c r="F3011">
        <v>20151016</v>
      </c>
      <c r="G3011" t="s">
        <v>1961</v>
      </c>
      <c r="H3011" t="s">
        <v>2184</v>
      </c>
      <c r="I3011">
        <v>0</v>
      </c>
      <c r="J3011" t="s">
        <v>1709</v>
      </c>
      <c r="K3011" t="s">
        <v>290</v>
      </c>
      <c r="L3011" t="s">
        <v>285</v>
      </c>
      <c r="M3011" t="str">
        <f t="shared" si="194"/>
        <v>10</v>
      </c>
      <c r="N3011" t="s">
        <v>12</v>
      </c>
    </row>
    <row r="3012" spans="1:14" x14ac:dyDescent="0.25">
      <c r="A3012">
        <v>20151016</v>
      </c>
      <c r="B3012" t="str">
        <f>"060749"</f>
        <v>060749</v>
      </c>
      <c r="C3012" t="str">
        <f>"51475"</f>
        <v>51475</v>
      </c>
      <c r="D3012" t="s">
        <v>2352</v>
      </c>
      <c r="E3012" s="3">
        <v>5.57</v>
      </c>
      <c r="F3012">
        <v>20151016</v>
      </c>
      <c r="G3012" t="s">
        <v>2525</v>
      </c>
      <c r="H3012" t="s">
        <v>2526</v>
      </c>
      <c r="I3012">
        <v>0</v>
      </c>
      <c r="J3012" t="s">
        <v>1709</v>
      </c>
      <c r="K3012" t="s">
        <v>2194</v>
      </c>
      <c r="L3012" t="s">
        <v>285</v>
      </c>
      <c r="M3012" t="str">
        <f t="shared" si="194"/>
        <v>10</v>
      </c>
      <c r="N3012" t="s">
        <v>12</v>
      </c>
    </row>
    <row r="3013" spans="1:14" x14ac:dyDescent="0.25">
      <c r="A3013">
        <v>20151016</v>
      </c>
      <c r="B3013" t="str">
        <f>"060749"</f>
        <v>060749</v>
      </c>
      <c r="C3013" t="str">
        <f>"51475"</f>
        <v>51475</v>
      </c>
      <c r="D3013" t="s">
        <v>2352</v>
      </c>
      <c r="E3013" s="3">
        <v>83.87</v>
      </c>
      <c r="F3013">
        <v>20151016</v>
      </c>
      <c r="G3013" t="s">
        <v>2525</v>
      </c>
      <c r="H3013" t="s">
        <v>2527</v>
      </c>
      <c r="I3013">
        <v>0</v>
      </c>
      <c r="J3013" t="s">
        <v>1709</v>
      </c>
      <c r="K3013" t="s">
        <v>2194</v>
      </c>
      <c r="L3013" t="s">
        <v>285</v>
      </c>
      <c r="M3013" t="str">
        <f t="shared" si="194"/>
        <v>10</v>
      </c>
      <c r="N3013" t="s">
        <v>12</v>
      </c>
    </row>
    <row r="3014" spans="1:14" x14ac:dyDescent="0.25">
      <c r="A3014">
        <v>20151016</v>
      </c>
      <c r="B3014" t="str">
        <f>"060750"</f>
        <v>060750</v>
      </c>
      <c r="C3014" t="str">
        <f>"51911"</f>
        <v>51911</v>
      </c>
      <c r="D3014" t="s">
        <v>2528</v>
      </c>
      <c r="E3014" s="3">
        <v>145</v>
      </c>
      <c r="F3014">
        <v>20151016</v>
      </c>
      <c r="G3014" t="s">
        <v>2529</v>
      </c>
      <c r="H3014" t="s">
        <v>2530</v>
      </c>
      <c r="I3014">
        <v>0</v>
      </c>
      <c r="J3014" t="s">
        <v>1709</v>
      </c>
      <c r="K3014" t="s">
        <v>95</v>
      </c>
      <c r="L3014" t="s">
        <v>285</v>
      </c>
      <c r="M3014" t="str">
        <f t="shared" si="194"/>
        <v>10</v>
      </c>
      <c r="N3014" t="s">
        <v>12</v>
      </c>
    </row>
    <row r="3015" spans="1:14" x14ac:dyDescent="0.25">
      <c r="A3015">
        <v>20151016</v>
      </c>
      <c r="B3015" t="str">
        <f>"060750"</f>
        <v>060750</v>
      </c>
      <c r="C3015" t="str">
        <f>"51911"</f>
        <v>51911</v>
      </c>
      <c r="D3015" t="s">
        <v>2528</v>
      </c>
      <c r="E3015" s="3">
        <v>76</v>
      </c>
      <c r="F3015">
        <v>20151016</v>
      </c>
      <c r="G3015" t="s">
        <v>2110</v>
      </c>
      <c r="H3015" t="s">
        <v>2531</v>
      </c>
      <c r="I3015">
        <v>0</v>
      </c>
      <c r="J3015" t="s">
        <v>1709</v>
      </c>
      <c r="K3015" t="s">
        <v>33</v>
      </c>
      <c r="L3015" t="s">
        <v>285</v>
      </c>
      <c r="M3015" t="str">
        <f t="shared" si="194"/>
        <v>10</v>
      </c>
      <c r="N3015" t="s">
        <v>12</v>
      </c>
    </row>
    <row r="3016" spans="1:14" x14ac:dyDescent="0.25">
      <c r="A3016">
        <v>20151016</v>
      </c>
      <c r="B3016" t="str">
        <f>"060751"</f>
        <v>060751</v>
      </c>
      <c r="C3016" t="str">
        <f>"54104"</f>
        <v>54104</v>
      </c>
      <c r="D3016" t="s">
        <v>2532</v>
      </c>
      <c r="E3016" s="3">
        <v>2925</v>
      </c>
      <c r="F3016">
        <v>20151016</v>
      </c>
      <c r="G3016" t="s">
        <v>2533</v>
      </c>
      <c r="H3016" t="s">
        <v>2509</v>
      </c>
      <c r="I3016">
        <v>0</v>
      </c>
      <c r="J3016" t="s">
        <v>1709</v>
      </c>
      <c r="K3016" t="s">
        <v>290</v>
      </c>
      <c r="L3016" t="s">
        <v>285</v>
      </c>
      <c r="M3016" t="str">
        <f t="shared" si="194"/>
        <v>10</v>
      </c>
      <c r="N3016" t="s">
        <v>12</v>
      </c>
    </row>
    <row r="3017" spans="1:14" x14ac:dyDescent="0.25">
      <c r="A3017">
        <v>20151016</v>
      </c>
      <c r="B3017" t="str">
        <f>"060755"</f>
        <v>060755</v>
      </c>
      <c r="C3017" t="str">
        <f>"56553"</f>
        <v>56553</v>
      </c>
      <c r="D3017" t="s">
        <v>2534</v>
      </c>
      <c r="E3017" s="3">
        <v>10</v>
      </c>
      <c r="F3017">
        <v>20151016</v>
      </c>
      <c r="G3017" t="s">
        <v>2535</v>
      </c>
      <c r="H3017" t="s">
        <v>2536</v>
      </c>
      <c r="I3017">
        <v>0</v>
      </c>
      <c r="J3017" t="s">
        <v>1709</v>
      </c>
      <c r="K3017" t="s">
        <v>290</v>
      </c>
      <c r="L3017" t="s">
        <v>285</v>
      </c>
      <c r="M3017" t="str">
        <f t="shared" si="194"/>
        <v>10</v>
      </c>
      <c r="N3017" t="s">
        <v>12</v>
      </c>
    </row>
    <row r="3018" spans="1:14" x14ac:dyDescent="0.25">
      <c r="A3018">
        <v>20151016</v>
      </c>
      <c r="B3018" t="str">
        <f>"060755"</f>
        <v>060755</v>
      </c>
      <c r="C3018" t="str">
        <f>"56553"</f>
        <v>56553</v>
      </c>
      <c r="D3018" t="s">
        <v>2534</v>
      </c>
      <c r="E3018" s="3">
        <v>160</v>
      </c>
      <c r="F3018">
        <v>20151016</v>
      </c>
      <c r="G3018" t="s">
        <v>2537</v>
      </c>
      <c r="H3018" t="s">
        <v>2536</v>
      </c>
      <c r="I3018">
        <v>0</v>
      </c>
      <c r="J3018" t="s">
        <v>1709</v>
      </c>
      <c r="K3018" t="s">
        <v>290</v>
      </c>
      <c r="L3018" t="s">
        <v>285</v>
      </c>
      <c r="M3018" t="str">
        <f t="shared" si="194"/>
        <v>10</v>
      </c>
      <c r="N3018" t="s">
        <v>12</v>
      </c>
    </row>
    <row r="3019" spans="1:14" x14ac:dyDescent="0.25">
      <c r="A3019">
        <v>20151016</v>
      </c>
      <c r="B3019" t="str">
        <f>"060757"</f>
        <v>060757</v>
      </c>
      <c r="C3019" t="str">
        <f>"57333"</f>
        <v>57333</v>
      </c>
      <c r="D3019" t="s">
        <v>2538</v>
      </c>
      <c r="E3019" s="3">
        <v>58.88</v>
      </c>
      <c r="F3019">
        <v>20151016</v>
      </c>
      <c r="G3019" t="s">
        <v>2539</v>
      </c>
      <c r="H3019" t="s">
        <v>2540</v>
      </c>
      <c r="I3019">
        <v>0</v>
      </c>
      <c r="J3019" t="s">
        <v>1709</v>
      </c>
      <c r="K3019" t="s">
        <v>290</v>
      </c>
      <c r="L3019" t="s">
        <v>285</v>
      </c>
      <c r="M3019" t="str">
        <f t="shared" si="194"/>
        <v>10</v>
      </c>
      <c r="N3019" t="s">
        <v>12</v>
      </c>
    </row>
    <row r="3020" spans="1:14" x14ac:dyDescent="0.25">
      <c r="A3020">
        <v>20151016</v>
      </c>
      <c r="B3020" t="str">
        <f>"060757"</f>
        <v>060757</v>
      </c>
      <c r="C3020" t="str">
        <f>"57333"</f>
        <v>57333</v>
      </c>
      <c r="D3020" t="s">
        <v>2538</v>
      </c>
      <c r="E3020" s="3">
        <v>52.5</v>
      </c>
      <c r="F3020">
        <v>20151016</v>
      </c>
      <c r="G3020" t="s">
        <v>2541</v>
      </c>
      <c r="H3020" t="s">
        <v>2540</v>
      </c>
      <c r="I3020">
        <v>0</v>
      </c>
      <c r="J3020" t="s">
        <v>1709</v>
      </c>
      <c r="K3020" t="s">
        <v>95</v>
      </c>
      <c r="L3020" t="s">
        <v>285</v>
      </c>
      <c r="M3020" t="str">
        <f t="shared" si="194"/>
        <v>10</v>
      </c>
      <c r="N3020" t="s">
        <v>12</v>
      </c>
    </row>
    <row r="3021" spans="1:14" x14ac:dyDescent="0.25">
      <c r="A3021">
        <v>20151016</v>
      </c>
      <c r="B3021" t="str">
        <f>"060757"</f>
        <v>060757</v>
      </c>
      <c r="C3021" t="str">
        <f>"57333"</f>
        <v>57333</v>
      </c>
      <c r="D3021" t="s">
        <v>2538</v>
      </c>
      <c r="E3021" s="3">
        <v>65.239999999999995</v>
      </c>
      <c r="F3021">
        <v>20151016</v>
      </c>
      <c r="G3021" t="s">
        <v>2542</v>
      </c>
      <c r="H3021" t="s">
        <v>2540</v>
      </c>
      <c r="I3021">
        <v>0</v>
      </c>
      <c r="J3021" t="s">
        <v>1709</v>
      </c>
      <c r="K3021" t="s">
        <v>1643</v>
      </c>
      <c r="L3021" t="s">
        <v>285</v>
      </c>
      <c r="M3021" t="str">
        <f t="shared" si="194"/>
        <v>10</v>
      </c>
      <c r="N3021" t="s">
        <v>12</v>
      </c>
    </row>
    <row r="3022" spans="1:14" x14ac:dyDescent="0.25">
      <c r="A3022">
        <v>20151016</v>
      </c>
      <c r="B3022" t="str">
        <f>"060757"</f>
        <v>060757</v>
      </c>
      <c r="C3022" t="str">
        <f>"57333"</f>
        <v>57333</v>
      </c>
      <c r="D3022" t="s">
        <v>2538</v>
      </c>
      <c r="E3022" s="3">
        <v>58.88</v>
      </c>
      <c r="F3022">
        <v>20151016</v>
      </c>
      <c r="G3022" t="s">
        <v>2543</v>
      </c>
      <c r="H3022" t="s">
        <v>2540</v>
      </c>
      <c r="I3022">
        <v>0</v>
      </c>
      <c r="J3022" t="s">
        <v>1709</v>
      </c>
      <c r="K3022" t="s">
        <v>33</v>
      </c>
      <c r="L3022" t="s">
        <v>285</v>
      </c>
      <c r="M3022" t="str">
        <f t="shared" si="194"/>
        <v>10</v>
      </c>
      <c r="N3022" t="s">
        <v>12</v>
      </c>
    </row>
    <row r="3023" spans="1:14" x14ac:dyDescent="0.25">
      <c r="A3023">
        <v>20151016</v>
      </c>
      <c r="B3023" t="str">
        <f>"060758"</f>
        <v>060758</v>
      </c>
      <c r="C3023" t="str">
        <f>"57697"</f>
        <v>57697</v>
      </c>
      <c r="D3023" t="s">
        <v>1897</v>
      </c>
      <c r="E3023" s="3">
        <v>191.68</v>
      </c>
      <c r="F3023">
        <v>20151016</v>
      </c>
      <c r="G3023" t="s">
        <v>2004</v>
      </c>
      <c r="H3023" t="s">
        <v>1730</v>
      </c>
      <c r="I3023">
        <v>0</v>
      </c>
      <c r="J3023" t="s">
        <v>1709</v>
      </c>
      <c r="K3023" t="s">
        <v>290</v>
      </c>
      <c r="L3023" t="s">
        <v>285</v>
      </c>
      <c r="M3023" t="str">
        <f t="shared" si="194"/>
        <v>10</v>
      </c>
      <c r="N3023" t="s">
        <v>12</v>
      </c>
    </row>
    <row r="3024" spans="1:14" x14ac:dyDescent="0.25">
      <c r="A3024">
        <v>20151016</v>
      </c>
      <c r="B3024" t="str">
        <f>"060758"</f>
        <v>060758</v>
      </c>
      <c r="C3024" t="str">
        <f>"57697"</f>
        <v>57697</v>
      </c>
      <c r="D3024" t="s">
        <v>1897</v>
      </c>
      <c r="E3024" s="3">
        <v>203.5</v>
      </c>
      <c r="F3024">
        <v>20151016</v>
      </c>
      <c r="G3024" t="s">
        <v>2004</v>
      </c>
      <c r="H3024" t="s">
        <v>2402</v>
      </c>
      <c r="I3024">
        <v>0</v>
      </c>
      <c r="J3024" t="s">
        <v>1709</v>
      </c>
      <c r="K3024" t="s">
        <v>290</v>
      </c>
      <c r="L3024" t="s">
        <v>285</v>
      </c>
      <c r="M3024" t="str">
        <f t="shared" si="194"/>
        <v>10</v>
      </c>
      <c r="N3024" t="s">
        <v>12</v>
      </c>
    </row>
    <row r="3025" spans="1:14" x14ac:dyDescent="0.25">
      <c r="A3025">
        <v>20151016</v>
      </c>
      <c r="B3025" t="str">
        <f>"060760"</f>
        <v>060760</v>
      </c>
      <c r="C3025" t="str">
        <f>"58173"</f>
        <v>58173</v>
      </c>
      <c r="D3025" t="s">
        <v>2544</v>
      </c>
      <c r="E3025" s="3">
        <v>653.75</v>
      </c>
      <c r="F3025">
        <v>20151016</v>
      </c>
      <c r="G3025" t="s">
        <v>2545</v>
      </c>
      <c r="H3025" t="s">
        <v>1842</v>
      </c>
      <c r="I3025">
        <v>0</v>
      </c>
      <c r="J3025" t="s">
        <v>1709</v>
      </c>
      <c r="K3025" t="s">
        <v>1861</v>
      </c>
      <c r="L3025" t="s">
        <v>285</v>
      </c>
      <c r="M3025" t="str">
        <f t="shared" si="194"/>
        <v>10</v>
      </c>
      <c r="N3025" t="s">
        <v>12</v>
      </c>
    </row>
    <row r="3026" spans="1:14" x14ac:dyDescent="0.25">
      <c r="A3026">
        <v>20151016</v>
      </c>
      <c r="B3026" t="str">
        <f>"060762"</f>
        <v>060762</v>
      </c>
      <c r="C3026" t="str">
        <f>"58210"</f>
        <v>58210</v>
      </c>
      <c r="D3026" t="s">
        <v>2546</v>
      </c>
      <c r="E3026" s="3">
        <v>19.809999999999999</v>
      </c>
      <c r="F3026">
        <v>20151016</v>
      </c>
      <c r="G3026" t="s">
        <v>2547</v>
      </c>
      <c r="H3026" t="s">
        <v>2548</v>
      </c>
      <c r="I3026">
        <v>0</v>
      </c>
      <c r="J3026" t="s">
        <v>1709</v>
      </c>
      <c r="K3026" t="s">
        <v>1643</v>
      </c>
      <c r="L3026" t="s">
        <v>285</v>
      </c>
      <c r="M3026" t="str">
        <f t="shared" si="194"/>
        <v>10</v>
      </c>
      <c r="N3026" t="s">
        <v>12</v>
      </c>
    </row>
    <row r="3027" spans="1:14" x14ac:dyDescent="0.25">
      <c r="A3027">
        <v>20151016</v>
      </c>
      <c r="B3027" t="str">
        <f>"060762"</f>
        <v>060762</v>
      </c>
      <c r="C3027" t="str">
        <f>"58210"</f>
        <v>58210</v>
      </c>
      <c r="D3027" t="s">
        <v>2546</v>
      </c>
      <c r="E3027" s="3">
        <v>19.809999999999999</v>
      </c>
      <c r="F3027">
        <v>20151016</v>
      </c>
      <c r="G3027" t="s">
        <v>2168</v>
      </c>
      <c r="H3027" t="s">
        <v>2548</v>
      </c>
      <c r="I3027">
        <v>0</v>
      </c>
      <c r="J3027" t="s">
        <v>1709</v>
      </c>
      <c r="K3027" t="s">
        <v>33</v>
      </c>
      <c r="L3027" t="s">
        <v>285</v>
      </c>
      <c r="M3027" t="str">
        <f t="shared" si="194"/>
        <v>10</v>
      </c>
      <c r="N3027" t="s">
        <v>12</v>
      </c>
    </row>
    <row r="3028" spans="1:14" x14ac:dyDescent="0.25">
      <c r="A3028">
        <v>20151016</v>
      </c>
      <c r="B3028" t="str">
        <f>"060763"</f>
        <v>060763</v>
      </c>
      <c r="C3028" t="str">
        <f>"58987"</f>
        <v>58987</v>
      </c>
      <c r="D3028" t="s">
        <v>2549</v>
      </c>
      <c r="E3028" s="3">
        <v>194.75</v>
      </c>
      <c r="F3028">
        <v>20151016</v>
      </c>
      <c r="G3028" t="s">
        <v>2232</v>
      </c>
      <c r="H3028" t="s">
        <v>2550</v>
      </c>
      <c r="I3028">
        <v>0</v>
      </c>
      <c r="J3028" t="s">
        <v>1709</v>
      </c>
      <c r="K3028" t="s">
        <v>290</v>
      </c>
      <c r="L3028" t="s">
        <v>285</v>
      </c>
      <c r="M3028" t="str">
        <f t="shared" si="194"/>
        <v>10</v>
      </c>
      <c r="N3028" t="s">
        <v>12</v>
      </c>
    </row>
    <row r="3029" spans="1:14" x14ac:dyDescent="0.25">
      <c r="A3029">
        <v>20151016</v>
      </c>
      <c r="B3029" t="str">
        <f>"060763"</f>
        <v>060763</v>
      </c>
      <c r="C3029" t="str">
        <f>"58987"</f>
        <v>58987</v>
      </c>
      <c r="D3029" t="s">
        <v>2549</v>
      </c>
      <c r="E3029" s="3">
        <v>194.75</v>
      </c>
      <c r="F3029">
        <v>20151016</v>
      </c>
      <c r="G3029" t="s">
        <v>2234</v>
      </c>
      <c r="H3029" t="s">
        <v>2550</v>
      </c>
      <c r="I3029">
        <v>0</v>
      </c>
      <c r="J3029" t="s">
        <v>1709</v>
      </c>
      <c r="K3029" t="s">
        <v>290</v>
      </c>
      <c r="L3029" t="s">
        <v>285</v>
      </c>
      <c r="M3029" t="str">
        <f t="shared" si="194"/>
        <v>10</v>
      </c>
      <c r="N3029" t="s">
        <v>12</v>
      </c>
    </row>
    <row r="3030" spans="1:14" x14ac:dyDescent="0.25">
      <c r="A3030">
        <v>20151016</v>
      </c>
      <c r="B3030" t="str">
        <f>"060765"</f>
        <v>060765</v>
      </c>
      <c r="C3030" t="str">
        <f>"59097"</f>
        <v>59097</v>
      </c>
      <c r="D3030" t="s">
        <v>1755</v>
      </c>
      <c r="E3030" s="3">
        <v>213.98</v>
      </c>
      <c r="F3030">
        <v>20151016</v>
      </c>
      <c r="G3030" t="s">
        <v>2317</v>
      </c>
      <c r="H3030" t="s">
        <v>2073</v>
      </c>
      <c r="I3030">
        <v>0</v>
      </c>
      <c r="J3030" t="s">
        <v>1709</v>
      </c>
      <c r="K3030" t="s">
        <v>290</v>
      </c>
      <c r="L3030" t="s">
        <v>285</v>
      </c>
      <c r="M3030" t="str">
        <f t="shared" si="194"/>
        <v>10</v>
      </c>
      <c r="N3030" t="s">
        <v>12</v>
      </c>
    </row>
    <row r="3031" spans="1:14" x14ac:dyDescent="0.25">
      <c r="A3031">
        <v>20151016</v>
      </c>
      <c r="B3031" t="str">
        <f>"060766"</f>
        <v>060766</v>
      </c>
      <c r="C3031" t="str">
        <f>"60835"</f>
        <v>60835</v>
      </c>
      <c r="D3031" t="s">
        <v>1904</v>
      </c>
      <c r="E3031" s="3">
        <v>1150</v>
      </c>
      <c r="F3031">
        <v>20151016</v>
      </c>
      <c r="G3031" t="s">
        <v>1854</v>
      </c>
      <c r="H3031" t="s">
        <v>2551</v>
      </c>
      <c r="I3031">
        <v>0</v>
      </c>
      <c r="J3031" t="s">
        <v>1709</v>
      </c>
      <c r="K3031" t="s">
        <v>1856</v>
      </c>
      <c r="L3031" t="s">
        <v>285</v>
      </c>
      <c r="M3031" t="str">
        <f t="shared" si="194"/>
        <v>10</v>
      </c>
      <c r="N3031" t="s">
        <v>12</v>
      </c>
    </row>
    <row r="3032" spans="1:14" x14ac:dyDescent="0.25">
      <c r="A3032">
        <v>20151016</v>
      </c>
      <c r="B3032" t="str">
        <f>"060769"</f>
        <v>060769</v>
      </c>
      <c r="C3032" t="str">
        <f>"62281"</f>
        <v>62281</v>
      </c>
      <c r="D3032" t="s">
        <v>2552</v>
      </c>
      <c r="E3032" s="3">
        <v>150</v>
      </c>
      <c r="F3032">
        <v>20151016</v>
      </c>
      <c r="G3032" t="s">
        <v>2449</v>
      </c>
      <c r="H3032" t="s">
        <v>2057</v>
      </c>
      <c r="I3032">
        <v>0</v>
      </c>
      <c r="J3032" t="s">
        <v>1709</v>
      </c>
      <c r="K3032" t="s">
        <v>290</v>
      </c>
      <c r="L3032" t="s">
        <v>285</v>
      </c>
      <c r="M3032" t="str">
        <f t="shared" si="194"/>
        <v>10</v>
      </c>
      <c r="N3032" t="s">
        <v>12</v>
      </c>
    </row>
    <row r="3033" spans="1:14" x14ac:dyDescent="0.25">
      <c r="A3033">
        <v>20151016</v>
      </c>
      <c r="B3033" t="str">
        <f>"060772"</f>
        <v>060772</v>
      </c>
      <c r="C3033" t="str">
        <f>"63053"</f>
        <v>63053</v>
      </c>
      <c r="D3033" t="s">
        <v>2012</v>
      </c>
      <c r="E3033" s="3">
        <v>160</v>
      </c>
      <c r="F3033">
        <v>20151016</v>
      </c>
      <c r="G3033" t="s">
        <v>2553</v>
      </c>
      <c r="H3033" t="s">
        <v>2190</v>
      </c>
      <c r="I3033">
        <v>0</v>
      </c>
      <c r="J3033" t="s">
        <v>1709</v>
      </c>
      <c r="K3033" t="s">
        <v>290</v>
      </c>
      <c r="L3033" t="s">
        <v>285</v>
      </c>
      <c r="M3033" t="str">
        <f t="shared" si="194"/>
        <v>10</v>
      </c>
      <c r="N3033" t="s">
        <v>12</v>
      </c>
    </row>
    <row r="3034" spans="1:14" x14ac:dyDescent="0.25">
      <c r="A3034">
        <v>20151016</v>
      </c>
      <c r="B3034" t="str">
        <f>"060773"</f>
        <v>060773</v>
      </c>
      <c r="C3034" t="str">
        <f>"63053"</f>
        <v>63053</v>
      </c>
      <c r="D3034" t="s">
        <v>2012</v>
      </c>
      <c r="E3034" s="3">
        <v>115</v>
      </c>
      <c r="F3034">
        <v>20151016</v>
      </c>
      <c r="G3034" t="s">
        <v>2553</v>
      </c>
      <c r="H3034" t="s">
        <v>2554</v>
      </c>
      <c r="I3034">
        <v>0</v>
      </c>
      <c r="J3034" t="s">
        <v>1709</v>
      </c>
      <c r="K3034" t="s">
        <v>290</v>
      </c>
      <c r="L3034" t="s">
        <v>285</v>
      </c>
      <c r="M3034" t="str">
        <f t="shared" si="194"/>
        <v>10</v>
      </c>
      <c r="N3034" t="s">
        <v>12</v>
      </c>
    </row>
    <row r="3035" spans="1:14" x14ac:dyDescent="0.25">
      <c r="A3035">
        <v>20151016</v>
      </c>
      <c r="B3035" t="str">
        <f>"060777"</f>
        <v>060777</v>
      </c>
      <c r="C3035" t="str">
        <f>"64789"</f>
        <v>64789</v>
      </c>
      <c r="D3035" t="s">
        <v>2555</v>
      </c>
      <c r="E3035" s="3">
        <v>250</v>
      </c>
      <c r="F3035">
        <v>20151016</v>
      </c>
      <c r="G3035" t="s">
        <v>1718</v>
      </c>
      <c r="H3035" t="s">
        <v>2556</v>
      </c>
      <c r="I3035">
        <v>0</v>
      </c>
      <c r="J3035" t="s">
        <v>1709</v>
      </c>
      <c r="K3035" t="s">
        <v>235</v>
      </c>
      <c r="L3035" t="s">
        <v>285</v>
      </c>
      <c r="M3035" t="str">
        <f t="shared" si="194"/>
        <v>10</v>
      </c>
      <c r="N3035" t="s">
        <v>12</v>
      </c>
    </row>
    <row r="3036" spans="1:14" x14ac:dyDescent="0.25">
      <c r="A3036">
        <v>20151016</v>
      </c>
      <c r="B3036" t="str">
        <f>"060777"</f>
        <v>060777</v>
      </c>
      <c r="C3036" t="str">
        <f>"64789"</f>
        <v>64789</v>
      </c>
      <c r="D3036" t="s">
        <v>2555</v>
      </c>
      <c r="E3036" s="3">
        <v>120</v>
      </c>
      <c r="F3036">
        <v>20151016</v>
      </c>
      <c r="G3036" t="s">
        <v>1718</v>
      </c>
      <c r="H3036" t="s">
        <v>2557</v>
      </c>
      <c r="I3036">
        <v>0</v>
      </c>
      <c r="J3036" t="s">
        <v>1709</v>
      </c>
      <c r="K3036" t="s">
        <v>235</v>
      </c>
      <c r="L3036" t="s">
        <v>285</v>
      </c>
      <c r="M3036" t="str">
        <f t="shared" si="194"/>
        <v>10</v>
      </c>
      <c r="N3036" t="s">
        <v>12</v>
      </c>
    </row>
    <row r="3037" spans="1:14" x14ac:dyDescent="0.25">
      <c r="A3037">
        <v>20151016</v>
      </c>
      <c r="B3037" t="str">
        <f>"060778"</f>
        <v>060778</v>
      </c>
      <c r="C3037" t="str">
        <f>"64837"</f>
        <v>64837</v>
      </c>
      <c r="D3037" t="s">
        <v>2558</v>
      </c>
      <c r="E3037" s="3">
        <v>150</v>
      </c>
      <c r="F3037">
        <v>20151016</v>
      </c>
      <c r="G3037" t="s">
        <v>2449</v>
      </c>
      <c r="H3037" t="s">
        <v>2057</v>
      </c>
      <c r="I3037">
        <v>0</v>
      </c>
      <c r="J3037" t="s">
        <v>1709</v>
      </c>
      <c r="K3037" t="s">
        <v>290</v>
      </c>
      <c r="L3037" t="s">
        <v>285</v>
      </c>
      <c r="M3037" t="str">
        <f t="shared" si="194"/>
        <v>10</v>
      </c>
      <c r="N3037" t="s">
        <v>12</v>
      </c>
    </row>
    <row r="3038" spans="1:14" x14ac:dyDescent="0.25">
      <c r="A3038">
        <v>20151016</v>
      </c>
      <c r="B3038" t="str">
        <f>"060779"</f>
        <v>060779</v>
      </c>
      <c r="C3038" t="str">
        <f>"64934"</f>
        <v>64934</v>
      </c>
      <c r="D3038" t="s">
        <v>2559</v>
      </c>
      <c r="E3038" s="3">
        <v>230.93</v>
      </c>
      <c r="F3038">
        <v>20151016</v>
      </c>
      <c r="G3038" t="s">
        <v>1840</v>
      </c>
      <c r="H3038" t="s">
        <v>1766</v>
      </c>
      <c r="I3038">
        <v>0</v>
      </c>
      <c r="J3038" t="s">
        <v>1709</v>
      </c>
      <c r="K3038" t="s">
        <v>1744</v>
      </c>
      <c r="L3038" t="s">
        <v>285</v>
      </c>
      <c r="M3038" t="str">
        <f t="shared" si="194"/>
        <v>10</v>
      </c>
      <c r="N3038" t="s">
        <v>12</v>
      </c>
    </row>
    <row r="3039" spans="1:14" x14ac:dyDescent="0.25">
      <c r="A3039">
        <v>20151016</v>
      </c>
      <c r="B3039" t="str">
        <f>"060780"</f>
        <v>060780</v>
      </c>
      <c r="C3039" t="str">
        <f>"64935"</f>
        <v>64935</v>
      </c>
      <c r="D3039" t="s">
        <v>2560</v>
      </c>
      <c r="E3039" s="3">
        <v>357.5</v>
      </c>
      <c r="F3039">
        <v>20151016</v>
      </c>
      <c r="G3039" t="s">
        <v>2192</v>
      </c>
      <c r="H3039" t="s">
        <v>2561</v>
      </c>
      <c r="I3039">
        <v>0</v>
      </c>
      <c r="J3039" t="s">
        <v>1709</v>
      </c>
      <c r="K3039" t="s">
        <v>2194</v>
      </c>
      <c r="L3039" t="s">
        <v>285</v>
      </c>
      <c r="M3039" t="str">
        <f t="shared" si="194"/>
        <v>10</v>
      </c>
      <c r="N3039" t="s">
        <v>12</v>
      </c>
    </row>
    <row r="3040" spans="1:14" x14ac:dyDescent="0.25">
      <c r="A3040">
        <v>20151016</v>
      </c>
      <c r="B3040" t="str">
        <f t="shared" ref="B3040:B3045" si="197">"060781"</f>
        <v>060781</v>
      </c>
      <c r="C3040" t="str">
        <f t="shared" ref="C3040:C3045" si="198">"65106"</f>
        <v>65106</v>
      </c>
      <c r="D3040" t="s">
        <v>1568</v>
      </c>
      <c r="E3040" s="3">
        <v>65.2</v>
      </c>
      <c r="F3040">
        <v>20151016</v>
      </c>
      <c r="G3040" t="s">
        <v>1974</v>
      </c>
      <c r="H3040" t="s">
        <v>2169</v>
      </c>
      <c r="I3040">
        <v>0</v>
      </c>
      <c r="J3040" t="s">
        <v>1709</v>
      </c>
      <c r="K3040" t="s">
        <v>290</v>
      </c>
      <c r="L3040" t="s">
        <v>285</v>
      </c>
      <c r="M3040" t="str">
        <f t="shared" si="194"/>
        <v>10</v>
      </c>
      <c r="N3040" t="s">
        <v>12</v>
      </c>
    </row>
    <row r="3041" spans="1:14" x14ac:dyDescent="0.25">
      <c r="A3041">
        <v>20151016</v>
      </c>
      <c r="B3041" t="str">
        <f t="shared" si="197"/>
        <v>060781</v>
      </c>
      <c r="C3041" t="str">
        <f t="shared" si="198"/>
        <v>65106</v>
      </c>
      <c r="D3041" t="s">
        <v>1568</v>
      </c>
      <c r="E3041" s="3">
        <v>185.49</v>
      </c>
      <c r="F3041">
        <v>20151016</v>
      </c>
      <c r="G3041" t="s">
        <v>2317</v>
      </c>
      <c r="H3041" t="s">
        <v>2562</v>
      </c>
      <c r="I3041">
        <v>0</v>
      </c>
      <c r="J3041" t="s">
        <v>1709</v>
      </c>
      <c r="K3041" t="s">
        <v>290</v>
      </c>
      <c r="L3041" t="s">
        <v>285</v>
      </c>
      <c r="M3041" t="str">
        <f t="shared" si="194"/>
        <v>10</v>
      </c>
      <c r="N3041" t="s">
        <v>12</v>
      </c>
    </row>
    <row r="3042" spans="1:14" x14ac:dyDescent="0.25">
      <c r="A3042">
        <v>20151016</v>
      </c>
      <c r="B3042" t="str">
        <f t="shared" si="197"/>
        <v>060781</v>
      </c>
      <c r="C3042" t="str">
        <f t="shared" si="198"/>
        <v>65106</v>
      </c>
      <c r="D3042" t="s">
        <v>1568</v>
      </c>
      <c r="E3042" s="3">
        <v>137.34</v>
      </c>
      <c r="F3042">
        <v>20151016</v>
      </c>
      <c r="G3042" t="s">
        <v>2317</v>
      </c>
      <c r="H3042" t="s">
        <v>2563</v>
      </c>
      <c r="I3042">
        <v>0</v>
      </c>
      <c r="J3042" t="s">
        <v>1709</v>
      </c>
      <c r="K3042" t="s">
        <v>290</v>
      </c>
      <c r="L3042" t="s">
        <v>285</v>
      </c>
      <c r="M3042" t="str">
        <f t="shared" si="194"/>
        <v>10</v>
      </c>
      <c r="N3042" t="s">
        <v>12</v>
      </c>
    </row>
    <row r="3043" spans="1:14" x14ac:dyDescent="0.25">
      <c r="A3043">
        <v>20151016</v>
      </c>
      <c r="B3043" t="str">
        <f t="shared" si="197"/>
        <v>060781</v>
      </c>
      <c r="C3043" t="str">
        <f t="shared" si="198"/>
        <v>65106</v>
      </c>
      <c r="D3043" t="s">
        <v>1568</v>
      </c>
      <c r="E3043" s="3">
        <v>37.28</v>
      </c>
      <c r="F3043">
        <v>20151016</v>
      </c>
      <c r="G3043" t="s">
        <v>1933</v>
      </c>
      <c r="H3043" t="s">
        <v>2564</v>
      </c>
      <c r="I3043">
        <v>0</v>
      </c>
      <c r="J3043" t="s">
        <v>1709</v>
      </c>
      <c r="K3043" t="s">
        <v>1558</v>
      </c>
      <c r="L3043" t="s">
        <v>285</v>
      </c>
      <c r="M3043" t="str">
        <f t="shared" si="194"/>
        <v>10</v>
      </c>
      <c r="N3043" t="s">
        <v>12</v>
      </c>
    </row>
    <row r="3044" spans="1:14" x14ac:dyDescent="0.25">
      <c r="A3044">
        <v>20151016</v>
      </c>
      <c r="B3044" t="str">
        <f t="shared" si="197"/>
        <v>060781</v>
      </c>
      <c r="C3044" t="str">
        <f t="shared" si="198"/>
        <v>65106</v>
      </c>
      <c r="D3044" t="s">
        <v>1568</v>
      </c>
      <c r="E3044" s="3">
        <v>229.72</v>
      </c>
      <c r="F3044">
        <v>20151016</v>
      </c>
      <c r="G3044" t="s">
        <v>2565</v>
      </c>
      <c r="H3044" t="s">
        <v>2566</v>
      </c>
      <c r="I3044">
        <v>0</v>
      </c>
      <c r="J3044" t="s">
        <v>1709</v>
      </c>
      <c r="K3044" t="s">
        <v>1558</v>
      </c>
      <c r="L3044" t="s">
        <v>285</v>
      </c>
      <c r="M3044" t="str">
        <f t="shared" si="194"/>
        <v>10</v>
      </c>
      <c r="N3044" t="s">
        <v>12</v>
      </c>
    </row>
    <row r="3045" spans="1:14" x14ac:dyDescent="0.25">
      <c r="A3045">
        <v>20151016</v>
      </c>
      <c r="B3045" t="str">
        <f t="shared" si="197"/>
        <v>060781</v>
      </c>
      <c r="C3045" t="str">
        <f t="shared" si="198"/>
        <v>65106</v>
      </c>
      <c r="D3045" t="s">
        <v>1568</v>
      </c>
      <c r="E3045" s="3">
        <v>71.58</v>
      </c>
      <c r="F3045">
        <v>20151016</v>
      </c>
      <c r="G3045" t="s">
        <v>2368</v>
      </c>
      <c r="H3045" t="s">
        <v>2023</v>
      </c>
      <c r="I3045">
        <v>0</v>
      </c>
      <c r="J3045" t="s">
        <v>1709</v>
      </c>
      <c r="K3045" t="s">
        <v>290</v>
      </c>
      <c r="L3045" t="s">
        <v>285</v>
      </c>
      <c r="M3045" t="str">
        <f t="shared" si="194"/>
        <v>10</v>
      </c>
      <c r="N3045" t="s">
        <v>12</v>
      </c>
    </row>
    <row r="3046" spans="1:14" x14ac:dyDescent="0.25">
      <c r="A3046">
        <v>20151016</v>
      </c>
      <c r="B3046" t="str">
        <f>"060784"</f>
        <v>060784</v>
      </c>
      <c r="C3046" t="str">
        <f>"64562"</f>
        <v>64562</v>
      </c>
      <c r="D3046" t="s">
        <v>2379</v>
      </c>
      <c r="E3046" s="3">
        <v>89.82</v>
      </c>
      <c r="F3046">
        <v>20151016</v>
      </c>
      <c r="G3046" t="s">
        <v>2567</v>
      </c>
      <c r="H3046" t="s">
        <v>2568</v>
      </c>
      <c r="I3046">
        <v>0</v>
      </c>
      <c r="J3046" t="s">
        <v>1709</v>
      </c>
      <c r="K3046" t="s">
        <v>33</v>
      </c>
      <c r="L3046" t="s">
        <v>285</v>
      </c>
      <c r="M3046" t="str">
        <f t="shared" si="194"/>
        <v>10</v>
      </c>
      <c r="N3046" t="s">
        <v>12</v>
      </c>
    </row>
    <row r="3047" spans="1:14" x14ac:dyDescent="0.25">
      <c r="A3047">
        <v>20151016</v>
      </c>
      <c r="B3047" t="str">
        <f>"060786"</f>
        <v>060786</v>
      </c>
      <c r="C3047" t="str">
        <f>"64650"</f>
        <v>64650</v>
      </c>
      <c r="D3047" t="s">
        <v>1918</v>
      </c>
      <c r="E3047" s="3">
        <v>144</v>
      </c>
      <c r="F3047">
        <v>20151016</v>
      </c>
      <c r="G3047" t="s">
        <v>2226</v>
      </c>
      <c r="H3047" t="s">
        <v>2569</v>
      </c>
      <c r="I3047">
        <v>0</v>
      </c>
      <c r="J3047" t="s">
        <v>1709</v>
      </c>
      <c r="K3047" t="s">
        <v>33</v>
      </c>
      <c r="L3047" t="s">
        <v>285</v>
      </c>
      <c r="M3047" t="str">
        <f t="shared" si="194"/>
        <v>10</v>
      </c>
      <c r="N3047" t="s">
        <v>12</v>
      </c>
    </row>
    <row r="3048" spans="1:14" x14ac:dyDescent="0.25">
      <c r="A3048">
        <v>20151016</v>
      </c>
      <c r="B3048" t="str">
        <f>"060786"</f>
        <v>060786</v>
      </c>
      <c r="C3048" t="str">
        <f>"64650"</f>
        <v>64650</v>
      </c>
      <c r="D3048" t="s">
        <v>1918</v>
      </c>
      <c r="E3048" s="3">
        <v>216</v>
      </c>
      <c r="F3048">
        <v>20151016</v>
      </c>
      <c r="G3048" t="s">
        <v>2570</v>
      </c>
      <c r="H3048" t="s">
        <v>2569</v>
      </c>
      <c r="I3048">
        <v>0</v>
      </c>
      <c r="J3048" t="s">
        <v>1709</v>
      </c>
      <c r="K3048" t="s">
        <v>95</v>
      </c>
      <c r="L3048" t="s">
        <v>285</v>
      </c>
      <c r="M3048" t="str">
        <f t="shared" si="194"/>
        <v>10</v>
      </c>
      <c r="N3048" t="s">
        <v>12</v>
      </c>
    </row>
    <row r="3049" spans="1:14" x14ac:dyDescent="0.25">
      <c r="A3049">
        <v>20151016</v>
      </c>
      <c r="B3049" t="str">
        <f>"060787"</f>
        <v>060787</v>
      </c>
      <c r="C3049" t="str">
        <f>"70238"</f>
        <v>70238</v>
      </c>
      <c r="D3049" t="s">
        <v>2571</v>
      </c>
      <c r="E3049" s="3">
        <v>1542.8</v>
      </c>
      <c r="F3049">
        <v>20151016</v>
      </c>
      <c r="G3049" t="s">
        <v>1780</v>
      </c>
      <c r="H3049" t="s">
        <v>491</v>
      </c>
      <c r="I3049">
        <v>0</v>
      </c>
      <c r="J3049" t="s">
        <v>1709</v>
      </c>
      <c r="K3049" t="s">
        <v>1782</v>
      </c>
      <c r="L3049" t="s">
        <v>285</v>
      </c>
      <c r="M3049" t="str">
        <f t="shared" si="194"/>
        <v>10</v>
      </c>
      <c r="N3049" t="s">
        <v>12</v>
      </c>
    </row>
    <row r="3050" spans="1:14" x14ac:dyDescent="0.25">
      <c r="A3050">
        <v>20151016</v>
      </c>
      <c r="B3050" t="str">
        <f>"060788"</f>
        <v>060788</v>
      </c>
      <c r="C3050" t="str">
        <f>"70668"</f>
        <v>70668</v>
      </c>
      <c r="D3050" t="s">
        <v>2572</v>
      </c>
      <c r="E3050" s="3">
        <v>392.43</v>
      </c>
      <c r="F3050">
        <v>20151016</v>
      </c>
      <c r="G3050" t="s">
        <v>2281</v>
      </c>
      <c r="H3050" t="s">
        <v>2573</v>
      </c>
      <c r="I3050">
        <v>0</v>
      </c>
      <c r="J3050" t="s">
        <v>1709</v>
      </c>
      <c r="K3050" t="s">
        <v>290</v>
      </c>
      <c r="L3050" t="s">
        <v>285</v>
      </c>
      <c r="M3050" t="str">
        <f t="shared" si="194"/>
        <v>10</v>
      </c>
      <c r="N3050" t="s">
        <v>12</v>
      </c>
    </row>
    <row r="3051" spans="1:14" x14ac:dyDescent="0.25">
      <c r="A3051">
        <v>20151016</v>
      </c>
      <c r="B3051" t="str">
        <f>"060789"</f>
        <v>060789</v>
      </c>
      <c r="C3051" t="str">
        <f>"71250"</f>
        <v>71250</v>
      </c>
      <c r="D3051" t="s">
        <v>2574</v>
      </c>
      <c r="E3051" s="3">
        <v>300</v>
      </c>
      <c r="F3051">
        <v>20151016</v>
      </c>
      <c r="G3051" t="s">
        <v>2333</v>
      </c>
      <c r="H3051" t="s">
        <v>2575</v>
      </c>
      <c r="I3051">
        <v>0</v>
      </c>
      <c r="J3051" t="s">
        <v>1709</v>
      </c>
      <c r="K3051" t="s">
        <v>290</v>
      </c>
      <c r="L3051" t="s">
        <v>285</v>
      </c>
      <c r="M3051" t="str">
        <f t="shared" si="194"/>
        <v>10</v>
      </c>
      <c r="N3051" t="s">
        <v>12</v>
      </c>
    </row>
    <row r="3052" spans="1:14" x14ac:dyDescent="0.25">
      <c r="A3052">
        <v>20151016</v>
      </c>
      <c r="B3052" t="str">
        <f>"060789"</f>
        <v>060789</v>
      </c>
      <c r="C3052" t="str">
        <f>"71250"</f>
        <v>71250</v>
      </c>
      <c r="D3052" t="s">
        <v>2574</v>
      </c>
      <c r="E3052" s="3">
        <v>285.37</v>
      </c>
      <c r="F3052">
        <v>20151016</v>
      </c>
      <c r="G3052" t="s">
        <v>2333</v>
      </c>
      <c r="H3052" t="s">
        <v>2575</v>
      </c>
      <c r="I3052">
        <v>0</v>
      </c>
      <c r="J3052" t="s">
        <v>1709</v>
      </c>
      <c r="K3052" t="s">
        <v>290</v>
      </c>
      <c r="L3052" t="s">
        <v>285</v>
      </c>
      <c r="M3052" t="str">
        <f t="shared" si="194"/>
        <v>10</v>
      </c>
      <c r="N3052" t="s">
        <v>12</v>
      </c>
    </row>
    <row r="3053" spans="1:14" x14ac:dyDescent="0.25">
      <c r="A3053">
        <v>20151016</v>
      </c>
      <c r="B3053" t="str">
        <f>"060789"</f>
        <v>060789</v>
      </c>
      <c r="C3053" t="str">
        <f>"71250"</f>
        <v>71250</v>
      </c>
      <c r="D3053" t="s">
        <v>2574</v>
      </c>
      <c r="E3053" s="3">
        <v>228.94</v>
      </c>
      <c r="F3053">
        <v>20151016</v>
      </c>
      <c r="G3053" t="s">
        <v>2333</v>
      </c>
      <c r="H3053" t="s">
        <v>2575</v>
      </c>
      <c r="I3053">
        <v>0</v>
      </c>
      <c r="J3053" t="s">
        <v>1709</v>
      </c>
      <c r="K3053" t="s">
        <v>290</v>
      </c>
      <c r="L3053" t="s">
        <v>285</v>
      </c>
      <c r="M3053" t="str">
        <f t="shared" si="194"/>
        <v>10</v>
      </c>
      <c r="N3053" t="s">
        <v>12</v>
      </c>
    </row>
    <row r="3054" spans="1:14" x14ac:dyDescent="0.25">
      <c r="A3054">
        <v>20151016</v>
      </c>
      <c r="B3054" t="str">
        <f>"060790"</f>
        <v>060790</v>
      </c>
      <c r="C3054" t="str">
        <f>"72160"</f>
        <v>72160</v>
      </c>
      <c r="D3054" t="s">
        <v>2576</v>
      </c>
      <c r="E3054" s="3">
        <v>398</v>
      </c>
      <c r="F3054">
        <v>20151016</v>
      </c>
      <c r="G3054" t="s">
        <v>2025</v>
      </c>
      <c r="H3054" t="s">
        <v>2577</v>
      </c>
      <c r="I3054">
        <v>0</v>
      </c>
      <c r="J3054" t="s">
        <v>1709</v>
      </c>
      <c r="K3054" t="s">
        <v>1984</v>
      </c>
      <c r="L3054" t="s">
        <v>285</v>
      </c>
      <c r="M3054" t="str">
        <f t="shared" si="194"/>
        <v>10</v>
      </c>
      <c r="N3054" t="s">
        <v>12</v>
      </c>
    </row>
    <row r="3055" spans="1:14" x14ac:dyDescent="0.25">
      <c r="A3055">
        <v>20151016</v>
      </c>
      <c r="B3055" t="str">
        <f>"060791"</f>
        <v>060791</v>
      </c>
      <c r="C3055" t="str">
        <f>"73610"</f>
        <v>73610</v>
      </c>
      <c r="D3055" t="s">
        <v>2578</v>
      </c>
      <c r="E3055" s="3">
        <v>66.72</v>
      </c>
      <c r="F3055">
        <v>20151016</v>
      </c>
      <c r="G3055" t="s">
        <v>1859</v>
      </c>
      <c r="H3055" t="s">
        <v>2579</v>
      </c>
      <c r="I3055">
        <v>0</v>
      </c>
      <c r="J3055" t="s">
        <v>1709</v>
      </c>
      <c r="K3055" t="s">
        <v>1861</v>
      </c>
      <c r="L3055" t="s">
        <v>285</v>
      </c>
      <c r="M3055" t="str">
        <f t="shared" si="194"/>
        <v>10</v>
      </c>
      <c r="N3055" t="s">
        <v>12</v>
      </c>
    </row>
    <row r="3056" spans="1:14" x14ac:dyDescent="0.25">
      <c r="A3056">
        <v>20151016</v>
      </c>
      <c r="B3056" t="str">
        <f>"060794"</f>
        <v>060794</v>
      </c>
      <c r="C3056" t="str">
        <f>"74161"</f>
        <v>74161</v>
      </c>
      <c r="D3056" t="s">
        <v>2580</v>
      </c>
      <c r="E3056" s="3">
        <v>495</v>
      </c>
      <c r="F3056">
        <v>20151016</v>
      </c>
      <c r="G3056" t="s">
        <v>1854</v>
      </c>
      <c r="H3056" t="s">
        <v>2581</v>
      </c>
      <c r="I3056">
        <v>0</v>
      </c>
      <c r="J3056" t="s">
        <v>1709</v>
      </c>
      <c r="K3056" t="s">
        <v>1856</v>
      </c>
      <c r="L3056" t="s">
        <v>285</v>
      </c>
      <c r="M3056" t="str">
        <f t="shared" si="194"/>
        <v>10</v>
      </c>
      <c r="N3056" t="s">
        <v>12</v>
      </c>
    </row>
    <row r="3057" spans="1:14" x14ac:dyDescent="0.25">
      <c r="A3057">
        <v>20151016</v>
      </c>
      <c r="B3057" t="str">
        <f>"060795"</f>
        <v>060795</v>
      </c>
      <c r="C3057" t="str">
        <f>"74385"</f>
        <v>74385</v>
      </c>
      <c r="D3057" t="s">
        <v>1767</v>
      </c>
      <c r="E3057" s="3">
        <v>650.34</v>
      </c>
      <c r="F3057">
        <v>20151016</v>
      </c>
      <c r="G3057" t="s">
        <v>1768</v>
      </c>
      <c r="H3057" t="s">
        <v>2582</v>
      </c>
      <c r="I3057">
        <v>0</v>
      </c>
      <c r="J3057" t="s">
        <v>1709</v>
      </c>
      <c r="K3057" t="s">
        <v>1744</v>
      </c>
      <c r="L3057" t="s">
        <v>285</v>
      </c>
      <c r="M3057" t="str">
        <f t="shared" si="194"/>
        <v>10</v>
      </c>
      <c r="N3057" t="s">
        <v>12</v>
      </c>
    </row>
    <row r="3058" spans="1:14" x14ac:dyDescent="0.25">
      <c r="A3058">
        <v>20151016</v>
      </c>
      <c r="B3058" t="str">
        <f>"060795"</f>
        <v>060795</v>
      </c>
      <c r="C3058" t="str">
        <f>"74385"</f>
        <v>74385</v>
      </c>
      <c r="D3058" t="s">
        <v>1767</v>
      </c>
      <c r="E3058" s="3">
        <v>1915</v>
      </c>
      <c r="F3058">
        <v>20151016</v>
      </c>
      <c r="G3058" t="s">
        <v>2583</v>
      </c>
      <c r="H3058" t="s">
        <v>2584</v>
      </c>
      <c r="I3058">
        <v>0</v>
      </c>
      <c r="J3058" t="s">
        <v>1709</v>
      </c>
      <c r="K3058" t="s">
        <v>1861</v>
      </c>
      <c r="L3058" t="s">
        <v>285</v>
      </c>
      <c r="M3058" t="str">
        <f t="shared" ref="M3058:M3121" si="199">"10"</f>
        <v>10</v>
      </c>
      <c r="N3058" t="s">
        <v>12</v>
      </c>
    </row>
    <row r="3059" spans="1:14" x14ac:dyDescent="0.25">
      <c r="A3059">
        <v>20151016</v>
      </c>
      <c r="B3059" t="str">
        <f>"060796"</f>
        <v>060796</v>
      </c>
      <c r="C3059" t="str">
        <f>"77048"</f>
        <v>77048</v>
      </c>
      <c r="D3059" t="s">
        <v>2024</v>
      </c>
      <c r="E3059" s="3">
        <v>209</v>
      </c>
      <c r="F3059">
        <v>20151016</v>
      </c>
      <c r="G3059" t="s">
        <v>2585</v>
      </c>
      <c r="H3059" t="s">
        <v>2586</v>
      </c>
      <c r="I3059">
        <v>0</v>
      </c>
      <c r="J3059" t="s">
        <v>1709</v>
      </c>
      <c r="K3059" t="s">
        <v>290</v>
      </c>
      <c r="L3059" t="s">
        <v>285</v>
      </c>
      <c r="M3059" t="str">
        <f t="shared" si="199"/>
        <v>10</v>
      </c>
      <c r="N3059" t="s">
        <v>12</v>
      </c>
    </row>
    <row r="3060" spans="1:14" x14ac:dyDescent="0.25">
      <c r="A3060">
        <v>20151016</v>
      </c>
      <c r="B3060" t="str">
        <f>"060796"</f>
        <v>060796</v>
      </c>
      <c r="C3060" t="str">
        <f>"77048"</f>
        <v>77048</v>
      </c>
      <c r="D3060" t="s">
        <v>2024</v>
      </c>
      <c r="E3060" s="3">
        <v>299</v>
      </c>
      <c r="F3060">
        <v>20151016</v>
      </c>
      <c r="G3060" t="s">
        <v>2587</v>
      </c>
      <c r="H3060" t="s">
        <v>2586</v>
      </c>
      <c r="I3060">
        <v>0</v>
      </c>
      <c r="J3060" t="s">
        <v>1709</v>
      </c>
      <c r="K3060" t="s">
        <v>290</v>
      </c>
      <c r="L3060" t="s">
        <v>285</v>
      </c>
      <c r="M3060" t="str">
        <f t="shared" si="199"/>
        <v>10</v>
      </c>
      <c r="N3060" t="s">
        <v>12</v>
      </c>
    </row>
    <row r="3061" spans="1:14" x14ac:dyDescent="0.25">
      <c r="A3061">
        <v>20151016</v>
      </c>
      <c r="B3061" t="str">
        <f>"060796"</f>
        <v>060796</v>
      </c>
      <c r="C3061" t="str">
        <f>"77048"</f>
        <v>77048</v>
      </c>
      <c r="D3061" t="s">
        <v>2024</v>
      </c>
      <c r="E3061" s="3">
        <v>307</v>
      </c>
      <c r="F3061">
        <v>20151016</v>
      </c>
      <c r="G3061" t="s">
        <v>2025</v>
      </c>
      <c r="H3061" t="s">
        <v>2479</v>
      </c>
      <c r="I3061">
        <v>0</v>
      </c>
      <c r="J3061" t="s">
        <v>1709</v>
      </c>
      <c r="K3061" t="s">
        <v>1984</v>
      </c>
      <c r="L3061" t="s">
        <v>285</v>
      </c>
      <c r="M3061" t="str">
        <f t="shared" si="199"/>
        <v>10</v>
      </c>
      <c r="N3061" t="s">
        <v>12</v>
      </c>
    </row>
    <row r="3062" spans="1:14" x14ac:dyDescent="0.25">
      <c r="A3062">
        <v>20151016</v>
      </c>
      <c r="B3062" t="str">
        <f>"060797"</f>
        <v>060797</v>
      </c>
      <c r="C3062" t="str">
        <f>"77068"</f>
        <v>77068</v>
      </c>
      <c r="D3062" t="s">
        <v>1929</v>
      </c>
      <c r="E3062" s="3">
        <v>1275</v>
      </c>
      <c r="F3062">
        <v>20151016</v>
      </c>
      <c r="G3062" t="s">
        <v>2588</v>
      </c>
      <c r="H3062" t="s">
        <v>2589</v>
      </c>
      <c r="I3062">
        <v>0</v>
      </c>
      <c r="J3062" t="s">
        <v>1709</v>
      </c>
      <c r="K3062" t="s">
        <v>1861</v>
      </c>
      <c r="L3062" t="s">
        <v>285</v>
      </c>
      <c r="M3062" t="str">
        <f t="shared" si="199"/>
        <v>10</v>
      </c>
      <c r="N3062" t="s">
        <v>12</v>
      </c>
    </row>
    <row r="3063" spans="1:14" x14ac:dyDescent="0.25">
      <c r="A3063">
        <v>20151016</v>
      </c>
      <c r="B3063" t="str">
        <f>"060797"</f>
        <v>060797</v>
      </c>
      <c r="C3063" t="str">
        <f>"77068"</f>
        <v>77068</v>
      </c>
      <c r="D3063" t="s">
        <v>1929</v>
      </c>
      <c r="E3063" s="3">
        <v>7850</v>
      </c>
      <c r="F3063">
        <v>20151016</v>
      </c>
      <c r="G3063" t="s">
        <v>2588</v>
      </c>
      <c r="H3063" t="s">
        <v>2590</v>
      </c>
      <c r="I3063">
        <v>0</v>
      </c>
      <c r="J3063" t="s">
        <v>1709</v>
      </c>
      <c r="K3063" t="s">
        <v>1861</v>
      </c>
      <c r="L3063" t="s">
        <v>285</v>
      </c>
      <c r="M3063" t="str">
        <f t="shared" si="199"/>
        <v>10</v>
      </c>
      <c r="N3063" t="s">
        <v>12</v>
      </c>
    </row>
    <row r="3064" spans="1:14" x14ac:dyDescent="0.25">
      <c r="A3064">
        <v>20151016</v>
      </c>
      <c r="B3064" t="str">
        <f>"060797"</f>
        <v>060797</v>
      </c>
      <c r="C3064" t="str">
        <f>"77068"</f>
        <v>77068</v>
      </c>
      <c r="D3064" t="s">
        <v>1929</v>
      </c>
      <c r="E3064" s="3">
        <v>3559.98</v>
      </c>
      <c r="F3064">
        <v>20151016</v>
      </c>
      <c r="G3064" t="s">
        <v>2588</v>
      </c>
      <c r="H3064" t="s">
        <v>2591</v>
      </c>
      <c r="I3064">
        <v>0</v>
      </c>
      <c r="J3064" t="s">
        <v>1709</v>
      </c>
      <c r="K3064" t="s">
        <v>1861</v>
      </c>
      <c r="L3064" t="s">
        <v>285</v>
      </c>
      <c r="M3064" t="str">
        <f t="shared" si="199"/>
        <v>10</v>
      </c>
      <c r="N3064" t="s">
        <v>12</v>
      </c>
    </row>
    <row r="3065" spans="1:14" x14ac:dyDescent="0.25">
      <c r="A3065">
        <v>20151016</v>
      </c>
      <c r="B3065" t="str">
        <f>"060798"</f>
        <v>060798</v>
      </c>
      <c r="C3065" t="str">
        <f>"76304"</f>
        <v>76304</v>
      </c>
      <c r="D3065" t="s">
        <v>1787</v>
      </c>
      <c r="E3065" s="3">
        <v>150</v>
      </c>
      <c r="F3065">
        <v>20151016</v>
      </c>
      <c r="G3065" t="s">
        <v>1788</v>
      </c>
      <c r="H3065" t="s">
        <v>2592</v>
      </c>
      <c r="I3065">
        <v>0</v>
      </c>
      <c r="J3065" t="s">
        <v>1709</v>
      </c>
      <c r="K3065" t="s">
        <v>1643</v>
      </c>
      <c r="L3065" t="s">
        <v>285</v>
      </c>
      <c r="M3065" t="str">
        <f t="shared" si="199"/>
        <v>10</v>
      </c>
      <c r="N3065" t="s">
        <v>12</v>
      </c>
    </row>
    <row r="3066" spans="1:14" x14ac:dyDescent="0.25">
      <c r="A3066">
        <v>20151016</v>
      </c>
      <c r="B3066" t="str">
        <f>"060799"</f>
        <v>060799</v>
      </c>
      <c r="C3066" t="str">
        <f>"76490"</f>
        <v>76490</v>
      </c>
      <c r="D3066" t="s">
        <v>373</v>
      </c>
      <c r="E3066" s="3">
        <v>134.4</v>
      </c>
      <c r="F3066">
        <v>20151016</v>
      </c>
      <c r="G3066" t="s">
        <v>2333</v>
      </c>
      <c r="H3066" t="s">
        <v>2593</v>
      </c>
      <c r="I3066">
        <v>0</v>
      </c>
      <c r="J3066" t="s">
        <v>1709</v>
      </c>
      <c r="K3066" t="s">
        <v>290</v>
      </c>
      <c r="L3066" t="s">
        <v>285</v>
      </c>
      <c r="M3066" t="str">
        <f t="shared" si="199"/>
        <v>10</v>
      </c>
      <c r="N3066" t="s">
        <v>12</v>
      </c>
    </row>
    <row r="3067" spans="1:14" x14ac:dyDescent="0.25">
      <c r="A3067">
        <v>20151016</v>
      </c>
      <c r="B3067" t="str">
        <f>"060799"</f>
        <v>060799</v>
      </c>
      <c r="C3067" t="str">
        <f>"76490"</f>
        <v>76490</v>
      </c>
      <c r="D3067" t="s">
        <v>373</v>
      </c>
      <c r="E3067" s="3">
        <v>450</v>
      </c>
      <c r="F3067">
        <v>20151016</v>
      </c>
      <c r="G3067" t="s">
        <v>2333</v>
      </c>
      <c r="H3067" t="s">
        <v>2594</v>
      </c>
      <c r="I3067">
        <v>0</v>
      </c>
      <c r="J3067" t="s">
        <v>1709</v>
      </c>
      <c r="K3067" t="s">
        <v>290</v>
      </c>
      <c r="L3067" t="s">
        <v>285</v>
      </c>
      <c r="M3067" t="str">
        <f t="shared" si="199"/>
        <v>10</v>
      </c>
      <c r="N3067" t="s">
        <v>12</v>
      </c>
    </row>
    <row r="3068" spans="1:14" x14ac:dyDescent="0.25">
      <c r="A3068">
        <v>20151016</v>
      </c>
      <c r="B3068" t="str">
        <f>"060800"</f>
        <v>060800</v>
      </c>
      <c r="C3068" t="str">
        <f>"78311"</f>
        <v>78311</v>
      </c>
      <c r="D3068" t="s">
        <v>458</v>
      </c>
      <c r="E3068" s="3">
        <v>32.049999999999997</v>
      </c>
      <c r="F3068">
        <v>20151016</v>
      </c>
      <c r="G3068" t="s">
        <v>1710</v>
      </c>
      <c r="H3068" t="s">
        <v>1730</v>
      </c>
      <c r="I3068">
        <v>0</v>
      </c>
      <c r="J3068" t="s">
        <v>1709</v>
      </c>
      <c r="K3068" t="s">
        <v>290</v>
      </c>
      <c r="L3068" t="s">
        <v>285</v>
      </c>
      <c r="M3068" t="str">
        <f t="shared" si="199"/>
        <v>10</v>
      </c>
      <c r="N3068" t="s">
        <v>12</v>
      </c>
    </row>
    <row r="3069" spans="1:14" x14ac:dyDescent="0.25">
      <c r="A3069">
        <v>20151016</v>
      </c>
      <c r="B3069" t="str">
        <f>"060802"</f>
        <v>060802</v>
      </c>
      <c r="C3069" t="str">
        <f>"80389"</f>
        <v>80389</v>
      </c>
      <c r="D3069" t="s">
        <v>2032</v>
      </c>
      <c r="E3069" s="3">
        <v>84.56</v>
      </c>
      <c r="F3069">
        <v>20151016</v>
      </c>
      <c r="G3069" t="s">
        <v>2033</v>
      </c>
      <c r="H3069" t="s">
        <v>2595</v>
      </c>
      <c r="I3069">
        <v>0</v>
      </c>
      <c r="J3069" t="s">
        <v>1709</v>
      </c>
      <c r="K3069" t="s">
        <v>1984</v>
      </c>
      <c r="L3069" t="s">
        <v>285</v>
      </c>
      <c r="M3069" t="str">
        <f t="shared" si="199"/>
        <v>10</v>
      </c>
      <c r="N3069" t="s">
        <v>12</v>
      </c>
    </row>
    <row r="3070" spans="1:14" x14ac:dyDescent="0.25">
      <c r="A3070">
        <v>20151016</v>
      </c>
      <c r="B3070" t="str">
        <f>"060802"</f>
        <v>060802</v>
      </c>
      <c r="C3070" t="str">
        <f>"80389"</f>
        <v>80389</v>
      </c>
      <c r="D3070" t="s">
        <v>2032</v>
      </c>
      <c r="E3070" s="3">
        <v>894.61</v>
      </c>
      <c r="F3070">
        <v>20151016</v>
      </c>
      <c r="G3070" t="s">
        <v>2035</v>
      </c>
      <c r="H3070" t="s">
        <v>2596</v>
      </c>
      <c r="I3070">
        <v>0</v>
      </c>
      <c r="J3070" t="s">
        <v>1709</v>
      </c>
      <c r="K3070" t="s">
        <v>1984</v>
      </c>
      <c r="L3070" t="s">
        <v>285</v>
      </c>
      <c r="M3070" t="str">
        <f t="shared" si="199"/>
        <v>10</v>
      </c>
      <c r="N3070" t="s">
        <v>12</v>
      </c>
    </row>
    <row r="3071" spans="1:14" x14ac:dyDescent="0.25">
      <c r="A3071">
        <v>20151016</v>
      </c>
      <c r="B3071" t="str">
        <f>"060802"</f>
        <v>060802</v>
      </c>
      <c r="C3071" t="str">
        <f>"80389"</f>
        <v>80389</v>
      </c>
      <c r="D3071" t="s">
        <v>2032</v>
      </c>
      <c r="E3071" s="3">
        <v>1435.01</v>
      </c>
      <c r="F3071">
        <v>20151016</v>
      </c>
      <c r="G3071" t="s">
        <v>2037</v>
      </c>
      <c r="H3071" t="s">
        <v>2597</v>
      </c>
      <c r="I3071">
        <v>0</v>
      </c>
      <c r="J3071" t="s">
        <v>1709</v>
      </c>
      <c r="K3071" t="s">
        <v>1984</v>
      </c>
      <c r="L3071" t="s">
        <v>285</v>
      </c>
      <c r="M3071" t="str">
        <f t="shared" si="199"/>
        <v>10</v>
      </c>
      <c r="N3071" t="s">
        <v>12</v>
      </c>
    </row>
    <row r="3072" spans="1:14" x14ac:dyDescent="0.25">
      <c r="A3072">
        <v>20151016</v>
      </c>
      <c r="B3072" t="str">
        <f>"060803"</f>
        <v>060803</v>
      </c>
      <c r="C3072" t="str">
        <f>"78730"</f>
        <v>78730</v>
      </c>
      <c r="D3072" t="s">
        <v>2039</v>
      </c>
      <c r="E3072" s="3">
        <v>128</v>
      </c>
      <c r="F3072">
        <v>20151016</v>
      </c>
      <c r="G3072" t="s">
        <v>2040</v>
      </c>
      <c r="H3072" t="s">
        <v>2554</v>
      </c>
      <c r="I3072">
        <v>0</v>
      </c>
      <c r="J3072" t="s">
        <v>1709</v>
      </c>
      <c r="K3072" t="s">
        <v>290</v>
      </c>
      <c r="L3072" t="s">
        <v>285</v>
      </c>
      <c r="M3072" t="str">
        <f t="shared" si="199"/>
        <v>10</v>
      </c>
      <c r="N3072" t="s">
        <v>12</v>
      </c>
    </row>
    <row r="3073" spans="1:14" x14ac:dyDescent="0.25">
      <c r="A3073">
        <v>20151016</v>
      </c>
      <c r="B3073" t="str">
        <f t="shared" ref="B3073:B3080" si="200">"060804"</f>
        <v>060804</v>
      </c>
      <c r="C3073" t="str">
        <f t="shared" ref="C3073:C3080" si="201">"80481"</f>
        <v>80481</v>
      </c>
      <c r="D3073" t="s">
        <v>1935</v>
      </c>
      <c r="E3073" s="3">
        <v>74</v>
      </c>
      <c r="F3073">
        <v>20151016</v>
      </c>
      <c r="G3073" t="s">
        <v>1938</v>
      </c>
      <c r="H3073" t="s">
        <v>1843</v>
      </c>
      <c r="I3073">
        <v>0</v>
      </c>
      <c r="J3073" t="s">
        <v>1709</v>
      </c>
      <c r="K3073" t="s">
        <v>1643</v>
      </c>
      <c r="L3073" t="s">
        <v>285</v>
      </c>
      <c r="M3073" t="str">
        <f t="shared" si="199"/>
        <v>10</v>
      </c>
      <c r="N3073" t="s">
        <v>12</v>
      </c>
    </row>
    <row r="3074" spans="1:14" x14ac:dyDescent="0.25">
      <c r="A3074">
        <v>20151016</v>
      </c>
      <c r="B3074" t="str">
        <f t="shared" si="200"/>
        <v>060804</v>
      </c>
      <c r="C3074" t="str">
        <f t="shared" si="201"/>
        <v>80481</v>
      </c>
      <c r="D3074" t="s">
        <v>1935</v>
      </c>
      <c r="E3074" s="3">
        <v>74</v>
      </c>
      <c r="F3074">
        <v>20151016</v>
      </c>
      <c r="G3074" t="s">
        <v>1939</v>
      </c>
      <c r="H3074" t="s">
        <v>1843</v>
      </c>
      <c r="I3074">
        <v>0</v>
      </c>
      <c r="J3074" t="s">
        <v>1709</v>
      </c>
      <c r="K3074" t="s">
        <v>33</v>
      </c>
      <c r="L3074" t="s">
        <v>285</v>
      </c>
      <c r="M3074" t="str">
        <f t="shared" si="199"/>
        <v>10</v>
      </c>
      <c r="N3074" t="s">
        <v>12</v>
      </c>
    </row>
    <row r="3075" spans="1:14" x14ac:dyDescent="0.25">
      <c r="A3075">
        <v>20151016</v>
      </c>
      <c r="B3075" t="str">
        <f t="shared" si="200"/>
        <v>060804</v>
      </c>
      <c r="C3075" t="str">
        <f t="shared" si="201"/>
        <v>80481</v>
      </c>
      <c r="D3075" t="s">
        <v>1935</v>
      </c>
      <c r="E3075" s="3">
        <v>74</v>
      </c>
      <c r="F3075">
        <v>20151016</v>
      </c>
      <c r="G3075" t="s">
        <v>1940</v>
      </c>
      <c r="H3075" t="s">
        <v>1843</v>
      </c>
      <c r="I3075">
        <v>0</v>
      </c>
      <c r="J3075" t="s">
        <v>1709</v>
      </c>
      <c r="K3075" t="s">
        <v>290</v>
      </c>
      <c r="L3075" t="s">
        <v>285</v>
      </c>
      <c r="M3075" t="str">
        <f t="shared" si="199"/>
        <v>10</v>
      </c>
      <c r="N3075" t="s">
        <v>12</v>
      </c>
    </row>
    <row r="3076" spans="1:14" x14ac:dyDescent="0.25">
      <c r="A3076">
        <v>20151016</v>
      </c>
      <c r="B3076" t="str">
        <f t="shared" si="200"/>
        <v>060804</v>
      </c>
      <c r="C3076" t="str">
        <f t="shared" si="201"/>
        <v>80481</v>
      </c>
      <c r="D3076" t="s">
        <v>1935</v>
      </c>
      <c r="E3076" s="3">
        <v>74</v>
      </c>
      <c r="F3076">
        <v>20151016</v>
      </c>
      <c r="G3076" t="s">
        <v>1940</v>
      </c>
      <c r="H3076" t="s">
        <v>1843</v>
      </c>
      <c r="I3076">
        <v>0</v>
      </c>
      <c r="J3076" t="s">
        <v>1709</v>
      </c>
      <c r="K3076" t="s">
        <v>290</v>
      </c>
      <c r="L3076" t="s">
        <v>285</v>
      </c>
      <c r="M3076" t="str">
        <f t="shared" si="199"/>
        <v>10</v>
      </c>
      <c r="N3076" t="s">
        <v>12</v>
      </c>
    </row>
    <row r="3077" spans="1:14" x14ac:dyDescent="0.25">
      <c r="A3077">
        <v>20151016</v>
      </c>
      <c r="B3077" t="str">
        <f t="shared" si="200"/>
        <v>060804</v>
      </c>
      <c r="C3077" t="str">
        <f t="shared" si="201"/>
        <v>80481</v>
      </c>
      <c r="D3077" t="s">
        <v>1935</v>
      </c>
      <c r="E3077" s="3">
        <v>74</v>
      </c>
      <c r="F3077">
        <v>20151016</v>
      </c>
      <c r="G3077" t="s">
        <v>2598</v>
      </c>
      <c r="H3077" t="s">
        <v>1843</v>
      </c>
      <c r="I3077">
        <v>0</v>
      </c>
      <c r="J3077" t="s">
        <v>1709</v>
      </c>
      <c r="K3077" t="s">
        <v>95</v>
      </c>
      <c r="L3077" t="s">
        <v>285</v>
      </c>
      <c r="M3077" t="str">
        <f t="shared" si="199"/>
        <v>10</v>
      </c>
      <c r="N3077" t="s">
        <v>12</v>
      </c>
    </row>
    <row r="3078" spans="1:14" x14ac:dyDescent="0.25">
      <c r="A3078">
        <v>20151016</v>
      </c>
      <c r="B3078" t="str">
        <f t="shared" si="200"/>
        <v>060804</v>
      </c>
      <c r="C3078" t="str">
        <f t="shared" si="201"/>
        <v>80481</v>
      </c>
      <c r="D3078" t="s">
        <v>1935</v>
      </c>
      <c r="E3078" s="3">
        <v>74</v>
      </c>
      <c r="F3078">
        <v>20151016</v>
      </c>
      <c r="G3078" t="s">
        <v>2598</v>
      </c>
      <c r="H3078" t="s">
        <v>1842</v>
      </c>
      <c r="I3078">
        <v>0</v>
      </c>
      <c r="J3078" t="s">
        <v>1709</v>
      </c>
      <c r="K3078" t="s">
        <v>95</v>
      </c>
      <c r="L3078" t="s">
        <v>285</v>
      </c>
      <c r="M3078" t="str">
        <f t="shared" si="199"/>
        <v>10</v>
      </c>
      <c r="N3078" t="s">
        <v>12</v>
      </c>
    </row>
    <row r="3079" spans="1:14" x14ac:dyDescent="0.25">
      <c r="A3079">
        <v>20151016</v>
      </c>
      <c r="B3079" t="str">
        <f t="shared" si="200"/>
        <v>060804</v>
      </c>
      <c r="C3079" t="str">
        <f t="shared" si="201"/>
        <v>80481</v>
      </c>
      <c r="D3079" t="s">
        <v>1935</v>
      </c>
      <c r="E3079" s="3">
        <v>139.5</v>
      </c>
      <c r="F3079">
        <v>20151016</v>
      </c>
      <c r="G3079" t="s">
        <v>1941</v>
      </c>
      <c r="H3079" t="s">
        <v>2599</v>
      </c>
      <c r="I3079">
        <v>0</v>
      </c>
      <c r="J3079" t="s">
        <v>1709</v>
      </c>
      <c r="K3079" t="s">
        <v>1942</v>
      </c>
      <c r="L3079" t="s">
        <v>285</v>
      </c>
      <c r="M3079" t="str">
        <f t="shared" si="199"/>
        <v>10</v>
      </c>
      <c r="N3079" t="s">
        <v>12</v>
      </c>
    </row>
    <row r="3080" spans="1:14" x14ac:dyDescent="0.25">
      <c r="A3080">
        <v>20151016</v>
      </c>
      <c r="B3080" t="str">
        <f t="shared" si="200"/>
        <v>060804</v>
      </c>
      <c r="C3080" t="str">
        <f t="shared" si="201"/>
        <v>80481</v>
      </c>
      <c r="D3080" t="s">
        <v>1935</v>
      </c>
      <c r="E3080" s="3">
        <v>68.56</v>
      </c>
      <c r="F3080">
        <v>20151016</v>
      </c>
      <c r="G3080" t="s">
        <v>1941</v>
      </c>
      <c r="H3080" t="s">
        <v>1843</v>
      </c>
      <c r="I3080">
        <v>0</v>
      </c>
      <c r="J3080" t="s">
        <v>1709</v>
      </c>
      <c r="K3080" t="s">
        <v>1942</v>
      </c>
      <c r="L3080" t="s">
        <v>285</v>
      </c>
      <c r="M3080" t="str">
        <f t="shared" si="199"/>
        <v>10</v>
      </c>
      <c r="N3080" t="s">
        <v>12</v>
      </c>
    </row>
    <row r="3081" spans="1:14" x14ac:dyDescent="0.25">
      <c r="A3081">
        <v>20151016</v>
      </c>
      <c r="B3081" t="str">
        <f>"060806"</f>
        <v>060806</v>
      </c>
      <c r="C3081" t="str">
        <f>"82371"</f>
        <v>82371</v>
      </c>
      <c r="D3081" t="s">
        <v>2600</v>
      </c>
      <c r="E3081" s="3">
        <v>150</v>
      </c>
      <c r="F3081">
        <v>20151016</v>
      </c>
      <c r="G3081" t="s">
        <v>2449</v>
      </c>
      <c r="H3081" t="s">
        <v>2057</v>
      </c>
      <c r="I3081">
        <v>0</v>
      </c>
      <c r="J3081" t="s">
        <v>1709</v>
      </c>
      <c r="K3081" t="s">
        <v>290</v>
      </c>
      <c r="L3081" t="s">
        <v>285</v>
      </c>
      <c r="M3081" t="str">
        <f t="shared" si="199"/>
        <v>10</v>
      </c>
      <c r="N3081" t="s">
        <v>12</v>
      </c>
    </row>
    <row r="3082" spans="1:14" x14ac:dyDescent="0.25">
      <c r="A3082">
        <v>20151016</v>
      </c>
      <c r="B3082" t="str">
        <f>"060809"</f>
        <v>060809</v>
      </c>
      <c r="C3082" t="str">
        <f>"83410"</f>
        <v>83410</v>
      </c>
      <c r="D3082" t="s">
        <v>2601</v>
      </c>
      <c r="E3082" s="3">
        <v>154.22999999999999</v>
      </c>
      <c r="F3082">
        <v>20151016</v>
      </c>
      <c r="G3082" t="s">
        <v>2602</v>
      </c>
      <c r="H3082" t="s">
        <v>2603</v>
      </c>
      <c r="I3082">
        <v>0</v>
      </c>
      <c r="J3082" t="s">
        <v>1709</v>
      </c>
      <c r="K3082" t="s">
        <v>2207</v>
      </c>
      <c r="L3082" t="s">
        <v>285</v>
      </c>
      <c r="M3082" t="str">
        <f t="shared" si="199"/>
        <v>10</v>
      </c>
      <c r="N3082" t="s">
        <v>12</v>
      </c>
    </row>
    <row r="3083" spans="1:14" x14ac:dyDescent="0.25">
      <c r="A3083">
        <v>20151023</v>
      </c>
      <c r="B3083" t="str">
        <f>"060813"</f>
        <v>060813</v>
      </c>
      <c r="C3083" t="str">
        <f>"03710"</f>
        <v>03710</v>
      </c>
      <c r="D3083" t="s">
        <v>1553</v>
      </c>
      <c r="E3083" s="3">
        <v>37.25</v>
      </c>
      <c r="F3083">
        <v>20151021</v>
      </c>
      <c r="G3083" t="s">
        <v>2303</v>
      </c>
      <c r="H3083" t="s">
        <v>2604</v>
      </c>
      <c r="I3083">
        <v>0</v>
      </c>
      <c r="J3083" t="s">
        <v>1709</v>
      </c>
      <c r="K3083" t="s">
        <v>235</v>
      </c>
      <c r="L3083" t="s">
        <v>285</v>
      </c>
      <c r="M3083" t="str">
        <f t="shared" si="199"/>
        <v>10</v>
      </c>
      <c r="N3083" t="s">
        <v>12</v>
      </c>
    </row>
    <row r="3084" spans="1:14" x14ac:dyDescent="0.25">
      <c r="A3084">
        <v>20151023</v>
      </c>
      <c r="B3084" t="str">
        <f>"060813"</f>
        <v>060813</v>
      </c>
      <c r="C3084" t="str">
        <f>"03710"</f>
        <v>03710</v>
      </c>
      <c r="D3084" t="s">
        <v>1553</v>
      </c>
      <c r="E3084" s="3">
        <v>233.52</v>
      </c>
      <c r="F3084">
        <v>20151021</v>
      </c>
      <c r="G3084" t="s">
        <v>2303</v>
      </c>
      <c r="H3084" t="s">
        <v>2605</v>
      </c>
      <c r="I3084">
        <v>0</v>
      </c>
      <c r="J3084" t="s">
        <v>1709</v>
      </c>
      <c r="K3084" t="s">
        <v>235</v>
      </c>
      <c r="L3084" t="s">
        <v>285</v>
      </c>
      <c r="M3084" t="str">
        <f t="shared" si="199"/>
        <v>10</v>
      </c>
      <c r="N3084" t="s">
        <v>12</v>
      </c>
    </row>
    <row r="3085" spans="1:14" x14ac:dyDescent="0.25">
      <c r="A3085">
        <v>20151023</v>
      </c>
      <c r="B3085" t="str">
        <f>"060813"</f>
        <v>060813</v>
      </c>
      <c r="C3085" t="str">
        <f>"03710"</f>
        <v>03710</v>
      </c>
      <c r="D3085" t="s">
        <v>1553</v>
      </c>
      <c r="E3085" s="3">
        <v>59.99</v>
      </c>
      <c r="F3085">
        <v>20151021</v>
      </c>
      <c r="G3085" t="s">
        <v>1933</v>
      </c>
      <c r="H3085" t="s">
        <v>2606</v>
      </c>
      <c r="I3085">
        <v>0</v>
      </c>
      <c r="J3085" t="s">
        <v>1709</v>
      </c>
      <c r="K3085" t="s">
        <v>1558</v>
      </c>
      <c r="L3085" t="s">
        <v>285</v>
      </c>
      <c r="M3085" t="str">
        <f t="shared" si="199"/>
        <v>10</v>
      </c>
      <c r="N3085" t="s">
        <v>12</v>
      </c>
    </row>
    <row r="3086" spans="1:14" x14ac:dyDescent="0.25">
      <c r="A3086">
        <v>20151023</v>
      </c>
      <c r="B3086" t="str">
        <f>"060814"</f>
        <v>060814</v>
      </c>
      <c r="C3086" t="str">
        <f>"00314"</f>
        <v>00314</v>
      </c>
      <c r="D3086" t="s">
        <v>2607</v>
      </c>
      <c r="E3086" s="3">
        <v>45.3</v>
      </c>
      <c r="F3086">
        <v>20151021</v>
      </c>
      <c r="G3086" t="s">
        <v>2275</v>
      </c>
      <c r="H3086" t="s">
        <v>2608</v>
      </c>
      <c r="I3086">
        <v>0</v>
      </c>
      <c r="J3086" t="s">
        <v>1709</v>
      </c>
      <c r="K3086" t="s">
        <v>95</v>
      </c>
      <c r="L3086" t="s">
        <v>285</v>
      </c>
      <c r="M3086" t="str">
        <f t="shared" si="199"/>
        <v>10</v>
      </c>
      <c r="N3086" t="s">
        <v>12</v>
      </c>
    </row>
    <row r="3087" spans="1:14" x14ac:dyDescent="0.25">
      <c r="A3087">
        <v>20151023</v>
      </c>
      <c r="B3087" t="str">
        <f>"060815"</f>
        <v>060815</v>
      </c>
      <c r="C3087" t="str">
        <f>"00306"</f>
        <v>00306</v>
      </c>
      <c r="D3087" t="s">
        <v>2609</v>
      </c>
      <c r="E3087" s="3">
        <v>148.80000000000001</v>
      </c>
      <c r="F3087">
        <v>20151021</v>
      </c>
      <c r="G3087" t="s">
        <v>2610</v>
      </c>
      <c r="H3087" t="s">
        <v>2611</v>
      </c>
      <c r="I3087">
        <v>0</v>
      </c>
      <c r="J3087" t="s">
        <v>1709</v>
      </c>
      <c r="K3087" t="s">
        <v>1861</v>
      </c>
      <c r="L3087" t="s">
        <v>285</v>
      </c>
      <c r="M3087" t="str">
        <f t="shared" si="199"/>
        <v>10</v>
      </c>
      <c r="N3087" t="s">
        <v>12</v>
      </c>
    </row>
    <row r="3088" spans="1:14" x14ac:dyDescent="0.25">
      <c r="A3088">
        <v>20151023</v>
      </c>
      <c r="B3088" t="str">
        <f>"060815"</f>
        <v>060815</v>
      </c>
      <c r="C3088" t="str">
        <f>"00306"</f>
        <v>00306</v>
      </c>
      <c r="D3088" t="s">
        <v>2609</v>
      </c>
      <c r="E3088" s="3">
        <v>1611.4</v>
      </c>
      <c r="F3088">
        <v>20151021</v>
      </c>
      <c r="G3088" t="s">
        <v>2610</v>
      </c>
      <c r="H3088" t="s">
        <v>2612</v>
      </c>
      <c r="I3088">
        <v>0</v>
      </c>
      <c r="J3088" t="s">
        <v>1709</v>
      </c>
      <c r="K3088" t="s">
        <v>1861</v>
      </c>
      <c r="L3088" t="s">
        <v>285</v>
      </c>
      <c r="M3088" t="str">
        <f t="shared" si="199"/>
        <v>10</v>
      </c>
      <c r="N3088" t="s">
        <v>12</v>
      </c>
    </row>
    <row r="3089" spans="1:14" x14ac:dyDescent="0.25">
      <c r="A3089">
        <v>20151023</v>
      </c>
      <c r="B3089" t="str">
        <f>"060815"</f>
        <v>060815</v>
      </c>
      <c r="C3089" t="str">
        <f>"00306"</f>
        <v>00306</v>
      </c>
      <c r="D3089" t="s">
        <v>2609</v>
      </c>
      <c r="E3089" s="3">
        <v>21.16</v>
      </c>
      <c r="F3089">
        <v>20151021</v>
      </c>
      <c r="G3089" t="s">
        <v>2610</v>
      </c>
      <c r="H3089" t="s">
        <v>2613</v>
      </c>
      <c r="I3089">
        <v>0</v>
      </c>
      <c r="J3089" t="s">
        <v>1709</v>
      </c>
      <c r="K3089" t="s">
        <v>1861</v>
      </c>
      <c r="L3089" t="s">
        <v>285</v>
      </c>
      <c r="M3089" t="str">
        <f t="shared" si="199"/>
        <v>10</v>
      </c>
      <c r="N3089" t="s">
        <v>12</v>
      </c>
    </row>
    <row r="3090" spans="1:14" x14ac:dyDescent="0.25">
      <c r="A3090">
        <v>20151023</v>
      </c>
      <c r="B3090" t="str">
        <f>"060815"</f>
        <v>060815</v>
      </c>
      <c r="C3090" t="str">
        <f>"00306"</f>
        <v>00306</v>
      </c>
      <c r="D3090" t="s">
        <v>2609</v>
      </c>
      <c r="E3090" s="3">
        <v>1397.68</v>
      </c>
      <c r="F3090">
        <v>20151021</v>
      </c>
      <c r="G3090" t="s">
        <v>2610</v>
      </c>
      <c r="H3090" t="s">
        <v>2614</v>
      </c>
      <c r="I3090">
        <v>0</v>
      </c>
      <c r="J3090" t="s">
        <v>1709</v>
      </c>
      <c r="K3090" t="s">
        <v>1861</v>
      </c>
      <c r="L3090" t="s">
        <v>285</v>
      </c>
      <c r="M3090" t="str">
        <f t="shared" si="199"/>
        <v>10</v>
      </c>
      <c r="N3090" t="s">
        <v>12</v>
      </c>
    </row>
    <row r="3091" spans="1:14" x14ac:dyDescent="0.25">
      <c r="A3091">
        <v>20151023</v>
      </c>
      <c r="B3091" t="str">
        <f>"060815"</f>
        <v>060815</v>
      </c>
      <c r="C3091" t="str">
        <f>"00306"</f>
        <v>00306</v>
      </c>
      <c r="D3091" t="s">
        <v>2609</v>
      </c>
      <c r="E3091" s="3">
        <v>2335.2199999999998</v>
      </c>
      <c r="F3091">
        <v>20151021</v>
      </c>
      <c r="G3091" t="s">
        <v>2610</v>
      </c>
      <c r="H3091" t="s">
        <v>2615</v>
      </c>
      <c r="I3091">
        <v>0</v>
      </c>
      <c r="J3091" t="s">
        <v>1709</v>
      </c>
      <c r="K3091" t="s">
        <v>1861</v>
      </c>
      <c r="L3091" t="s">
        <v>285</v>
      </c>
      <c r="M3091" t="str">
        <f t="shared" si="199"/>
        <v>10</v>
      </c>
      <c r="N3091" t="s">
        <v>12</v>
      </c>
    </row>
    <row r="3092" spans="1:14" x14ac:dyDescent="0.25">
      <c r="A3092">
        <v>20151023</v>
      </c>
      <c r="B3092" t="str">
        <f>"060816"</f>
        <v>060816</v>
      </c>
      <c r="C3092" t="str">
        <f>"02251"</f>
        <v>02251</v>
      </c>
      <c r="D3092" t="s">
        <v>1804</v>
      </c>
      <c r="E3092" s="3">
        <v>387</v>
      </c>
      <c r="F3092">
        <v>20151021</v>
      </c>
      <c r="G3092" t="s">
        <v>2570</v>
      </c>
      <c r="H3092" t="s">
        <v>2616</v>
      </c>
      <c r="I3092">
        <v>0</v>
      </c>
      <c r="J3092" t="s">
        <v>1709</v>
      </c>
      <c r="K3092" t="s">
        <v>95</v>
      </c>
      <c r="L3092" t="s">
        <v>285</v>
      </c>
      <c r="M3092" t="str">
        <f t="shared" si="199"/>
        <v>10</v>
      </c>
      <c r="N3092" t="s">
        <v>12</v>
      </c>
    </row>
    <row r="3093" spans="1:14" x14ac:dyDescent="0.25">
      <c r="A3093">
        <v>20151023</v>
      </c>
      <c r="B3093" t="str">
        <f>"060817"</f>
        <v>060817</v>
      </c>
      <c r="C3093" t="str">
        <f>"03829"</f>
        <v>03829</v>
      </c>
      <c r="D3093" t="s">
        <v>1808</v>
      </c>
      <c r="E3093" s="3">
        <v>611.04999999999995</v>
      </c>
      <c r="F3093">
        <v>20151021</v>
      </c>
      <c r="G3093" t="s">
        <v>2427</v>
      </c>
      <c r="H3093" t="s">
        <v>2617</v>
      </c>
      <c r="I3093">
        <v>0</v>
      </c>
      <c r="J3093" t="s">
        <v>1709</v>
      </c>
      <c r="K3093" t="s">
        <v>1861</v>
      </c>
      <c r="L3093" t="s">
        <v>285</v>
      </c>
      <c r="M3093" t="str">
        <f t="shared" si="199"/>
        <v>10</v>
      </c>
      <c r="N3093" t="s">
        <v>12</v>
      </c>
    </row>
    <row r="3094" spans="1:14" x14ac:dyDescent="0.25">
      <c r="A3094">
        <v>20151023</v>
      </c>
      <c r="B3094" t="str">
        <f>"060818"</f>
        <v>060818</v>
      </c>
      <c r="C3094" t="str">
        <f>"24208"</f>
        <v>24208</v>
      </c>
      <c r="D3094" t="s">
        <v>1541</v>
      </c>
      <c r="E3094" s="3">
        <v>95</v>
      </c>
      <c r="F3094">
        <v>20151021</v>
      </c>
      <c r="G3094" t="s">
        <v>1854</v>
      </c>
      <c r="H3094" t="s">
        <v>2618</v>
      </c>
      <c r="I3094">
        <v>0</v>
      </c>
      <c r="J3094" t="s">
        <v>1709</v>
      </c>
      <c r="K3094" t="s">
        <v>1856</v>
      </c>
      <c r="L3094" t="s">
        <v>285</v>
      </c>
      <c r="M3094" t="str">
        <f t="shared" si="199"/>
        <v>10</v>
      </c>
      <c r="N3094" t="s">
        <v>12</v>
      </c>
    </row>
    <row r="3095" spans="1:14" x14ac:dyDescent="0.25">
      <c r="A3095">
        <v>20151023</v>
      </c>
      <c r="B3095" t="str">
        <f>"060819"</f>
        <v>060819</v>
      </c>
      <c r="C3095" t="str">
        <f>"06776"</f>
        <v>06776</v>
      </c>
      <c r="D3095" t="s">
        <v>2619</v>
      </c>
      <c r="E3095" s="3">
        <v>534</v>
      </c>
      <c r="F3095">
        <v>20151022</v>
      </c>
      <c r="G3095" t="s">
        <v>2620</v>
      </c>
      <c r="H3095" t="s">
        <v>2621</v>
      </c>
      <c r="I3095">
        <v>0</v>
      </c>
      <c r="J3095" t="s">
        <v>1709</v>
      </c>
      <c r="K3095" t="s">
        <v>290</v>
      </c>
      <c r="L3095" t="s">
        <v>285</v>
      </c>
      <c r="M3095" t="str">
        <f t="shared" si="199"/>
        <v>10</v>
      </c>
      <c r="N3095" t="s">
        <v>12</v>
      </c>
    </row>
    <row r="3096" spans="1:14" x14ac:dyDescent="0.25">
      <c r="A3096">
        <v>20151023</v>
      </c>
      <c r="B3096" t="str">
        <f>"060820"</f>
        <v>060820</v>
      </c>
      <c r="C3096" t="str">
        <f>"06893"</f>
        <v>06893</v>
      </c>
      <c r="D3096" t="s">
        <v>1956</v>
      </c>
      <c r="E3096" s="3">
        <v>9.02</v>
      </c>
      <c r="F3096">
        <v>20151021</v>
      </c>
      <c r="G3096" t="s">
        <v>2320</v>
      </c>
      <c r="H3096" t="s">
        <v>2208</v>
      </c>
      <c r="I3096">
        <v>0</v>
      </c>
      <c r="J3096" t="s">
        <v>1709</v>
      </c>
      <c r="K3096" t="s">
        <v>290</v>
      </c>
      <c r="L3096" t="s">
        <v>285</v>
      </c>
      <c r="M3096" t="str">
        <f t="shared" si="199"/>
        <v>10</v>
      </c>
      <c r="N3096" t="s">
        <v>12</v>
      </c>
    </row>
    <row r="3097" spans="1:14" x14ac:dyDescent="0.25">
      <c r="A3097">
        <v>20151023</v>
      </c>
      <c r="B3097" t="str">
        <f>"060821"</f>
        <v>060821</v>
      </c>
      <c r="C3097" t="str">
        <f>"06893"</f>
        <v>06893</v>
      </c>
      <c r="D3097" t="s">
        <v>1956</v>
      </c>
      <c r="E3097" s="3">
        <v>75</v>
      </c>
      <c r="F3097">
        <v>20151021</v>
      </c>
      <c r="G3097" t="s">
        <v>1957</v>
      </c>
      <c r="H3097" t="s">
        <v>2622</v>
      </c>
      <c r="I3097">
        <v>0</v>
      </c>
      <c r="J3097" t="s">
        <v>1709</v>
      </c>
      <c r="K3097" t="s">
        <v>290</v>
      </c>
      <c r="L3097" t="s">
        <v>285</v>
      </c>
      <c r="M3097" t="str">
        <f t="shared" si="199"/>
        <v>10</v>
      </c>
      <c r="N3097" t="s">
        <v>12</v>
      </c>
    </row>
    <row r="3098" spans="1:14" x14ac:dyDescent="0.25">
      <c r="A3098">
        <v>20151023</v>
      </c>
      <c r="B3098" t="str">
        <f>"060822"</f>
        <v>060822</v>
      </c>
      <c r="C3098" t="str">
        <f>"07712"</f>
        <v>07712</v>
      </c>
      <c r="D3098" t="s">
        <v>2623</v>
      </c>
      <c r="E3098" s="3">
        <v>40</v>
      </c>
      <c r="F3098">
        <v>20151021</v>
      </c>
      <c r="G3098" t="s">
        <v>1725</v>
      </c>
      <c r="H3098" t="s">
        <v>2624</v>
      </c>
      <c r="I3098">
        <v>0</v>
      </c>
      <c r="J3098" t="s">
        <v>1709</v>
      </c>
      <c r="K3098" t="s">
        <v>290</v>
      </c>
      <c r="L3098" t="s">
        <v>285</v>
      </c>
      <c r="M3098" t="str">
        <f t="shared" si="199"/>
        <v>10</v>
      </c>
      <c r="N3098" t="s">
        <v>12</v>
      </c>
    </row>
    <row r="3099" spans="1:14" x14ac:dyDescent="0.25">
      <c r="A3099">
        <v>20151023</v>
      </c>
      <c r="B3099" t="str">
        <f>"060823"</f>
        <v>060823</v>
      </c>
      <c r="C3099" t="str">
        <f>"10024"</f>
        <v>10024</v>
      </c>
      <c r="D3099" t="s">
        <v>1701</v>
      </c>
      <c r="E3099" s="3">
        <v>59321</v>
      </c>
      <c r="F3099">
        <v>20151021</v>
      </c>
      <c r="G3099" t="s">
        <v>2446</v>
      </c>
      <c r="H3099" t="s">
        <v>2447</v>
      </c>
      <c r="I3099">
        <v>0</v>
      </c>
      <c r="J3099" t="s">
        <v>1709</v>
      </c>
      <c r="K3099" t="s">
        <v>290</v>
      </c>
      <c r="L3099" t="s">
        <v>285</v>
      </c>
      <c r="M3099" t="str">
        <f t="shared" si="199"/>
        <v>10</v>
      </c>
      <c r="N3099" t="s">
        <v>12</v>
      </c>
    </row>
    <row r="3100" spans="1:14" x14ac:dyDescent="0.25">
      <c r="A3100">
        <v>20151023</v>
      </c>
      <c r="B3100" t="str">
        <f>"060824"</f>
        <v>060824</v>
      </c>
      <c r="C3100" t="str">
        <f>"10073"</f>
        <v>10073</v>
      </c>
      <c r="D3100" t="s">
        <v>2625</v>
      </c>
      <c r="E3100" s="3">
        <v>76</v>
      </c>
      <c r="F3100">
        <v>20151021</v>
      </c>
      <c r="G3100" t="s">
        <v>2626</v>
      </c>
      <c r="H3100" t="s">
        <v>2627</v>
      </c>
      <c r="I3100">
        <v>0</v>
      </c>
      <c r="J3100" t="s">
        <v>1709</v>
      </c>
      <c r="K3100" t="s">
        <v>290</v>
      </c>
      <c r="L3100" t="s">
        <v>285</v>
      </c>
      <c r="M3100" t="str">
        <f t="shared" si="199"/>
        <v>10</v>
      </c>
      <c r="N3100" t="s">
        <v>12</v>
      </c>
    </row>
    <row r="3101" spans="1:14" x14ac:dyDescent="0.25">
      <c r="A3101">
        <v>20151023</v>
      </c>
      <c r="B3101" t="str">
        <f>"060824"</f>
        <v>060824</v>
      </c>
      <c r="C3101" t="str">
        <f>"10073"</f>
        <v>10073</v>
      </c>
      <c r="D3101" t="s">
        <v>2625</v>
      </c>
      <c r="E3101" s="3">
        <v>54</v>
      </c>
      <c r="F3101">
        <v>20151021</v>
      </c>
      <c r="G3101" t="s">
        <v>2626</v>
      </c>
      <c r="H3101" t="s">
        <v>2627</v>
      </c>
      <c r="I3101">
        <v>0</v>
      </c>
      <c r="J3101" t="s">
        <v>1709</v>
      </c>
      <c r="K3101" t="s">
        <v>290</v>
      </c>
      <c r="L3101" t="s">
        <v>285</v>
      </c>
      <c r="M3101" t="str">
        <f t="shared" si="199"/>
        <v>10</v>
      </c>
      <c r="N3101" t="s">
        <v>12</v>
      </c>
    </row>
    <row r="3102" spans="1:14" x14ac:dyDescent="0.25">
      <c r="A3102">
        <v>20151023</v>
      </c>
      <c r="B3102" t="str">
        <f>"060826"</f>
        <v>060826</v>
      </c>
      <c r="C3102" t="str">
        <f>"11140"</f>
        <v>11140</v>
      </c>
      <c r="D3102" t="s">
        <v>1817</v>
      </c>
      <c r="E3102" s="3">
        <v>135.38999999999999</v>
      </c>
      <c r="F3102">
        <v>20151021</v>
      </c>
      <c r="G3102" t="s">
        <v>1961</v>
      </c>
      <c r="H3102" t="s">
        <v>2184</v>
      </c>
      <c r="I3102">
        <v>0</v>
      </c>
      <c r="J3102" t="s">
        <v>1709</v>
      </c>
      <c r="K3102" t="s">
        <v>290</v>
      </c>
      <c r="L3102" t="s">
        <v>285</v>
      </c>
      <c r="M3102" t="str">
        <f t="shared" si="199"/>
        <v>10</v>
      </c>
      <c r="N3102" t="s">
        <v>12</v>
      </c>
    </row>
    <row r="3103" spans="1:14" x14ac:dyDescent="0.25">
      <c r="A3103">
        <v>20151023</v>
      </c>
      <c r="B3103" t="str">
        <f>"060829"</f>
        <v>060829</v>
      </c>
      <c r="C3103" t="str">
        <f>"19056"</f>
        <v>19056</v>
      </c>
      <c r="D3103" t="s">
        <v>864</v>
      </c>
      <c r="E3103" s="3">
        <v>120</v>
      </c>
      <c r="F3103">
        <v>20151021</v>
      </c>
      <c r="G3103" t="s">
        <v>1718</v>
      </c>
      <c r="H3103" t="s">
        <v>2628</v>
      </c>
      <c r="I3103">
        <v>0</v>
      </c>
      <c r="J3103" t="s">
        <v>1709</v>
      </c>
      <c r="K3103" t="s">
        <v>235</v>
      </c>
      <c r="L3103" t="s">
        <v>285</v>
      </c>
      <c r="M3103" t="str">
        <f t="shared" si="199"/>
        <v>10</v>
      </c>
      <c r="N3103" t="s">
        <v>12</v>
      </c>
    </row>
    <row r="3104" spans="1:14" x14ac:dyDescent="0.25">
      <c r="A3104">
        <v>20151023</v>
      </c>
      <c r="B3104" t="str">
        <f>"060830"</f>
        <v>060830</v>
      </c>
      <c r="C3104" t="str">
        <f>"19043"</f>
        <v>19043</v>
      </c>
      <c r="D3104" t="s">
        <v>2629</v>
      </c>
      <c r="E3104" s="3">
        <v>37.28</v>
      </c>
      <c r="F3104">
        <v>20151021</v>
      </c>
      <c r="G3104" t="s">
        <v>1961</v>
      </c>
      <c r="H3104" t="s">
        <v>2630</v>
      </c>
      <c r="I3104">
        <v>0</v>
      </c>
      <c r="J3104" t="s">
        <v>1709</v>
      </c>
      <c r="K3104" t="s">
        <v>290</v>
      </c>
      <c r="L3104" t="s">
        <v>285</v>
      </c>
      <c r="M3104" t="str">
        <f t="shared" si="199"/>
        <v>10</v>
      </c>
      <c r="N3104" t="s">
        <v>12</v>
      </c>
    </row>
    <row r="3105" spans="1:14" x14ac:dyDescent="0.25">
      <c r="A3105">
        <v>20151023</v>
      </c>
      <c r="B3105" t="str">
        <f>"060831"</f>
        <v>060831</v>
      </c>
      <c r="C3105" t="str">
        <f>"19425"</f>
        <v>19425</v>
      </c>
      <c r="D3105" t="s">
        <v>2631</v>
      </c>
      <c r="E3105" s="3">
        <v>357.8</v>
      </c>
      <c r="F3105">
        <v>20151021</v>
      </c>
      <c r="G3105" t="s">
        <v>2360</v>
      </c>
      <c r="H3105" t="s">
        <v>2632</v>
      </c>
      <c r="I3105">
        <v>0</v>
      </c>
      <c r="J3105" t="s">
        <v>1709</v>
      </c>
      <c r="K3105" t="s">
        <v>1856</v>
      </c>
      <c r="L3105" t="s">
        <v>285</v>
      </c>
      <c r="M3105" t="str">
        <f t="shared" si="199"/>
        <v>10</v>
      </c>
      <c r="N3105" t="s">
        <v>12</v>
      </c>
    </row>
    <row r="3106" spans="1:14" x14ac:dyDescent="0.25">
      <c r="A3106">
        <v>20151023</v>
      </c>
      <c r="B3106" t="str">
        <f>"060833"</f>
        <v>060833</v>
      </c>
      <c r="C3106" t="str">
        <f>"20705"</f>
        <v>20705</v>
      </c>
      <c r="D3106" t="s">
        <v>1823</v>
      </c>
      <c r="E3106" s="3">
        <v>988.56</v>
      </c>
      <c r="F3106">
        <v>20151021</v>
      </c>
      <c r="G3106" t="s">
        <v>2418</v>
      </c>
      <c r="H3106" t="s">
        <v>2419</v>
      </c>
      <c r="I3106">
        <v>0</v>
      </c>
      <c r="J3106" t="s">
        <v>1709</v>
      </c>
      <c r="K3106" t="s">
        <v>290</v>
      </c>
      <c r="L3106" t="s">
        <v>285</v>
      </c>
      <c r="M3106" t="str">
        <f t="shared" si="199"/>
        <v>10</v>
      </c>
      <c r="N3106" t="s">
        <v>12</v>
      </c>
    </row>
    <row r="3107" spans="1:14" x14ac:dyDescent="0.25">
      <c r="A3107">
        <v>20151023</v>
      </c>
      <c r="B3107" t="str">
        <f>"060835"</f>
        <v>060835</v>
      </c>
      <c r="C3107" t="str">
        <f>"21084"</f>
        <v>21084</v>
      </c>
      <c r="D3107" t="s">
        <v>1962</v>
      </c>
      <c r="E3107" s="3">
        <v>231.4</v>
      </c>
      <c r="F3107">
        <v>20151021</v>
      </c>
      <c r="G3107" t="s">
        <v>2620</v>
      </c>
      <c r="H3107" t="s">
        <v>2633</v>
      </c>
      <c r="I3107">
        <v>0</v>
      </c>
      <c r="J3107" t="s">
        <v>1709</v>
      </c>
      <c r="K3107" t="s">
        <v>290</v>
      </c>
      <c r="L3107" t="s">
        <v>285</v>
      </c>
      <c r="M3107" t="str">
        <f t="shared" si="199"/>
        <v>10</v>
      </c>
      <c r="N3107" t="s">
        <v>12</v>
      </c>
    </row>
    <row r="3108" spans="1:14" x14ac:dyDescent="0.25">
      <c r="A3108">
        <v>20151023</v>
      </c>
      <c r="B3108" t="str">
        <f>"060836"</f>
        <v>060836</v>
      </c>
      <c r="C3108" t="str">
        <f>"22350"</f>
        <v>22350</v>
      </c>
      <c r="D3108" t="s">
        <v>2634</v>
      </c>
      <c r="E3108" s="3">
        <v>855</v>
      </c>
      <c r="F3108">
        <v>20151021</v>
      </c>
      <c r="G3108" t="s">
        <v>2635</v>
      </c>
      <c r="H3108" t="s">
        <v>2636</v>
      </c>
      <c r="I3108">
        <v>0</v>
      </c>
      <c r="J3108" t="s">
        <v>1709</v>
      </c>
      <c r="K3108" t="s">
        <v>290</v>
      </c>
      <c r="L3108" t="s">
        <v>285</v>
      </c>
      <c r="M3108" t="str">
        <f t="shared" si="199"/>
        <v>10</v>
      </c>
      <c r="N3108" t="s">
        <v>12</v>
      </c>
    </row>
    <row r="3109" spans="1:14" x14ac:dyDescent="0.25">
      <c r="A3109">
        <v>20151023</v>
      </c>
      <c r="B3109" t="str">
        <f>"060838"</f>
        <v>060838</v>
      </c>
      <c r="C3109" t="str">
        <f>"24334"</f>
        <v>24334</v>
      </c>
      <c r="D3109" t="s">
        <v>2637</v>
      </c>
      <c r="E3109" s="3">
        <v>250</v>
      </c>
      <c r="F3109">
        <v>20151021</v>
      </c>
      <c r="G3109" t="s">
        <v>2495</v>
      </c>
      <c r="H3109" t="s">
        <v>2638</v>
      </c>
      <c r="I3109">
        <v>0</v>
      </c>
      <c r="J3109" t="s">
        <v>1709</v>
      </c>
      <c r="K3109" t="s">
        <v>235</v>
      </c>
      <c r="L3109" t="s">
        <v>285</v>
      </c>
      <c r="M3109" t="str">
        <f t="shared" si="199"/>
        <v>10</v>
      </c>
      <c r="N3109" t="s">
        <v>12</v>
      </c>
    </row>
    <row r="3110" spans="1:14" x14ac:dyDescent="0.25">
      <c r="A3110">
        <v>20151023</v>
      </c>
      <c r="B3110" t="str">
        <f>"060838"</f>
        <v>060838</v>
      </c>
      <c r="C3110" t="str">
        <f>"24334"</f>
        <v>24334</v>
      </c>
      <c r="D3110" t="s">
        <v>2637</v>
      </c>
      <c r="E3110" s="3">
        <v>125</v>
      </c>
      <c r="F3110">
        <v>20151021</v>
      </c>
      <c r="G3110" t="s">
        <v>2495</v>
      </c>
      <c r="H3110" t="s">
        <v>2639</v>
      </c>
      <c r="I3110">
        <v>0</v>
      </c>
      <c r="J3110" t="s">
        <v>1709</v>
      </c>
      <c r="K3110" t="s">
        <v>235</v>
      </c>
      <c r="L3110" t="s">
        <v>285</v>
      </c>
      <c r="M3110" t="str">
        <f t="shared" si="199"/>
        <v>10</v>
      </c>
      <c r="N3110" t="s">
        <v>12</v>
      </c>
    </row>
    <row r="3111" spans="1:14" x14ac:dyDescent="0.25">
      <c r="A3111">
        <v>20151023</v>
      </c>
      <c r="B3111" t="str">
        <f>"060840"</f>
        <v>060840</v>
      </c>
      <c r="C3111" t="str">
        <f>"24970"</f>
        <v>24970</v>
      </c>
      <c r="D3111" t="s">
        <v>1968</v>
      </c>
      <c r="E3111" s="3">
        <v>1245</v>
      </c>
      <c r="F3111">
        <v>20151021</v>
      </c>
      <c r="G3111" t="s">
        <v>2640</v>
      </c>
      <c r="H3111" t="s">
        <v>2641</v>
      </c>
      <c r="I3111">
        <v>0</v>
      </c>
      <c r="J3111" t="s">
        <v>1709</v>
      </c>
      <c r="K3111" t="s">
        <v>290</v>
      </c>
      <c r="L3111" t="s">
        <v>285</v>
      </c>
      <c r="M3111" t="str">
        <f t="shared" si="199"/>
        <v>10</v>
      </c>
      <c r="N3111" t="s">
        <v>12</v>
      </c>
    </row>
    <row r="3112" spans="1:14" x14ac:dyDescent="0.25">
      <c r="A3112">
        <v>20151023</v>
      </c>
      <c r="B3112" t="str">
        <f>"060840"</f>
        <v>060840</v>
      </c>
      <c r="C3112" t="str">
        <f>"24970"</f>
        <v>24970</v>
      </c>
      <c r="D3112" t="s">
        <v>1968</v>
      </c>
      <c r="E3112" s="3">
        <v>130</v>
      </c>
      <c r="F3112">
        <v>20151021</v>
      </c>
      <c r="G3112" t="s">
        <v>2642</v>
      </c>
      <c r="H3112" t="s">
        <v>2641</v>
      </c>
      <c r="I3112">
        <v>0</v>
      </c>
      <c r="J3112" t="s">
        <v>1709</v>
      </c>
      <c r="K3112" t="s">
        <v>290</v>
      </c>
      <c r="L3112" t="s">
        <v>285</v>
      </c>
      <c r="M3112" t="str">
        <f t="shared" si="199"/>
        <v>10</v>
      </c>
      <c r="N3112" t="s">
        <v>12</v>
      </c>
    </row>
    <row r="3113" spans="1:14" x14ac:dyDescent="0.25">
      <c r="A3113">
        <v>20151023</v>
      </c>
      <c r="B3113" t="str">
        <f>"060841"</f>
        <v>060841</v>
      </c>
      <c r="C3113" t="str">
        <f>"25221"</f>
        <v>25221</v>
      </c>
      <c r="D3113" t="s">
        <v>2099</v>
      </c>
      <c r="E3113" s="3">
        <v>330.09</v>
      </c>
      <c r="F3113">
        <v>20151021</v>
      </c>
      <c r="G3113" t="s">
        <v>2643</v>
      </c>
      <c r="H3113" t="s">
        <v>2644</v>
      </c>
      <c r="I3113">
        <v>0</v>
      </c>
      <c r="J3113" t="s">
        <v>1709</v>
      </c>
      <c r="K3113" t="s">
        <v>1643</v>
      </c>
      <c r="L3113" t="s">
        <v>285</v>
      </c>
      <c r="M3113" t="str">
        <f t="shared" si="199"/>
        <v>10</v>
      </c>
      <c r="N3113" t="s">
        <v>12</v>
      </c>
    </row>
    <row r="3114" spans="1:14" x14ac:dyDescent="0.25">
      <c r="A3114">
        <v>20151023</v>
      </c>
      <c r="B3114" t="str">
        <f>"060842"</f>
        <v>060842</v>
      </c>
      <c r="C3114" t="str">
        <f>"25853"</f>
        <v>25853</v>
      </c>
      <c r="D3114" t="s">
        <v>532</v>
      </c>
      <c r="E3114" s="3">
        <v>6000</v>
      </c>
      <c r="F3114">
        <v>20151021</v>
      </c>
      <c r="G3114" t="s">
        <v>2102</v>
      </c>
      <c r="H3114" t="s">
        <v>2103</v>
      </c>
      <c r="I3114">
        <v>0</v>
      </c>
      <c r="J3114" t="s">
        <v>1709</v>
      </c>
      <c r="K3114" t="s">
        <v>290</v>
      </c>
      <c r="L3114" t="s">
        <v>285</v>
      </c>
      <c r="M3114" t="str">
        <f t="shared" si="199"/>
        <v>10</v>
      </c>
      <c r="N3114" t="s">
        <v>12</v>
      </c>
    </row>
    <row r="3115" spans="1:14" x14ac:dyDescent="0.25">
      <c r="A3115">
        <v>20151023</v>
      </c>
      <c r="B3115" t="str">
        <f>"060843"</f>
        <v>060843</v>
      </c>
      <c r="C3115" t="str">
        <f>"27908"</f>
        <v>27908</v>
      </c>
      <c r="D3115" t="s">
        <v>1596</v>
      </c>
      <c r="E3115" s="3">
        <v>600</v>
      </c>
      <c r="F3115">
        <v>20151021</v>
      </c>
      <c r="G3115" t="s">
        <v>2645</v>
      </c>
      <c r="H3115" t="s">
        <v>2646</v>
      </c>
      <c r="I3115">
        <v>0</v>
      </c>
      <c r="J3115" t="s">
        <v>1709</v>
      </c>
      <c r="K3115" t="s">
        <v>290</v>
      </c>
      <c r="L3115" t="s">
        <v>285</v>
      </c>
      <c r="M3115" t="str">
        <f t="shared" si="199"/>
        <v>10</v>
      </c>
      <c r="N3115" t="s">
        <v>12</v>
      </c>
    </row>
    <row r="3116" spans="1:14" x14ac:dyDescent="0.25">
      <c r="A3116">
        <v>20151023</v>
      </c>
      <c r="B3116" t="str">
        <f>"060845"</f>
        <v>060845</v>
      </c>
      <c r="C3116" t="str">
        <f>"28820"</f>
        <v>28820</v>
      </c>
      <c r="D3116" t="s">
        <v>2647</v>
      </c>
      <c r="E3116" s="3">
        <v>44.1</v>
      </c>
      <c r="F3116">
        <v>20151021</v>
      </c>
      <c r="G3116" t="s">
        <v>2648</v>
      </c>
      <c r="H3116" t="s">
        <v>2649</v>
      </c>
      <c r="I3116">
        <v>0</v>
      </c>
      <c r="J3116" t="s">
        <v>1709</v>
      </c>
      <c r="K3116" t="s">
        <v>2377</v>
      </c>
      <c r="L3116" t="s">
        <v>285</v>
      </c>
      <c r="M3116" t="str">
        <f t="shared" si="199"/>
        <v>10</v>
      </c>
      <c r="N3116" t="s">
        <v>12</v>
      </c>
    </row>
    <row r="3117" spans="1:14" x14ac:dyDescent="0.25">
      <c r="A3117">
        <v>20151023</v>
      </c>
      <c r="B3117" t="str">
        <f>"060845"</f>
        <v>060845</v>
      </c>
      <c r="C3117" t="str">
        <f>"28820"</f>
        <v>28820</v>
      </c>
      <c r="D3117" t="s">
        <v>2647</v>
      </c>
      <c r="E3117" s="3">
        <v>135.19999999999999</v>
      </c>
      <c r="F3117">
        <v>20151021</v>
      </c>
      <c r="G3117" t="s">
        <v>2648</v>
      </c>
      <c r="H3117" t="s">
        <v>2649</v>
      </c>
      <c r="I3117">
        <v>0</v>
      </c>
      <c r="J3117" t="s">
        <v>1709</v>
      </c>
      <c r="K3117" t="s">
        <v>2377</v>
      </c>
      <c r="L3117" t="s">
        <v>285</v>
      </c>
      <c r="M3117" t="str">
        <f t="shared" si="199"/>
        <v>10</v>
      </c>
      <c r="N3117" t="s">
        <v>12</v>
      </c>
    </row>
    <row r="3118" spans="1:14" x14ac:dyDescent="0.25">
      <c r="A3118">
        <v>20151023</v>
      </c>
      <c r="B3118" t="str">
        <f>"060846"</f>
        <v>060846</v>
      </c>
      <c r="C3118" t="str">
        <f>"28825"</f>
        <v>28825</v>
      </c>
      <c r="D3118" t="s">
        <v>1852</v>
      </c>
      <c r="E3118" s="3">
        <v>185.5</v>
      </c>
      <c r="F3118">
        <v>20151021</v>
      </c>
      <c r="G3118" t="s">
        <v>1854</v>
      </c>
      <c r="H3118" t="s">
        <v>2650</v>
      </c>
      <c r="I3118">
        <v>0</v>
      </c>
      <c r="J3118" t="s">
        <v>1709</v>
      </c>
      <c r="K3118" t="s">
        <v>1856</v>
      </c>
      <c r="L3118" t="s">
        <v>285</v>
      </c>
      <c r="M3118" t="str">
        <f t="shared" si="199"/>
        <v>10</v>
      </c>
      <c r="N3118" t="s">
        <v>12</v>
      </c>
    </row>
    <row r="3119" spans="1:14" x14ac:dyDescent="0.25">
      <c r="A3119">
        <v>20151023</v>
      </c>
      <c r="B3119" t="str">
        <f>"060847"</f>
        <v>060847</v>
      </c>
      <c r="C3119" t="str">
        <f>"29609"</f>
        <v>29609</v>
      </c>
      <c r="D3119" t="s">
        <v>2651</v>
      </c>
      <c r="E3119" s="3">
        <v>20.51</v>
      </c>
      <c r="F3119">
        <v>20151021</v>
      </c>
      <c r="G3119" t="s">
        <v>2652</v>
      </c>
      <c r="H3119" t="s">
        <v>2653</v>
      </c>
      <c r="I3119">
        <v>0</v>
      </c>
      <c r="J3119" t="s">
        <v>1709</v>
      </c>
      <c r="K3119" t="s">
        <v>1861</v>
      </c>
      <c r="L3119" t="s">
        <v>285</v>
      </c>
      <c r="M3119" t="str">
        <f t="shared" si="199"/>
        <v>10</v>
      </c>
      <c r="N3119" t="s">
        <v>12</v>
      </c>
    </row>
    <row r="3120" spans="1:14" x14ac:dyDescent="0.25">
      <c r="A3120">
        <v>20151023</v>
      </c>
      <c r="B3120" t="str">
        <f>"060847"</f>
        <v>060847</v>
      </c>
      <c r="C3120" t="str">
        <f>"29609"</f>
        <v>29609</v>
      </c>
      <c r="D3120" t="s">
        <v>2651</v>
      </c>
      <c r="E3120" s="3">
        <v>287.64</v>
      </c>
      <c r="F3120">
        <v>20151021</v>
      </c>
      <c r="G3120" t="s">
        <v>1859</v>
      </c>
      <c r="H3120" t="s">
        <v>2295</v>
      </c>
      <c r="I3120">
        <v>0</v>
      </c>
      <c r="J3120" t="s">
        <v>1709</v>
      </c>
      <c r="K3120" t="s">
        <v>1861</v>
      </c>
      <c r="L3120" t="s">
        <v>285</v>
      </c>
      <c r="M3120" t="str">
        <f t="shared" si="199"/>
        <v>10</v>
      </c>
      <c r="N3120" t="s">
        <v>12</v>
      </c>
    </row>
    <row r="3121" spans="1:14" x14ac:dyDescent="0.25">
      <c r="A3121">
        <v>20151023</v>
      </c>
      <c r="B3121" t="str">
        <f>"060848"</f>
        <v>060848</v>
      </c>
      <c r="C3121" t="str">
        <f>"06470"</f>
        <v>06470</v>
      </c>
      <c r="D3121" t="s">
        <v>2654</v>
      </c>
      <c r="E3121" s="3">
        <v>164.98</v>
      </c>
      <c r="F3121">
        <v>20151021</v>
      </c>
      <c r="G3121" t="s">
        <v>2164</v>
      </c>
      <c r="H3121" t="s">
        <v>2655</v>
      </c>
      <c r="I3121">
        <v>0</v>
      </c>
      <c r="J3121" t="s">
        <v>1709</v>
      </c>
      <c r="K3121" t="s">
        <v>1861</v>
      </c>
      <c r="L3121" t="s">
        <v>285</v>
      </c>
      <c r="M3121" t="str">
        <f t="shared" si="199"/>
        <v>10</v>
      </c>
      <c r="N3121" t="s">
        <v>12</v>
      </c>
    </row>
    <row r="3122" spans="1:14" x14ac:dyDescent="0.25">
      <c r="A3122">
        <v>20151023</v>
      </c>
      <c r="B3122" t="str">
        <f>"060848"</f>
        <v>060848</v>
      </c>
      <c r="C3122" t="str">
        <f>"06470"</f>
        <v>06470</v>
      </c>
      <c r="D3122" t="s">
        <v>2654</v>
      </c>
      <c r="E3122" s="3">
        <v>41.77</v>
      </c>
      <c r="F3122">
        <v>20151021</v>
      </c>
      <c r="G3122" t="s">
        <v>2164</v>
      </c>
      <c r="H3122" t="s">
        <v>2656</v>
      </c>
      <c r="I3122">
        <v>0</v>
      </c>
      <c r="J3122" t="s">
        <v>1709</v>
      </c>
      <c r="K3122" t="s">
        <v>1861</v>
      </c>
      <c r="L3122" t="s">
        <v>285</v>
      </c>
      <c r="M3122" t="str">
        <f t="shared" ref="M3122:M3185" si="202">"10"</f>
        <v>10</v>
      </c>
      <c r="N3122" t="s">
        <v>12</v>
      </c>
    </row>
    <row r="3123" spans="1:14" x14ac:dyDescent="0.25">
      <c r="A3123">
        <v>20151023</v>
      </c>
      <c r="B3123" t="str">
        <f>"060848"</f>
        <v>060848</v>
      </c>
      <c r="C3123" t="str">
        <f>"06470"</f>
        <v>06470</v>
      </c>
      <c r="D3123" t="s">
        <v>2654</v>
      </c>
      <c r="E3123" s="3">
        <v>1776.74</v>
      </c>
      <c r="F3123">
        <v>20151021</v>
      </c>
      <c r="G3123" t="s">
        <v>2164</v>
      </c>
      <c r="H3123" t="s">
        <v>2657</v>
      </c>
      <c r="I3123">
        <v>0</v>
      </c>
      <c r="J3123" t="s">
        <v>1709</v>
      </c>
      <c r="K3123" t="s">
        <v>1861</v>
      </c>
      <c r="L3123" t="s">
        <v>285</v>
      </c>
      <c r="M3123" t="str">
        <f t="shared" si="202"/>
        <v>10</v>
      </c>
      <c r="N3123" t="s">
        <v>12</v>
      </c>
    </row>
    <row r="3124" spans="1:14" x14ac:dyDescent="0.25">
      <c r="A3124">
        <v>20151023</v>
      </c>
      <c r="B3124" t="str">
        <f>"060849"</f>
        <v>060849</v>
      </c>
      <c r="C3124" t="str">
        <f>"30080"</f>
        <v>30080</v>
      </c>
      <c r="D3124" t="s">
        <v>2658</v>
      </c>
      <c r="E3124" s="3">
        <v>161.24</v>
      </c>
      <c r="F3124">
        <v>20151021</v>
      </c>
      <c r="G3124" t="s">
        <v>2659</v>
      </c>
      <c r="H3124" t="s">
        <v>2660</v>
      </c>
      <c r="I3124">
        <v>0</v>
      </c>
      <c r="J3124" t="s">
        <v>1709</v>
      </c>
      <c r="K3124" t="s">
        <v>95</v>
      </c>
      <c r="L3124" t="s">
        <v>285</v>
      </c>
      <c r="M3124" t="str">
        <f t="shared" si="202"/>
        <v>10</v>
      </c>
      <c r="N3124" t="s">
        <v>12</v>
      </c>
    </row>
    <row r="3125" spans="1:14" x14ac:dyDescent="0.25">
      <c r="A3125">
        <v>20151023</v>
      </c>
      <c r="B3125" t="str">
        <f>"060850"</f>
        <v>060850</v>
      </c>
      <c r="C3125" t="str">
        <f>"30437"</f>
        <v>30437</v>
      </c>
      <c r="D3125" t="s">
        <v>2661</v>
      </c>
      <c r="E3125" s="3">
        <v>325</v>
      </c>
      <c r="F3125">
        <v>20151021</v>
      </c>
      <c r="G3125" t="s">
        <v>1725</v>
      </c>
      <c r="H3125" t="s">
        <v>2662</v>
      </c>
      <c r="I3125">
        <v>0</v>
      </c>
      <c r="J3125" t="s">
        <v>1709</v>
      </c>
      <c r="K3125" t="s">
        <v>290</v>
      </c>
      <c r="L3125" t="s">
        <v>285</v>
      </c>
      <c r="M3125" t="str">
        <f t="shared" si="202"/>
        <v>10</v>
      </c>
      <c r="N3125" t="s">
        <v>12</v>
      </c>
    </row>
    <row r="3126" spans="1:14" x14ac:dyDescent="0.25">
      <c r="A3126">
        <v>20151023</v>
      </c>
      <c r="B3126" t="str">
        <f>"060852"</f>
        <v>060852</v>
      </c>
      <c r="C3126" t="str">
        <f>"30479"</f>
        <v>30479</v>
      </c>
      <c r="D3126" t="s">
        <v>2663</v>
      </c>
      <c r="E3126" s="3">
        <v>595</v>
      </c>
      <c r="F3126">
        <v>20151021</v>
      </c>
      <c r="G3126" t="s">
        <v>2664</v>
      </c>
      <c r="H3126" t="s">
        <v>2665</v>
      </c>
      <c r="I3126">
        <v>0</v>
      </c>
      <c r="J3126" t="s">
        <v>1709</v>
      </c>
      <c r="K3126" t="s">
        <v>1744</v>
      </c>
      <c r="L3126" t="s">
        <v>285</v>
      </c>
      <c r="M3126" t="str">
        <f t="shared" si="202"/>
        <v>10</v>
      </c>
      <c r="N3126" t="s">
        <v>12</v>
      </c>
    </row>
    <row r="3127" spans="1:14" x14ac:dyDescent="0.25">
      <c r="A3127">
        <v>20151023</v>
      </c>
      <c r="B3127" t="str">
        <f>"060853"</f>
        <v>060853</v>
      </c>
      <c r="C3127" t="str">
        <f>"31284"</f>
        <v>31284</v>
      </c>
      <c r="D3127" t="s">
        <v>1573</v>
      </c>
      <c r="E3127" s="3">
        <v>142.01</v>
      </c>
      <c r="F3127">
        <v>20151021</v>
      </c>
      <c r="G3127" t="s">
        <v>2309</v>
      </c>
      <c r="H3127" t="s">
        <v>2666</v>
      </c>
      <c r="I3127">
        <v>0</v>
      </c>
      <c r="J3127" t="s">
        <v>1709</v>
      </c>
      <c r="K3127" t="s">
        <v>1558</v>
      </c>
      <c r="L3127" t="s">
        <v>285</v>
      </c>
      <c r="M3127" t="str">
        <f t="shared" si="202"/>
        <v>10</v>
      </c>
      <c r="N3127" t="s">
        <v>12</v>
      </c>
    </row>
    <row r="3128" spans="1:14" x14ac:dyDescent="0.25">
      <c r="A3128">
        <v>20151023</v>
      </c>
      <c r="B3128" t="str">
        <f>"060854"</f>
        <v>060854</v>
      </c>
      <c r="C3128" t="str">
        <f>"31500"</f>
        <v>31500</v>
      </c>
      <c r="D3128" t="s">
        <v>1872</v>
      </c>
      <c r="E3128" s="3">
        <v>106.52</v>
      </c>
      <c r="F3128">
        <v>20151021</v>
      </c>
      <c r="G3128" t="s">
        <v>2074</v>
      </c>
      <c r="H3128" t="s">
        <v>2667</v>
      </c>
      <c r="I3128">
        <v>0</v>
      </c>
      <c r="J3128" t="s">
        <v>1709</v>
      </c>
      <c r="K3128" t="s">
        <v>1861</v>
      </c>
      <c r="L3128" t="s">
        <v>285</v>
      </c>
      <c r="M3128" t="str">
        <f t="shared" si="202"/>
        <v>10</v>
      </c>
      <c r="N3128" t="s">
        <v>12</v>
      </c>
    </row>
    <row r="3129" spans="1:14" x14ac:dyDescent="0.25">
      <c r="A3129">
        <v>20151023</v>
      </c>
      <c r="B3129" t="str">
        <f>"060855"</f>
        <v>060855</v>
      </c>
      <c r="C3129" t="str">
        <f>"34949"</f>
        <v>34949</v>
      </c>
      <c r="D3129" t="s">
        <v>396</v>
      </c>
      <c r="E3129" s="3">
        <v>228</v>
      </c>
      <c r="F3129">
        <v>20151021</v>
      </c>
      <c r="G3129" t="s">
        <v>1723</v>
      </c>
      <c r="H3129" t="s">
        <v>2668</v>
      </c>
      <c r="I3129">
        <v>0</v>
      </c>
      <c r="J3129" t="s">
        <v>1709</v>
      </c>
      <c r="K3129" t="s">
        <v>290</v>
      </c>
      <c r="L3129" t="s">
        <v>285</v>
      </c>
      <c r="M3129" t="str">
        <f t="shared" si="202"/>
        <v>10</v>
      </c>
      <c r="N3129" t="s">
        <v>12</v>
      </c>
    </row>
    <row r="3130" spans="1:14" x14ac:dyDescent="0.25">
      <c r="A3130">
        <v>20151023</v>
      </c>
      <c r="B3130" t="str">
        <f>"060856"</f>
        <v>060856</v>
      </c>
      <c r="C3130" t="str">
        <f>"37805"</f>
        <v>37805</v>
      </c>
      <c r="D3130" t="s">
        <v>2669</v>
      </c>
      <c r="E3130" s="3">
        <v>25</v>
      </c>
      <c r="F3130">
        <v>20151021</v>
      </c>
      <c r="G3130" t="s">
        <v>1738</v>
      </c>
      <c r="H3130" t="s">
        <v>2662</v>
      </c>
      <c r="I3130">
        <v>0</v>
      </c>
      <c r="J3130" t="s">
        <v>1709</v>
      </c>
      <c r="K3130" t="s">
        <v>290</v>
      </c>
      <c r="L3130" t="s">
        <v>285</v>
      </c>
      <c r="M3130" t="str">
        <f t="shared" si="202"/>
        <v>10</v>
      </c>
      <c r="N3130" t="s">
        <v>12</v>
      </c>
    </row>
    <row r="3131" spans="1:14" x14ac:dyDescent="0.25">
      <c r="A3131">
        <v>20151023</v>
      </c>
      <c r="B3131" t="str">
        <f>"060856"</f>
        <v>060856</v>
      </c>
      <c r="C3131" t="str">
        <f>"37805"</f>
        <v>37805</v>
      </c>
      <c r="D3131" t="s">
        <v>2669</v>
      </c>
      <c r="E3131" s="3">
        <v>375</v>
      </c>
      <c r="F3131">
        <v>20151021</v>
      </c>
      <c r="G3131" t="s">
        <v>1739</v>
      </c>
      <c r="H3131" t="s">
        <v>2662</v>
      </c>
      <c r="I3131">
        <v>0</v>
      </c>
      <c r="J3131" t="s">
        <v>1709</v>
      </c>
      <c r="K3131" t="s">
        <v>290</v>
      </c>
      <c r="L3131" t="s">
        <v>285</v>
      </c>
      <c r="M3131" t="str">
        <f t="shared" si="202"/>
        <v>10</v>
      </c>
      <c r="N3131" t="s">
        <v>12</v>
      </c>
    </row>
    <row r="3132" spans="1:14" x14ac:dyDescent="0.25">
      <c r="A3132">
        <v>20151023</v>
      </c>
      <c r="B3132" t="str">
        <f>"060859"</f>
        <v>060859</v>
      </c>
      <c r="C3132" t="str">
        <f>"45069"</f>
        <v>45069</v>
      </c>
      <c r="D3132" t="s">
        <v>2670</v>
      </c>
      <c r="E3132" s="3">
        <v>2200</v>
      </c>
      <c r="F3132">
        <v>20151021</v>
      </c>
      <c r="G3132" t="s">
        <v>2671</v>
      </c>
      <c r="H3132" t="s">
        <v>2672</v>
      </c>
      <c r="I3132">
        <v>0</v>
      </c>
      <c r="J3132" t="s">
        <v>1709</v>
      </c>
      <c r="K3132" t="s">
        <v>33</v>
      </c>
      <c r="L3132" t="s">
        <v>285</v>
      </c>
      <c r="M3132" t="str">
        <f t="shared" si="202"/>
        <v>10</v>
      </c>
      <c r="N3132" t="s">
        <v>12</v>
      </c>
    </row>
    <row r="3133" spans="1:14" x14ac:dyDescent="0.25">
      <c r="A3133">
        <v>20151023</v>
      </c>
      <c r="B3133" t="str">
        <f>"060861"</f>
        <v>060861</v>
      </c>
      <c r="C3133" t="str">
        <f>"45093"</f>
        <v>45093</v>
      </c>
      <c r="D3133" t="s">
        <v>538</v>
      </c>
      <c r="E3133" s="3">
        <v>124.74</v>
      </c>
      <c r="F3133">
        <v>20151021</v>
      </c>
      <c r="G3133" t="s">
        <v>2673</v>
      </c>
      <c r="H3133" t="s">
        <v>2674</v>
      </c>
      <c r="I3133">
        <v>0</v>
      </c>
      <c r="J3133" t="s">
        <v>1709</v>
      </c>
      <c r="K3133" t="s">
        <v>2207</v>
      </c>
      <c r="L3133" t="s">
        <v>285</v>
      </c>
      <c r="M3133" t="str">
        <f t="shared" si="202"/>
        <v>10</v>
      </c>
      <c r="N3133" t="s">
        <v>12</v>
      </c>
    </row>
    <row r="3134" spans="1:14" x14ac:dyDescent="0.25">
      <c r="A3134">
        <v>20151023</v>
      </c>
      <c r="B3134" t="str">
        <f>"060863"</f>
        <v>060863</v>
      </c>
      <c r="C3134" t="str">
        <f>"45048"</f>
        <v>45048</v>
      </c>
      <c r="D3134" t="s">
        <v>2675</v>
      </c>
      <c r="E3134" s="3">
        <v>1301.46</v>
      </c>
      <c r="F3134">
        <v>20151021</v>
      </c>
      <c r="G3134" t="s">
        <v>2640</v>
      </c>
      <c r="H3134" t="s">
        <v>2641</v>
      </c>
      <c r="I3134">
        <v>0</v>
      </c>
      <c r="J3134" t="s">
        <v>1709</v>
      </c>
      <c r="K3134" t="s">
        <v>290</v>
      </c>
      <c r="L3134" t="s">
        <v>285</v>
      </c>
      <c r="M3134" t="str">
        <f t="shared" si="202"/>
        <v>10</v>
      </c>
      <c r="N3134" t="s">
        <v>12</v>
      </c>
    </row>
    <row r="3135" spans="1:14" x14ac:dyDescent="0.25">
      <c r="A3135">
        <v>20151023</v>
      </c>
      <c r="B3135" t="str">
        <f>"060863"</f>
        <v>060863</v>
      </c>
      <c r="C3135" t="str">
        <f>"45048"</f>
        <v>45048</v>
      </c>
      <c r="D3135" t="s">
        <v>2675</v>
      </c>
      <c r="E3135" s="3">
        <v>433.82</v>
      </c>
      <c r="F3135">
        <v>20151021</v>
      </c>
      <c r="G3135" t="s">
        <v>2642</v>
      </c>
      <c r="H3135" t="s">
        <v>2641</v>
      </c>
      <c r="I3135">
        <v>0</v>
      </c>
      <c r="J3135" t="s">
        <v>1709</v>
      </c>
      <c r="K3135" t="s">
        <v>290</v>
      </c>
      <c r="L3135" t="s">
        <v>285</v>
      </c>
      <c r="M3135" t="str">
        <f t="shared" si="202"/>
        <v>10</v>
      </c>
      <c r="N3135" t="s">
        <v>12</v>
      </c>
    </row>
    <row r="3136" spans="1:14" x14ac:dyDescent="0.25">
      <c r="A3136">
        <v>20151023</v>
      </c>
      <c r="B3136" t="str">
        <f>"060864"</f>
        <v>060864</v>
      </c>
      <c r="C3136" t="str">
        <f>"46025"</f>
        <v>46025</v>
      </c>
      <c r="D3136" t="s">
        <v>2676</v>
      </c>
      <c r="E3136" s="3">
        <v>542</v>
      </c>
      <c r="F3136">
        <v>20151021</v>
      </c>
      <c r="G3136" t="s">
        <v>1718</v>
      </c>
      <c r="H3136" s="1">
        <v>42217</v>
      </c>
      <c r="I3136">
        <v>0</v>
      </c>
      <c r="J3136" t="s">
        <v>1709</v>
      </c>
      <c r="K3136" t="s">
        <v>235</v>
      </c>
      <c r="L3136" t="s">
        <v>285</v>
      </c>
      <c r="M3136" t="str">
        <f t="shared" si="202"/>
        <v>10</v>
      </c>
      <c r="N3136" t="s">
        <v>12</v>
      </c>
    </row>
    <row r="3137" spans="1:14" x14ac:dyDescent="0.25">
      <c r="A3137">
        <v>20151023</v>
      </c>
      <c r="B3137" t="str">
        <f>"060867"</f>
        <v>060867</v>
      </c>
      <c r="C3137" t="str">
        <f>"46850"</f>
        <v>46850</v>
      </c>
      <c r="D3137" t="s">
        <v>2677</v>
      </c>
      <c r="E3137" s="3">
        <v>511.76</v>
      </c>
      <c r="F3137">
        <v>20151021</v>
      </c>
      <c r="G3137" t="s">
        <v>2678</v>
      </c>
      <c r="H3137" t="s">
        <v>2679</v>
      </c>
      <c r="I3137">
        <v>0</v>
      </c>
      <c r="J3137" t="s">
        <v>1709</v>
      </c>
      <c r="K3137" t="s">
        <v>1643</v>
      </c>
      <c r="L3137" t="s">
        <v>285</v>
      </c>
      <c r="M3137" t="str">
        <f t="shared" si="202"/>
        <v>10</v>
      </c>
      <c r="N3137" t="s">
        <v>12</v>
      </c>
    </row>
    <row r="3138" spans="1:14" x14ac:dyDescent="0.25">
      <c r="A3138">
        <v>20151023</v>
      </c>
      <c r="B3138" t="str">
        <f>"060868"</f>
        <v>060868</v>
      </c>
      <c r="C3138" t="str">
        <f>"49959"</f>
        <v>49959</v>
      </c>
      <c r="D3138" t="s">
        <v>361</v>
      </c>
      <c r="E3138" s="3">
        <v>240</v>
      </c>
      <c r="F3138">
        <v>20151021</v>
      </c>
      <c r="G3138" t="s">
        <v>1788</v>
      </c>
      <c r="H3138" t="s">
        <v>2680</v>
      </c>
      <c r="I3138">
        <v>0</v>
      </c>
      <c r="J3138" t="s">
        <v>1709</v>
      </c>
      <c r="K3138" t="s">
        <v>1643</v>
      </c>
      <c r="L3138" t="s">
        <v>285</v>
      </c>
      <c r="M3138" t="str">
        <f t="shared" si="202"/>
        <v>10</v>
      </c>
      <c r="N3138" t="s">
        <v>12</v>
      </c>
    </row>
    <row r="3139" spans="1:14" x14ac:dyDescent="0.25">
      <c r="A3139">
        <v>20151023</v>
      </c>
      <c r="B3139" t="str">
        <f>"060871"</f>
        <v>060871</v>
      </c>
      <c r="C3139" t="str">
        <f>"53291"</f>
        <v>53291</v>
      </c>
      <c r="D3139" t="s">
        <v>2681</v>
      </c>
      <c r="E3139" s="3">
        <v>15</v>
      </c>
      <c r="F3139">
        <v>20151021</v>
      </c>
      <c r="G3139" t="s">
        <v>1725</v>
      </c>
      <c r="H3139" t="s">
        <v>2624</v>
      </c>
      <c r="I3139">
        <v>0</v>
      </c>
      <c r="J3139" t="s">
        <v>1709</v>
      </c>
      <c r="K3139" t="s">
        <v>290</v>
      </c>
      <c r="L3139" t="s">
        <v>285</v>
      </c>
      <c r="M3139" t="str">
        <f t="shared" si="202"/>
        <v>10</v>
      </c>
      <c r="N3139" t="s">
        <v>12</v>
      </c>
    </row>
    <row r="3140" spans="1:14" x14ac:dyDescent="0.25">
      <c r="A3140">
        <v>20151023</v>
      </c>
      <c r="B3140" t="str">
        <f>"060872"</f>
        <v>060872</v>
      </c>
      <c r="C3140" t="str">
        <f>"54149"</f>
        <v>54149</v>
      </c>
      <c r="D3140" t="s">
        <v>1617</v>
      </c>
      <c r="E3140" s="3">
        <v>183.24</v>
      </c>
      <c r="F3140">
        <v>20151021</v>
      </c>
      <c r="G3140" t="s">
        <v>2100</v>
      </c>
      <c r="H3140" t="s">
        <v>2682</v>
      </c>
      <c r="I3140">
        <v>0</v>
      </c>
      <c r="J3140" t="s">
        <v>1709</v>
      </c>
      <c r="K3140" t="s">
        <v>33</v>
      </c>
      <c r="L3140" t="s">
        <v>285</v>
      </c>
      <c r="M3140" t="str">
        <f t="shared" si="202"/>
        <v>10</v>
      </c>
      <c r="N3140" t="s">
        <v>12</v>
      </c>
    </row>
    <row r="3141" spans="1:14" x14ac:dyDescent="0.25">
      <c r="A3141">
        <v>20151023</v>
      </c>
      <c r="B3141" t="str">
        <f>"060872"</f>
        <v>060872</v>
      </c>
      <c r="C3141" t="str">
        <f>"54149"</f>
        <v>54149</v>
      </c>
      <c r="D3141" t="s">
        <v>1617</v>
      </c>
      <c r="E3141" s="3">
        <v>326.72000000000003</v>
      </c>
      <c r="F3141">
        <v>20151021</v>
      </c>
      <c r="G3141" t="s">
        <v>2232</v>
      </c>
      <c r="H3141" t="s">
        <v>2683</v>
      </c>
      <c r="I3141">
        <v>0</v>
      </c>
      <c r="J3141" t="s">
        <v>1709</v>
      </c>
      <c r="K3141" t="s">
        <v>290</v>
      </c>
      <c r="L3141" t="s">
        <v>285</v>
      </c>
      <c r="M3141" t="str">
        <f t="shared" si="202"/>
        <v>10</v>
      </c>
      <c r="N3141" t="s">
        <v>12</v>
      </c>
    </row>
    <row r="3142" spans="1:14" x14ac:dyDescent="0.25">
      <c r="A3142">
        <v>20151023</v>
      </c>
      <c r="B3142" t="str">
        <f>"060872"</f>
        <v>060872</v>
      </c>
      <c r="C3142" t="str">
        <f>"54149"</f>
        <v>54149</v>
      </c>
      <c r="D3142" t="s">
        <v>1617</v>
      </c>
      <c r="E3142" s="3">
        <v>326.73</v>
      </c>
      <c r="F3142">
        <v>20151021</v>
      </c>
      <c r="G3142" t="s">
        <v>2234</v>
      </c>
      <c r="H3142" t="s">
        <v>2684</v>
      </c>
      <c r="I3142">
        <v>0</v>
      </c>
      <c r="J3142" t="s">
        <v>1709</v>
      </c>
      <c r="K3142" t="s">
        <v>290</v>
      </c>
      <c r="L3142" t="s">
        <v>285</v>
      </c>
      <c r="M3142" t="str">
        <f t="shared" si="202"/>
        <v>10</v>
      </c>
      <c r="N3142" t="s">
        <v>12</v>
      </c>
    </row>
    <row r="3143" spans="1:14" x14ac:dyDescent="0.25">
      <c r="A3143">
        <v>20151023</v>
      </c>
      <c r="B3143" t="str">
        <f>"060873"</f>
        <v>060873</v>
      </c>
      <c r="C3143" t="str">
        <f>"56564"</f>
        <v>56564</v>
      </c>
      <c r="D3143" t="s">
        <v>1578</v>
      </c>
      <c r="E3143" s="3">
        <v>96.64</v>
      </c>
      <c r="F3143">
        <v>20151021</v>
      </c>
      <c r="G3143" t="s">
        <v>2325</v>
      </c>
      <c r="H3143" t="s">
        <v>2685</v>
      </c>
      <c r="I3143">
        <v>0</v>
      </c>
      <c r="J3143" t="s">
        <v>1709</v>
      </c>
      <c r="K3143" t="s">
        <v>1643</v>
      </c>
      <c r="L3143" t="s">
        <v>285</v>
      </c>
      <c r="M3143" t="str">
        <f t="shared" si="202"/>
        <v>10</v>
      </c>
      <c r="N3143" t="s">
        <v>12</v>
      </c>
    </row>
    <row r="3144" spans="1:14" x14ac:dyDescent="0.25">
      <c r="A3144">
        <v>20151023</v>
      </c>
      <c r="B3144" t="str">
        <f>"060873"</f>
        <v>060873</v>
      </c>
      <c r="C3144" t="str">
        <f>"56564"</f>
        <v>56564</v>
      </c>
      <c r="D3144" t="s">
        <v>1578</v>
      </c>
      <c r="E3144" s="3">
        <v>20.93</v>
      </c>
      <c r="F3144">
        <v>20151021</v>
      </c>
      <c r="G3144" t="s">
        <v>1888</v>
      </c>
      <c r="H3144" t="s">
        <v>2686</v>
      </c>
      <c r="I3144">
        <v>0</v>
      </c>
      <c r="J3144" t="s">
        <v>1709</v>
      </c>
      <c r="K3144" t="s">
        <v>290</v>
      </c>
      <c r="L3144" t="s">
        <v>285</v>
      </c>
      <c r="M3144" t="str">
        <f t="shared" si="202"/>
        <v>10</v>
      </c>
      <c r="N3144" t="s">
        <v>12</v>
      </c>
    </row>
    <row r="3145" spans="1:14" x14ac:dyDescent="0.25">
      <c r="A3145">
        <v>20151023</v>
      </c>
      <c r="B3145" t="str">
        <f>"060874"</f>
        <v>060874</v>
      </c>
      <c r="C3145" t="str">
        <f>"56570"</f>
        <v>56570</v>
      </c>
      <c r="D3145" t="s">
        <v>2687</v>
      </c>
      <c r="E3145" s="3">
        <v>60.7</v>
      </c>
      <c r="F3145">
        <v>20151022</v>
      </c>
      <c r="G3145" t="s">
        <v>2025</v>
      </c>
      <c r="H3145" t="s">
        <v>2688</v>
      </c>
      <c r="I3145">
        <v>0</v>
      </c>
      <c r="J3145" t="s">
        <v>1709</v>
      </c>
      <c r="K3145" t="s">
        <v>1984</v>
      </c>
      <c r="L3145" t="s">
        <v>285</v>
      </c>
      <c r="M3145" t="str">
        <f t="shared" si="202"/>
        <v>10</v>
      </c>
      <c r="N3145" t="s">
        <v>12</v>
      </c>
    </row>
    <row r="3146" spans="1:14" x14ac:dyDescent="0.25">
      <c r="A3146">
        <v>20151023</v>
      </c>
      <c r="B3146" t="str">
        <f>"060875"</f>
        <v>060875</v>
      </c>
      <c r="C3146" t="str">
        <f>"58174"</f>
        <v>58174</v>
      </c>
      <c r="D3146" t="s">
        <v>1594</v>
      </c>
      <c r="E3146" s="3">
        <v>199.99</v>
      </c>
      <c r="F3146">
        <v>20151021</v>
      </c>
      <c r="G3146" t="s">
        <v>2181</v>
      </c>
      <c r="H3146" t="s">
        <v>2689</v>
      </c>
      <c r="I3146">
        <v>0</v>
      </c>
      <c r="J3146" t="s">
        <v>1709</v>
      </c>
      <c r="K3146" t="s">
        <v>33</v>
      </c>
      <c r="L3146" t="s">
        <v>285</v>
      </c>
      <c r="M3146" t="str">
        <f t="shared" si="202"/>
        <v>10</v>
      </c>
      <c r="N3146" t="s">
        <v>12</v>
      </c>
    </row>
    <row r="3147" spans="1:14" x14ac:dyDescent="0.25">
      <c r="A3147">
        <v>20151023</v>
      </c>
      <c r="B3147" t="str">
        <f>"060876"</f>
        <v>060876</v>
      </c>
      <c r="C3147" t="str">
        <f>"58204"</f>
        <v>58204</v>
      </c>
      <c r="D3147" t="s">
        <v>1816</v>
      </c>
      <c r="E3147" s="3">
        <v>42</v>
      </c>
      <c r="F3147">
        <v>20151021</v>
      </c>
      <c r="G3147" t="s">
        <v>2412</v>
      </c>
      <c r="H3147" t="s">
        <v>2690</v>
      </c>
      <c r="I3147">
        <v>0</v>
      </c>
      <c r="J3147" t="s">
        <v>1709</v>
      </c>
      <c r="K3147" t="s">
        <v>290</v>
      </c>
      <c r="L3147" t="s">
        <v>285</v>
      </c>
      <c r="M3147" t="str">
        <f t="shared" si="202"/>
        <v>10</v>
      </c>
      <c r="N3147" t="s">
        <v>12</v>
      </c>
    </row>
    <row r="3148" spans="1:14" x14ac:dyDescent="0.25">
      <c r="A3148">
        <v>20151023</v>
      </c>
      <c r="B3148" t="str">
        <f>"060876"</f>
        <v>060876</v>
      </c>
      <c r="C3148" t="str">
        <f>"58204"</f>
        <v>58204</v>
      </c>
      <c r="D3148" t="s">
        <v>1816</v>
      </c>
      <c r="E3148" s="3">
        <v>59.97</v>
      </c>
      <c r="F3148">
        <v>20151021</v>
      </c>
      <c r="G3148" t="s">
        <v>2153</v>
      </c>
      <c r="H3148" t="s">
        <v>2691</v>
      </c>
      <c r="I3148">
        <v>0</v>
      </c>
      <c r="J3148" t="s">
        <v>1709</v>
      </c>
      <c r="K3148" t="s">
        <v>290</v>
      </c>
      <c r="L3148" t="s">
        <v>285</v>
      </c>
      <c r="M3148" t="str">
        <f t="shared" si="202"/>
        <v>10</v>
      </c>
      <c r="N3148" t="s">
        <v>12</v>
      </c>
    </row>
    <row r="3149" spans="1:14" x14ac:dyDescent="0.25">
      <c r="A3149">
        <v>20151023</v>
      </c>
      <c r="B3149" t="str">
        <f>"060876"</f>
        <v>060876</v>
      </c>
      <c r="C3149" t="str">
        <f>"58204"</f>
        <v>58204</v>
      </c>
      <c r="D3149" t="s">
        <v>1816</v>
      </c>
      <c r="E3149" s="3">
        <v>89.06</v>
      </c>
      <c r="F3149">
        <v>20151021</v>
      </c>
      <c r="G3149" t="s">
        <v>1888</v>
      </c>
      <c r="H3149" t="s">
        <v>2692</v>
      </c>
      <c r="I3149">
        <v>0</v>
      </c>
      <c r="J3149" t="s">
        <v>1709</v>
      </c>
      <c r="K3149" t="s">
        <v>290</v>
      </c>
      <c r="L3149" t="s">
        <v>285</v>
      </c>
      <c r="M3149" t="str">
        <f t="shared" si="202"/>
        <v>10</v>
      </c>
      <c r="N3149" t="s">
        <v>12</v>
      </c>
    </row>
    <row r="3150" spans="1:14" x14ac:dyDescent="0.25">
      <c r="A3150">
        <v>20151023</v>
      </c>
      <c r="B3150" t="str">
        <f>"060876"</f>
        <v>060876</v>
      </c>
      <c r="C3150" t="str">
        <f>"58204"</f>
        <v>58204</v>
      </c>
      <c r="D3150" t="s">
        <v>1816</v>
      </c>
      <c r="E3150" s="3">
        <v>70</v>
      </c>
      <c r="F3150">
        <v>20151021</v>
      </c>
      <c r="G3150" t="s">
        <v>2693</v>
      </c>
      <c r="H3150" t="s">
        <v>2694</v>
      </c>
      <c r="I3150">
        <v>0</v>
      </c>
      <c r="J3150" t="s">
        <v>1709</v>
      </c>
      <c r="K3150" t="s">
        <v>290</v>
      </c>
      <c r="L3150" t="s">
        <v>285</v>
      </c>
      <c r="M3150" t="str">
        <f t="shared" si="202"/>
        <v>10</v>
      </c>
      <c r="N3150" t="s">
        <v>12</v>
      </c>
    </row>
    <row r="3151" spans="1:14" x14ac:dyDescent="0.25">
      <c r="A3151">
        <v>20151023</v>
      </c>
      <c r="B3151" t="str">
        <f>"060877"</f>
        <v>060877</v>
      </c>
      <c r="C3151" t="str">
        <f>"58202"</f>
        <v>58202</v>
      </c>
      <c r="D3151" t="s">
        <v>2695</v>
      </c>
      <c r="E3151" s="3">
        <v>63.77</v>
      </c>
      <c r="F3151">
        <v>20151022</v>
      </c>
      <c r="G3151" t="s">
        <v>2275</v>
      </c>
      <c r="H3151" t="s">
        <v>2696</v>
      </c>
      <c r="I3151">
        <v>0</v>
      </c>
      <c r="J3151" t="s">
        <v>1709</v>
      </c>
      <c r="K3151" t="s">
        <v>95</v>
      </c>
      <c r="L3151" t="s">
        <v>285</v>
      </c>
      <c r="M3151" t="str">
        <f t="shared" si="202"/>
        <v>10</v>
      </c>
      <c r="N3151" t="s">
        <v>12</v>
      </c>
    </row>
    <row r="3152" spans="1:14" x14ac:dyDescent="0.25">
      <c r="A3152">
        <v>20151023</v>
      </c>
      <c r="B3152" t="str">
        <f>"060877"</f>
        <v>060877</v>
      </c>
      <c r="C3152" t="str">
        <f>"58202"</f>
        <v>58202</v>
      </c>
      <c r="D3152" t="s">
        <v>2695</v>
      </c>
      <c r="E3152" s="3">
        <v>42.6</v>
      </c>
      <c r="F3152">
        <v>20151022</v>
      </c>
      <c r="G3152" t="s">
        <v>2172</v>
      </c>
      <c r="H3152" t="s">
        <v>2697</v>
      </c>
      <c r="I3152">
        <v>0</v>
      </c>
      <c r="J3152" t="s">
        <v>1709</v>
      </c>
      <c r="K3152" t="s">
        <v>95</v>
      </c>
      <c r="L3152" t="s">
        <v>285</v>
      </c>
      <c r="M3152" t="str">
        <f t="shared" si="202"/>
        <v>10</v>
      </c>
      <c r="N3152" t="s">
        <v>12</v>
      </c>
    </row>
    <row r="3153" spans="1:14" x14ac:dyDescent="0.25">
      <c r="A3153">
        <v>20151023</v>
      </c>
      <c r="B3153" t="str">
        <f>"060877"</f>
        <v>060877</v>
      </c>
      <c r="C3153" t="str">
        <f>"58202"</f>
        <v>58202</v>
      </c>
      <c r="D3153" t="s">
        <v>2695</v>
      </c>
      <c r="E3153" s="3">
        <v>6.5</v>
      </c>
      <c r="F3153">
        <v>20151022</v>
      </c>
      <c r="G3153" t="s">
        <v>2172</v>
      </c>
      <c r="H3153" t="s">
        <v>2698</v>
      </c>
      <c r="I3153">
        <v>0</v>
      </c>
      <c r="J3153" t="s">
        <v>1709</v>
      </c>
      <c r="K3153" t="s">
        <v>95</v>
      </c>
      <c r="L3153" t="s">
        <v>285</v>
      </c>
      <c r="M3153" t="str">
        <f t="shared" si="202"/>
        <v>10</v>
      </c>
      <c r="N3153" t="s">
        <v>12</v>
      </c>
    </row>
    <row r="3154" spans="1:14" x14ac:dyDescent="0.25">
      <c r="A3154">
        <v>20151023</v>
      </c>
      <c r="B3154" t="str">
        <f>"060878"</f>
        <v>060878</v>
      </c>
      <c r="C3154" t="str">
        <f>"58927"</f>
        <v>58927</v>
      </c>
      <c r="D3154" t="s">
        <v>1899</v>
      </c>
      <c r="E3154" s="3">
        <v>300</v>
      </c>
      <c r="F3154">
        <v>20151022</v>
      </c>
      <c r="G3154" t="s">
        <v>2699</v>
      </c>
      <c r="H3154" t="s">
        <v>1901</v>
      </c>
      <c r="I3154">
        <v>0</v>
      </c>
      <c r="J3154" t="s">
        <v>1709</v>
      </c>
      <c r="K3154" t="s">
        <v>1856</v>
      </c>
      <c r="L3154" t="s">
        <v>285</v>
      </c>
      <c r="M3154" t="str">
        <f t="shared" si="202"/>
        <v>10</v>
      </c>
      <c r="N3154" t="s">
        <v>12</v>
      </c>
    </row>
    <row r="3155" spans="1:14" x14ac:dyDescent="0.25">
      <c r="A3155">
        <v>20151023</v>
      </c>
      <c r="B3155" t="str">
        <f>"060878"</f>
        <v>060878</v>
      </c>
      <c r="C3155" t="str">
        <f>"58927"</f>
        <v>58927</v>
      </c>
      <c r="D3155" t="s">
        <v>1899</v>
      </c>
      <c r="E3155" s="3">
        <v>55</v>
      </c>
      <c r="F3155">
        <v>20151022</v>
      </c>
      <c r="G3155" t="s">
        <v>2699</v>
      </c>
      <c r="H3155" t="s">
        <v>1900</v>
      </c>
      <c r="I3155">
        <v>0</v>
      </c>
      <c r="J3155" t="s">
        <v>1709</v>
      </c>
      <c r="K3155" t="s">
        <v>1856</v>
      </c>
      <c r="L3155" t="s">
        <v>285</v>
      </c>
      <c r="M3155" t="str">
        <f t="shared" si="202"/>
        <v>10</v>
      </c>
      <c r="N3155" t="s">
        <v>12</v>
      </c>
    </row>
    <row r="3156" spans="1:14" x14ac:dyDescent="0.25">
      <c r="A3156">
        <v>20151023</v>
      </c>
      <c r="B3156" t="str">
        <f>"060878"</f>
        <v>060878</v>
      </c>
      <c r="C3156" t="str">
        <f>"58927"</f>
        <v>58927</v>
      </c>
      <c r="D3156" t="s">
        <v>1899</v>
      </c>
      <c r="E3156" s="3">
        <v>55</v>
      </c>
      <c r="F3156">
        <v>20151022</v>
      </c>
      <c r="G3156" t="s">
        <v>2699</v>
      </c>
      <c r="H3156" t="s">
        <v>1900</v>
      </c>
      <c r="I3156">
        <v>0</v>
      </c>
      <c r="J3156" t="s">
        <v>1709</v>
      </c>
      <c r="K3156" t="s">
        <v>1856</v>
      </c>
      <c r="L3156" t="s">
        <v>285</v>
      </c>
      <c r="M3156" t="str">
        <f t="shared" si="202"/>
        <v>10</v>
      </c>
      <c r="N3156" t="s">
        <v>12</v>
      </c>
    </row>
    <row r="3157" spans="1:14" x14ac:dyDescent="0.25">
      <c r="A3157">
        <v>20151023</v>
      </c>
      <c r="B3157" t="str">
        <f>"060880"</f>
        <v>060880</v>
      </c>
      <c r="C3157" t="str">
        <f>"57311"</f>
        <v>57311</v>
      </c>
      <c r="D3157" t="s">
        <v>2700</v>
      </c>
      <c r="E3157" s="3">
        <v>1331.25</v>
      </c>
      <c r="F3157">
        <v>20151022</v>
      </c>
      <c r="G3157" t="s">
        <v>2626</v>
      </c>
      <c r="H3157" t="s">
        <v>2701</v>
      </c>
      <c r="I3157">
        <v>0</v>
      </c>
      <c r="J3157" t="s">
        <v>1709</v>
      </c>
      <c r="K3157" t="s">
        <v>290</v>
      </c>
      <c r="L3157" t="s">
        <v>285</v>
      </c>
      <c r="M3157" t="str">
        <f t="shared" si="202"/>
        <v>10</v>
      </c>
      <c r="N3157" t="s">
        <v>12</v>
      </c>
    </row>
    <row r="3158" spans="1:14" x14ac:dyDescent="0.25">
      <c r="A3158">
        <v>20151023</v>
      </c>
      <c r="B3158" t="str">
        <f>"060881"</f>
        <v>060881</v>
      </c>
      <c r="C3158" t="str">
        <f>"59097"</f>
        <v>59097</v>
      </c>
      <c r="D3158" t="s">
        <v>1755</v>
      </c>
      <c r="E3158" s="3">
        <v>567.29</v>
      </c>
      <c r="F3158">
        <v>20151022</v>
      </c>
      <c r="G3158" t="s">
        <v>2317</v>
      </c>
      <c r="H3158" t="s">
        <v>2509</v>
      </c>
      <c r="I3158">
        <v>0</v>
      </c>
      <c r="J3158" t="s">
        <v>1709</v>
      </c>
      <c r="K3158" t="s">
        <v>290</v>
      </c>
      <c r="L3158" t="s">
        <v>285</v>
      </c>
      <c r="M3158" t="str">
        <f t="shared" si="202"/>
        <v>10</v>
      </c>
      <c r="N3158" t="s">
        <v>12</v>
      </c>
    </row>
    <row r="3159" spans="1:14" x14ac:dyDescent="0.25">
      <c r="A3159">
        <v>20151023</v>
      </c>
      <c r="B3159" t="str">
        <f>"060882"</f>
        <v>060882</v>
      </c>
      <c r="C3159" t="str">
        <f>"59097"</f>
        <v>59097</v>
      </c>
      <c r="D3159" t="s">
        <v>1755</v>
      </c>
      <c r="E3159" s="3">
        <v>165</v>
      </c>
      <c r="F3159">
        <v>20151022</v>
      </c>
      <c r="G3159" t="s">
        <v>1756</v>
      </c>
      <c r="H3159" t="s">
        <v>2668</v>
      </c>
      <c r="I3159">
        <v>0</v>
      </c>
      <c r="J3159" t="s">
        <v>1709</v>
      </c>
      <c r="K3159" t="s">
        <v>290</v>
      </c>
      <c r="L3159" t="s">
        <v>285</v>
      </c>
      <c r="M3159" t="str">
        <f t="shared" si="202"/>
        <v>10</v>
      </c>
      <c r="N3159" t="s">
        <v>12</v>
      </c>
    </row>
    <row r="3160" spans="1:14" x14ac:dyDescent="0.25">
      <c r="A3160">
        <v>20151023</v>
      </c>
      <c r="B3160" t="str">
        <f t="shared" ref="B3160:B3166" si="203">"060883"</f>
        <v>060883</v>
      </c>
      <c r="C3160" t="str">
        <f t="shared" ref="C3160:C3166" si="204">"60603"</f>
        <v>60603</v>
      </c>
      <c r="D3160" t="s">
        <v>2702</v>
      </c>
      <c r="E3160" s="3">
        <v>33.14</v>
      </c>
      <c r="F3160">
        <v>20151022</v>
      </c>
      <c r="G3160" t="s">
        <v>2226</v>
      </c>
      <c r="H3160" t="s">
        <v>2703</v>
      </c>
      <c r="I3160">
        <v>0</v>
      </c>
      <c r="J3160" t="s">
        <v>1709</v>
      </c>
      <c r="K3160" t="s">
        <v>33</v>
      </c>
      <c r="L3160" t="s">
        <v>285</v>
      </c>
      <c r="M3160" t="str">
        <f t="shared" si="202"/>
        <v>10</v>
      </c>
      <c r="N3160" t="s">
        <v>12</v>
      </c>
    </row>
    <row r="3161" spans="1:14" x14ac:dyDescent="0.25">
      <c r="A3161">
        <v>20151023</v>
      </c>
      <c r="B3161" t="str">
        <f t="shared" si="203"/>
        <v>060883</v>
      </c>
      <c r="C3161" t="str">
        <f t="shared" si="204"/>
        <v>60603</v>
      </c>
      <c r="D3161" t="s">
        <v>2702</v>
      </c>
      <c r="E3161" s="3">
        <v>36.08</v>
      </c>
      <c r="F3161">
        <v>20151022</v>
      </c>
      <c r="G3161" t="s">
        <v>2226</v>
      </c>
      <c r="H3161" t="s">
        <v>2704</v>
      </c>
      <c r="I3161">
        <v>0</v>
      </c>
      <c r="J3161" t="s">
        <v>1709</v>
      </c>
      <c r="K3161" t="s">
        <v>33</v>
      </c>
      <c r="L3161" t="s">
        <v>285</v>
      </c>
      <c r="M3161" t="str">
        <f t="shared" si="202"/>
        <v>10</v>
      </c>
      <c r="N3161" t="s">
        <v>12</v>
      </c>
    </row>
    <row r="3162" spans="1:14" x14ac:dyDescent="0.25">
      <c r="A3162">
        <v>20151023</v>
      </c>
      <c r="B3162" t="str">
        <f t="shared" si="203"/>
        <v>060883</v>
      </c>
      <c r="C3162" t="str">
        <f t="shared" si="204"/>
        <v>60603</v>
      </c>
      <c r="D3162" t="s">
        <v>2702</v>
      </c>
      <c r="E3162" s="3">
        <v>77.45</v>
      </c>
      <c r="F3162">
        <v>20151022</v>
      </c>
      <c r="G3162" t="s">
        <v>2226</v>
      </c>
      <c r="H3162" t="s">
        <v>2705</v>
      </c>
      <c r="I3162">
        <v>0</v>
      </c>
      <c r="J3162" t="s">
        <v>1709</v>
      </c>
      <c r="K3162" t="s">
        <v>33</v>
      </c>
      <c r="L3162" t="s">
        <v>285</v>
      </c>
      <c r="M3162" t="str">
        <f t="shared" si="202"/>
        <v>10</v>
      </c>
      <c r="N3162" t="s">
        <v>12</v>
      </c>
    </row>
    <row r="3163" spans="1:14" x14ac:dyDescent="0.25">
      <c r="A3163">
        <v>20151023</v>
      </c>
      <c r="B3163" t="str">
        <f t="shared" si="203"/>
        <v>060883</v>
      </c>
      <c r="C3163" t="str">
        <f t="shared" si="204"/>
        <v>60603</v>
      </c>
      <c r="D3163" t="s">
        <v>2702</v>
      </c>
      <c r="E3163" s="3">
        <v>55.96</v>
      </c>
      <c r="F3163">
        <v>20151022</v>
      </c>
      <c r="G3163" t="s">
        <v>2706</v>
      </c>
      <c r="H3163" t="s">
        <v>2707</v>
      </c>
      <c r="I3163">
        <v>0</v>
      </c>
      <c r="J3163" t="s">
        <v>1709</v>
      </c>
      <c r="K3163" t="s">
        <v>33</v>
      </c>
      <c r="L3163" t="s">
        <v>285</v>
      </c>
      <c r="M3163" t="str">
        <f t="shared" si="202"/>
        <v>10</v>
      </c>
      <c r="N3163" t="s">
        <v>12</v>
      </c>
    </row>
    <row r="3164" spans="1:14" x14ac:dyDescent="0.25">
      <c r="A3164">
        <v>20151023</v>
      </c>
      <c r="B3164" t="str">
        <f t="shared" si="203"/>
        <v>060883</v>
      </c>
      <c r="C3164" t="str">
        <f t="shared" si="204"/>
        <v>60603</v>
      </c>
      <c r="D3164" t="s">
        <v>2702</v>
      </c>
      <c r="E3164" s="3">
        <v>148.59</v>
      </c>
      <c r="F3164">
        <v>20151022</v>
      </c>
      <c r="G3164" t="s">
        <v>2706</v>
      </c>
      <c r="H3164" t="s">
        <v>2169</v>
      </c>
      <c r="I3164">
        <v>0</v>
      </c>
      <c r="J3164" t="s">
        <v>1709</v>
      </c>
      <c r="K3164" t="s">
        <v>33</v>
      </c>
      <c r="L3164" t="s">
        <v>285</v>
      </c>
      <c r="M3164" t="str">
        <f t="shared" si="202"/>
        <v>10</v>
      </c>
      <c r="N3164" t="s">
        <v>12</v>
      </c>
    </row>
    <row r="3165" spans="1:14" x14ac:dyDescent="0.25">
      <c r="A3165">
        <v>20151023</v>
      </c>
      <c r="B3165" t="str">
        <f t="shared" si="203"/>
        <v>060883</v>
      </c>
      <c r="C3165" t="str">
        <f t="shared" si="204"/>
        <v>60603</v>
      </c>
      <c r="D3165" t="s">
        <v>2702</v>
      </c>
      <c r="E3165" s="3">
        <v>107.94</v>
      </c>
      <c r="F3165">
        <v>20151022</v>
      </c>
      <c r="G3165" t="s">
        <v>2706</v>
      </c>
      <c r="H3165" t="s">
        <v>2708</v>
      </c>
      <c r="I3165">
        <v>0</v>
      </c>
      <c r="J3165" t="s">
        <v>1709</v>
      </c>
      <c r="K3165" t="s">
        <v>33</v>
      </c>
      <c r="L3165" t="s">
        <v>285</v>
      </c>
      <c r="M3165" t="str">
        <f t="shared" si="202"/>
        <v>10</v>
      </c>
      <c r="N3165" t="s">
        <v>12</v>
      </c>
    </row>
    <row r="3166" spans="1:14" x14ac:dyDescent="0.25">
      <c r="A3166">
        <v>20151023</v>
      </c>
      <c r="B3166" t="str">
        <f t="shared" si="203"/>
        <v>060883</v>
      </c>
      <c r="C3166" t="str">
        <f t="shared" si="204"/>
        <v>60603</v>
      </c>
      <c r="D3166" t="s">
        <v>2702</v>
      </c>
      <c r="E3166" s="3">
        <v>130.5</v>
      </c>
      <c r="F3166">
        <v>20151022</v>
      </c>
      <c r="G3166" t="s">
        <v>2706</v>
      </c>
      <c r="H3166" t="s">
        <v>2709</v>
      </c>
      <c r="I3166">
        <v>0</v>
      </c>
      <c r="J3166" t="s">
        <v>1709</v>
      </c>
      <c r="K3166" t="s">
        <v>33</v>
      </c>
      <c r="L3166" t="s">
        <v>285</v>
      </c>
      <c r="M3166" t="str">
        <f t="shared" si="202"/>
        <v>10</v>
      </c>
      <c r="N3166" t="s">
        <v>12</v>
      </c>
    </row>
    <row r="3167" spans="1:14" x14ac:dyDescent="0.25">
      <c r="A3167">
        <v>20151023</v>
      </c>
      <c r="B3167" t="str">
        <f>"060885"</f>
        <v>060885</v>
      </c>
      <c r="C3167" t="str">
        <f>"61912"</f>
        <v>61912</v>
      </c>
      <c r="D3167" t="s">
        <v>2374</v>
      </c>
      <c r="E3167" s="3">
        <v>296.27</v>
      </c>
      <c r="F3167">
        <v>20151022</v>
      </c>
      <c r="G3167" t="s">
        <v>2678</v>
      </c>
      <c r="H3167" t="s">
        <v>2169</v>
      </c>
      <c r="I3167">
        <v>0</v>
      </c>
      <c r="J3167" t="s">
        <v>1709</v>
      </c>
      <c r="K3167" t="s">
        <v>1643</v>
      </c>
      <c r="L3167" t="s">
        <v>285</v>
      </c>
      <c r="M3167" t="str">
        <f t="shared" si="202"/>
        <v>10</v>
      </c>
      <c r="N3167" t="s">
        <v>12</v>
      </c>
    </row>
    <row r="3168" spans="1:14" x14ac:dyDescent="0.25">
      <c r="A3168">
        <v>20151023</v>
      </c>
      <c r="B3168" t="str">
        <f>"060887"</f>
        <v>060887</v>
      </c>
      <c r="C3168" t="str">
        <f>"63053"</f>
        <v>63053</v>
      </c>
      <c r="D3168" t="s">
        <v>2012</v>
      </c>
      <c r="E3168" s="3">
        <v>47.25</v>
      </c>
      <c r="F3168">
        <v>20151022</v>
      </c>
      <c r="G3168" t="s">
        <v>2124</v>
      </c>
      <c r="H3168" t="s">
        <v>2710</v>
      </c>
      <c r="I3168">
        <v>0</v>
      </c>
      <c r="J3168" t="s">
        <v>1709</v>
      </c>
      <c r="K3168" t="s">
        <v>290</v>
      </c>
      <c r="L3168" t="s">
        <v>285</v>
      </c>
      <c r="M3168" t="str">
        <f t="shared" si="202"/>
        <v>10</v>
      </c>
      <c r="N3168" t="s">
        <v>12</v>
      </c>
    </row>
    <row r="3169" spans="1:14" x14ac:dyDescent="0.25">
      <c r="A3169">
        <v>20151023</v>
      </c>
      <c r="B3169" t="str">
        <f>"060887"</f>
        <v>060887</v>
      </c>
      <c r="C3169" t="str">
        <f>"63053"</f>
        <v>63053</v>
      </c>
      <c r="D3169" t="s">
        <v>2012</v>
      </c>
      <c r="E3169" s="3">
        <v>67.25</v>
      </c>
      <c r="F3169">
        <v>20151022</v>
      </c>
      <c r="G3169" t="s">
        <v>2124</v>
      </c>
      <c r="H3169" t="s">
        <v>2711</v>
      </c>
      <c r="I3169">
        <v>0</v>
      </c>
      <c r="J3169" t="s">
        <v>1709</v>
      </c>
      <c r="K3169" t="s">
        <v>290</v>
      </c>
      <c r="L3169" t="s">
        <v>285</v>
      </c>
      <c r="M3169" t="str">
        <f t="shared" si="202"/>
        <v>10</v>
      </c>
      <c r="N3169" t="s">
        <v>12</v>
      </c>
    </row>
    <row r="3170" spans="1:14" x14ac:dyDescent="0.25">
      <c r="A3170">
        <v>20151023</v>
      </c>
      <c r="B3170" t="str">
        <f>"060893"</f>
        <v>060893</v>
      </c>
      <c r="C3170" t="str">
        <f>"71970"</f>
        <v>71970</v>
      </c>
      <c r="D3170" t="s">
        <v>2712</v>
      </c>
      <c r="E3170" s="3">
        <v>295</v>
      </c>
      <c r="F3170">
        <v>20151022</v>
      </c>
      <c r="G3170" t="s">
        <v>1725</v>
      </c>
      <c r="H3170" t="s">
        <v>2713</v>
      </c>
      <c r="I3170">
        <v>0</v>
      </c>
      <c r="J3170" t="s">
        <v>1709</v>
      </c>
      <c r="K3170" t="s">
        <v>290</v>
      </c>
      <c r="L3170" t="s">
        <v>285</v>
      </c>
      <c r="M3170" t="str">
        <f t="shared" si="202"/>
        <v>10</v>
      </c>
      <c r="N3170" t="s">
        <v>12</v>
      </c>
    </row>
    <row r="3171" spans="1:14" x14ac:dyDescent="0.25">
      <c r="A3171">
        <v>20151023</v>
      </c>
      <c r="B3171" t="str">
        <f t="shared" ref="B3171:B3180" si="205">"060895"</f>
        <v>060895</v>
      </c>
      <c r="C3171" t="str">
        <f t="shared" ref="C3171:C3180" si="206">"72730"</f>
        <v>72730</v>
      </c>
      <c r="D3171" t="s">
        <v>1926</v>
      </c>
      <c r="E3171" s="3">
        <v>86.78</v>
      </c>
      <c r="F3171">
        <v>20151022</v>
      </c>
      <c r="G3171" t="s">
        <v>2714</v>
      </c>
      <c r="H3171" t="s">
        <v>2715</v>
      </c>
      <c r="I3171">
        <v>0</v>
      </c>
      <c r="J3171" t="s">
        <v>1709</v>
      </c>
      <c r="K3171" t="s">
        <v>33</v>
      </c>
      <c r="L3171" t="s">
        <v>285</v>
      </c>
      <c r="M3171" t="str">
        <f t="shared" si="202"/>
        <v>10</v>
      </c>
      <c r="N3171" t="s">
        <v>12</v>
      </c>
    </row>
    <row r="3172" spans="1:14" x14ac:dyDescent="0.25">
      <c r="A3172">
        <v>20151023</v>
      </c>
      <c r="B3172" t="str">
        <f t="shared" si="205"/>
        <v>060895</v>
      </c>
      <c r="C3172" t="str">
        <f t="shared" si="206"/>
        <v>72730</v>
      </c>
      <c r="D3172" t="s">
        <v>1926</v>
      </c>
      <c r="E3172" s="3">
        <v>45</v>
      </c>
      <c r="F3172">
        <v>20151022</v>
      </c>
      <c r="G3172" t="s">
        <v>2714</v>
      </c>
      <c r="H3172" t="s">
        <v>2716</v>
      </c>
      <c r="I3172">
        <v>0</v>
      </c>
      <c r="J3172" t="s">
        <v>1709</v>
      </c>
      <c r="K3172" t="s">
        <v>33</v>
      </c>
      <c r="L3172" t="s">
        <v>285</v>
      </c>
      <c r="M3172" t="str">
        <f t="shared" si="202"/>
        <v>10</v>
      </c>
      <c r="N3172" t="s">
        <v>12</v>
      </c>
    </row>
    <row r="3173" spans="1:14" x14ac:dyDescent="0.25">
      <c r="A3173">
        <v>20151023</v>
      </c>
      <c r="B3173" t="str">
        <f t="shared" si="205"/>
        <v>060895</v>
      </c>
      <c r="C3173" t="str">
        <f t="shared" si="206"/>
        <v>72730</v>
      </c>
      <c r="D3173" t="s">
        <v>1926</v>
      </c>
      <c r="E3173" s="3">
        <v>31.2</v>
      </c>
      <c r="F3173">
        <v>20151022</v>
      </c>
      <c r="G3173" t="s">
        <v>1845</v>
      </c>
      <c r="H3173" t="s">
        <v>2717</v>
      </c>
      <c r="I3173">
        <v>0</v>
      </c>
      <c r="J3173" t="s">
        <v>1709</v>
      </c>
      <c r="K3173" t="s">
        <v>290</v>
      </c>
      <c r="L3173" t="s">
        <v>285</v>
      </c>
      <c r="M3173" t="str">
        <f t="shared" si="202"/>
        <v>10</v>
      </c>
      <c r="N3173" t="s">
        <v>12</v>
      </c>
    </row>
    <row r="3174" spans="1:14" x14ac:dyDescent="0.25">
      <c r="A3174">
        <v>20151023</v>
      </c>
      <c r="B3174" t="str">
        <f t="shared" si="205"/>
        <v>060895</v>
      </c>
      <c r="C3174" t="str">
        <f t="shared" si="206"/>
        <v>72730</v>
      </c>
      <c r="D3174" t="s">
        <v>1926</v>
      </c>
      <c r="E3174" s="3">
        <v>228.45</v>
      </c>
      <c r="F3174">
        <v>20151022</v>
      </c>
      <c r="G3174" t="s">
        <v>2718</v>
      </c>
      <c r="H3174" t="s">
        <v>2719</v>
      </c>
      <c r="I3174">
        <v>0</v>
      </c>
      <c r="J3174" t="s">
        <v>1709</v>
      </c>
      <c r="K3174" t="s">
        <v>290</v>
      </c>
      <c r="L3174" t="s">
        <v>285</v>
      </c>
      <c r="M3174" t="str">
        <f t="shared" si="202"/>
        <v>10</v>
      </c>
      <c r="N3174" t="s">
        <v>12</v>
      </c>
    </row>
    <row r="3175" spans="1:14" x14ac:dyDescent="0.25">
      <c r="A3175">
        <v>20151023</v>
      </c>
      <c r="B3175" t="str">
        <f t="shared" si="205"/>
        <v>060895</v>
      </c>
      <c r="C3175" t="str">
        <f t="shared" si="206"/>
        <v>72730</v>
      </c>
      <c r="D3175" t="s">
        <v>1926</v>
      </c>
      <c r="E3175" s="3">
        <v>217.29</v>
      </c>
      <c r="F3175">
        <v>20151022</v>
      </c>
      <c r="G3175" t="s">
        <v>2720</v>
      </c>
      <c r="H3175" t="s">
        <v>595</v>
      </c>
      <c r="I3175">
        <v>0</v>
      </c>
      <c r="J3175" t="s">
        <v>1709</v>
      </c>
      <c r="K3175" t="s">
        <v>2194</v>
      </c>
      <c r="L3175" t="s">
        <v>285</v>
      </c>
      <c r="M3175" t="str">
        <f t="shared" si="202"/>
        <v>10</v>
      </c>
      <c r="N3175" t="s">
        <v>12</v>
      </c>
    </row>
    <row r="3176" spans="1:14" x14ac:dyDescent="0.25">
      <c r="A3176">
        <v>20151023</v>
      </c>
      <c r="B3176" t="str">
        <f t="shared" si="205"/>
        <v>060895</v>
      </c>
      <c r="C3176" t="str">
        <f t="shared" si="206"/>
        <v>72730</v>
      </c>
      <c r="D3176" t="s">
        <v>1926</v>
      </c>
      <c r="E3176" s="3">
        <v>73.8</v>
      </c>
      <c r="F3176">
        <v>20151022</v>
      </c>
      <c r="G3176" t="s">
        <v>2720</v>
      </c>
      <c r="H3176" t="s">
        <v>595</v>
      </c>
      <c r="I3176">
        <v>0</v>
      </c>
      <c r="J3176" t="s">
        <v>1709</v>
      </c>
      <c r="K3176" t="s">
        <v>2194</v>
      </c>
      <c r="L3176" t="s">
        <v>285</v>
      </c>
      <c r="M3176" t="str">
        <f t="shared" si="202"/>
        <v>10</v>
      </c>
      <c r="N3176" t="s">
        <v>12</v>
      </c>
    </row>
    <row r="3177" spans="1:14" x14ac:dyDescent="0.25">
      <c r="A3177">
        <v>20151023</v>
      </c>
      <c r="B3177" t="str">
        <f t="shared" si="205"/>
        <v>060895</v>
      </c>
      <c r="C3177" t="str">
        <f t="shared" si="206"/>
        <v>72730</v>
      </c>
      <c r="D3177" t="s">
        <v>1926</v>
      </c>
      <c r="E3177" s="3">
        <v>210.35</v>
      </c>
      <c r="F3177">
        <v>20151022</v>
      </c>
      <c r="G3177" t="s">
        <v>2720</v>
      </c>
      <c r="H3177" t="s">
        <v>595</v>
      </c>
      <c r="I3177">
        <v>0</v>
      </c>
      <c r="J3177" t="s">
        <v>1709</v>
      </c>
      <c r="K3177" t="s">
        <v>2194</v>
      </c>
      <c r="L3177" t="s">
        <v>285</v>
      </c>
      <c r="M3177" t="str">
        <f t="shared" si="202"/>
        <v>10</v>
      </c>
      <c r="N3177" t="s">
        <v>12</v>
      </c>
    </row>
    <row r="3178" spans="1:14" x14ac:dyDescent="0.25">
      <c r="A3178">
        <v>20151023</v>
      </c>
      <c r="B3178" t="str">
        <f t="shared" si="205"/>
        <v>060895</v>
      </c>
      <c r="C3178" t="str">
        <f t="shared" si="206"/>
        <v>72730</v>
      </c>
      <c r="D3178" t="s">
        <v>1926</v>
      </c>
      <c r="E3178" s="3">
        <v>2.83</v>
      </c>
      <c r="F3178">
        <v>20151022</v>
      </c>
      <c r="G3178" t="s">
        <v>2720</v>
      </c>
      <c r="H3178" t="s">
        <v>2721</v>
      </c>
      <c r="I3178">
        <v>0</v>
      </c>
      <c r="J3178" t="s">
        <v>1709</v>
      </c>
      <c r="K3178" t="s">
        <v>2194</v>
      </c>
      <c r="L3178" t="s">
        <v>285</v>
      </c>
      <c r="M3178" t="str">
        <f t="shared" si="202"/>
        <v>10</v>
      </c>
      <c r="N3178" t="s">
        <v>12</v>
      </c>
    </row>
    <row r="3179" spans="1:14" x14ac:dyDescent="0.25">
      <c r="A3179">
        <v>20151023</v>
      </c>
      <c r="B3179" t="str">
        <f t="shared" si="205"/>
        <v>060895</v>
      </c>
      <c r="C3179" t="str">
        <f t="shared" si="206"/>
        <v>72730</v>
      </c>
      <c r="D3179" t="s">
        <v>1926</v>
      </c>
      <c r="E3179" s="3">
        <v>155.07</v>
      </c>
      <c r="F3179">
        <v>20151022</v>
      </c>
      <c r="G3179" t="s">
        <v>2722</v>
      </c>
      <c r="H3179" t="s">
        <v>2723</v>
      </c>
      <c r="I3179">
        <v>0</v>
      </c>
      <c r="J3179" t="s">
        <v>1709</v>
      </c>
      <c r="K3179" t="s">
        <v>2724</v>
      </c>
      <c r="L3179" t="s">
        <v>285</v>
      </c>
      <c r="M3179" t="str">
        <f t="shared" si="202"/>
        <v>10</v>
      </c>
      <c r="N3179" t="s">
        <v>12</v>
      </c>
    </row>
    <row r="3180" spans="1:14" x14ac:dyDescent="0.25">
      <c r="A3180">
        <v>20151023</v>
      </c>
      <c r="B3180" t="str">
        <f t="shared" si="205"/>
        <v>060895</v>
      </c>
      <c r="C3180" t="str">
        <f t="shared" si="206"/>
        <v>72730</v>
      </c>
      <c r="D3180" t="s">
        <v>1926</v>
      </c>
      <c r="E3180" s="3">
        <v>-44.1</v>
      </c>
      <c r="F3180">
        <v>20150925</v>
      </c>
      <c r="G3180" t="s">
        <v>2722</v>
      </c>
      <c r="H3180" t="s">
        <v>2725</v>
      </c>
      <c r="I3180">
        <v>0</v>
      </c>
      <c r="J3180" t="s">
        <v>1709</v>
      </c>
      <c r="K3180" t="s">
        <v>2724</v>
      </c>
      <c r="L3180" t="s">
        <v>1385</v>
      </c>
      <c r="M3180" t="str">
        <f t="shared" si="202"/>
        <v>10</v>
      </c>
      <c r="N3180" t="s">
        <v>12</v>
      </c>
    </row>
    <row r="3181" spans="1:14" x14ac:dyDescent="0.25">
      <c r="A3181">
        <v>20151023</v>
      </c>
      <c r="B3181" t="str">
        <f>"060896"</f>
        <v>060896</v>
      </c>
      <c r="C3181" t="str">
        <f>"47452"</f>
        <v>47452</v>
      </c>
      <c r="D3181" t="s">
        <v>2726</v>
      </c>
      <c r="E3181" s="3">
        <v>1000</v>
      </c>
      <c r="F3181">
        <v>20151022</v>
      </c>
      <c r="G3181" t="s">
        <v>2727</v>
      </c>
      <c r="H3181" t="s">
        <v>2728</v>
      </c>
      <c r="I3181">
        <v>0</v>
      </c>
      <c r="J3181" t="s">
        <v>1709</v>
      </c>
      <c r="K3181" t="s">
        <v>95</v>
      </c>
      <c r="L3181" t="s">
        <v>285</v>
      </c>
      <c r="M3181" t="str">
        <f t="shared" si="202"/>
        <v>10</v>
      </c>
      <c r="N3181" t="s">
        <v>12</v>
      </c>
    </row>
    <row r="3182" spans="1:14" x14ac:dyDescent="0.25">
      <c r="A3182">
        <v>20151023</v>
      </c>
      <c r="B3182" t="str">
        <f>"060897"</f>
        <v>060897</v>
      </c>
      <c r="C3182" t="str">
        <f>"75515"</f>
        <v>75515</v>
      </c>
      <c r="D3182" t="s">
        <v>2729</v>
      </c>
      <c r="E3182" s="3">
        <v>283.38</v>
      </c>
      <c r="F3182">
        <v>20151022</v>
      </c>
      <c r="G3182" t="s">
        <v>2027</v>
      </c>
      <c r="H3182" t="s">
        <v>2028</v>
      </c>
      <c r="I3182">
        <v>0</v>
      </c>
      <c r="J3182" t="s">
        <v>1709</v>
      </c>
      <c r="K3182" t="s">
        <v>290</v>
      </c>
      <c r="L3182" t="s">
        <v>285</v>
      </c>
      <c r="M3182" t="str">
        <f t="shared" si="202"/>
        <v>10</v>
      </c>
      <c r="N3182" t="s">
        <v>12</v>
      </c>
    </row>
    <row r="3183" spans="1:14" x14ac:dyDescent="0.25">
      <c r="A3183">
        <v>20151023</v>
      </c>
      <c r="B3183" t="str">
        <f>"060898"</f>
        <v>060898</v>
      </c>
      <c r="C3183" t="str">
        <f>"76304"</f>
        <v>76304</v>
      </c>
      <c r="D3183" t="s">
        <v>1787</v>
      </c>
      <c r="E3183" s="3">
        <v>60</v>
      </c>
      <c r="F3183">
        <v>20151022</v>
      </c>
      <c r="G3183" t="s">
        <v>1788</v>
      </c>
      <c r="H3183" t="s">
        <v>2730</v>
      </c>
      <c r="I3183">
        <v>0</v>
      </c>
      <c r="J3183" t="s">
        <v>1709</v>
      </c>
      <c r="K3183" t="s">
        <v>1643</v>
      </c>
      <c r="L3183" t="s">
        <v>285</v>
      </c>
      <c r="M3183" t="str">
        <f t="shared" si="202"/>
        <v>10</v>
      </c>
      <c r="N3183" t="s">
        <v>12</v>
      </c>
    </row>
    <row r="3184" spans="1:14" x14ac:dyDescent="0.25">
      <c r="A3184">
        <v>20151023</v>
      </c>
      <c r="B3184" t="str">
        <f>"060899"</f>
        <v>060899</v>
      </c>
      <c r="C3184" t="str">
        <f>"77400"</f>
        <v>77400</v>
      </c>
      <c r="D3184" t="s">
        <v>1665</v>
      </c>
      <c r="E3184" s="3">
        <v>1738.37</v>
      </c>
      <c r="F3184">
        <v>20151022</v>
      </c>
      <c r="G3184" t="s">
        <v>2731</v>
      </c>
      <c r="H3184" t="s">
        <v>2732</v>
      </c>
      <c r="I3184">
        <v>0</v>
      </c>
      <c r="J3184" t="s">
        <v>1709</v>
      </c>
      <c r="K3184" t="s">
        <v>290</v>
      </c>
      <c r="L3184" t="s">
        <v>285</v>
      </c>
      <c r="M3184" t="str">
        <f t="shared" si="202"/>
        <v>10</v>
      </c>
      <c r="N3184" t="s">
        <v>12</v>
      </c>
    </row>
    <row r="3185" spans="1:14" x14ac:dyDescent="0.25">
      <c r="A3185">
        <v>20151023</v>
      </c>
      <c r="B3185" t="str">
        <f>"060899"</f>
        <v>060899</v>
      </c>
      <c r="C3185" t="str">
        <f>"77400"</f>
        <v>77400</v>
      </c>
      <c r="D3185" t="s">
        <v>1665</v>
      </c>
      <c r="E3185" s="3">
        <v>1000</v>
      </c>
      <c r="F3185">
        <v>20151022</v>
      </c>
      <c r="G3185" t="s">
        <v>2731</v>
      </c>
      <c r="H3185" t="s">
        <v>2733</v>
      </c>
      <c r="I3185">
        <v>0</v>
      </c>
      <c r="J3185" t="s">
        <v>1709</v>
      </c>
      <c r="K3185" t="s">
        <v>290</v>
      </c>
      <c r="L3185" t="s">
        <v>285</v>
      </c>
      <c r="M3185" t="str">
        <f t="shared" si="202"/>
        <v>10</v>
      </c>
      <c r="N3185" t="s">
        <v>12</v>
      </c>
    </row>
    <row r="3186" spans="1:14" x14ac:dyDescent="0.25">
      <c r="A3186">
        <v>20151023</v>
      </c>
      <c r="B3186" t="str">
        <f>"060899"</f>
        <v>060899</v>
      </c>
      <c r="C3186" t="str">
        <f>"77400"</f>
        <v>77400</v>
      </c>
      <c r="D3186" t="s">
        <v>1665</v>
      </c>
      <c r="E3186" s="3">
        <v>305.72000000000003</v>
      </c>
      <c r="F3186">
        <v>20151022</v>
      </c>
      <c r="G3186" t="s">
        <v>2731</v>
      </c>
      <c r="H3186" t="s">
        <v>2733</v>
      </c>
      <c r="I3186">
        <v>0</v>
      </c>
      <c r="J3186" t="s">
        <v>1709</v>
      </c>
      <c r="K3186" t="s">
        <v>290</v>
      </c>
      <c r="L3186" t="s">
        <v>285</v>
      </c>
      <c r="M3186" t="str">
        <f t="shared" ref="M3186:M3254" si="207">"10"</f>
        <v>10</v>
      </c>
      <c r="N3186" t="s">
        <v>12</v>
      </c>
    </row>
    <row r="3187" spans="1:14" x14ac:dyDescent="0.25">
      <c r="A3187">
        <v>20151023</v>
      </c>
      <c r="B3187" t="str">
        <f>"060899"</f>
        <v>060899</v>
      </c>
      <c r="C3187" t="str">
        <f>"77400"</f>
        <v>77400</v>
      </c>
      <c r="D3187" t="s">
        <v>1665</v>
      </c>
      <c r="E3187" s="3">
        <v>83.92</v>
      </c>
      <c r="F3187">
        <v>20151022</v>
      </c>
      <c r="G3187" t="s">
        <v>2110</v>
      </c>
      <c r="H3187" t="s">
        <v>2734</v>
      </c>
      <c r="I3187">
        <v>0</v>
      </c>
      <c r="J3187" t="s">
        <v>1709</v>
      </c>
      <c r="K3187" t="s">
        <v>33</v>
      </c>
      <c r="L3187" t="s">
        <v>285</v>
      </c>
      <c r="M3187" t="str">
        <f t="shared" si="207"/>
        <v>10</v>
      </c>
      <c r="N3187" t="s">
        <v>12</v>
      </c>
    </row>
    <row r="3188" spans="1:14" x14ac:dyDescent="0.25">
      <c r="A3188">
        <v>20151023</v>
      </c>
      <c r="B3188" t="str">
        <f>"060900"</f>
        <v>060900</v>
      </c>
      <c r="C3188" t="str">
        <f>"78345"</f>
        <v>78345</v>
      </c>
      <c r="D3188" t="s">
        <v>2735</v>
      </c>
      <c r="E3188" s="3">
        <v>4473.25</v>
      </c>
      <c r="F3188">
        <v>20151022</v>
      </c>
      <c r="G3188" t="s">
        <v>2620</v>
      </c>
      <c r="H3188" t="s">
        <v>2633</v>
      </c>
      <c r="I3188">
        <v>0</v>
      </c>
      <c r="J3188" t="s">
        <v>1709</v>
      </c>
      <c r="K3188" t="s">
        <v>290</v>
      </c>
      <c r="L3188" t="s">
        <v>285</v>
      </c>
      <c r="M3188" t="str">
        <f t="shared" si="207"/>
        <v>10</v>
      </c>
      <c r="N3188" t="s">
        <v>12</v>
      </c>
    </row>
    <row r="3189" spans="1:14" x14ac:dyDescent="0.25">
      <c r="A3189">
        <v>20151023</v>
      </c>
      <c r="B3189" t="str">
        <f>"060902"</f>
        <v>060902</v>
      </c>
      <c r="C3189" t="str">
        <f>"80509"</f>
        <v>80509</v>
      </c>
      <c r="D3189" t="s">
        <v>2736</v>
      </c>
      <c r="E3189" s="3">
        <v>5450</v>
      </c>
      <c r="F3189">
        <v>20151022</v>
      </c>
      <c r="G3189" t="s">
        <v>2737</v>
      </c>
      <c r="H3189" t="s">
        <v>2738</v>
      </c>
      <c r="I3189">
        <v>0</v>
      </c>
      <c r="J3189" t="s">
        <v>1709</v>
      </c>
      <c r="K3189" t="s">
        <v>1856</v>
      </c>
      <c r="L3189" t="s">
        <v>285</v>
      </c>
      <c r="M3189" t="str">
        <f t="shared" si="207"/>
        <v>10</v>
      </c>
      <c r="N3189" t="s">
        <v>12</v>
      </c>
    </row>
    <row r="3190" spans="1:14" x14ac:dyDescent="0.25">
      <c r="A3190">
        <v>20151023</v>
      </c>
      <c r="B3190" t="str">
        <f>"060903"</f>
        <v>060903</v>
      </c>
      <c r="C3190" t="str">
        <f>"82126"</f>
        <v>82126</v>
      </c>
      <c r="D3190" t="s">
        <v>1800</v>
      </c>
      <c r="E3190" s="3">
        <v>300</v>
      </c>
      <c r="F3190">
        <v>20151022</v>
      </c>
      <c r="G3190" t="s">
        <v>1710</v>
      </c>
      <c r="H3190" t="s">
        <v>1801</v>
      </c>
      <c r="I3190">
        <v>0</v>
      </c>
      <c r="J3190" t="s">
        <v>1709</v>
      </c>
      <c r="K3190" t="s">
        <v>290</v>
      </c>
      <c r="L3190" t="s">
        <v>285</v>
      </c>
      <c r="M3190" t="str">
        <f t="shared" si="207"/>
        <v>10</v>
      </c>
      <c r="N3190" t="s">
        <v>12</v>
      </c>
    </row>
    <row r="3191" spans="1:14" x14ac:dyDescent="0.25">
      <c r="A3191">
        <v>20151029</v>
      </c>
      <c r="B3191" t="str">
        <f>"060908"</f>
        <v>060908</v>
      </c>
      <c r="C3191" t="str">
        <f>"00390"</f>
        <v>00390</v>
      </c>
      <c r="D3191" t="s">
        <v>1717</v>
      </c>
      <c r="E3191" s="3">
        <v>6104.44</v>
      </c>
      <c r="F3191">
        <v>20151027</v>
      </c>
      <c r="G3191" t="s">
        <v>2217</v>
      </c>
      <c r="H3191" t="s">
        <v>2739</v>
      </c>
      <c r="I3191">
        <v>0</v>
      </c>
      <c r="J3191" t="s">
        <v>1709</v>
      </c>
      <c r="K3191" t="s">
        <v>1984</v>
      </c>
      <c r="L3191" t="s">
        <v>285</v>
      </c>
      <c r="M3191" t="str">
        <f t="shared" si="207"/>
        <v>10</v>
      </c>
      <c r="N3191" t="s">
        <v>12</v>
      </c>
    </row>
    <row r="3192" spans="1:14" x14ac:dyDescent="0.25">
      <c r="A3192">
        <v>20151029</v>
      </c>
      <c r="B3192" t="str">
        <f>"060909"</f>
        <v>060909</v>
      </c>
      <c r="C3192" t="str">
        <f>"00392"</f>
        <v>00392</v>
      </c>
      <c r="D3192" t="s">
        <v>1717</v>
      </c>
      <c r="E3192" s="3">
        <v>457.25</v>
      </c>
      <c r="F3192">
        <v>20151027</v>
      </c>
      <c r="G3192" t="s">
        <v>2219</v>
      </c>
      <c r="H3192" t="s">
        <v>2739</v>
      </c>
      <c r="I3192">
        <v>0</v>
      </c>
      <c r="J3192" t="s">
        <v>1709</v>
      </c>
      <c r="K3192" t="s">
        <v>1984</v>
      </c>
      <c r="L3192" t="s">
        <v>285</v>
      </c>
      <c r="M3192" t="str">
        <f t="shared" si="207"/>
        <v>10</v>
      </c>
      <c r="N3192" t="s">
        <v>12</v>
      </c>
    </row>
    <row r="3193" spans="1:14" x14ac:dyDescent="0.25">
      <c r="A3193">
        <v>20151029</v>
      </c>
      <c r="B3193" t="str">
        <f>"060910"</f>
        <v>060910</v>
      </c>
      <c r="C3193" t="str">
        <f>"10040"</f>
        <v>10040</v>
      </c>
      <c r="D3193" t="s">
        <v>2082</v>
      </c>
      <c r="E3193" s="3">
        <v>12.5</v>
      </c>
      <c r="F3193">
        <v>20151027</v>
      </c>
      <c r="G3193" t="s">
        <v>2083</v>
      </c>
      <c r="H3193" t="s">
        <v>2740</v>
      </c>
      <c r="I3193">
        <v>0</v>
      </c>
      <c r="J3193" t="s">
        <v>1709</v>
      </c>
      <c r="K3193" t="s">
        <v>290</v>
      </c>
      <c r="L3193" t="s">
        <v>285</v>
      </c>
      <c r="M3193" t="str">
        <f t="shared" si="207"/>
        <v>10</v>
      </c>
      <c r="N3193" t="s">
        <v>12</v>
      </c>
    </row>
    <row r="3194" spans="1:14" x14ac:dyDescent="0.25">
      <c r="A3194">
        <v>20151029</v>
      </c>
      <c r="B3194" t="str">
        <f>"060910"</f>
        <v>060910</v>
      </c>
      <c r="C3194" t="str">
        <f>"10040"</f>
        <v>10040</v>
      </c>
      <c r="D3194" t="s">
        <v>2082</v>
      </c>
      <c r="E3194" s="3">
        <v>12.5</v>
      </c>
      <c r="F3194">
        <v>20151027</v>
      </c>
      <c r="G3194" t="s">
        <v>2086</v>
      </c>
      <c r="H3194" t="s">
        <v>2740</v>
      </c>
      <c r="I3194">
        <v>0</v>
      </c>
      <c r="J3194" t="s">
        <v>1709</v>
      </c>
      <c r="K3194" t="s">
        <v>95</v>
      </c>
      <c r="L3194" t="s">
        <v>285</v>
      </c>
      <c r="M3194" t="str">
        <f t="shared" si="207"/>
        <v>10</v>
      </c>
      <c r="N3194" t="s">
        <v>12</v>
      </c>
    </row>
    <row r="3195" spans="1:14" x14ac:dyDescent="0.25">
      <c r="A3195">
        <v>20151029</v>
      </c>
      <c r="B3195" t="str">
        <f>"060910"</f>
        <v>060910</v>
      </c>
      <c r="C3195" t="str">
        <f>"10040"</f>
        <v>10040</v>
      </c>
      <c r="D3195" t="s">
        <v>2082</v>
      </c>
      <c r="E3195" s="3">
        <v>12.5</v>
      </c>
      <c r="F3195">
        <v>20151027</v>
      </c>
      <c r="G3195" t="s">
        <v>2087</v>
      </c>
      <c r="H3195" t="s">
        <v>2740</v>
      </c>
      <c r="I3195">
        <v>0</v>
      </c>
      <c r="J3195" t="s">
        <v>1709</v>
      </c>
      <c r="K3195" t="s">
        <v>1643</v>
      </c>
      <c r="L3195" t="s">
        <v>285</v>
      </c>
      <c r="M3195" t="str">
        <f t="shared" si="207"/>
        <v>10</v>
      </c>
      <c r="N3195" t="s">
        <v>12</v>
      </c>
    </row>
    <row r="3196" spans="1:14" x14ac:dyDescent="0.25">
      <c r="A3196">
        <v>20151029</v>
      </c>
      <c r="B3196" t="str">
        <f>"060910"</f>
        <v>060910</v>
      </c>
      <c r="C3196" t="str">
        <f>"10040"</f>
        <v>10040</v>
      </c>
      <c r="D3196" t="s">
        <v>2082</v>
      </c>
      <c r="E3196" s="3">
        <v>12.5</v>
      </c>
      <c r="F3196">
        <v>20151027</v>
      </c>
      <c r="G3196" t="s">
        <v>2088</v>
      </c>
      <c r="H3196" t="s">
        <v>2740</v>
      </c>
      <c r="I3196">
        <v>0</v>
      </c>
      <c r="J3196" t="s">
        <v>1709</v>
      </c>
      <c r="K3196" t="s">
        <v>33</v>
      </c>
      <c r="L3196" t="s">
        <v>285</v>
      </c>
      <c r="M3196" t="str">
        <f t="shared" si="207"/>
        <v>10</v>
      </c>
      <c r="N3196" t="s">
        <v>12</v>
      </c>
    </row>
    <row r="3197" spans="1:14" x14ac:dyDescent="0.25">
      <c r="A3197">
        <v>20151029</v>
      </c>
      <c r="B3197" t="str">
        <f>"060914"</f>
        <v>060914</v>
      </c>
      <c r="C3197" t="str">
        <f>"11140"</f>
        <v>11140</v>
      </c>
      <c r="D3197" t="s">
        <v>1817</v>
      </c>
      <c r="E3197" s="3">
        <v>106.78</v>
      </c>
      <c r="F3197">
        <v>20151027</v>
      </c>
      <c r="G3197" t="s">
        <v>1961</v>
      </c>
      <c r="H3197" t="s">
        <v>2184</v>
      </c>
      <c r="I3197">
        <v>0</v>
      </c>
      <c r="J3197" t="s">
        <v>1709</v>
      </c>
      <c r="K3197" t="s">
        <v>290</v>
      </c>
      <c r="L3197" t="s">
        <v>285</v>
      </c>
      <c r="M3197" t="str">
        <f t="shared" si="207"/>
        <v>10</v>
      </c>
      <c r="N3197" t="s">
        <v>12</v>
      </c>
    </row>
    <row r="3198" spans="1:14" x14ac:dyDescent="0.25">
      <c r="A3198">
        <v>20151029</v>
      </c>
      <c r="B3198" t="str">
        <f>"060917"</f>
        <v>060917</v>
      </c>
      <c r="C3198" t="str">
        <f>"19134"</f>
        <v>19134</v>
      </c>
      <c r="D3198" t="s">
        <v>2741</v>
      </c>
      <c r="E3198" s="3">
        <v>100.59</v>
      </c>
      <c r="F3198">
        <v>20151027</v>
      </c>
      <c r="G3198" t="s">
        <v>2742</v>
      </c>
      <c r="H3198" t="s">
        <v>2743</v>
      </c>
      <c r="I3198">
        <v>0</v>
      </c>
      <c r="J3198" t="s">
        <v>1709</v>
      </c>
      <c r="K3198" t="s">
        <v>1558</v>
      </c>
      <c r="L3198" t="s">
        <v>285</v>
      </c>
      <c r="M3198" t="str">
        <f t="shared" si="207"/>
        <v>10</v>
      </c>
      <c r="N3198" t="s">
        <v>12</v>
      </c>
    </row>
    <row r="3199" spans="1:14" x14ac:dyDescent="0.25">
      <c r="A3199">
        <v>20151029</v>
      </c>
      <c r="B3199" t="str">
        <f>"060921"</f>
        <v>060921</v>
      </c>
      <c r="C3199" t="str">
        <f>"20416"</f>
        <v>20416</v>
      </c>
      <c r="D3199" t="s">
        <v>1727</v>
      </c>
      <c r="E3199" s="3">
        <v>220</v>
      </c>
      <c r="F3199">
        <v>20151027</v>
      </c>
      <c r="G3199" t="s">
        <v>1728</v>
      </c>
      <c r="H3199" t="s">
        <v>2744</v>
      </c>
      <c r="I3199">
        <v>0</v>
      </c>
      <c r="J3199" t="s">
        <v>1709</v>
      </c>
      <c r="K3199" t="s">
        <v>290</v>
      </c>
      <c r="L3199" t="s">
        <v>285</v>
      </c>
      <c r="M3199" t="str">
        <f t="shared" si="207"/>
        <v>10</v>
      </c>
      <c r="N3199" t="s">
        <v>12</v>
      </c>
    </row>
    <row r="3200" spans="1:14" x14ac:dyDescent="0.25">
      <c r="A3200">
        <v>20151029</v>
      </c>
      <c r="B3200" t="str">
        <f>"060931"</f>
        <v>060931</v>
      </c>
      <c r="C3200" t="str">
        <f>"29624"</f>
        <v>29624</v>
      </c>
      <c r="D3200" t="s">
        <v>1870</v>
      </c>
      <c r="E3200" s="3">
        <v>718.2</v>
      </c>
      <c r="F3200">
        <v>20151028</v>
      </c>
      <c r="G3200" t="s">
        <v>2333</v>
      </c>
      <c r="H3200" t="s">
        <v>2745</v>
      </c>
      <c r="I3200">
        <v>0</v>
      </c>
      <c r="J3200" t="s">
        <v>1709</v>
      </c>
      <c r="K3200" t="s">
        <v>290</v>
      </c>
      <c r="L3200" t="s">
        <v>285</v>
      </c>
      <c r="M3200" t="str">
        <f t="shared" si="207"/>
        <v>10</v>
      </c>
      <c r="N3200" t="s">
        <v>12</v>
      </c>
    </row>
    <row r="3201" spans="1:14" x14ac:dyDescent="0.25">
      <c r="A3201">
        <v>20151029</v>
      </c>
      <c r="B3201" t="str">
        <f>"060941"</f>
        <v>060941</v>
      </c>
      <c r="C3201" t="str">
        <f>"39397"</f>
        <v>39397</v>
      </c>
      <c r="D3201" t="s">
        <v>2746</v>
      </c>
      <c r="E3201" s="3">
        <v>2438</v>
      </c>
      <c r="F3201">
        <v>20151028</v>
      </c>
      <c r="G3201" t="s">
        <v>2747</v>
      </c>
      <c r="H3201" t="s">
        <v>2748</v>
      </c>
      <c r="I3201">
        <v>0</v>
      </c>
      <c r="J3201" t="s">
        <v>1709</v>
      </c>
      <c r="K3201" t="s">
        <v>1856</v>
      </c>
      <c r="L3201" t="s">
        <v>285</v>
      </c>
      <c r="M3201" t="str">
        <f t="shared" si="207"/>
        <v>10</v>
      </c>
      <c r="N3201" t="s">
        <v>12</v>
      </c>
    </row>
    <row r="3202" spans="1:14" x14ac:dyDescent="0.25">
      <c r="A3202">
        <v>20151029</v>
      </c>
      <c r="B3202" t="str">
        <f>"060941"</f>
        <v>060941</v>
      </c>
      <c r="C3202" t="str">
        <f>"39397"</f>
        <v>39397</v>
      </c>
      <c r="D3202" t="s">
        <v>2746</v>
      </c>
      <c r="E3202" s="3">
        <v>60.05</v>
      </c>
      <c r="F3202">
        <v>20151028</v>
      </c>
      <c r="G3202" t="s">
        <v>1859</v>
      </c>
      <c r="H3202" t="s">
        <v>2749</v>
      </c>
      <c r="I3202">
        <v>0</v>
      </c>
      <c r="J3202" t="s">
        <v>1709</v>
      </c>
      <c r="K3202" t="s">
        <v>1861</v>
      </c>
      <c r="L3202" t="s">
        <v>285</v>
      </c>
      <c r="M3202" t="str">
        <f t="shared" si="207"/>
        <v>10</v>
      </c>
      <c r="N3202" t="s">
        <v>12</v>
      </c>
    </row>
    <row r="3203" spans="1:14" x14ac:dyDescent="0.25">
      <c r="A3203">
        <v>20151029</v>
      </c>
      <c r="B3203" t="str">
        <f>"060947"</f>
        <v>060947</v>
      </c>
      <c r="C3203" t="str">
        <f>"45694"</f>
        <v>45694</v>
      </c>
      <c r="D3203" t="s">
        <v>2120</v>
      </c>
      <c r="E3203" s="3">
        <v>1038</v>
      </c>
      <c r="F3203">
        <v>20151028</v>
      </c>
      <c r="G3203" t="s">
        <v>2750</v>
      </c>
      <c r="H3203" t="s">
        <v>2122</v>
      </c>
      <c r="I3203">
        <v>0</v>
      </c>
      <c r="J3203" t="s">
        <v>1709</v>
      </c>
      <c r="K3203" t="s">
        <v>1643</v>
      </c>
      <c r="L3203" t="s">
        <v>285</v>
      </c>
      <c r="M3203" t="str">
        <f t="shared" si="207"/>
        <v>10</v>
      </c>
      <c r="N3203" t="s">
        <v>12</v>
      </c>
    </row>
    <row r="3204" spans="1:14" x14ac:dyDescent="0.25">
      <c r="A3204">
        <v>20151029</v>
      </c>
      <c r="B3204" t="str">
        <f>"060949"</f>
        <v>060949</v>
      </c>
      <c r="C3204" t="str">
        <f>"80056"</f>
        <v>80056</v>
      </c>
      <c r="D3204" t="s">
        <v>2751</v>
      </c>
      <c r="E3204" s="3">
        <v>122.27</v>
      </c>
      <c r="F3204">
        <v>20151028</v>
      </c>
      <c r="G3204" t="s">
        <v>2643</v>
      </c>
      <c r="H3204" t="s">
        <v>2644</v>
      </c>
      <c r="I3204">
        <v>0</v>
      </c>
      <c r="J3204" t="s">
        <v>1709</v>
      </c>
      <c r="K3204" t="s">
        <v>1643</v>
      </c>
      <c r="L3204" t="s">
        <v>285</v>
      </c>
      <c r="M3204" t="str">
        <f t="shared" si="207"/>
        <v>10</v>
      </c>
      <c r="N3204" t="s">
        <v>12</v>
      </c>
    </row>
    <row r="3205" spans="1:14" x14ac:dyDescent="0.25">
      <c r="A3205">
        <v>20151029</v>
      </c>
      <c r="B3205" t="str">
        <f>"060952"</f>
        <v>060952</v>
      </c>
      <c r="C3205" t="str">
        <f>"49748"</f>
        <v>49748</v>
      </c>
      <c r="D3205" t="s">
        <v>1885</v>
      </c>
      <c r="E3205" s="3">
        <v>86.87</v>
      </c>
      <c r="F3205">
        <v>20151028</v>
      </c>
      <c r="G3205" t="s">
        <v>2155</v>
      </c>
      <c r="H3205" t="s">
        <v>2752</v>
      </c>
      <c r="I3205">
        <v>0</v>
      </c>
      <c r="J3205" t="s">
        <v>1709</v>
      </c>
      <c r="K3205" t="s">
        <v>290</v>
      </c>
      <c r="L3205" t="s">
        <v>285</v>
      </c>
      <c r="M3205" t="str">
        <f t="shared" si="207"/>
        <v>10</v>
      </c>
      <c r="N3205" t="s">
        <v>12</v>
      </c>
    </row>
    <row r="3206" spans="1:14" x14ac:dyDescent="0.25">
      <c r="A3206">
        <v>20151029</v>
      </c>
      <c r="B3206" t="str">
        <f>"060954"</f>
        <v>060954</v>
      </c>
      <c r="C3206" t="str">
        <f>"49959"</f>
        <v>49959</v>
      </c>
      <c r="D3206" t="s">
        <v>361</v>
      </c>
      <c r="E3206" s="3">
        <v>300</v>
      </c>
      <c r="F3206">
        <v>20151028</v>
      </c>
      <c r="G3206" t="s">
        <v>1788</v>
      </c>
      <c r="H3206" t="s">
        <v>2753</v>
      </c>
      <c r="I3206">
        <v>0</v>
      </c>
      <c r="J3206" t="s">
        <v>1709</v>
      </c>
      <c r="K3206" t="s">
        <v>1643</v>
      </c>
      <c r="L3206" t="s">
        <v>285</v>
      </c>
      <c r="M3206" t="str">
        <f t="shared" si="207"/>
        <v>10</v>
      </c>
      <c r="N3206" t="s">
        <v>12</v>
      </c>
    </row>
    <row r="3207" spans="1:14" x14ac:dyDescent="0.25">
      <c r="A3207">
        <v>20151029</v>
      </c>
      <c r="B3207" t="str">
        <f>"060955"</f>
        <v>060955</v>
      </c>
      <c r="C3207" t="str">
        <f>"52217"</f>
        <v>52217</v>
      </c>
      <c r="D3207" t="s">
        <v>577</v>
      </c>
      <c r="E3207" s="3">
        <v>1000</v>
      </c>
      <c r="F3207">
        <v>20151028</v>
      </c>
      <c r="G3207" t="s">
        <v>2754</v>
      </c>
      <c r="H3207" t="s">
        <v>2755</v>
      </c>
      <c r="I3207">
        <v>0</v>
      </c>
      <c r="J3207" t="s">
        <v>1709</v>
      </c>
      <c r="K3207" t="s">
        <v>290</v>
      </c>
      <c r="L3207" t="s">
        <v>285</v>
      </c>
      <c r="M3207" t="str">
        <f t="shared" si="207"/>
        <v>10</v>
      </c>
      <c r="N3207" t="s">
        <v>12</v>
      </c>
    </row>
    <row r="3208" spans="1:14" x14ac:dyDescent="0.25">
      <c r="A3208">
        <v>20151029</v>
      </c>
      <c r="B3208" t="str">
        <f>"060957"</f>
        <v>060957</v>
      </c>
      <c r="C3208" t="str">
        <f>"54495"</f>
        <v>54495</v>
      </c>
      <c r="D3208" t="s">
        <v>2756</v>
      </c>
      <c r="E3208" s="3">
        <v>954.8</v>
      </c>
      <c r="F3208">
        <v>20151028</v>
      </c>
      <c r="G3208" t="s">
        <v>2757</v>
      </c>
      <c r="H3208" t="s">
        <v>2758</v>
      </c>
      <c r="I3208">
        <v>0</v>
      </c>
      <c r="J3208" t="s">
        <v>1709</v>
      </c>
      <c r="K3208" t="s">
        <v>1643</v>
      </c>
      <c r="L3208" t="s">
        <v>285</v>
      </c>
      <c r="M3208" t="str">
        <f t="shared" si="207"/>
        <v>10</v>
      </c>
      <c r="N3208" t="s">
        <v>12</v>
      </c>
    </row>
    <row r="3209" spans="1:14" x14ac:dyDescent="0.25">
      <c r="A3209">
        <v>20151029</v>
      </c>
      <c r="B3209" t="str">
        <f>"060960"</f>
        <v>060960</v>
      </c>
      <c r="C3209" t="str">
        <f>"56564"</f>
        <v>56564</v>
      </c>
      <c r="D3209" t="s">
        <v>1578</v>
      </c>
      <c r="E3209" s="3">
        <v>68.09</v>
      </c>
      <c r="F3209">
        <v>20151028</v>
      </c>
      <c r="G3209" t="s">
        <v>2127</v>
      </c>
      <c r="H3209" t="s">
        <v>2759</v>
      </c>
      <c r="I3209">
        <v>0</v>
      </c>
      <c r="J3209" t="s">
        <v>1709</v>
      </c>
      <c r="K3209" t="s">
        <v>33</v>
      </c>
      <c r="L3209" t="s">
        <v>285</v>
      </c>
      <c r="M3209" t="str">
        <f t="shared" si="207"/>
        <v>10</v>
      </c>
      <c r="N3209" t="s">
        <v>12</v>
      </c>
    </row>
    <row r="3210" spans="1:14" x14ac:dyDescent="0.25">
      <c r="A3210">
        <v>20151029</v>
      </c>
      <c r="B3210" t="str">
        <f>"060964"</f>
        <v>060964</v>
      </c>
      <c r="C3210" t="str">
        <f>"57697"</f>
        <v>57697</v>
      </c>
      <c r="D3210" t="s">
        <v>1897</v>
      </c>
      <c r="E3210" s="3">
        <v>565.29999999999995</v>
      </c>
      <c r="F3210">
        <v>20151028</v>
      </c>
      <c r="G3210" t="s">
        <v>2004</v>
      </c>
      <c r="H3210" t="s">
        <v>2186</v>
      </c>
      <c r="I3210">
        <v>0</v>
      </c>
      <c r="J3210" t="s">
        <v>1709</v>
      </c>
      <c r="K3210" t="s">
        <v>290</v>
      </c>
      <c r="L3210" t="s">
        <v>285</v>
      </c>
      <c r="M3210" t="str">
        <f t="shared" si="207"/>
        <v>10</v>
      </c>
      <c r="N3210" t="s">
        <v>12</v>
      </c>
    </row>
    <row r="3211" spans="1:14" x14ac:dyDescent="0.25">
      <c r="A3211">
        <v>20151029</v>
      </c>
      <c r="B3211" t="str">
        <f>"060964"</f>
        <v>060964</v>
      </c>
      <c r="C3211" t="str">
        <f>"57697"</f>
        <v>57697</v>
      </c>
      <c r="D3211" t="s">
        <v>1897</v>
      </c>
      <c r="E3211" s="3">
        <v>185.96</v>
      </c>
      <c r="F3211">
        <v>20151028</v>
      </c>
      <c r="G3211" t="s">
        <v>2004</v>
      </c>
      <c r="H3211" t="s">
        <v>1801</v>
      </c>
      <c r="I3211">
        <v>0</v>
      </c>
      <c r="J3211" t="s">
        <v>1709</v>
      </c>
      <c r="K3211" t="s">
        <v>290</v>
      </c>
      <c r="L3211" t="s">
        <v>285</v>
      </c>
      <c r="M3211" t="str">
        <f t="shared" si="207"/>
        <v>10</v>
      </c>
      <c r="N3211" t="s">
        <v>12</v>
      </c>
    </row>
    <row r="3212" spans="1:14" x14ac:dyDescent="0.25">
      <c r="A3212">
        <v>20151029</v>
      </c>
      <c r="B3212" t="str">
        <f>"060967"</f>
        <v>060967</v>
      </c>
      <c r="C3212" t="str">
        <f>"58950"</f>
        <v>58950</v>
      </c>
      <c r="D3212" t="s">
        <v>2760</v>
      </c>
      <c r="E3212" s="3">
        <v>187.5</v>
      </c>
      <c r="F3212">
        <v>20151028</v>
      </c>
      <c r="G3212" t="s">
        <v>2529</v>
      </c>
      <c r="H3212" t="s">
        <v>2761</v>
      </c>
      <c r="I3212">
        <v>0</v>
      </c>
      <c r="J3212" t="s">
        <v>1709</v>
      </c>
      <c r="K3212" t="s">
        <v>95</v>
      </c>
      <c r="L3212" t="s">
        <v>285</v>
      </c>
      <c r="M3212" t="str">
        <f t="shared" si="207"/>
        <v>10</v>
      </c>
      <c r="N3212" t="s">
        <v>12</v>
      </c>
    </row>
    <row r="3213" spans="1:14" x14ac:dyDescent="0.25">
      <c r="A3213">
        <v>20151029</v>
      </c>
      <c r="B3213" t="str">
        <f>"060972"</f>
        <v>060972</v>
      </c>
      <c r="C3213" t="str">
        <f>"62881"</f>
        <v>62881</v>
      </c>
      <c r="D3213" t="s">
        <v>1915</v>
      </c>
      <c r="E3213" s="3">
        <v>96</v>
      </c>
      <c r="F3213">
        <v>20151028</v>
      </c>
      <c r="G3213" t="s">
        <v>2762</v>
      </c>
      <c r="H3213" t="s">
        <v>2763</v>
      </c>
      <c r="I3213">
        <v>0</v>
      </c>
      <c r="J3213" t="s">
        <v>1709</v>
      </c>
      <c r="K3213" t="s">
        <v>2764</v>
      </c>
      <c r="L3213" t="s">
        <v>285</v>
      </c>
      <c r="M3213" t="str">
        <f t="shared" si="207"/>
        <v>10</v>
      </c>
      <c r="N3213" t="s">
        <v>12</v>
      </c>
    </row>
    <row r="3214" spans="1:14" x14ac:dyDescent="0.25">
      <c r="A3214">
        <v>20151029</v>
      </c>
      <c r="B3214" t="str">
        <f>"060977"</f>
        <v>060977</v>
      </c>
      <c r="C3214" t="str">
        <f>"65212"</f>
        <v>65212</v>
      </c>
      <c r="D3214" t="s">
        <v>2017</v>
      </c>
      <c r="E3214" s="3">
        <v>10922.29</v>
      </c>
      <c r="F3214">
        <v>20151028</v>
      </c>
      <c r="G3214" t="s">
        <v>2018</v>
      </c>
      <c r="H3214" t="s">
        <v>2765</v>
      </c>
      <c r="I3214">
        <v>0</v>
      </c>
      <c r="J3214" t="s">
        <v>1709</v>
      </c>
      <c r="K3214" t="s">
        <v>1856</v>
      </c>
      <c r="L3214" t="s">
        <v>285</v>
      </c>
      <c r="M3214" t="str">
        <f t="shared" si="207"/>
        <v>10</v>
      </c>
      <c r="N3214" t="s">
        <v>12</v>
      </c>
    </row>
    <row r="3215" spans="1:14" x14ac:dyDescent="0.25">
      <c r="A3215">
        <v>20151029</v>
      </c>
      <c r="B3215" t="str">
        <f>"060979"</f>
        <v>060979</v>
      </c>
      <c r="C3215" t="str">
        <f>"65809"</f>
        <v>65809</v>
      </c>
      <c r="D3215" t="s">
        <v>2766</v>
      </c>
      <c r="E3215" s="3">
        <v>360.81</v>
      </c>
      <c r="F3215">
        <v>20151028</v>
      </c>
      <c r="G3215" t="s">
        <v>2767</v>
      </c>
      <c r="H3215" t="s">
        <v>2023</v>
      </c>
      <c r="I3215">
        <v>0</v>
      </c>
      <c r="J3215" t="s">
        <v>1709</v>
      </c>
      <c r="K3215" t="s">
        <v>95</v>
      </c>
      <c r="L3215" t="s">
        <v>285</v>
      </c>
      <c r="M3215" t="str">
        <f t="shared" si="207"/>
        <v>10</v>
      </c>
      <c r="N3215" t="s">
        <v>12</v>
      </c>
    </row>
    <row r="3216" spans="1:14" x14ac:dyDescent="0.25">
      <c r="A3216">
        <v>20151029</v>
      </c>
      <c r="B3216" t="str">
        <f>"060982"</f>
        <v>060982</v>
      </c>
      <c r="C3216" t="str">
        <f>"72340"</f>
        <v>72340</v>
      </c>
      <c r="D3216" t="s">
        <v>1762</v>
      </c>
      <c r="E3216" s="3">
        <v>298.79000000000002</v>
      </c>
      <c r="F3216">
        <v>20151028</v>
      </c>
      <c r="G3216" t="s">
        <v>2768</v>
      </c>
      <c r="H3216" t="s">
        <v>2769</v>
      </c>
      <c r="I3216">
        <v>0</v>
      </c>
      <c r="J3216" t="s">
        <v>1709</v>
      </c>
      <c r="K3216" t="s">
        <v>1861</v>
      </c>
      <c r="L3216" t="s">
        <v>285</v>
      </c>
      <c r="M3216" t="str">
        <f t="shared" si="207"/>
        <v>10</v>
      </c>
      <c r="N3216" t="s">
        <v>12</v>
      </c>
    </row>
    <row r="3217" spans="1:14" x14ac:dyDescent="0.25">
      <c r="A3217">
        <v>20151029</v>
      </c>
      <c r="B3217" t="str">
        <f>"060984"</f>
        <v>060984</v>
      </c>
      <c r="C3217" t="str">
        <f>"77054"</f>
        <v>77054</v>
      </c>
      <c r="D3217" t="s">
        <v>2180</v>
      </c>
      <c r="E3217" s="3">
        <v>365</v>
      </c>
      <c r="F3217">
        <v>20151028</v>
      </c>
      <c r="G3217" t="s">
        <v>2770</v>
      </c>
      <c r="H3217" t="s">
        <v>2771</v>
      </c>
      <c r="I3217">
        <v>0</v>
      </c>
      <c r="J3217" t="s">
        <v>1709</v>
      </c>
      <c r="K3217" t="s">
        <v>1643</v>
      </c>
      <c r="L3217" t="s">
        <v>285</v>
      </c>
      <c r="M3217" t="str">
        <f t="shared" si="207"/>
        <v>10</v>
      </c>
      <c r="N3217" t="s">
        <v>12</v>
      </c>
    </row>
    <row r="3218" spans="1:14" x14ac:dyDescent="0.25">
      <c r="A3218">
        <v>20151029</v>
      </c>
      <c r="B3218" t="str">
        <f>"060985"</f>
        <v>060985</v>
      </c>
      <c r="C3218" t="str">
        <f>"78726"</f>
        <v>78726</v>
      </c>
      <c r="D3218" t="s">
        <v>2772</v>
      </c>
      <c r="E3218" s="3">
        <v>965</v>
      </c>
      <c r="F3218">
        <v>20151028</v>
      </c>
      <c r="G3218" t="s">
        <v>2773</v>
      </c>
      <c r="H3218" t="s">
        <v>2774</v>
      </c>
      <c r="I3218">
        <v>0</v>
      </c>
      <c r="J3218" t="s">
        <v>1709</v>
      </c>
      <c r="K3218" t="s">
        <v>2252</v>
      </c>
      <c r="L3218" t="s">
        <v>285</v>
      </c>
      <c r="M3218" t="str">
        <f t="shared" si="207"/>
        <v>10</v>
      </c>
      <c r="N3218" t="s">
        <v>12</v>
      </c>
    </row>
    <row r="3219" spans="1:14" x14ac:dyDescent="0.25">
      <c r="A3219">
        <v>20151029</v>
      </c>
      <c r="B3219" t="str">
        <f>"060985"</f>
        <v>060985</v>
      </c>
      <c r="C3219" t="str">
        <f>"78726"</f>
        <v>78726</v>
      </c>
      <c r="D3219" t="s">
        <v>2772</v>
      </c>
      <c r="E3219" s="3">
        <v>2375.1</v>
      </c>
      <c r="F3219">
        <v>20151028</v>
      </c>
      <c r="G3219" t="s">
        <v>2773</v>
      </c>
      <c r="H3219" t="s">
        <v>2774</v>
      </c>
      <c r="I3219">
        <v>0</v>
      </c>
      <c r="J3219" t="s">
        <v>1709</v>
      </c>
      <c r="K3219" t="s">
        <v>2252</v>
      </c>
      <c r="L3219" t="s">
        <v>285</v>
      </c>
      <c r="M3219" t="str">
        <f t="shared" si="207"/>
        <v>10</v>
      </c>
      <c r="N3219" t="s">
        <v>12</v>
      </c>
    </row>
    <row r="3220" spans="1:14" x14ac:dyDescent="0.25">
      <c r="A3220">
        <v>20151029</v>
      </c>
      <c r="B3220" t="str">
        <f>"060985"</f>
        <v>060985</v>
      </c>
      <c r="C3220" t="str">
        <f>"78726"</f>
        <v>78726</v>
      </c>
      <c r="D3220" t="s">
        <v>2772</v>
      </c>
      <c r="E3220" s="3">
        <v>69.8</v>
      </c>
      <c r="F3220">
        <v>20151028</v>
      </c>
      <c r="G3220" t="s">
        <v>2074</v>
      </c>
      <c r="H3220" t="s">
        <v>2775</v>
      </c>
      <c r="I3220">
        <v>0</v>
      </c>
      <c r="J3220" t="s">
        <v>1709</v>
      </c>
      <c r="K3220" t="s">
        <v>1861</v>
      </c>
      <c r="L3220" t="s">
        <v>285</v>
      </c>
      <c r="M3220" t="str">
        <f t="shared" si="207"/>
        <v>10</v>
      </c>
      <c r="N3220" t="s">
        <v>12</v>
      </c>
    </row>
    <row r="3221" spans="1:14" x14ac:dyDescent="0.25">
      <c r="A3221">
        <v>20151029</v>
      </c>
      <c r="B3221" t="str">
        <f>"060986"</f>
        <v>060986</v>
      </c>
      <c r="C3221" t="str">
        <f>"78729"</f>
        <v>78729</v>
      </c>
      <c r="D3221" t="s">
        <v>2042</v>
      </c>
      <c r="E3221" s="3">
        <v>214.5</v>
      </c>
      <c r="F3221">
        <v>20151028</v>
      </c>
      <c r="G3221" t="s">
        <v>1710</v>
      </c>
      <c r="H3221" t="s">
        <v>2744</v>
      </c>
      <c r="I3221">
        <v>0</v>
      </c>
      <c r="J3221" t="s">
        <v>1709</v>
      </c>
      <c r="K3221" t="s">
        <v>290</v>
      </c>
      <c r="L3221" t="s">
        <v>285</v>
      </c>
      <c r="M3221" t="str">
        <f t="shared" si="207"/>
        <v>10</v>
      </c>
      <c r="N3221" t="s">
        <v>12</v>
      </c>
    </row>
    <row r="3222" spans="1:14" x14ac:dyDescent="0.25">
      <c r="A3222">
        <v>20151029</v>
      </c>
      <c r="B3222" t="str">
        <f>"060990"</f>
        <v>060990</v>
      </c>
      <c r="C3222" t="str">
        <f>"81701"</f>
        <v>81701</v>
      </c>
      <c r="D3222" t="s">
        <v>2776</v>
      </c>
      <c r="E3222" s="3">
        <v>333.8</v>
      </c>
      <c r="F3222">
        <v>20151028</v>
      </c>
      <c r="G3222" t="s">
        <v>2529</v>
      </c>
      <c r="H3222" t="s">
        <v>2777</v>
      </c>
      <c r="I3222">
        <v>0</v>
      </c>
      <c r="J3222" t="s">
        <v>1709</v>
      </c>
      <c r="K3222" t="s">
        <v>95</v>
      </c>
      <c r="L3222" t="s">
        <v>285</v>
      </c>
      <c r="M3222" t="str">
        <f t="shared" si="207"/>
        <v>10</v>
      </c>
      <c r="N3222" t="s">
        <v>12</v>
      </c>
    </row>
    <row r="3223" spans="1:14" x14ac:dyDescent="0.25">
      <c r="A3223">
        <v>20151029</v>
      </c>
      <c r="B3223" t="str">
        <f t="shared" ref="B3223:B3250" si="208">"060993"</f>
        <v>060993</v>
      </c>
      <c r="C3223" t="str">
        <f t="shared" ref="C3223:C3250" si="209">"83022"</f>
        <v>83022</v>
      </c>
      <c r="D3223" t="s">
        <v>394</v>
      </c>
      <c r="E3223" s="3">
        <v>27.94</v>
      </c>
      <c r="F3223">
        <v>20151028</v>
      </c>
      <c r="G3223" t="s">
        <v>2168</v>
      </c>
      <c r="H3223" t="s">
        <v>2778</v>
      </c>
      <c r="I3223">
        <v>0</v>
      </c>
      <c r="J3223" t="s">
        <v>1709</v>
      </c>
      <c r="K3223" t="s">
        <v>33</v>
      </c>
      <c r="L3223" t="s">
        <v>285</v>
      </c>
      <c r="M3223" t="str">
        <f t="shared" si="207"/>
        <v>10</v>
      </c>
      <c r="N3223" t="s">
        <v>12</v>
      </c>
    </row>
    <row r="3224" spans="1:14" x14ac:dyDescent="0.25">
      <c r="A3224">
        <v>20151029</v>
      </c>
      <c r="B3224" t="str">
        <f t="shared" si="208"/>
        <v>060993</v>
      </c>
      <c r="C3224" t="str">
        <f t="shared" si="209"/>
        <v>83022</v>
      </c>
      <c r="D3224" t="s">
        <v>394</v>
      </c>
      <c r="E3224" s="3">
        <v>61.92</v>
      </c>
      <c r="F3224">
        <v>20151028</v>
      </c>
      <c r="G3224" t="s">
        <v>2168</v>
      </c>
      <c r="H3224" t="s">
        <v>2778</v>
      </c>
      <c r="I3224">
        <v>0</v>
      </c>
      <c r="J3224" t="s">
        <v>1709</v>
      </c>
      <c r="K3224" t="s">
        <v>33</v>
      </c>
      <c r="L3224" t="s">
        <v>285</v>
      </c>
      <c r="M3224" t="str">
        <f t="shared" si="207"/>
        <v>10</v>
      </c>
      <c r="N3224" t="s">
        <v>12</v>
      </c>
    </row>
    <row r="3225" spans="1:14" x14ac:dyDescent="0.25">
      <c r="A3225">
        <v>20151029</v>
      </c>
      <c r="B3225" t="str">
        <f t="shared" si="208"/>
        <v>060993</v>
      </c>
      <c r="C3225" t="str">
        <f t="shared" si="209"/>
        <v>83022</v>
      </c>
      <c r="D3225" t="s">
        <v>394</v>
      </c>
      <c r="E3225" s="3">
        <v>70.56</v>
      </c>
      <c r="F3225">
        <v>20151028</v>
      </c>
      <c r="G3225" t="s">
        <v>2226</v>
      </c>
      <c r="H3225" t="s">
        <v>2779</v>
      </c>
      <c r="I3225">
        <v>0</v>
      </c>
      <c r="J3225" t="s">
        <v>1709</v>
      </c>
      <c r="K3225" t="s">
        <v>33</v>
      </c>
      <c r="L3225" t="s">
        <v>285</v>
      </c>
      <c r="M3225" t="str">
        <f t="shared" si="207"/>
        <v>10</v>
      </c>
      <c r="N3225" t="s">
        <v>12</v>
      </c>
    </row>
    <row r="3226" spans="1:14" x14ac:dyDescent="0.25">
      <c r="A3226">
        <v>20151029</v>
      </c>
      <c r="B3226" t="str">
        <f t="shared" si="208"/>
        <v>060993</v>
      </c>
      <c r="C3226" t="str">
        <f t="shared" si="209"/>
        <v>83022</v>
      </c>
      <c r="D3226" t="s">
        <v>394</v>
      </c>
      <c r="E3226" s="3">
        <v>26.96</v>
      </c>
      <c r="F3226">
        <v>20151028</v>
      </c>
      <c r="G3226" t="s">
        <v>2100</v>
      </c>
      <c r="H3226" t="s">
        <v>2780</v>
      </c>
      <c r="I3226">
        <v>0</v>
      </c>
      <c r="J3226" t="s">
        <v>1709</v>
      </c>
      <c r="K3226" t="s">
        <v>33</v>
      </c>
      <c r="L3226" t="s">
        <v>285</v>
      </c>
      <c r="M3226" t="str">
        <f t="shared" si="207"/>
        <v>10</v>
      </c>
      <c r="N3226" t="s">
        <v>12</v>
      </c>
    </row>
    <row r="3227" spans="1:14" x14ac:dyDescent="0.25">
      <c r="A3227">
        <v>20151029</v>
      </c>
      <c r="B3227" t="str">
        <f t="shared" si="208"/>
        <v>060993</v>
      </c>
      <c r="C3227" t="str">
        <f t="shared" si="209"/>
        <v>83022</v>
      </c>
      <c r="D3227" t="s">
        <v>394</v>
      </c>
      <c r="E3227" s="3">
        <v>165.67</v>
      </c>
      <c r="F3227">
        <v>20151028</v>
      </c>
      <c r="G3227" t="s">
        <v>2781</v>
      </c>
      <c r="H3227" t="s">
        <v>2782</v>
      </c>
      <c r="I3227">
        <v>0</v>
      </c>
      <c r="J3227" t="s">
        <v>1709</v>
      </c>
      <c r="K3227" t="s">
        <v>95</v>
      </c>
      <c r="L3227" t="s">
        <v>285</v>
      </c>
      <c r="M3227" t="str">
        <f t="shared" si="207"/>
        <v>10</v>
      </c>
      <c r="N3227" t="s">
        <v>12</v>
      </c>
    </row>
    <row r="3228" spans="1:14" x14ac:dyDescent="0.25">
      <c r="A3228">
        <v>20151029</v>
      </c>
      <c r="B3228" t="str">
        <f t="shared" si="208"/>
        <v>060993</v>
      </c>
      <c r="C3228" t="str">
        <f t="shared" si="209"/>
        <v>83022</v>
      </c>
      <c r="D3228" t="s">
        <v>394</v>
      </c>
      <c r="E3228" s="3">
        <v>103.49</v>
      </c>
      <c r="F3228">
        <v>20151028</v>
      </c>
      <c r="G3228" t="s">
        <v>2275</v>
      </c>
      <c r="H3228" t="s">
        <v>595</v>
      </c>
      <c r="I3228">
        <v>0</v>
      </c>
      <c r="J3228" t="s">
        <v>1709</v>
      </c>
      <c r="K3228" t="s">
        <v>95</v>
      </c>
      <c r="L3228" t="s">
        <v>285</v>
      </c>
      <c r="M3228" t="str">
        <f t="shared" si="207"/>
        <v>10</v>
      </c>
      <c r="N3228" t="s">
        <v>12</v>
      </c>
    </row>
    <row r="3229" spans="1:14" x14ac:dyDescent="0.25">
      <c r="A3229">
        <v>20151029</v>
      </c>
      <c r="B3229" t="str">
        <f t="shared" si="208"/>
        <v>060993</v>
      </c>
      <c r="C3229" t="str">
        <f t="shared" si="209"/>
        <v>83022</v>
      </c>
      <c r="D3229" t="s">
        <v>394</v>
      </c>
      <c r="E3229" s="3">
        <v>74.88</v>
      </c>
      <c r="F3229">
        <v>20151028</v>
      </c>
      <c r="G3229" t="s">
        <v>2714</v>
      </c>
      <c r="H3229" t="s">
        <v>2169</v>
      </c>
      <c r="I3229">
        <v>0</v>
      </c>
      <c r="J3229" t="s">
        <v>1709</v>
      </c>
      <c r="K3229" t="s">
        <v>33</v>
      </c>
      <c r="L3229" t="s">
        <v>285</v>
      </c>
      <c r="M3229" t="str">
        <f t="shared" si="207"/>
        <v>10</v>
      </c>
      <c r="N3229" t="s">
        <v>12</v>
      </c>
    </row>
    <row r="3230" spans="1:14" x14ac:dyDescent="0.25">
      <c r="A3230">
        <v>20151029</v>
      </c>
      <c r="B3230" t="str">
        <f t="shared" si="208"/>
        <v>060993</v>
      </c>
      <c r="C3230" t="str">
        <f t="shared" si="209"/>
        <v>83022</v>
      </c>
      <c r="D3230" t="s">
        <v>394</v>
      </c>
      <c r="E3230" s="3">
        <v>83.83</v>
      </c>
      <c r="F3230">
        <v>20151028</v>
      </c>
      <c r="G3230" t="s">
        <v>2307</v>
      </c>
      <c r="H3230" t="s">
        <v>2783</v>
      </c>
      <c r="I3230">
        <v>0</v>
      </c>
      <c r="J3230" t="s">
        <v>1709</v>
      </c>
      <c r="K3230" t="s">
        <v>95</v>
      </c>
      <c r="L3230" t="s">
        <v>285</v>
      </c>
      <c r="M3230" t="str">
        <f t="shared" si="207"/>
        <v>10</v>
      </c>
      <c r="N3230" t="s">
        <v>12</v>
      </c>
    </row>
    <row r="3231" spans="1:14" x14ac:dyDescent="0.25">
      <c r="A3231">
        <v>20151029</v>
      </c>
      <c r="B3231" t="str">
        <f t="shared" si="208"/>
        <v>060993</v>
      </c>
      <c r="C3231" t="str">
        <f t="shared" si="209"/>
        <v>83022</v>
      </c>
      <c r="D3231" t="s">
        <v>394</v>
      </c>
      <c r="E3231" s="3">
        <v>96.96</v>
      </c>
      <c r="F3231">
        <v>20151028</v>
      </c>
      <c r="G3231" t="s">
        <v>2307</v>
      </c>
      <c r="H3231" t="s">
        <v>2784</v>
      </c>
      <c r="I3231">
        <v>0</v>
      </c>
      <c r="J3231" t="s">
        <v>1709</v>
      </c>
      <c r="K3231" t="s">
        <v>95</v>
      </c>
      <c r="L3231" t="s">
        <v>285</v>
      </c>
      <c r="M3231" t="str">
        <f t="shared" si="207"/>
        <v>10</v>
      </c>
      <c r="N3231" t="s">
        <v>12</v>
      </c>
    </row>
    <row r="3232" spans="1:14" x14ac:dyDescent="0.25">
      <c r="A3232">
        <v>20151029</v>
      </c>
      <c r="B3232" t="str">
        <f t="shared" si="208"/>
        <v>060993</v>
      </c>
      <c r="C3232" t="str">
        <f t="shared" si="209"/>
        <v>83022</v>
      </c>
      <c r="D3232" t="s">
        <v>394</v>
      </c>
      <c r="E3232" s="3">
        <v>178.81</v>
      </c>
      <c r="F3232">
        <v>20151028</v>
      </c>
      <c r="G3232" t="s">
        <v>2124</v>
      </c>
      <c r="H3232" t="s">
        <v>2378</v>
      </c>
      <c r="I3232">
        <v>0</v>
      </c>
      <c r="J3232" t="s">
        <v>1709</v>
      </c>
      <c r="K3232" t="s">
        <v>290</v>
      </c>
      <c r="L3232" t="s">
        <v>285</v>
      </c>
      <c r="M3232" t="str">
        <f t="shared" si="207"/>
        <v>10</v>
      </c>
      <c r="N3232" t="s">
        <v>12</v>
      </c>
    </row>
    <row r="3233" spans="1:14" x14ac:dyDescent="0.25">
      <c r="A3233">
        <v>20151029</v>
      </c>
      <c r="B3233" t="str">
        <f t="shared" si="208"/>
        <v>060993</v>
      </c>
      <c r="C3233" t="str">
        <f t="shared" si="209"/>
        <v>83022</v>
      </c>
      <c r="D3233" t="s">
        <v>394</v>
      </c>
      <c r="E3233" s="3">
        <v>99.8</v>
      </c>
      <c r="F3233">
        <v>20151028</v>
      </c>
      <c r="G3233" t="s">
        <v>2785</v>
      </c>
      <c r="H3233" t="s">
        <v>2786</v>
      </c>
      <c r="I3233">
        <v>0</v>
      </c>
      <c r="J3233" t="s">
        <v>1709</v>
      </c>
      <c r="K3233" t="s">
        <v>95</v>
      </c>
      <c r="L3233" t="s">
        <v>285</v>
      </c>
      <c r="M3233" t="str">
        <f t="shared" si="207"/>
        <v>10</v>
      </c>
      <c r="N3233" t="s">
        <v>12</v>
      </c>
    </row>
    <row r="3234" spans="1:14" x14ac:dyDescent="0.25">
      <c r="A3234">
        <v>20151029</v>
      </c>
      <c r="B3234" t="str">
        <f t="shared" si="208"/>
        <v>060993</v>
      </c>
      <c r="C3234" t="str">
        <f t="shared" si="209"/>
        <v>83022</v>
      </c>
      <c r="D3234" t="s">
        <v>394</v>
      </c>
      <c r="E3234" s="3">
        <v>49.6</v>
      </c>
      <c r="F3234">
        <v>20151028</v>
      </c>
      <c r="G3234" t="s">
        <v>2317</v>
      </c>
      <c r="H3234" t="s">
        <v>2073</v>
      </c>
      <c r="I3234">
        <v>0</v>
      </c>
      <c r="J3234" t="s">
        <v>1709</v>
      </c>
      <c r="K3234" t="s">
        <v>290</v>
      </c>
      <c r="L3234" t="s">
        <v>285</v>
      </c>
      <c r="M3234" t="str">
        <f t="shared" si="207"/>
        <v>10</v>
      </c>
      <c r="N3234" t="s">
        <v>12</v>
      </c>
    </row>
    <row r="3235" spans="1:14" x14ac:dyDescent="0.25">
      <c r="A3235">
        <v>20151029</v>
      </c>
      <c r="B3235" t="str">
        <f t="shared" si="208"/>
        <v>060993</v>
      </c>
      <c r="C3235" t="str">
        <f t="shared" si="209"/>
        <v>83022</v>
      </c>
      <c r="D3235" t="s">
        <v>394</v>
      </c>
      <c r="E3235" s="3">
        <v>40.76</v>
      </c>
      <c r="F3235">
        <v>20151028</v>
      </c>
      <c r="G3235" t="s">
        <v>2317</v>
      </c>
      <c r="H3235" t="s">
        <v>2787</v>
      </c>
      <c r="I3235">
        <v>0</v>
      </c>
      <c r="J3235" t="s">
        <v>1709</v>
      </c>
      <c r="K3235" t="s">
        <v>290</v>
      </c>
      <c r="L3235" t="s">
        <v>285</v>
      </c>
      <c r="M3235" t="str">
        <f t="shared" si="207"/>
        <v>10</v>
      </c>
      <c r="N3235" t="s">
        <v>12</v>
      </c>
    </row>
    <row r="3236" spans="1:14" x14ac:dyDescent="0.25">
      <c r="A3236">
        <v>20151029</v>
      </c>
      <c r="B3236" t="str">
        <f t="shared" si="208"/>
        <v>060993</v>
      </c>
      <c r="C3236" t="str">
        <f t="shared" si="209"/>
        <v>83022</v>
      </c>
      <c r="D3236" t="s">
        <v>394</v>
      </c>
      <c r="E3236" s="3">
        <v>91.01</v>
      </c>
      <c r="F3236">
        <v>20151028</v>
      </c>
      <c r="G3236" t="s">
        <v>2529</v>
      </c>
      <c r="H3236" t="s">
        <v>2788</v>
      </c>
      <c r="I3236">
        <v>0</v>
      </c>
      <c r="J3236" t="s">
        <v>1709</v>
      </c>
      <c r="K3236" t="s">
        <v>95</v>
      </c>
      <c r="L3236" t="s">
        <v>285</v>
      </c>
      <c r="M3236" t="str">
        <f t="shared" si="207"/>
        <v>10</v>
      </c>
      <c r="N3236" t="s">
        <v>12</v>
      </c>
    </row>
    <row r="3237" spans="1:14" x14ac:dyDescent="0.25">
      <c r="A3237">
        <v>20151029</v>
      </c>
      <c r="B3237" t="str">
        <f t="shared" si="208"/>
        <v>060993</v>
      </c>
      <c r="C3237" t="str">
        <f t="shared" si="209"/>
        <v>83022</v>
      </c>
      <c r="D3237" t="s">
        <v>394</v>
      </c>
      <c r="E3237" s="3">
        <v>31.83</v>
      </c>
      <c r="F3237">
        <v>20151028</v>
      </c>
      <c r="G3237" t="s">
        <v>2789</v>
      </c>
      <c r="H3237" t="s">
        <v>2790</v>
      </c>
      <c r="I3237">
        <v>0</v>
      </c>
      <c r="J3237" t="s">
        <v>1709</v>
      </c>
      <c r="K3237" t="s">
        <v>290</v>
      </c>
      <c r="L3237" t="s">
        <v>285</v>
      </c>
      <c r="M3237" t="str">
        <f t="shared" si="207"/>
        <v>10</v>
      </c>
      <c r="N3237" t="s">
        <v>12</v>
      </c>
    </row>
    <row r="3238" spans="1:14" x14ac:dyDescent="0.25">
      <c r="A3238">
        <v>20151029</v>
      </c>
      <c r="B3238" t="str">
        <f t="shared" si="208"/>
        <v>060993</v>
      </c>
      <c r="C3238" t="str">
        <f t="shared" si="209"/>
        <v>83022</v>
      </c>
      <c r="D3238" t="s">
        <v>394</v>
      </c>
      <c r="E3238" s="3">
        <v>58.23</v>
      </c>
      <c r="F3238">
        <v>20151028</v>
      </c>
      <c r="G3238" t="s">
        <v>2224</v>
      </c>
      <c r="H3238" t="s">
        <v>2225</v>
      </c>
      <c r="I3238">
        <v>0</v>
      </c>
      <c r="J3238" t="s">
        <v>1709</v>
      </c>
      <c r="K3238" t="s">
        <v>290</v>
      </c>
      <c r="L3238" t="s">
        <v>285</v>
      </c>
      <c r="M3238" t="str">
        <f t="shared" si="207"/>
        <v>10</v>
      </c>
      <c r="N3238" t="s">
        <v>12</v>
      </c>
    </row>
    <row r="3239" spans="1:14" x14ac:dyDescent="0.25">
      <c r="A3239">
        <v>20151029</v>
      </c>
      <c r="B3239" t="str">
        <f t="shared" si="208"/>
        <v>060993</v>
      </c>
      <c r="C3239" t="str">
        <f t="shared" si="209"/>
        <v>83022</v>
      </c>
      <c r="D3239" t="s">
        <v>394</v>
      </c>
      <c r="E3239" s="3">
        <v>133.76</v>
      </c>
      <c r="F3239">
        <v>20151028</v>
      </c>
      <c r="G3239" t="s">
        <v>2791</v>
      </c>
      <c r="H3239" t="s">
        <v>2310</v>
      </c>
      <c r="I3239">
        <v>0</v>
      </c>
      <c r="J3239" t="s">
        <v>1709</v>
      </c>
      <c r="K3239" t="s">
        <v>290</v>
      </c>
      <c r="L3239" t="s">
        <v>285</v>
      </c>
      <c r="M3239" t="str">
        <f t="shared" si="207"/>
        <v>10</v>
      </c>
      <c r="N3239" t="s">
        <v>12</v>
      </c>
    </row>
    <row r="3240" spans="1:14" x14ac:dyDescent="0.25">
      <c r="A3240">
        <v>20151029</v>
      </c>
      <c r="B3240" t="str">
        <f t="shared" si="208"/>
        <v>060993</v>
      </c>
      <c r="C3240" t="str">
        <f t="shared" si="209"/>
        <v>83022</v>
      </c>
      <c r="D3240" t="s">
        <v>394</v>
      </c>
      <c r="E3240" s="3">
        <v>62.08</v>
      </c>
      <c r="F3240">
        <v>20151028</v>
      </c>
      <c r="G3240" t="s">
        <v>2792</v>
      </c>
      <c r="H3240" t="s">
        <v>2793</v>
      </c>
      <c r="I3240">
        <v>0</v>
      </c>
      <c r="J3240" t="s">
        <v>1709</v>
      </c>
      <c r="K3240" t="s">
        <v>33</v>
      </c>
      <c r="L3240" t="s">
        <v>285</v>
      </c>
      <c r="M3240" t="str">
        <f t="shared" si="207"/>
        <v>10</v>
      </c>
      <c r="N3240" t="s">
        <v>12</v>
      </c>
    </row>
    <row r="3241" spans="1:14" x14ac:dyDescent="0.25">
      <c r="A3241">
        <v>20151029</v>
      </c>
      <c r="B3241" t="str">
        <f t="shared" si="208"/>
        <v>060993</v>
      </c>
      <c r="C3241" t="str">
        <f t="shared" si="209"/>
        <v>83022</v>
      </c>
      <c r="D3241" t="s">
        <v>394</v>
      </c>
      <c r="E3241" s="3">
        <v>36.01</v>
      </c>
      <c r="F3241">
        <v>20151028</v>
      </c>
      <c r="G3241" t="s">
        <v>2794</v>
      </c>
      <c r="H3241" t="s">
        <v>2644</v>
      </c>
      <c r="I3241">
        <v>0</v>
      </c>
      <c r="J3241" t="s">
        <v>1709</v>
      </c>
      <c r="K3241" t="s">
        <v>33</v>
      </c>
      <c r="L3241" t="s">
        <v>285</v>
      </c>
      <c r="M3241" t="str">
        <f t="shared" si="207"/>
        <v>10</v>
      </c>
      <c r="N3241" t="s">
        <v>12</v>
      </c>
    </row>
    <row r="3242" spans="1:14" x14ac:dyDescent="0.25">
      <c r="A3242">
        <v>20151029</v>
      </c>
      <c r="B3242" t="str">
        <f t="shared" si="208"/>
        <v>060993</v>
      </c>
      <c r="C3242" t="str">
        <f t="shared" si="209"/>
        <v>83022</v>
      </c>
      <c r="D3242" t="s">
        <v>394</v>
      </c>
      <c r="E3242" s="3">
        <v>50.92</v>
      </c>
      <c r="F3242">
        <v>20151028</v>
      </c>
      <c r="G3242" t="s">
        <v>2795</v>
      </c>
      <c r="H3242" t="s">
        <v>2796</v>
      </c>
      <c r="I3242">
        <v>0</v>
      </c>
      <c r="J3242" t="s">
        <v>1709</v>
      </c>
      <c r="K3242" t="s">
        <v>95</v>
      </c>
      <c r="L3242" t="s">
        <v>285</v>
      </c>
      <c r="M3242" t="str">
        <f t="shared" si="207"/>
        <v>10</v>
      </c>
      <c r="N3242" t="s">
        <v>12</v>
      </c>
    </row>
    <row r="3243" spans="1:14" x14ac:dyDescent="0.25">
      <c r="A3243">
        <v>20151029</v>
      </c>
      <c r="B3243" t="str">
        <f t="shared" si="208"/>
        <v>060993</v>
      </c>
      <c r="C3243" t="str">
        <f t="shared" si="209"/>
        <v>83022</v>
      </c>
      <c r="D3243" t="s">
        <v>394</v>
      </c>
      <c r="E3243" s="3">
        <v>19.440000000000001</v>
      </c>
      <c r="F3243">
        <v>20151028</v>
      </c>
      <c r="G3243" t="s">
        <v>2565</v>
      </c>
      <c r="H3243" t="s">
        <v>2797</v>
      </c>
      <c r="I3243">
        <v>0</v>
      </c>
      <c r="J3243" t="s">
        <v>1709</v>
      </c>
      <c r="K3243" t="s">
        <v>1558</v>
      </c>
      <c r="L3243" t="s">
        <v>285</v>
      </c>
      <c r="M3243" t="str">
        <f t="shared" si="207"/>
        <v>10</v>
      </c>
      <c r="N3243" t="s">
        <v>12</v>
      </c>
    </row>
    <row r="3244" spans="1:14" x14ac:dyDescent="0.25">
      <c r="A3244">
        <v>20151029</v>
      </c>
      <c r="B3244" t="str">
        <f t="shared" si="208"/>
        <v>060993</v>
      </c>
      <c r="C3244" t="str">
        <f t="shared" si="209"/>
        <v>83022</v>
      </c>
      <c r="D3244" t="s">
        <v>394</v>
      </c>
      <c r="E3244" s="3">
        <v>320.13</v>
      </c>
      <c r="F3244">
        <v>20151028</v>
      </c>
      <c r="G3244" t="s">
        <v>2162</v>
      </c>
      <c r="H3244" t="s">
        <v>595</v>
      </c>
      <c r="I3244">
        <v>0</v>
      </c>
      <c r="J3244" t="s">
        <v>1709</v>
      </c>
      <c r="K3244" t="s">
        <v>1643</v>
      </c>
      <c r="L3244" t="s">
        <v>285</v>
      </c>
      <c r="M3244" t="str">
        <f t="shared" si="207"/>
        <v>10</v>
      </c>
      <c r="N3244" t="s">
        <v>12</v>
      </c>
    </row>
    <row r="3245" spans="1:14" x14ac:dyDescent="0.25">
      <c r="A3245">
        <v>20151029</v>
      </c>
      <c r="B3245" t="str">
        <f t="shared" si="208"/>
        <v>060993</v>
      </c>
      <c r="C3245" t="str">
        <f t="shared" si="209"/>
        <v>83022</v>
      </c>
      <c r="D3245" t="s">
        <v>394</v>
      </c>
      <c r="E3245" s="3">
        <v>51.3</v>
      </c>
      <c r="F3245">
        <v>20151028</v>
      </c>
      <c r="G3245" t="s">
        <v>2172</v>
      </c>
      <c r="H3245" t="s">
        <v>2173</v>
      </c>
      <c r="I3245">
        <v>0</v>
      </c>
      <c r="J3245" t="s">
        <v>1709</v>
      </c>
      <c r="K3245" t="s">
        <v>95</v>
      </c>
      <c r="L3245" t="s">
        <v>285</v>
      </c>
      <c r="M3245" t="str">
        <f t="shared" si="207"/>
        <v>10</v>
      </c>
      <c r="N3245" t="s">
        <v>12</v>
      </c>
    </row>
    <row r="3246" spans="1:14" x14ac:dyDescent="0.25">
      <c r="A3246">
        <v>20151029</v>
      </c>
      <c r="B3246" t="str">
        <f t="shared" si="208"/>
        <v>060993</v>
      </c>
      <c r="C3246" t="str">
        <f t="shared" si="209"/>
        <v>83022</v>
      </c>
      <c r="D3246" t="s">
        <v>394</v>
      </c>
      <c r="E3246" s="3">
        <v>26.92</v>
      </c>
      <c r="F3246">
        <v>20151028</v>
      </c>
      <c r="G3246" t="s">
        <v>2172</v>
      </c>
      <c r="H3246" t="s">
        <v>2173</v>
      </c>
      <c r="I3246">
        <v>0</v>
      </c>
      <c r="J3246" t="s">
        <v>1709</v>
      </c>
      <c r="K3246" t="s">
        <v>95</v>
      </c>
      <c r="L3246" t="s">
        <v>285</v>
      </c>
      <c r="M3246" t="str">
        <f t="shared" si="207"/>
        <v>10</v>
      </c>
      <c r="N3246" t="s">
        <v>12</v>
      </c>
    </row>
    <row r="3247" spans="1:14" x14ac:dyDescent="0.25">
      <c r="A3247">
        <v>20151029</v>
      </c>
      <c r="B3247" t="str">
        <f t="shared" si="208"/>
        <v>060993</v>
      </c>
      <c r="C3247" t="str">
        <f t="shared" si="209"/>
        <v>83022</v>
      </c>
      <c r="D3247" t="s">
        <v>394</v>
      </c>
      <c r="E3247" s="3">
        <v>28.8</v>
      </c>
      <c r="F3247">
        <v>20151028</v>
      </c>
      <c r="G3247" t="s">
        <v>2767</v>
      </c>
      <c r="H3247" t="s">
        <v>2023</v>
      </c>
      <c r="I3247">
        <v>0</v>
      </c>
      <c r="J3247" t="s">
        <v>1709</v>
      </c>
      <c r="K3247" t="s">
        <v>95</v>
      </c>
      <c r="L3247" t="s">
        <v>285</v>
      </c>
      <c r="M3247" t="str">
        <f t="shared" si="207"/>
        <v>10</v>
      </c>
      <c r="N3247" t="s">
        <v>12</v>
      </c>
    </row>
    <row r="3248" spans="1:14" x14ac:dyDescent="0.25">
      <c r="A3248">
        <v>20151029</v>
      </c>
      <c r="B3248" t="str">
        <f t="shared" si="208"/>
        <v>060993</v>
      </c>
      <c r="C3248" t="str">
        <f t="shared" si="209"/>
        <v>83022</v>
      </c>
      <c r="D3248" t="s">
        <v>394</v>
      </c>
      <c r="E3248" s="3">
        <v>26.64</v>
      </c>
      <c r="F3248">
        <v>20151028</v>
      </c>
      <c r="G3248" t="s">
        <v>2798</v>
      </c>
      <c r="H3248" t="s">
        <v>2023</v>
      </c>
      <c r="I3248">
        <v>0</v>
      </c>
      <c r="J3248" t="s">
        <v>1709</v>
      </c>
      <c r="K3248" t="s">
        <v>33</v>
      </c>
      <c r="L3248" t="s">
        <v>285</v>
      </c>
      <c r="M3248" t="str">
        <f t="shared" si="207"/>
        <v>10</v>
      </c>
      <c r="N3248" t="s">
        <v>12</v>
      </c>
    </row>
    <row r="3249" spans="1:14" x14ac:dyDescent="0.25">
      <c r="A3249">
        <v>20151029</v>
      </c>
      <c r="B3249" t="str">
        <f t="shared" si="208"/>
        <v>060993</v>
      </c>
      <c r="C3249" t="str">
        <f t="shared" si="209"/>
        <v>83022</v>
      </c>
      <c r="D3249" t="s">
        <v>394</v>
      </c>
      <c r="E3249" s="3">
        <v>124.27</v>
      </c>
      <c r="F3249">
        <v>20151028</v>
      </c>
      <c r="G3249" t="s">
        <v>1888</v>
      </c>
      <c r="H3249" t="s">
        <v>2504</v>
      </c>
      <c r="I3249">
        <v>0</v>
      </c>
      <c r="J3249" t="s">
        <v>1709</v>
      </c>
      <c r="K3249" t="s">
        <v>290</v>
      </c>
      <c r="L3249" t="s">
        <v>285</v>
      </c>
      <c r="M3249" t="str">
        <f t="shared" si="207"/>
        <v>10</v>
      </c>
      <c r="N3249" t="s">
        <v>12</v>
      </c>
    </row>
    <row r="3250" spans="1:14" x14ac:dyDescent="0.25">
      <c r="A3250">
        <v>20151029</v>
      </c>
      <c r="B3250" t="str">
        <f t="shared" si="208"/>
        <v>060993</v>
      </c>
      <c r="C3250" t="str">
        <f t="shared" si="209"/>
        <v>83022</v>
      </c>
      <c r="D3250" t="s">
        <v>394</v>
      </c>
      <c r="E3250" s="3">
        <v>164.06</v>
      </c>
      <c r="F3250">
        <v>20151028</v>
      </c>
      <c r="G3250" t="s">
        <v>2799</v>
      </c>
      <c r="H3250" t="s">
        <v>2800</v>
      </c>
      <c r="I3250">
        <v>0</v>
      </c>
      <c r="J3250" t="s">
        <v>1709</v>
      </c>
      <c r="K3250" t="s">
        <v>1861</v>
      </c>
      <c r="L3250" t="s">
        <v>285</v>
      </c>
      <c r="M3250" t="str">
        <f t="shared" si="207"/>
        <v>10</v>
      </c>
      <c r="N3250" t="s">
        <v>12</v>
      </c>
    </row>
    <row r="3251" spans="1:14" x14ac:dyDescent="0.25">
      <c r="A3251">
        <v>20151029</v>
      </c>
      <c r="B3251" t="str">
        <f>"060994"</f>
        <v>060994</v>
      </c>
      <c r="C3251" t="str">
        <f>"83305"</f>
        <v>83305</v>
      </c>
      <c r="D3251" t="s">
        <v>2801</v>
      </c>
      <c r="E3251" s="3">
        <v>405</v>
      </c>
      <c r="F3251">
        <v>20151028</v>
      </c>
      <c r="G3251" t="s">
        <v>2802</v>
      </c>
      <c r="H3251" t="s">
        <v>2803</v>
      </c>
      <c r="I3251">
        <v>0</v>
      </c>
      <c r="J3251" t="s">
        <v>1709</v>
      </c>
      <c r="K3251" t="s">
        <v>290</v>
      </c>
      <c r="L3251" t="s">
        <v>285</v>
      </c>
      <c r="M3251" t="str">
        <f t="shared" si="207"/>
        <v>10</v>
      </c>
      <c r="N3251" t="s">
        <v>12</v>
      </c>
    </row>
    <row r="3252" spans="1:14" x14ac:dyDescent="0.25">
      <c r="A3252">
        <v>20151029</v>
      </c>
      <c r="B3252" t="str">
        <f>"060994"</f>
        <v>060994</v>
      </c>
      <c r="C3252" t="str">
        <f>"83305"</f>
        <v>83305</v>
      </c>
      <c r="D3252" t="s">
        <v>2801</v>
      </c>
      <c r="E3252" s="3">
        <v>405</v>
      </c>
      <c r="F3252">
        <v>20151028</v>
      </c>
      <c r="G3252" t="s">
        <v>2804</v>
      </c>
      <c r="H3252" t="s">
        <v>2803</v>
      </c>
      <c r="I3252">
        <v>0</v>
      </c>
      <c r="J3252" t="s">
        <v>1709</v>
      </c>
      <c r="K3252" t="s">
        <v>95</v>
      </c>
      <c r="L3252" t="s">
        <v>285</v>
      </c>
      <c r="M3252" t="str">
        <f t="shared" si="207"/>
        <v>10</v>
      </c>
      <c r="N3252" t="s">
        <v>12</v>
      </c>
    </row>
    <row r="3253" spans="1:14" x14ac:dyDescent="0.25">
      <c r="A3253">
        <v>20151029</v>
      </c>
      <c r="B3253" t="str">
        <f>"060994"</f>
        <v>060994</v>
      </c>
      <c r="C3253" t="str">
        <f>"83305"</f>
        <v>83305</v>
      </c>
      <c r="D3253" t="s">
        <v>2801</v>
      </c>
      <c r="E3253" s="3">
        <v>405</v>
      </c>
      <c r="F3253">
        <v>20151028</v>
      </c>
      <c r="G3253" t="s">
        <v>2805</v>
      </c>
      <c r="H3253" t="s">
        <v>2803</v>
      </c>
      <c r="I3253">
        <v>0</v>
      </c>
      <c r="J3253" t="s">
        <v>1709</v>
      </c>
      <c r="K3253" t="s">
        <v>1643</v>
      </c>
      <c r="L3253" t="s">
        <v>285</v>
      </c>
      <c r="M3253" t="str">
        <f t="shared" si="207"/>
        <v>10</v>
      </c>
      <c r="N3253" t="s">
        <v>12</v>
      </c>
    </row>
    <row r="3254" spans="1:14" x14ac:dyDescent="0.25">
      <c r="A3254">
        <v>20151029</v>
      </c>
      <c r="B3254" t="str">
        <f>"060994"</f>
        <v>060994</v>
      </c>
      <c r="C3254" t="str">
        <f>"83305"</f>
        <v>83305</v>
      </c>
      <c r="D3254" t="s">
        <v>2801</v>
      </c>
      <c r="E3254" s="3">
        <v>405</v>
      </c>
      <c r="F3254">
        <v>20151028</v>
      </c>
      <c r="G3254" t="s">
        <v>2806</v>
      </c>
      <c r="H3254" t="s">
        <v>2803</v>
      </c>
      <c r="I3254">
        <v>0</v>
      </c>
      <c r="J3254" t="s">
        <v>1709</v>
      </c>
      <c r="K3254" t="s">
        <v>33</v>
      </c>
      <c r="L3254" t="s">
        <v>285</v>
      </c>
      <c r="M3254" t="str">
        <f t="shared" si="207"/>
        <v>10</v>
      </c>
      <c r="N3254" t="s">
        <v>12</v>
      </c>
    </row>
    <row r="3255" spans="1:14" x14ac:dyDescent="0.25">
      <c r="A3255">
        <v>20151106</v>
      </c>
      <c r="B3255" t="str">
        <f>"060996"</f>
        <v>060996</v>
      </c>
      <c r="C3255" t="str">
        <f>"03710"</f>
        <v>03710</v>
      </c>
      <c r="D3255" t="s">
        <v>1553</v>
      </c>
      <c r="E3255" s="3">
        <v>10.06</v>
      </c>
      <c r="F3255">
        <v>20151103</v>
      </c>
      <c r="G3255" t="s">
        <v>2303</v>
      </c>
      <c r="H3255" t="s">
        <v>595</v>
      </c>
      <c r="I3255">
        <v>0</v>
      </c>
      <c r="J3255" t="s">
        <v>1709</v>
      </c>
      <c r="K3255" t="s">
        <v>235</v>
      </c>
      <c r="L3255" t="s">
        <v>285</v>
      </c>
      <c r="M3255" t="str">
        <f t="shared" ref="M3255:M3318" si="210">"11"</f>
        <v>11</v>
      </c>
      <c r="N3255" t="s">
        <v>12</v>
      </c>
    </row>
    <row r="3256" spans="1:14" x14ac:dyDescent="0.25">
      <c r="A3256">
        <v>20151106</v>
      </c>
      <c r="B3256" t="str">
        <f>"060996"</f>
        <v>060996</v>
      </c>
      <c r="C3256" t="str">
        <f>"03710"</f>
        <v>03710</v>
      </c>
      <c r="D3256" t="s">
        <v>1553</v>
      </c>
      <c r="E3256" s="3">
        <v>62.82</v>
      </c>
      <c r="F3256">
        <v>20151103</v>
      </c>
      <c r="G3256" t="s">
        <v>2648</v>
      </c>
      <c r="H3256" t="s">
        <v>2807</v>
      </c>
      <c r="I3256">
        <v>0</v>
      </c>
      <c r="J3256" t="s">
        <v>1709</v>
      </c>
      <c r="K3256" t="s">
        <v>2377</v>
      </c>
      <c r="L3256" t="s">
        <v>285</v>
      </c>
      <c r="M3256" t="str">
        <f t="shared" si="210"/>
        <v>11</v>
      </c>
      <c r="N3256" t="s">
        <v>12</v>
      </c>
    </row>
    <row r="3257" spans="1:14" x14ac:dyDescent="0.25">
      <c r="A3257">
        <v>20151106</v>
      </c>
      <c r="B3257" t="str">
        <f>"060996"</f>
        <v>060996</v>
      </c>
      <c r="C3257" t="str">
        <f>"03710"</f>
        <v>03710</v>
      </c>
      <c r="D3257" t="s">
        <v>1553</v>
      </c>
      <c r="E3257" s="3">
        <v>62.82</v>
      </c>
      <c r="F3257">
        <v>20151103</v>
      </c>
      <c r="G3257" t="s">
        <v>2648</v>
      </c>
      <c r="H3257" t="s">
        <v>2808</v>
      </c>
      <c r="I3257">
        <v>0</v>
      </c>
      <c r="J3257" t="s">
        <v>1709</v>
      </c>
      <c r="K3257" t="s">
        <v>2377</v>
      </c>
      <c r="L3257" t="s">
        <v>285</v>
      </c>
      <c r="M3257" t="str">
        <f t="shared" si="210"/>
        <v>11</v>
      </c>
      <c r="N3257" t="s">
        <v>12</v>
      </c>
    </row>
    <row r="3258" spans="1:14" x14ac:dyDescent="0.25">
      <c r="A3258">
        <v>20151106</v>
      </c>
      <c r="B3258" t="str">
        <f>"060996"</f>
        <v>060996</v>
      </c>
      <c r="C3258" t="str">
        <f>"03710"</f>
        <v>03710</v>
      </c>
      <c r="D3258" t="s">
        <v>1553</v>
      </c>
      <c r="E3258" s="3">
        <v>58.51</v>
      </c>
      <c r="F3258">
        <v>20151103</v>
      </c>
      <c r="G3258" t="s">
        <v>2047</v>
      </c>
      <c r="H3258" t="s">
        <v>2809</v>
      </c>
      <c r="I3258">
        <v>0</v>
      </c>
      <c r="J3258" t="s">
        <v>1709</v>
      </c>
      <c r="K3258" t="s">
        <v>1882</v>
      </c>
      <c r="L3258" t="s">
        <v>285</v>
      </c>
      <c r="M3258" t="str">
        <f t="shared" si="210"/>
        <v>11</v>
      </c>
      <c r="N3258" t="s">
        <v>12</v>
      </c>
    </row>
    <row r="3259" spans="1:14" x14ac:dyDescent="0.25">
      <c r="A3259">
        <v>20151106</v>
      </c>
      <c r="B3259" t="str">
        <f>"060996"</f>
        <v>060996</v>
      </c>
      <c r="C3259" t="str">
        <f>"03710"</f>
        <v>03710</v>
      </c>
      <c r="D3259" t="s">
        <v>1553</v>
      </c>
      <c r="E3259" s="3">
        <v>15.08</v>
      </c>
      <c r="F3259">
        <v>20151103</v>
      </c>
      <c r="G3259" t="s">
        <v>2047</v>
      </c>
      <c r="H3259" t="s">
        <v>2810</v>
      </c>
      <c r="I3259">
        <v>0</v>
      </c>
      <c r="J3259" t="s">
        <v>1709</v>
      </c>
      <c r="K3259" t="s">
        <v>1882</v>
      </c>
      <c r="L3259" t="s">
        <v>285</v>
      </c>
      <c r="M3259" t="str">
        <f t="shared" si="210"/>
        <v>11</v>
      </c>
      <c r="N3259" t="s">
        <v>12</v>
      </c>
    </row>
    <row r="3260" spans="1:14" x14ac:dyDescent="0.25">
      <c r="A3260">
        <v>20151106</v>
      </c>
      <c r="B3260" t="str">
        <f>"060997"</f>
        <v>060997</v>
      </c>
      <c r="C3260" t="str">
        <f>"29779"</f>
        <v>29779</v>
      </c>
      <c r="D3260" t="s">
        <v>1806</v>
      </c>
      <c r="E3260" s="3">
        <v>1120</v>
      </c>
      <c r="F3260">
        <v>20151103</v>
      </c>
      <c r="G3260" t="s">
        <v>2192</v>
      </c>
      <c r="H3260" t="s">
        <v>2811</v>
      </c>
      <c r="I3260">
        <v>0</v>
      </c>
      <c r="J3260" t="s">
        <v>1709</v>
      </c>
      <c r="K3260" t="s">
        <v>2194</v>
      </c>
      <c r="L3260" t="s">
        <v>285</v>
      </c>
      <c r="M3260" t="str">
        <f t="shared" si="210"/>
        <v>11</v>
      </c>
      <c r="N3260" t="s">
        <v>12</v>
      </c>
    </row>
    <row r="3261" spans="1:14" x14ac:dyDescent="0.25">
      <c r="A3261">
        <v>20151106</v>
      </c>
      <c r="B3261" t="str">
        <f>"060997"</f>
        <v>060997</v>
      </c>
      <c r="C3261" t="str">
        <f>"29779"</f>
        <v>29779</v>
      </c>
      <c r="D3261" t="s">
        <v>1806</v>
      </c>
      <c r="E3261" s="3">
        <v>1120</v>
      </c>
      <c r="F3261">
        <v>20151103</v>
      </c>
      <c r="G3261" t="s">
        <v>2192</v>
      </c>
      <c r="H3261" t="s">
        <v>2812</v>
      </c>
      <c r="I3261">
        <v>0</v>
      </c>
      <c r="J3261" t="s">
        <v>1709</v>
      </c>
      <c r="K3261" t="s">
        <v>2194</v>
      </c>
      <c r="L3261" t="s">
        <v>285</v>
      </c>
      <c r="M3261" t="str">
        <f t="shared" si="210"/>
        <v>11</v>
      </c>
      <c r="N3261" t="s">
        <v>12</v>
      </c>
    </row>
    <row r="3262" spans="1:14" x14ac:dyDescent="0.25">
      <c r="A3262">
        <v>20151106</v>
      </c>
      <c r="B3262" t="str">
        <f>"060997"</f>
        <v>060997</v>
      </c>
      <c r="C3262" t="str">
        <f>"29779"</f>
        <v>29779</v>
      </c>
      <c r="D3262" t="s">
        <v>1806</v>
      </c>
      <c r="E3262" s="3">
        <v>400</v>
      </c>
      <c r="F3262">
        <v>20151103</v>
      </c>
      <c r="G3262" t="s">
        <v>2192</v>
      </c>
      <c r="H3262" t="s">
        <v>2813</v>
      </c>
      <c r="I3262">
        <v>0</v>
      </c>
      <c r="J3262" t="s">
        <v>1709</v>
      </c>
      <c r="K3262" t="s">
        <v>2194</v>
      </c>
      <c r="L3262" t="s">
        <v>285</v>
      </c>
      <c r="M3262" t="str">
        <f t="shared" si="210"/>
        <v>11</v>
      </c>
      <c r="N3262" t="s">
        <v>12</v>
      </c>
    </row>
    <row r="3263" spans="1:14" x14ac:dyDescent="0.25">
      <c r="A3263">
        <v>20151106</v>
      </c>
      <c r="B3263" t="str">
        <f>"060997"</f>
        <v>060997</v>
      </c>
      <c r="C3263" t="str">
        <f>"29779"</f>
        <v>29779</v>
      </c>
      <c r="D3263" t="s">
        <v>1806</v>
      </c>
      <c r="E3263" s="3">
        <v>2240</v>
      </c>
      <c r="F3263">
        <v>20151103</v>
      </c>
      <c r="G3263" t="s">
        <v>2192</v>
      </c>
      <c r="H3263" t="s">
        <v>2814</v>
      </c>
      <c r="I3263">
        <v>0</v>
      </c>
      <c r="J3263" t="s">
        <v>1709</v>
      </c>
      <c r="K3263" t="s">
        <v>2194</v>
      </c>
      <c r="L3263" t="s">
        <v>285</v>
      </c>
      <c r="M3263" t="str">
        <f t="shared" si="210"/>
        <v>11</v>
      </c>
      <c r="N3263" t="s">
        <v>12</v>
      </c>
    </row>
    <row r="3264" spans="1:14" x14ac:dyDescent="0.25">
      <c r="A3264">
        <v>20151106</v>
      </c>
      <c r="B3264" t="str">
        <f>"060999"</f>
        <v>060999</v>
      </c>
      <c r="C3264" t="str">
        <f>"06490"</f>
        <v>06490</v>
      </c>
      <c r="D3264" t="s">
        <v>2815</v>
      </c>
      <c r="E3264" s="3">
        <v>822.44</v>
      </c>
      <c r="F3264">
        <v>20151103</v>
      </c>
      <c r="G3264" t="s">
        <v>1845</v>
      </c>
      <c r="H3264" t="s">
        <v>2816</v>
      </c>
      <c r="I3264">
        <v>0</v>
      </c>
      <c r="J3264" t="s">
        <v>1709</v>
      </c>
      <c r="K3264" t="s">
        <v>290</v>
      </c>
      <c r="L3264" t="s">
        <v>285</v>
      </c>
      <c r="M3264" t="str">
        <f t="shared" si="210"/>
        <v>11</v>
      </c>
      <c r="N3264" t="s">
        <v>12</v>
      </c>
    </row>
    <row r="3265" spans="1:14" x14ac:dyDescent="0.25">
      <c r="A3265">
        <v>20151106</v>
      </c>
      <c r="B3265" t="str">
        <f>"060999"</f>
        <v>060999</v>
      </c>
      <c r="C3265" t="str">
        <f>"06490"</f>
        <v>06490</v>
      </c>
      <c r="D3265" t="s">
        <v>2815</v>
      </c>
      <c r="E3265" s="3">
        <v>1644.88</v>
      </c>
      <c r="F3265">
        <v>20151103</v>
      </c>
      <c r="G3265" t="s">
        <v>2718</v>
      </c>
      <c r="H3265" t="s">
        <v>2816</v>
      </c>
      <c r="I3265">
        <v>0</v>
      </c>
      <c r="J3265" t="s">
        <v>1709</v>
      </c>
      <c r="K3265" t="s">
        <v>290</v>
      </c>
      <c r="L3265" t="s">
        <v>285</v>
      </c>
      <c r="M3265" t="str">
        <f t="shared" si="210"/>
        <v>11</v>
      </c>
      <c r="N3265" t="s">
        <v>12</v>
      </c>
    </row>
    <row r="3266" spans="1:14" x14ac:dyDescent="0.25">
      <c r="A3266">
        <v>20151106</v>
      </c>
      <c r="B3266" t="str">
        <f>"060999"</f>
        <v>060999</v>
      </c>
      <c r="C3266" t="str">
        <f>"06490"</f>
        <v>06490</v>
      </c>
      <c r="D3266" t="s">
        <v>2815</v>
      </c>
      <c r="E3266" s="3">
        <v>822.44</v>
      </c>
      <c r="F3266">
        <v>20151103</v>
      </c>
      <c r="G3266" t="s">
        <v>2817</v>
      </c>
      <c r="H3266" t="s">
        <v>2816</v>
      </c>
      <c r="I3266">
        <v>0</v>
      </c>
      <c r="J3266" t="s">
        <v>1709</v>
      </c>
      <c r="K3266" t="s">
        <v>290</v>
      </c>
      <c r="L3266" t="s">
        <v>285</v>
      </c>
      <c r="M3266" t="str">
        <f t="shared" si="210"/>
        <v>11</v>
      </c>
      <c r="N3266" t="s">
        <v>12</v>
      </c>
    </row>
    <row r="3267" spans="1:14" x14ac:dyDescent="0.25">
      <c r="A3267">
        <v>20151106</v>
      </c>
      <c r="B3267" t="str">
        <f>"061000"</f>
        <v>061000</v>
      </c>
      <c r="C3267" t="str">
        <f>"07685"</f>
        <v>07685</v>
      </c>
      <c r="D3267" t="s">
        <v>1813</v>
      </c>
      <c r="E3267" s="3">
        <v>235</v>
      </c>
      <c r="F3267">
        <v>20151104</v>
      </c>
      <c r="G3267" t="s">
        <v>2818</v>
      </c>
      <c r="H3267" t="s">
        <v>2819</v>
      </c>
      <c r="I3267">
        <v>0</v>
      </c>
      <c r="J3267" t="s">
        <v>1709</v>
      </c>
      <c r="K3267" t="s">
        <v>2820</v>
      </c>
      <c r="L3267" t="s">
        <v>285</v>
      </c>
      <c r="M3267" t="str">
        <f t="shared" si="210"/>
        <v>11</v>
      </c>
      <c r="N3267" t="s">
        <v>12</v>
      </c>
    </row>
    <row r="3268" spans="1:14" x14ac:dyDescent="0.25">
      <c r="A3268">
        <v>20151106</v>
      </c>
      <c r="B3268" t="str">
        <f>"061000"</f>
        <v>061000</v>
      </c>
      <c r="C3268" t="str">
        <f>"07685"</f>
        <v>07685</v>
      </c>
      <c r="D3268" t="s">
        <v>1813</v>
      </c>
      <c r="E3268" s="3">
        <v>1631.6</v>
      </c>
      <c r="F3268">
        <v>20151104</v>
      </c>
      <c r="G3268" t="s">
        <v>2818</v>
      </c>
      <c r="H3268" t="s">
        <v>2821</v>
      </c>
      <c r="I3268">
        <v>0</v>
      </c>
      <c r="J3268" t="s">
        <v>1709</v>
      </c>
      <c r="K3268" t="s">
        <v>2820</v>
      </c>
      <c r="L3268" t="s">
        <v>285</v>
      </c>
      <c r="M3268" t="str">
        <f t="shared" si="210"/>
        <v>11</v>
      </c>
      <c r="N3268" t="s">
        <v>12</v>
      </c>
    </row>
    <row r="3269" spans="1:14" x14ac:dyDescent="0.25">
      <c r="A3269">
        <v>20151106</v>
      </c>
      <c r="B3269" t="str">
        <f>"061001"</f>
        <v>061001</v>
      </c>
      <c r="C3269" t="str">
        <f>"07699"</f>
        <v>07699</v>
      </c>
      <c r="D3269" t="s">
        <v>2822</v>
      </c>
      <c r="E3269" s="3">
        <v>196.41</v>
      </c>
      <c r="F3269">
        <v>20151105</v>
      </c>
      <c r="G3269" t="s">
        <v>2317</v>
      </c>
      <c r="H3269" t="s">
        <v>2509</v>
      </c>
      <c r="I3269">
        <v>0</v>
      </c>
      <c r="J3269" t="s">
        <v>1709</v>
      </c>
      <c r="K3269" t="s">
        <v>290</v>
      </c>
      <c r="L3269" t="s">
        <v>285</v>
      </c>
      <c r="M3269" t="str">
        <f t="shared" si="210"/>
        <v>11</v>
      </c>
      <c r="N3269" t="s">
        <v>12</v>
      </c>
    </row>
    <row r="3270" spans="1:14" x14ac:dyDescent="0.25">
      <c r="A3270">
        <v>20151106</v>
      </c>
      <c r="B3270" t="str">
        <f>"061003"</f>
        <v>061003</v>
      </c>
      <c r="C3270" t="str">
        <f>"09085"</f>
        <v>09085</v>
      </c>
      <c r="D3270" t="s">
        <v>2823</v>
      </c>
      <c r="E3270" s="3">
        <v>171815.43</v>
      </c>
      <c r="F3270">
        <v>20151103</v>
      </c>
      <c r="G3270" t="s">
        <v>2824</v>
      </c>
      <c r="H3270" t="s">
        <v>2825</v>
      </c>
      <c r="I3270">
        <v>0</v>
      </c>
      <c r="J3270" t="s">
        <v>1709</v>
      </c>
      <c r="K3270" t="s">
        <v>1861</v>
      </c>
      <c r="L3270" t="s">
        <v>285</v>
      </c>
      <c r="M3270" t="str">
        <f t="shared" si="210"/>
        <v>11</v>
      </c>
      <c r="N3270" t="s">
        <v>12</v>
      </c>
    </row>
    <row r="3271" spans="1:14" x14ac:dyDescent="0.25">
      <c r="A3271">
        <v>20151106</v>
      </c>
      <c r="B3271" t="str">
        <f>"061003"</f>
        <v>061003</v>
      </c>
      <c r="C3271" t="str">
        <f>"09085"</f>
        <v>09085</v>
      </c>
      <c r="D3271" t="s">
        <v>2823</v>
      </c>
      <c r="E3271" s="3">
        <v>70436.240000000005</v>
      </c>
      <c r="F3271">
        <v>20151103</v>
      </c>
      <c r="G3271" t="s">
        <v>2826</v>
      </c>
      <c r="H3271" t="s">
        <v>2825</v>
      </c>
      <c r="I3271">
        <v>0</v>
      </c>
      <c r="J3271" t="s">
        <v>1709</v>
      </c>
      <c r="K3271" t="s">
        <v>1861</v>
      </c>
      <c r="L3271" t="s">
        <v>285</v>
      </c>
      <c r="M3271" t="str">
        <f t="shared" si="210"/>
        <v>11</v>
      </c>
      <c r="N3271" t="s">
        <v>12</v>
      </c>
    </row>
    <row r="3272" spans="1:14" x14ac:dyDescent="0.25">
      <c r="A3272">
        <v>20151106</v>
      </c>
      <c r="B3272" t="str">
        <f t="shared" ref="B3272:B3298" si="211">"061004"</f>
        <v>061004</v>
      </c>
      <c r="C3272" t="str">
        <f t="shared" ref="C3272:C3298" si="212">"09170"</f>
        <v>09170</v>
      </c>
      <c r="D3272" t="s">
        <v>596</v>
      </c>
      <c r="E3272" s="3">
        <v>-2943.44</v>
      </c>
      <c r="F3272">
        <v>20150917</v>
      </c>
      <c r="G3272" t="s">
        <v>2827</v>
      </c>
      <c r="H3272" t="s">
        <v>673</v>
      </c>
      <c r="I3272">
        <v>0</v>
      </c>
      <c r="J3272" t="s">
        <v>1709</v>
      </c>
      <c r="K3272" t="s">
        <v>235</v>
      </c>
      <c r="L3272" t="s">
        <v>1385</v>
      </c>
      <c r="M3272" t="str">
        <f t="shared" si="210"/>
        <v>11</v>
      </c>
      <c r="N3272" t="s">
        <v>12</v>
      </c>
    </row>
    <row r="3273" spans="1:14" x14ac:dyDescent="0.25">
      <c r="A3273">
        <v>20151106</v>
      </c>
      <c r="B3273" t="str">
        <f t="shared" si="211"/>
        <v>061004</v>
      </c>
      <c r="C3273" t="str">
        <f t="shared" si="212"/>
        <v>09170</v>
      </c>
      <c r="D3273" t="s">
        <v>596</v>
      </c>
      <c r="E3273" s="3">
        <v>-2873.43</v>
      </c>
      <c r="F3273">
        <v>20150917</v>
      </c>
      <c r="G3273" t="s">
        <v>2827</v>
      </c>
      <c r="H3273" t="s">
        <v>505</v>
      </c>
      <c r="I3273">
        <v>0</v>
      </c>
      <c r="J3273" t="s">
        <v>1709</v>
      </c>
      <c r="K3273" t="s">
        <v>235</v>
      </c>
      <c r="L3273" t="s">
        <v>1385</v>
      </c>
      <c r="M3273" t="str">
        <f t="shared" si="210"/>
        <v>11</v>
      </c>
      <c r="N3273" t="s">
        <v>12</v>
      </c>
    </row>
    <row r="3274" spans="1:14" x14ac:dyDescent="0.25">
      <c r="A3274">
        <v>20151106</v>
      </c>
      <c r="B3274" t="str">
        <f t="shared" si="211"/>
        <v>061004</v>
      </c>
      <c r="C3274" t="str">
        <f t="shared" si="212"/>
        <v>09170</v>
      </c>
      <c r="D3274" t="s">
        <v>596</v>
      </c>
      <c r="E3274" s="3">
        <v>400</v>
      </c>
      <c r="F3274">
        <v>20151104</v>
      </c>
      <c r="G3274" t="s">
        <v>2533</v>
      </c>
      <c r="H3274" t="s">
        <v>2509</v>
      </c>
      <c r="I3274">
        <v>0</v>
      </c>
      <c r="J3274" t="s">
        <v>1709</v>
      </c>
      <c r="K3274" t="s">
        <v>290</v>
      </c>
      <c r="L3274" t="s">
        <v>285</v>
      </c>
      <c r="M3274" t="str">
        <f t="shared" si="210"/>
        <v>11</v>
      </c>
      <c r="N3274" t="s">
        <v>12</v>
      </c>
    </row>
    <row r="3275" spans="1:14" x14ac:dyDescent="0.25">
      <c r="A3275">
        <v>20151106</v>
      </c>
      <c r="B3275" t="str">
        <f t="shared" si="211"/>
        <v>061004</v>
      </c>
      <c r="C3275" t="str">
        <f t="shared" si="212"/>
        <v>09170</v>
      </c>
      <c r="D3275" t="s">
        <v>596</v>
      </c>
      <c r="E3275" s="3">
        <v>1870</v>
      </c>
      <c r="F3275">
        <v>20151104</v>
      </c>
      <c r="G3275" t="s">
        <v>2533</v>
      </c>
      <c r="H3275" t="s">
        <v>2828</v>
      </c>
      <c r="I3275">
        <v>0</v>
      </c>
      <c r="J3275" t="s">
        <v>1709</v>
      </c>
      <c r="K3275" t="s">
        <v>290</v>
      </c>
      <c r="L3275" t="s">
        <v>285</v>
      </c>
      <c r="M3275" t="str">
        <f t="shared" si="210"/>
        <v>11</v>
      </c>
      <c r="N3275" t="s">
        <v>12</v>
      </c>
    </row>
    <row r="3276" spans="1:14" x14ac:dyDescent="0.25">
      <c r="A3276">
        <v>20151106</v>
      </c>
      <c r="B3276" t="str">
        <f t="shared" si="211"/>
        <v>061004</v>
      </c>
      <c r="C3276" t="str">
        <f t="shared" si="212"/>
        <v>09170</v>
      </c>
      <c r="D3276" t="s">
        <v>596</v>
      </c>
      <c r="E3276" s="3">
        <v>204.25</v>
      </c>
      <c r="F3276">
        <v>20151104</v>
      </c>
      <c r="G3276" t="s">
        <v>2829</v>
      </c>
      <c r="H3276" t="s">
        <v>2830</v>
      </c>
      <c r="I3276">
        <v>0</v>
      </c>
      <c r="J3276" t="s">
        <v>1709</v>
      </c>
      <c r="K3276" t="s">
        <v>290</v>
      </c>
      <c r="L3276" t="s">
        <v>285</v>
      </c>
      <c r="M3276" t="str">
        <f t="shared" si="210"/>
        <v>11</v>
      </c>
      <c r="N3276" t="s">
        <v>12</v>
      </c>
    </row>
    <row r="3277" spans="1:14" x14ac:dyDescent="0.25">
      <c r="A3277">
        <v>20151106</v>
      </c>
      <c r="B3277" t="str">
        <f t="shared" si="211"/>
        <v>061004</v>
      </c>
      <c r="C3277" t="str">
        <f t="shared" si="212"/>
        <v>09170</v>
      </c>
      <c r="D3277" t="s">
        <v>596</v>
      </c>
      <c r="E3277" s="3">
        <v>117.79</v>
      </c>
      <c r="F3277">
        <v>20151104</v>
      </c>
      <c r="G3277" t="s">
        <v>2831</v>
      </c>
      <c r="H3277" t="s">
        <v>2832</v>
      </c>
      <c r="I3277">
        <v>0</v>
      </c>
      <c r="J3277" t="s">
        <v>1709</v>
      </c>
      <c r="K3277" t="s">
        <v>95</v>
      </c>
      <c r="L3277" t="s">
        <v>285</v>
      </c>
      <c r="M3277" t="str">
        <f t="shared" si="210"/>
        <v>11</v>
      </c>
      <c r="N3277" t="s">
        <v>12</v>
      </c>
    </row>
    <row r="3278" spans="1:14" x14ac:dyDescent="0.25">
      <c r="A3278">
        <v>20151106</v>
      </c>
      <c r="B3278" t="str">
        <f t="shared" si="211"/>
        <v>061004</v>
      </c>
      <c r="C3278" t="str">
        <f t="shared" si="212"/>
        <v>09170</v>
      </c>
      <c r="D3278" t="s">
        <v>596</v>
      </c>
      <c r="E3278" s="3">
        <v>209.85</v>
      </c>
      <c r="F3278">
        <v>20151104</v>
      </c>
      <c r="G3278" t="s">
        <v>2153</v>
      </c>
      <c r="H3278" t="s">
        <v>2833</v>
      </c>
      <c r="I3278">
        <v>0</v>
      </c>
      <c r="J3278" t="s">
        <v>1709</v>
      </c>
      <c r="K3278" t="s">
        <v>290</v>
      </c>
      <c r="L3278" t="s">
        <v>285</v>
      </c>
      <c r="M3278" t="str">
        <f t="shared" si="210"/>
        <v>11</v>
      </c>
      <c r="N3278" t="s">
        <v>12</v>
      </c>
    </row>
    <row r="3279" spans="1:14" x14ac:dyDescent="0.25">
      <c r="A3279">
        <v>20151106</v>
      </c>
      <c r="B3279" t="str">
        <f t="shared" si="211"/>
        <v>061004</v>
      </c>
      <c r="C3279" t="str">
        <f t="shared" si="212"/>
        <v>09170</v>
      </c>
      <c r="D3279" t="s">
        <v>596</v>
      </c>
      <c r="E3279" s="3">
        <v>27.06</v>
      </c>
      <c r="F3279">
        <v>20151104</v>
      </c>
      <c r="G3279" t="s">
        <v>2834</v>
      </c>
      <c r="H3279" t="s">
        <v>2835</v>
      </c>
      <c r="I3279">
        <v>0</v>
      </c>
      <c r="J3279" t="s">
        <v>1709</v>
      </c>
      <c r="K3279" t="s">
        <v>290</v>
      </c>
      <c r="L3279" t="s">
        <v>285</v>
      </c>
      <c r="M3279" t="str">
        <f t="shared" si="210"/>
        <v>11</v>
      </c>
      <c r="N3279" t="s">
        <v>12</v>
      </c>
    </row>
    <row r="3280" spans="1:14" x14ac:dyDescent="0.25">
      <c r="A3280">
        <v>20151106</v>
      </c>
      <c r="B3280" t="str">
        <f t="shared" si="211"/>
        <v>061004</v>
      </c>
      <c r="C3280" t="str">
        <f t="shared" si="212"/>
        <v>09170</v>
      </c>
      <c r="D3280" t="s">
        <v>596</v>
      </c>
      <c r="E3280" s="3">
        <v>254.74</v>
      </c>
      <c r="F3280">
        <v>20151104</v>
      </c>
      <c r="G3280" t="s">
        <v>2834</v>
      </c>
      <c r="H3280" t="s">
        <v>2836</v>
      </c>
      <c r="I3280">
        <v>0</v>
      </c>
      <c r="J3280" t="s">
        <v>1709</v>
      </c>
      <c r="K3280" t="s">
        <v>290</v>
      </c>
      <c r="L3280" t="s">
        <v>285</v>
      </c>
      <c r="M3280" t="str">
        <f t="shared" si="210"/>
        <v>11</v>
      </c>
      <c r="N3280" t="s">
        <v>12</v>
      </c>
    </row>
    <row r="3281" spans="1:14" x14ac:dyDescent="0.25">
      <c r="A3281">
        <v>20151106</v>
      </c>
      <c r="B3281" t="str">
        <f t="shared" si="211"/>
        <v>061004</v>
      </c>
      <c r="C3281" t="str">
        <f t="shared" si="212"/>
        <v>09170</v>
      </c>
      <c r="D3281" t="s">
        <v>596</v>
      </c>
      <c r="E3281" s="3">
        <v>184.24</v>
      </c>
      <c r="F3281">
        <v>20151104</v>
      </c>
      <c r="G3281" t="s">
        <v>1886</v>
      </c>
      <c r="H3281" t="s">
        <v>2837</v>
      </c>
      <c r="I3281">
        <v>0</v>
      </c>
      <c r="J3281" t="s">
        <v>1709</v>
      </c>
      <c r="K3281" t="s">
        <v>290</v>
      </c>
      <c r="L3281" t="s">
        <v>285</v>
      </c>
      <c r="M3281" t="str">
        <f t="shared" si="210"/>
        <v>11</v>
      </c>
      <c r="N3281" t="s">
        <v>12</v>
      </c>
    </row>
    <row r="3282" spans="1:14" x14ac:dyDescent="0.25">
      <c r="A3282">
        <v>20151106</v>
      </c>
      <c r="B3282" t="str">
        <f t="shared" si="211"/>
        <v>061004</v>
      </c>
      <c r="C3282" t="str">
        <f t="shared" si="212"/>
        <v>09170</v>
      </c>
      <c r="D3282" t="s">
        <v>596</v>
      </c>
      <c r="E3282" s="3">
        <v>36.53</v>
      </c>
      <c r="F3282">
        <v>20151104</v>
      </c>
      <c r="G3282" t="s">
        <v>2070</v>
      </c>
      <c r="H3282" t="s">
        <v>2071</v>
      </c>
      <c r="I3282">
        <v>0</v>
      </c>
      <c r="J3282" t="s">
        <v>1709</v>
      </c>
      <c r="K3282" t="s">
        <v>290</v>
      </c>
      <c r="L3282" t="s">
        <v>285</v>
      </c>
      <c r="M3282" t="str">
        <f t="shared" si="210"/>
        <v>11</v>
      </c>
      <c r="N3282" t="s">
        <v>12</v>
      </c>
    </row>
    <row r="3283" spans="1:14" x14ac:dyDescent="0.25">
      <c r="A3283">
        <v>20151106</v>
      </c>
      <c r="B3283" t="str">
        <f t="shared" si="211"/>
        <v>061004</v>
      </c>
      <c r="C3283" t="str">
        <f t="shared" si="212"/>
        <v>09170</v>
      </c>
      <c r="D3283" t="s">
        <v>596</v>
      </c>
      <c r="E3283" s="3">
        <v>90.33</v>
      </c>
      <c r="F3283">
        <v>20151104</v>
      </c>
      <c r="G3283" t="s">
        <v>1840</v>
      </c>
      <c r="H3283" t="s">
        <v>1766</v>
      </c>
      <c r="I3283">
        <v>0</v>
      </c>
      <c r="J3283" t="s">
        <v>1709</v>
      </c>
      <c r="K3283" t="s">
        <v>1744</v>
      </c>
      <c r="L3283" t="s">
        <v>285</v>
      </c>
      <c r="M3283" t="str">
        <f t="shared" si="210"/>
        <v>11</v>
      </c>
      <c r="N3283" t="s">
        <v>12</v>
      </c>
    </row>
    <row r="3284" spans="1:14" x14ac:dyDescent="0.25">
      <c r="A3284">
        <v>20151106</v>
      </c>
      <c r="B3284" t="str">
        <f t="shared" si="211"/>
        <v>061004</v>
      </c>
      <c r="C3284" t="str">
        <f t="shared" si="212"/>
        <v>09170</v>
      </c>
      <c r="D3284" t="s">
        <v>596</v>
      </c>
      <c r="E3284" s="3">
        <v>62.13</v>
      </c>
      <c r="F3284">
        <v>20151104</v>
      </c>
      <c r="G3284" t="s">
        <v>2416</v>
      </c>
      <c r="H3284" t="s">
        <v>2838</v>
      </c>
      <c r="I3284">
        <v>0</v>
      </c>
      <c r="J3284" t="s">
        <v>1709</v>
      </c>
      <c r="K3284" t="s">
        <v>1744</v>
      </c>
      <c r="L3284" t="s">
        <v>285</v>
      </c>
      <c r="M3284" t="str">
        <f t="shared" si="210"/>
        <v>11</v>
      </c>
      <c r="N3284" t="s">
        <v>12</v>
      </c>
    </row>
    <row r="3285" spans="1:14" x14ac:dyDescent="0.25">
      <c r="A3285">
        <v>20151106</v>
      </c>
      <c r="B3285" t="str">
        <f t="shared" si="211"/>
        <v>061004</v>
      </c>
      <c r="C3285" t="str">
        <f t="shared" si="212"/>
        <v>09170</v>
      </c>
      <c r="D3285" t="s">
        <v>596</v>
      </c>
      <c r="E3285" s="3">
        <v>575.36</v>
      </c>
      <c r="F3285">
        <v>20151104</v>
      </c>
      <c r="G3285" t="s">
        <v>2074</v>
      </c>
      <c r="H3285" t="s">
        <v>2839</v>
      </c>
      <c r="I3285">
        <v>0</v>
      </c>
      <c r="J3285" t="s">
        <v>1709</v>
      </c>
      <c r="K3285" t="s">
        <v>1861</v>
      </c>
      <c r="L3285" t="s">
        <v>285</v>
      </c>
      <c r="M3285" t="str">
        <f t="shared" si="210"/>
        <v>11</v>
      </c>
      <c r="N3285" t="s">
        <v>12</v>
      </c>
    </row>
    <row r="3286" spans="1:14" x14ac:dyDescent="0.25">
      <c r="A3286">
        <v>20151106</v>
      </c>
      <c r="B3286" t="str">
        <f t="shared" si="211"/>
        <v>061004</v>
      </c>
      <c r="C3286" t="str">
        <f t="shared" si="212"/>
        <v>09170</v>
      </c>
      <c r="D3286" t="s">
        <v>596</v>
      </c>
      <c r="E3286" s="3">
        <v>768.03</v>
      </c>
      <c r="F3286">
        <v>20151104</v>
      </c>
      <c r="G3286" t="s">
        <v>2074</v>
      </c>
      <c r="H3286" t="s">
        <v>2295</v>
      </c>
      <c r="I3286">
        <v>0</v>
      </c>
      <c r="J3286" t="s">
        <v>1709</v>
      </c>
      <c r="K3286" t="s">
        <v>1861</v>
      </c>
      <c r="L3286" t="s">
        <v>285</v>
      </c>
      <c r="M3286" t="str">
        <f t="shared" si="210"/>
        <v>11</v>
      </c>
      <c r="N3286" t="s">
        <v>12</v>
      </c>
    </row>
    <row r="3287" spans="1:14" x14ac:dyDescent="0.25">
      <c r="A3287">
        <v>20151106</v>
      </c>
      <c r="B3287" t="str">
        <f t="shared" si="211"/>
        <v>061004</v>
      </c>
      <c r="C3287" t="str">
        <f t="shared" si="212"/>
        <v>09170</v>
      </c>
      <c r="D3287" t="s">
        <v>596</v>
      </c>
      <c r="E3287" s="3">
        <v>215.7</v>
      </c>
      <c r="F3287">
        <v>20151104</v>
      </c>
      <c r="G3287" t="s">
        <v>2074</v>
      </c>
      <c r="H3287" t="s">
        <v>2840</v>
      </c>
      <c r="I3287">
        <v>0</v>
      </c>
      <c r="J3287" t="s">
        <v>1709</v>
      </c>
      <c r="K3287" t="s">
        <v>1861</v>
      </c>
      <c r="L3287" t="s">
        <v>285</v>
      </c>
      <c r="M3287" t="str">
        <f t="shared" si="210"/>
        <v>11</v>
      </c>
      <c r="N3287" t="s">
        <v>12</v>
      </c>
    </row>
    <row r="3288" spans="1:14" x14ac:dyDescent="0.25">
      <c r="A3288">
        <v>20151106</v>
      </c>
      <c r="B3288" t="str">
        <f t="shared" si="211"/>
        <v>061004</v>
      </c>
      <c r="C3288" t="str">
        <f t="shared" si="212"/>
        <v>09170</v>
      </c>
      <c r="D3288" t="s">
        <v>596</v>
      </c>
      <c r="E3288" s="3">
        <v>32.979999999999997</v>
      </c>
      <c r="F3288">
        <v>20151104</v>
      </c>
      <c r="G3288" t="s">
        <v>2074</v>
      </c>
      <c r="H3288" t="s">
        <v>2841</v>
      </c>
      <c r="I3288">
        <v>0</v>
      </c>
      <c r="J3288" t="s">
        <v>1709</v>
      </c>
      <c r="K3288" t="s">
        <v>1861</v>
      </c>
      <c r="L3288" t="s">
        <v>285</v>
      </c>
      <c r="M3288" t="str">
        <f t="shared" si="210"/>
        <v>11</v>
      </c>
      <c r="N3288" t="s">
        <v>12</v>
      </c>
    </row>
    <row r="3289" spans="1:14" x14ac:dyDescent="0.25">
      <c r="A3289">
        <v>20151106</v>
      </c>
      <c r="B3289" t="str">
        <f t="shared" si="211"/>
        <v>061004</v>
      </c>
      <c r="C3289" t="str">
        <f t="shared" si="212"/>
        <v>09170</v>
      </c>
      <c r="D3289" t="s">
        <v>596</v>
      </c>
      <c r="E3289" s="3">
        <v>136.41</v>
      </c>
      <c r="F3289">
        <v>20151104</v>
      </c>
      <c r="G3289" t="s">
        <v>1859</v>
      </c>
      <c r="H3289" t="s">
        <v>2842</v>
      </c>
      <c r="I3289">
        <v>0</v>
      </c>
      <c r="J3289" t="s">
        <v>1709</v>
      </c>
      <c r="K3289" t="s">
        <v>1861</v>
      </c>
      <c r="L3289" t="s">
        <v>285</v>
      </c>
      <c r="M3289" t="str">
        <f t="shared" si="210"/>
        <v>11</v>
      </c>
      <c r="N3289" t="s">
        <v>12</v>
      </c>
    </row>
    <row r="3290" spans="1:14" x14ac:dyDescent="0.25">
      <c r="A3290">
        <v>20151106</v>
      </c>
      <c r="B3290" t="str">
        <f t="shared" si="211"/>
        <v>061004</v>
      </c>
      <c r="C3290" t="str">
        <f t="shared" si="212"/>
        <v>09170</v>
      </c>
      <c r="D3290" t="s">
        <v>596</v>
      </c>
      <c r="E3290" s="3">
        <v>539.1</v>
      </c>
      <c r="F3290">
        <v>20151104</v>
      </c>
      <c r="G3290" t="s">
        <v>1859</v>
      </c>
      <c r="H3290" t="s">
        <v>2843</v>
      </c>
      <c r="I3290">
        <v>0</v>
      </c>
      <c r="J3290" t="s">
        <v>1709</v>
      </c>
      <c r="K3290" t="s">
        <v>1861</v>
      </c>
      <c r="L3290" t="s">
        <v>285</v>
      </c>
      <c r="M3290" t="str">
        <f t="shared" si="210"/>
        <v>11</v>
      </c>
      <c r="N3290" t="s">
        <v>12</v>
      </c>
    </row>
    <row r="3291" spans="1:14" x14ac:dyDescent="0.25">
      <c r="A3291">
        <v>20151106</v>
      </c>
      <c r="B3291" t="str">
        <f t="shared" si="211"/>
        <v>061004</v>
      </c>
      <c r="C3291" t="str">
        <f t="shared" si="212"/>
        <v>09170</v>
      </c>
      <c r="D3291" t="s">
        <v>596</v>
      </c>
      <c r="E3291" s="3">
        <v>23.79</v>
      </c>
      <c r="F3291">
        <v>20151104</v>
      </c>
      <c r="G3291" t="s">
        <v>1859</v>
      </c>
      <c r="H3291" t="s">
        <v>2844</v>
      </c>
      <c r="I3291">
        <v>0</v>
      </c>
      <c r="J3291" t="s">
        <v>1709</v>
      </c>
      <c r="K3291" t="s">
        <v>1861</v>
      </c>
      <c r="L3291" t="s">
        <v>285</v>
      </c>
      <c r="M3291" t="str">
        <f t="shared" si="210"/>
        <v>11</v>
      </c>
      <c r="N3291" t="s">
        <v>12</v>
      </c>
    </row>
    <row r="3292" spans="1:14" x14ac:dyDescent="0.25">
      <c r="A3292">
        <v>20151106</v>
      </c>
      <c r="B3292" t="str">
        <f t="shared" si="211"/>
        <v>061004</v>
      </c>
      <c r="C3292" t="str">
        <f t="shared" si="212"/>
        <v>09170</v>
      </c>
      <c r="D3292" t="s">
        <v>596</v>
      </c>
      <c r="E3292" s="3">
        <v>59.35</v>
      </c>
      <c r="F3292">
        <v>20151104</v>
      </c>
      <c r="G3292" t="s">
        <v>1859</v>
      </c>
      <c r="H3292" t="s">
        <v>2295</v>
      </c>
      <c r="I3292">
        <v>0</v>
      </c>
      <c r="J3292" t="s">
        <v>1709</v>
      </c>
      <c r="K3292" t="s">
        <v>1861</v>
      </c>
      <c r="L3292" t="s">
        <v>285</v>
      </c>
      <c r="M3292" t="str">
        <f t="shared" si="210"/>
        <v>11</v>
      </c>
      <c r="N3292" t="s">
        <v>12</v>
      </c>
    </row>
    <row r="3293" spans="1:14" x14ac:dyDescent="0.25">
      <c r="A3293">
        <v>20151106</v>
      </c>
      <c r="B3293" t="str">
        <f t="shared" si="211"/>
        <v>061004</v>
      </c>
      <c r="C3293" t="str">
        <f t="shared" si="212"/>
        <v>09170</v>
      </c>
      <c r="D3293" t="s">
        <v>596</v>
      </c>
      <c r="E3293" s="3">
        <v>5.4</v>
      </c>
      <c r="F3293">
        <v>20151104</v>
      </c>
      <c r="G3293" t="s">
        <v>1859</v>
      </c>
      <c r="H3293" t="s">
        <v>2845</v>
      </c>
      <c r="I3293">
        <v>0</v>
      </c>
      <c r="J3293" t="s">
        <v>1709</v>
      </c>
      <c r="K3293" t="s">
        <v>1861</v>
      </c>
      <c r="L3293" t="s">
        <v>285</v>
      </c>
      <c r="M3293" t="str">
        <f t="shared" si="210"/>
        <v>11</v>
      </c>
      <c r="N3293" t="s">
        <v>12</v>
      </c>
    </row>
    <row r="3294" spans="1:14" x14ac:dyDescent="0.25">
      <c r="A3294">
        <v>20151106</v>
      </c>
      <c r="B3294" t="str">
        <f t="shared" si="211"/>
        <v>061004</v>
      </c>
      <c r="C3294" t="str">
        <f t="shared" si="212"/>
        <v>09170</v>
      </c>
      <c r="D3294" t="s">
        <v>596</v>
      </c>
      <c r="E3294" s="3">
        <v>198.7</v>
      </c>
      <c r="F3294">
        <v>20151104</v>
      </c>
      <c r="G3294" t="s">
        <v>1859</v>
      </c>
      <c r="H3294" t="s">
        <v>2295</v>
      </c>
      <c r="I3294">
        <v>0</v>
      </c>
      <c r="J3294" t="s">
        <v>1709</v>
      </c>
      <c r="K3294" t="s">
        <v>1861</v>
      </c>
      <c r="L3294" t="s">
        <v>285</v>
      </c>
      <c r="M3294" t="str">
        <f t="shared" si="210"/>
        <v>11</v>
      </c>
      <c r="N3294" t="s">
        <v>12</v>
      </c>
    </row>
    <row r="3295" spans="1:14" x14ac:dyDescent="0.25">
      <c r="A3295">
        <v>20151106</v>
      </c>
      <c r="B3295" t="str">
        <f t="shared" si="211"/>
        <v>061004</v>
      </c>
      <c r="C3295" t="str">
        <f t="shared" si="212"/>
        <v>09170</v>
      </c>
      <c r="D3295" t="s">
        <v>596</v>
      </c>
      <c r="E3295" s="3">
        <v>16.2</v>
      </c>
      <c r="F3295">
        <v>20151104</v>
      </c>
      <c r="G3295" t="s">
        <v>1859</v>
      </c>
      <c r="H3295" t="s">
        <v>2846</v>
      </c>
      <c r="I3295">
        <v>0</v>
      </c>
      <c r="J3295" t="s">
        <v>1709</v>
      </c>
      <c r="K3295" t="s">
        <v>1861</v>
      </c>
      <c r="L3295" t="s">
        <v>285</v>
      </c>
      <c r="M3295" t="str">
        <f t="shared" si="210"/>
        <v>11</v>
      </c>
      <c r="N3295" t="s">
        <v>12</v>
      </c>
    </row>
    <row r="3296" spans="1:14" x14ac:dyDescent="0.25">
      <c r="A3296">
        <v>20151106</v>
      </c>
      <c r="B3296" t="str">
        <f t="shared" si="211"/>
        <v>061004</v>
      </c>
      <c r="C3296" t="str">
        <f t="shared" si="212"/>
        <v>09170</v>
      </c>
      <c r="D3296" t="s">
        <v>596</v>
      </c>
      <c r="E3296" s="3">
        <v>836.79</v>
      </c>
      <c r="F3296">
        <v>20151104</v>
      </c>
      <c r="G3296" t="s">
        <v>1859</v>
      </c>
      <c r="H3296" t="s">
        <v>2847</v>
      </c>
      <c r="I3296">
        <v>0</v>
      </c>
      <c r="J3296" t="s">
        <v>1709</v>
      </c>
      <c r="K3296" t="s">
        <v>1861</v>
      </c>
      <c r="L3296" t="s">
        <v>285</v>
      </c>
      <c r="M3296" t="str">
        <f t="shared" si="210"/>
        <v>11</v>
      </c>
      <c r="N3296" t="s">
        <v>12</v>
      </c>
    </row>
    <row r="3297" spans="1:14" x14ac:dyDescent="0.25">
      <c r="A3297">
        <v>20151106</v>
      </c>
      <c r="B3297" t="str">
        <f t="shared" si="211"/>
        <v>061004</v>
      </c>
      <c r="C3297" t="str">
        <f t="shared" si="212"/>
        <v>09170</v>
      </c>
      <c r="D3297" t="s">
        <v>596</v>
      </c>
      <c r="E3297" s="3">
        <v>10.5</v>
      </c>
      <c r="F3297">
        <v>20151104</v>
      </c>
      <c r="G3297" t="s">
        <v>2080</v>
      </c>
      <c r="H3297" t="s">
        <v>2848</v>
      </c>
      <c r="I3297">
        <v>0</v>
      </c>
      <c r="J3297" t="s">
        <v>1709</v>
      </c>
      <c r="K3297" t="s">
        <v>1861</v>
      </c>
      <c r="L3297" t="s">
        <v>285</v>
      </c>
      <c r="M3297" t="str">
        <f t="shared" si="210"/>
        <v>11</v>
      </c>
      <c r="N3297" t="s">
        <v>12</v>
      </c>
    </row>
    <row r="3298" spans="1:14" x14ac:dyDescent="0.25">
      <c r="A3298">
        <v>20151106</v>
      </c>
      <c r="B3298" t="str">
        <f t="shared" si="211"/>
        <v>061004</v>
      </c>
      <c r="C3298" t="str">
        <f t="shared" si="212"/>
        <v>09170</v>
      </c>
      <c r="D3298" t="s">
        <v>596</v>
      </c>
      <c r="E3298" s="3">
        <v>26.98</v>
      </c>
      <c r="F3298">
        <v>20151104</v>
      </c>
      <c r="G3298" t="s">
        <v>2799</v>
      </c>
      <c r="H3298" t="s">
        <v>2849</v>
      </c>
      <c r="I3298">
        <v>0</v>
      </c>
      <c r="J3298" t="s">
        <v>1709</v>
      </c>
      <c r="K3298" t="s">
        <v>1861</v>
      </c>
      <c r="L3298" t="s">
        <v>285</v>
      </c>
      <c r="M3298" t="str">
        <f t="shared" si="210"/>
        <v>11</v>
      </c>
      <c r="N3298" t="s">
        <v>12</v>
      </c>
    </row>
    <row r="3299" spans="1:14" x14ac:dyDescent="0.25">
      <c r="A3299">
        <v>20151106</v>
      </c>
      <c r="B3299" t="str">
        <f>"061006"</f>
        <v>061006</v>
      </c>
      <c r="C3299" t="str">
        <f>"13281"</f>
        <v>13281</v>
      </c>
      <c r="D3299" t="s">
        <v>2092</v>
      </c>
      <c r="E3299" s="3">
        <v>325.5</v>
      </c>
      <c r="F3299">
        <v>20151103</v>
      </c>
      <c r="G3299" t="s">
        <v>2850</v>
      </c>
      <c r="H3299" t="s">
        <v>2851</v>
      </c>
      <c r="I3299">
        <v>0</v>
      </c>
      <c r="J3299" t="s">
        <v>1709</v>
      </c>
      <c r="K3299" t="s">
        <v>1775</v>
      </c>
      <c r="L3299" t="s">
        <v>285</v>
      </c>
      <c r="M3299" t="str">
        <f t="shared" si="210"/>
        <v>11</v>
      </c>
      <c r="N3299" t="s">
        <v>12</v>
      </c>
    </row>
    <row r="3300" spans="1:14" x14ac:dyDescent="0.25">
      <c r="A3300">
        <v>20151106</v>
      </c>
      <c r="B3300" t="str">
        <f>"061009"</f>
        <v>061009</v>
      </c>
      <c r="C3300" t="str">
        <f>"19425"</f>
        <v>19425</v>
      </c>
      <c r="D3300" t="s">
        <v>2631</v>
      </c>
      <c r="E3300" s="3">
        <v>255.6</v>
      </c>
      <c r="F3300">
        <v>20151105</v>
      </c>
      <c r="G3300" t="s">
        <v>1854</v>
      </c>
      <c r="H3300" t="s">
        <v>2852</v>
      </c>
      <c r="I3300">
        <v>0</v>
      </c>
      <c r="J3300" t="s">
        <v>1709</v>
      </c>
      <c r="K3300" t="s">
        <v>1856</v>
      </c>
      <c r="L3300" t="s">
        <v>285</v>
      </c>
      <c r="M3300" t="str">
        <f t="shared" si="210"/>
        <v>11</v>
      </c>
      <c r="N3300" t="s">
        <v>12</v>
      </c>
    </row>
    <row r="3301" spans="1:14" x14ac:dyDescent="0.25">
      <c r="A3301">
        <v>20151106</v>
      </c>
      <c r="B3301" t="str">
        <f>"061009"</f>
        <v>061009</v>
      </c>
      <c r="C3301" t="str">
        <f>"19425"</f>
        <v>19425</v>
      </c>
      <c r="D3301" t="s">
        <v>2631</v>
      </c>
      <c r="E3301" s="3">
        <v>230.32</v>
      </c>
      <c r="F3301">
        <v>20151105</v>
      </c>
      <c r="G3301" t="s">
        <v>2360</v>
      </c>
      <c r="H3301" t="s">
        <v>2853</v>
      </c>
      <c r="I3301">
        <v>0</v>
      </c>
      <c r="J3301" t="s">
        <v>1709</v>
      </c>
      <c r="K3301" t="s">
        <v>1856</v>
      </c>
      <c r="L3301" t="s">
        <v>285</v>
      </c>
      <c r="M3301" t="str">
        <f t="shared" si="210"/>
        <v>11</v>
      </c>
      <c r="N3301" t="s">
        <v>12</v>
      </c>
    </row>
    <row r="3302" spans="1:14" x14ac:dyDescent="0.25">
      <c r="A3302">
        <v>20151106</v>
      </c>
      <c r="B3302" t="str">
        <f>"061010"</f>
        <v>061010</v>
      </c>
      <c r="C3302" t="str">
        <f>"21049"</f>
        <v>21049</v>
      </c>
      <c r="D3302" t="s">
        <v>2094</v>
      </c>
      <c r="E3302" s="3">
        <v>180</v>
      </c>
      <c r="F3302">
        <v>20151104</v>
      </c>
      <c r="G3302" t="s">
        <v>1712</v>
      </c>
      <c r="H3302" t="s">
        <v>2854</v>
      </c>
      <c r="I3302">
        <v>0</v>
      </c>
      <c r="J3302" t="s">
        <v>1709</v>
      </c>
      <c r="K3302" t="s">
        <v>290</v>
      </c>
      <c r="L3302" t="s">
        <v>285</v>
      </c>
      <c r="M3302" t="str">
        <f t="shared" si="210"/>
        <v>11</v>
      </c>
      <c r="N3302" t="s">
        <v>12</v>
      </c>
    </row>
    <row r="3303" spans="1:14" x14ac:dyDescent="0.25">
      <c r="A3303">
        <v>20151106</v>
      </c>
      <c r="B3303" t="str">
        <f>"061011"</f>
        <v>061011</v>
      </c>
      <c r="C3303" t="str">
        <f>"21091"</f>
        <v>21091</v>
      </c>
      <c r="D3303" t="s">
        <v>2855</v>
      </c>
      <c r="E3303" s="3">
        <v>1319.55</v>
      </c>
      <c r="F3303">
        <v>20151103</v>
      </c>
      <c r="G3303" t="s">
        <v>1854</v>
      </c>
      <c r="H3303" t="s">
        <v>2856</v>
      </c>
      <c r="I3303">
        <v>0</v>
      </c>
      <c r="J3303" t="s">
        <v>1709</v>
      </c>
      <c r="K3303" t="s">
        <v>1856</v>
      </c>
      <c r="L3303" t="s">
        <v>285</v>
      </c>
      <c r="M3303" t="str">
        <f t="shared" si="210"/>
        <v>11</v>
      </c>
      <c r="N3303" t="s">
        <v>12</v>
      </c>
    </row>
    <row r="3304" spans="1:14" x14ac:dyDescent="0.25">
      <c r="A3304">
        <v>20151106</v>
      </c>
      <c r="B3304" t="str">
        <f>"061011"</f>
        <v>061011</v>
      </c>
      <c r="C3304" t="str">
        <f>"21091"</f>
        <v>21091</v>
      </c>
      <c r="D3304" t="s">
        <v>2855</v>
      </c>
      <c r="E3304" s="3">
        <v>89.37</v>
      </c>
      <c r="F3304">
        <v>20151103</v>
      </c>
      <c r="G3304" t="s">
        <v>1854</v>
      </c>
      <c r="H3304" t="s">
        <v>2857</v>
      </c>
      <c r="I3304">
        <v>0</v>
      </c>
      <c r="J3304" t="s">
        <v>1709</v>
      </c>
      <c r="K3304" t="s">
        <v>1856</v>
      </c>
      <c r="L3304" t="s">
        <v>285</v>
      </c>
      <c r="M3304" t="str">
        <f t="shared" si="210"/>
        <v>11</v>
      </c>
      <c r="N3304" t="s">
        <v>12</v>
      </c>
    </row>
    <row r="3305" spans="1:14" x14ac:dyDescent="0.25">
      <c r="A3305">
        <v>20151106</v>
      </c>
      <c r="B3305" t="str">
        <f>"061011"</f>
        <v>061011</v>
      </c>
      <c r="C3305" t="str">
        <f>"21091"</f>
        <v>21091</v>
      </c>
      <c r="D3305" t="s">
        <v>2855</v>
      </c>
      <c r="E3305" s="3">
        <v>491.11</v>
      </c>
      <c r="F3305">
        <v>20151103</v>
      </c>
      <c r="G3305" t="s">
        <v>1854</v>
      </c>
      <c r="H3305" t="s">
        <v>2858</v>
      </c>
      <c r="I3305">
        <v>0</v>
      </c>
      <c r="J3305" t="s">
        <v>1709</v>
      </c>
      <c r="K3305" t="s">
        <v>1856</v>
      </c>
      <c r="L3305" t="s">
        <v>285</v>
      </c>
      <c r="M3305" t="str">
        <f t="shared" si="210"/>
        <v>11</v>
      </c>
      <c r="N3305" t="s">
        <v>12</v>
      </c>
    </row>
    <row r="3306" spans="1:14" x14ac:dyDescent="0.25">
      <c r="A3306">
        <v>20151106</v>
      </c>
      <c r="B3306" t="str">
        <f>"061012"</f>
        <v>061012</v>
      </c>
      <c r="C3306" t="str">
        <f>"21875"</f>
        <v>21875</v>
      </c>
      <c r="D3306" t="s">
        <v>2266</v>
      </c>
      <c r="E3306" s="3">
        <v>100</v>
      </c>
      <c r="F3306">
        <v>20151105</v>
      </c>
      <c r="G3306" t="s">
        <v>1859</v>
      </c>
      <c r="H3306" t="s">
        <v>2859</v>
      </c>
      <c r="I3306">
        <v>0</v>
      </c>
      <c r="J3306" t="s">
        <v>1709</v>
      </c>
      <c r="K3306" t="s">
        <v>1861</v>
      </c>
      <c r="L3306" t="s">
        <v>285</v>
      </c>
      <c r="M3306" t="str">
        <f t="shared" si="210"/>
        <v>11</v>
      </c>
      <c r="N3306" t="s">
        <v>12</v>
      </c>
    </row>
    <row r="3307" spans="1:14" x14ac:dyDescent="0.25">
      <c r="A3307">
        <v>20151106</v>
      </c>
      <c r="B3307" t="str">
        <f>"061012"</f>
        <v>061012</v>
      </c>
      <c r="C3307" t="str">
        <f>"21875"</f>
        <v>21875</v>
      </c>
      <c r="D3307" t="s">
        <v>2266</v>
      </c>
      <c r="E3307" s="3">
        <v>2901.5</v>
      </c>
      <c r="F3307">
        <v>20151105</v>
      </c>
      <c r="G3307" t="s">
        <v>1859</v>
      </c>
      <c r="H3307" t="s">
        <v>2860</v>
      </c>
      <c r="I3307">
        <v>0</v>
      </c>
      <c r="J3307" t="s">
        <v>1709</v>
      </c>
      <c r="K3307" t="s">
        <v>1861</v>
      </c>
      <c r="L3307" t="s">
        <v>285</v>
      </c>
      <c r="M3307" t="str">
        <f t="shared" si="210"/>
        <v>11</v>
      </c>
      <c r="N3307" t="s">
        <v>12</v>
      </c>
    </row>
    <row r="3308" spans="1:14" x14ac:dyDescent="0.25">
      <c r="A3308">
        <v>20151106</v>
      </c>
      <c r="B3308" t="str">
        <f t="shared" ref="B3308:B3314" si="213">"061013"</f>
        <v>061013</v>
      </c>
      <c r="C3308" t="str">
        <f t="shared" ref="C3308:C3314" si="214">"21901"</f>
        <v>21901</v>
      </c>
      <c r="D3308" t="s">
        <v>1965</v>
      </c>
      <c r="E3308" s="3">
        <v>357.5</v>
      </c>
      <c r="F3308">
        <v>20151105</v>
      </c>
      <c r="G3308" t="s">
        <v>1854</v>
      </c>
      <c r="H3308" t="s">
        <v>2861</v>
      </c>
      <c r="I3308">
        <v>0</v>
      </c>
      <c r="J3308" t="s">
        <v>1709</v>
      </c>
      <c r="K3308" t="s">
        <v>1856</v>
      </c>
      <c r="L3308" t="s">
        <v>285</v>
      </c>
      <c r="M3308" t="str">
        <f t="shared" si="210"/>
        <v>11</v>
      </c>
      <c r="N3308" t="s">
        <v>12</v>
      </c>
    </row>
    <row r="3309" spans="1:14" x14ac:dyDescent="0.25">
      <c r="A3309">
        <v>20151106</v>
      </c>
      <c r="B3309" t="str">
        <f t="shared" si="213"/>
        <v>061013</v>
      </c>
      <c r="C3309" t="str">
        <f t="shared" si="214"/>
        <v>21901</v>
      </c>
      <c r="D3309" t="s">
        <v>1965</v>
      </c>
      <c r="E3309" s="3">
        <v>1087.67</v>
      </c>
      <c r="F3309">
        <v>20151105</v>
      </c>
      <c r="G3309" t="s">
        <v>1854</v>
      </c>
      <c r="H3309" t="s">
        <v>2862</v>
      </c>
      <c r="I3309">
        <v>0</v>
      </c>
      <c r="J3309" t="s">
        <v>1709</v>
      </c>
      <c r="K3309" t="s">
        <v>1856</v>
      </c>
      <c r="L3309" t="s">
        <v>285</v>
      </c>
      <c r="M3309" t="str">
        <f t="shared" si="210"/>
        <v>11</v>
      </c>
      <c r="N3309" t="s">
        <v>12</v>
      </c>
    </row>
    <row r="3310" spans="1:14" x14ac:dyDescent="0.25">
      <c r="A3310">
        <v>20151106</v>
      </c>
      <c r="B3310" t="str">
        <f t="shared" si="213"/>
        <v>061013</v>
      </c>
      <c r="C3310" t="str">
        <f t="shared" si="214"/>
        <v>21901</v>
      </c>
      <c r="D3310" t="s">
        <v>1965</v>
      </c>
      <c r="E3310" s="3">
        <v>122.09</v>
      </c>
      <c r="F3310">
        <v>20151105</v>
      </c>
      <c r="G3310" t="s">
        <v>1854</v>
      </c>
      <c r="H3310" t="s">
        <v>2863</v>
      </c>
      <c r="I3310">
        <v>0</v>
      </c>
      <c r="J3310" t="s">
        <v>1709</v>
      </c>
      <c r="K3310" t="s">
        <v>1856</v>
      </c>
      <c r="L3310" t="s">
        <v>285</v>
      </c>
      <c r="M3310" t="str">
        <f t="shared" si="210"/>
        <v>11</v>
      </c>
      <c r="N3310" t="s">
        <v>12</v>
      </c>
    </row>
    <row r="3311" spans="1:14" x14ac:dyDescent="0.25">
      <c r="A3311">
        <v>20151106</v>
      </c>
      <c r="B3311" t="str">
        <f t="shared" si="213"/>
        <v>061013</v>
      </c>
      <c r="C3311" t="str">
        <f t="shared" si="214"/>
        <v>21901</v>
      </c>
      <c r="D3311" t="s">
        <v>1965</v>
      </c>
      <c r="E3311" s="3">
        <v>200.93</v>
      </c>
      <c r="F3311">
        <v>20151105</v>
      </c>
      <c r="G3311" t="s">
        <v>1854</v>
      </c>
      <c r="H3311" t="s">
        <v>2864</v>
      </c>
      <c r="I3311">
        <v>0</v>
      </c>
      <c r="J3311" t="s">
        <v>1709</v>
      </c>
      <c r="K3311" t="s">
        <v>1856</v>
      </c>
      <c r="L3311" t="s">
        <v>285</v>
      </c>
      <c r="M3311" t="str">
        <f t="shared" si="210"/>
        <v>11</v>
      </c>
      <c r="N3311" t="s">
        <v>12</v>
      </c>
    </row>
    <row r="3312" spans="1:14" x14ac:dyDescent="0.25">
      <c r="A3312">
        <v>20151106</v>
      </c>
      <c r="B3312" t="str">
        <f t="shared" si="213"/>
        <v>061013</v>
      </c>
      <c r="C3312" t="str">
        <f t="shared" si="214"/>
        <v>21901</v>
      </c>
      <c r="D3312" t="s">
        <v>1965</v>
      </c>
      <c r="E3312" s="3">
        <v>78.33</v>
      </c>
      <c r="F3312">
        <v>20151105</v>
      </c>
      <c r="G3312" t="s">
        <v>1854</v>
      </c>
      <c r="H3312" t="s">
        <v>2865</v>
      </c>
      <c r="I3312">
        <v>0</v>
      </c>
      <c r="J3312" t="s">
        <v>1709</v>
      </c>
      <c r="K3312" t="s">
        <v>1856</v>
      </c>
      <c r="L3312" t="s">
        <v>285</v>
      </c>
      <c r="M3312" t="str">
        <f t="shared" si="210"/>
        <v>11</v>
      </c>
      <c r="N3312" t="s">
        <v>12</v>
      </c>
    </row>
    <row r="3313" spans="1:14" x14ac:dyDescent="0.25">
      <c r="A3313">
        <v>20151106</v>
      </c>
      <c r="B3313" t="str">
        <f t="shared" si="213"/>
        <v>061013</v>
      </c>
      <c r="C3313" t="str">
        <f t="shared" si="214"/>
        <v>21901</v>
      </c>
      <c r="D3313" t="s">
        <v>1965</v>
      </c>
      <c r="E3313" s="3">
        <v>1307.24</v>
      </c>
      <c r="F3313">
        <v>20151105</v>
      </c>
      <c r="G3313" t="s">
        <v>1854</v>
      </c>
      <c r="H3313" t="s">
        <v>2866</v>
      </c>
      <c r="I3313">
        <v>0</v>
      </c>
      <c r="J3313" t="s">
        <v>1709</v>
      </c>
      <c r="K3313" t="s">
        <v>1856</v>
      </c>
      <c r="L3313" t="s">
        <v>285</v>
      </c>
      <c r="M3313" t="str">
        <f t="shared" si="210"/>
        <v>11</v>
      </c>
      <c r="N3313" t="s">
        <v>12</v>
      </c>
    </row>
    <row r="3314" spans="1:14" x14ac:dyDescent="0.25">
      <c r="A3314">
        <v>20151106</v>
      </c>
      <c r="B3314" t="str">
        <f t="shared" si="213"/>
        <v>061013</v>
      </c>
      <c r="C3314" t="str">
        <f t="shared" si="214"/>
        <v>21901</v>
      </c>
      <c r="D3314" t="s">
        <v>1965</v>
      </c>
      <c r="E3314" s="3">
        <v>343.05</v>
      </c>
      <c r="F3314">
        <v>20151105</v>
      </c>
      <c r="G3314" t="s">
        <v>1854</v>
      </c>
      <c r="H3314" t="s">
        <v>2867</v>
      </c>
      <c r="I3314">
        <v>0</v>
      </c>
      <c r="J3314" t="s">
        <v>1709</v>
      </c>
      <c r="K3314" t="s">
        <v>1856</v>
      </c>
      <c r="L3314" t="s">
        <v>285</v>
      </c>
      <c r="M3314" t="str">
        <f t="shared" si="210"/>
        <v>11</v>
      </c>
      <c r="N3314" t="s">
        <v>12</v>
      </c>
    </row>
    <row r="3315" spans="1:14" x14ac:dyDescent="0.25">
      <c r="A3315">
        <v>20151106</v>
      </c>
      <c r="B3315" t="str">
        <f>"061018"</f>
        <v>061018</v>
      </c>
      <c r="C3315" t="str">
        <f>"24960"</f>
        <v>24960</v>
      </c>
      <c r="D3315" t="s">
        <v>39</v>
      </c>
      <c r="E3315" s="3">
        <v>558.6</v>
      </c>
      <c r="F3315">
        <v>20151105</v>
      </c>
      <c r="G3315" t="s">
        <v>1841</v>
      </c>
      <c r="H3315" t="s">
        <v>2868</v>
      </c>
      <c r="I3315">
        <v>0</v>
      </c>
      <c r="J3315" t="s">
        <v>1709</v>
      </c>
      <c r="K3315" t="s">
        <v>1775</v>
      </c>
      <c r="L3315" t="s">
        <v>285</v>
      </c>
      <c r="M3315" t="str">
        <f t="shared" si="210"/>
        <v>11</v>
      </c>
      <c r="N3315" t="s">
        <v>12</v>
      </c>
    </row>
    <row r="3316" spans="1:14" x14ac:dyDescent="0.25">
      <c r="A3316">
        <v>20151106</v>
      </c>
      <c r="B3316" t="str">
        <f>"061019"</f>
        <v>061019</v>
      </c>
      <c r="C3316" t="str">
        <f>"25165"</f>
        <v>25165</v>
      </c>
      <c r="D3316" t="s">
        <v>1563</v>
      </c>
      <c r="E3316" s="3">
        <v>233.99</v>
      </c>
      <c r="F3316">
        <v>20151103</v>
      </c>
      <c r="G3316" t="s">
        <v>2869</v>
      </c>
      <c r="H3316" t="s">
        <v>2870</v>
      </c>
      <c r="I3316">
        <v>0</v>
      </c>
      <c r="J3316" t="s">
        <v>1709</v>
      </c>
      <c r="K3316" t="s">
        <v>1882</v>
      </c>
      <c r="L3316" t="s">
        <v>285</v>
      </c>
      <c r="M3316" t="str">
        <f t="shared" si="210"/>
        <v>11</v>
      </c>
      <c r="N3316" t="s">
        <v>12</v>
      </c>
    </row>
    <row r="3317" spans="1:14" x14ac:dyDescent="0.25">
      <c r="A3317">
        <v>20151106</v>
      </c>
      <c r="B3317" t="str">
        <f>"061019"</f>
        <v>061019</v>
      </c>
      <c r="C3317" t="str">
        <f>"25165"</f>
        <v>25165</v>
      </c>
      <c r="D3317" t="s">
        <v>1563</v>
      </c>
      <c r="E3317" s="3">
        <v>827.51</v>
      </c>
      <c r="F3317">
        <v>20151103</v>
      </c>
      <c r="G3317" t="s">
        <v>2871</v>
      </c>
      <c r="H3317" t="s">
        <v>2284</v>
      </c>
      <c r="I3317">
        <v>0</v>
      </c>
      <c r="J3317" t="s">
        <v>1709</v>
      </c>
      <c r="K3317" t="s">
        <v>1861</v>
      </c>
      <c r="L3317" t="s">
        <v>285</v>
      </c>
      <c r="M3317" t="str">
        <f t="shared" si="210"/>
        <v>11</v>
      </c>
      <c r="N3317" t="s">
        <v>12</v>
      </c>
    </row>
    <row r="3318" spans="1:14" x14ac:dyDescent="0.25">
      <c r="A3318">
        <v>20151106</v>
      </c>
      <c r="B3318" t="str">
        <f>"061020"</f>
        <v>061020</v>
      </c>
      <c r="C3318" t="str">
        <f>"28244"</f>
        <v>28244</v>
      </c>
      <c r="D3318" t="s">
        <v>2872</v>
      </c>
      <c r="E3318" s="3">
        <v>254.92</v>
      </c>
      <c r="F3318">
        <v>20151103</v>
      </c>
      <c r="G3318" t="s">
        <v>2121</v>
      </c>
      <c r="H3318" t="s">
        <v>2091</v>
      </c>
      <c r="I3318">
        <v>0</v>
      </c>
      <c r="J3318" t="s">
        <v>1709</v>
      </c>
      <c r="K3318" t="s">
        <v>290</v>
      </c>
      <c r="L3318" t="s">
        <v>285</v>
      </c>
      <c r="M3318" t="str">
        <f t="shared" si="210"/>
        <v>11</v>
      </c>
      <c r="N3318" t="s">
        <v>12</v>
      </c>
    </row>
    <row r="3319" spans="1:14" x14ac:dyDescent="0.25">
      <c r="A3319">
        <v>20151106</v>
      </c>
      <c r="B3319" t="str">
        <f>"061021"</f>
        <v>061021</v>
      </c>
      <c r="C3319" t="str">
        <f>"31771"</f>
        <v>31771</v>
      </c>
      <c r="D3319" t="s">
        <v>2289</v>
      </c>
      <c r="E3319" s="3">
        <v>5000</v>
      </c>
      <c r="F3319">
        <v>20151105</v>
      </c>
      <c r="G3319" t="s">
        <v>2290</v>
      </c>
      <c r="H3319" t="s">
        <v>2291</v>
      </c>
      <c r="I3319">
        <v>0</v>
      </c>
      <c r="J3319" t="s">
        <v>1709</v>
      </c>
      <c r="K3319" t="s">
        <v>1882</v>
      </c>
      <c r="L3319" t="s">
        <v>285</v>
      </c>
      <c r="M3319" t="str">
        <f t="shared" ref="M3319:M3382" si="215">"11"</f>
        <v>11</v>
      </c>
      <c r="N3319" t="s">
        <v>12</v>
      </c>
    </row>
    <row r="3320" spans="1:14" x14ac:dyDescent="0.25">
      <c r="A3320">
        <v>20151106</v>
      </c>
      <c r="B3320" t="str">
        <f>"061022"</f>
        <v>061022</v>
      </c>
      <c r="C3320" t="str">
        <f>"29548"</f>
        <v>29548</v>
      </c>
      <c r="D3320" t="s">
        <v>1862</v>
      </c>
      <c r="E3320" s="3">
        <v>239</v>
      </c>
      <c r="F3320">
        <v>20151104</v>
      </c>
      <c r="G3320" t="s">
        <v>1859</v>
      </c>
      <c r="H3320" t="s">
        <v>2873</v>
      </c>
      <c r="I3320">
        <v>0</v>
      </c>
      <c r="J3320" t="s">
        <v>1709</v>
      </c>
      <c r="K3320" t="s">
        <v>1861</v>
      </c>
      <c r="L3320" t="s">
        <v>285</v>
      </c>
      <c r="M3320" t="str">
        <f t="shared" si="215"/>
        <v>11</v>
      </c>
      <c r="N3320" t="s">
        <v>12</v>
      </c>
    </row>
    <row r="3321" spans="1:14" x14ac:dyDescent="0.25">
      <c r="A3321">
        <v>20151106</v>
      </c>
      <c r="B3321" t="str">
        <f>"061022"</f>
        <v>061022</v>
      </c>
      <c r="C3321" t="str">
        <f>"29548"</f>
        <v>29548</v>
      </c>
      <c r="D3321" t="s">
        <v>1862</v>
      </c>
      <c r="E3321" s="3">
        <v>2065.25</v>
      </c>
      <c r="F3321">
        <v>20151104</v>
      </c>
      <c r="G3321" t="s">
        <v>1859</v>
      </c>
      <c r="H3321" t="s">
        <v>2874</v>
      </c>
      <c r="I3321">
        <v>0</v>
      </c>
      <c r="J3321" t="s">
        <v>1709</v>
      </c>
      <c r="K3321" t="s">
        <v>1861</v>
      </c>
      <c r="L3321" t="s">
        <v>285</v>
      </c>
      <c r="M3321" t="str">
        <f t="shared" si="215"/>
        <v>11</v>
      </c>
      <c r="N3321" t="s">
        <v>12</v>
      </c>
    </row>
    <row r="3322" spans="1:14" x14ac:dyDescent="0.25">
      <c r="A3322">
        <v>20151106</v>
      </c>
      <c r="B3322" t="str">
        <f>"061022"</f>
        <v>061022</v>
      </c>
      <c r="C3322" t="str">
        <f>"29548"</f>
        <v>29548</v>
      </c>
      <c r="D3322" t="s">
        <v>1862</v>
      </c>
      <c r="E3322" s="3">
        <v>469.7</v>
      </c>
      <c r="F3322">
        <v>20151104</v>
      </c>
      <c r="G3322" t="s">
        <v>1859</v>
      </c>
      <c r="H3322" t="s">
        <v>2875</v>
      </c>
      <c r="I3322">
        <v>0</v>
      </c>
      <c r="J3322" t="s">
        <v>1709</v>
      </c>
      <c r="K3322" t="s">
        <v>1861</v>
      </c>
      <c r="L3322" t="s">
        <v>285</v>
      </c>
      <c r="M3322" t="str">
        <f t="shared" si="215"/>
        <v>11</v>
      </c>
      <c r="N3322" t="s">
        <v>12</v>
      </c>
    </row>
    <row r="3323" spans="1:14" x14ac:dyDescent="0.25">
      <c r="A3323">
        <v>20151106</v>
      </c>
      <c r="B3323" t="str">
        <f>"061022"</f>
        <v>061022</v>
      </c>
      <c r="C3323" t="str">
        <f>"29548"</f>
        <v>29548</v>
      </c>
      <c r="D3323" t="s">
        <v>1862</v>
      </c>
      <c r="E3323" s="3">
        <v>929.6</v>
      </c>
      <c r="F3323">
        <v>20151104</v>
      </c>
      <c r="G3323" t="s">
        <v>1859</v>
      </c>
      <c r="H3323" t="s">
        <v>2876</v>
      </c>
      <c r="I3323">
        <v>0</v>
      </c>
      <c r="J3323" t="s">
        <v>1709</v>
      </c>
      <c r="K3323" t="s">
        <v>1861</v>
      </c>
      <c r="L3323" t="s">
        <v>285</v>
      </c>
      <c r="M3323" t="str">
        <f t="shared" si="215"/>
        <v>11</v>
      </c>
      <c r="N3323" t="s">
        <v>12</v>
      </c>
    </row>
    <row r="3324" spans="1:14" x14ac:dyDescent="0.25">
      <c r="A3324">
        <v>20151106</v>
      </c>
      <c r="B3324" t="str">
        <f>"061022"</f>
        <v>061022</v>
      </c>
      <c r="C3324" t="str">
        <f>"29548"</f>
        <v>29548</v>
      </c>
      <c r="D3324" t="s">
        <v>1862</v>
      </c>
      <c r="E3324" s="3">
        <v>515</v>
      </c>
      <c r="F3324">
        <v>20151104</v>
      </c>
      <c r="G3324" t="s">
        <v>1859</v>
      </c>
      <c r="H3324" t="s">
        <v>2877</v>
      </c>
      <c r="I3324">
        <v>0</v>
      </c>
      <c r="J3324" t="s">
        <v>1709</v>
      </c>
      <c r="K3324" t="s">
        <v>1861</v>
      </c>
      <c r="L3324" t="s">
        <v>285</v>
      </c>
      <c r="M3324" t="str">
        <f t="shared" si="215"/>
        <v>11</v>
      </c>
      <c r="N3324" t="s">
        <v>12</v>
      </c>
    </row>
    <row r="3325" spans="1:14" x14ac:dyDescent="0.25">
      <c r="A3325">
        <v>20151106</v>
      </c>
      <c r="B3325" t="str">
        <f>"061023"</f>
        <v>061023</v>
      </c>
      <c r="C3325" t="str">
        <f>"30132"</f>
        <v>30132</v>
      </c>
      <c r="D3325" t="s">
        <v>2878</v>
      </c>
      <c r="E3325" s="3">
        <v>441.18</v>
      </c>
      <c r="F3325">
        <v>20151103</v>
      </c>
      <c r="G3325" t="s">
        <v>2307</v>
      </c>
      <c r="H3325" t="s">
        <v>2879</v>
      </c>
      <c r="I3325">
        <v>0</v>
      </c>
      <c r="J3325" t="s">
        <v>1709</v>
      </c>
      <c r="K3325" t="s">
        <v>95</v>
      </c>
      <c r="L3325" t="s">
        <v>285</v>
      </c>
      <c r="M3325" t="str">
        <f t="shared" si="215"/>
        <v>11</v>
      </c>
      <c r="N3325" t="s">
        <v>12</v>
      </c>
    </row>
    <row r="3326" spans="1:14" x14ac:dyDescent="0.25">
      <c r="A3326">
        <v>20151106</v>
      </c>
      <c r="B3326" t="str">
        <f>"061024"</f>
        <v>061024</v>
      </c>
      <c r="C3326" t="str">
        <f>"30479"</f>
        <v>30479</v>
      </c>
      <c r="D3326" t="s">
        <v>2663</v>
      </c>
      <c r="E3326" s="3">
        <v>1911.25</v>
      </c>
      <c r="F3326">
        <v>20151104</v>
      </c>
      <c r="G3326" t="s">
        <v>2664</v>
      </c>
      <c r="H3326" t="s">
        <v>2880</v>
      </c>
      <c r="I3326">
        <v>0</v>
      </c>
      <c r="J3326" t="s">
        <v>1709</v>
      </c>
      <c r="K3326" t="s">
        <v>1744</v>
      </c>
      <c r="L3326" t="s">
        <v>285</v>
      </c>
      <c r="M3326" t="str">
        <f t="shared" si="215"/>
        <v>11</v>
      </c>
      <c r="N3326" t="s">
        <v>12</v>
      </c>
    </row>
    <row r="3327" spans="1:14" x14ac:dyDescent="0.25">
      <c r="A3327">
        <v>20151106</v>
      </c>
      <c r="B3327" t="str">
        <f>"061024"</f>
        <v>061024</v>
      </c>
      <c r="C3327" t="str">
        <f>"30479"</f>
        <v>30479</v>
      </c>
      <c r="D3327" t="s">
        <v>2663</v>
      </c>
      <c r="E3327" s="3">
        <v>137.5</v>
      </c>
      <c r="F3327">
        <v>20151104</v>
      </c>
      <c r="G3327" t="s">
        <v>2850</v>
      </c>
      <c r="H3327" t="s">
        <v>2880</v>
      </c>
      <c r="I3327">
        <v>0</v>
      </c>
      <c r="J3327" t="s">
        <v>1709</v>
      </c>
      <c r="K3327" t="s">
        <v>1775</v>
      </c>
      <c r="L3327" t="s">
        <v>285</v>
      </c>
      <c r="M3327" t="str">
        <f t="shared" si="215"/>
        <v>11</v>
      </c>
      <c r="N3327" t="s">
        <v>12</v>
      </c>
    </row>
    <row r="3328" spans="1:14" x14ac:dyDescent="0.25">
      <c r="A3328">
        <v>20151106</v>
      </c>
      <c r="B3328" t="str">
        <f>"061025"</f>
        <v>061025</v>
      </c>
      <c r="C3328" t="str">
        <f>"30616"</f>
        <v>30616</v>
      </c>
      <c r="D3328" t="s">
        <v>2881</v>
      </c>
      <c r="E3328" s="3">
        <v>679.37</v>
      </c>
      <c r="F3328">
        <v>20151104</v>
      </c>
      <c r="G3328" t="s">
        <v>2307</v>
      </c>
      <c r="H3328" t="s">
        <v>2882</v>
      </c>
      <c r="I3328">
        <v>0</v>
      </c>
      <c r="J3328" t="s">
        <v>1709</v>
      </c>
      <c r="K3328" t="s">
        <v>95</v>
      </c>
      <c r="L3328" t="s">
        <v>285</v>
      </c>
      <c r="M3328" t="str">
        <f t="shared" si="215"/>
        <v>11</v>
      </c>
      <c r="N3328" t="s">
        <v>12</v>
      </c>
    </row>
    <row r="3329" spans="1:14" x14ac:dyDescent="0.25">
      <c r="A3329">
        <v>20151106</v>
      </c>
      <c r="B3329" t="str">
        <f>"061026"</f>
        <v>061026</v>
      </c>
      <c r="C3329" t="str">
        <f>"35740"</f>
        <v>35740</v>
      </c>
      <c r="D3329" t="s">
        <v>2305</v>
      </c>
      <c r="E3329" s="3">
        <v>1049.3900000000001</v>
      </c>
      <c r="F3329">
        <v>20151103</v>
      </c>
      <c r="G3329" t="s">
        <v>2883</v>
      </c>
      <c r="H3329" t="s">
        <v>2884</v>
      </c>
      <c r="I3329">
        <v>0</v>
      </c>
      <c r="J3329" t="s">
        <v>1709</v>
      </c>
      <c r="K3329" t="s">
        <v>1861</v>
      </c>
      <c r="L3329" t="s">
        <v>285</v>
      </c>
      <c r="M3329" t="str">
        <f t="shared" si="215"/>
        <v>11</v>
      </c>
      <c r="N3329" t="s">
        <v>12</v>
      </c>
    </row>
    <row r="3330" spans="1:14" x14ac:dyDescent="0.25">
      <c r="A3330">
        <v>20151106</v>
      </c>
      <c r="B3330" t="str">
        <f>"061026"</f>
        <v>061026</v>
      </c>
      <c r="C3330" t="str">
        <f>"35740"</f>
        <v>35740</v>
      </c>
      <c r="D3330" t="s">
        <v>2305</v>
      </c>
      <c r="E3330" s="3">
        <v>316.7</v>
      </c>
      <c r="F3330">
        <v>20151103</v>
      </c>
      <c r="G3330" t="s">
        <v>2883</v>
      </c>
      <c r="H3330" t="s">
        <v>2885</v>
      </c>
      <c r="I3330">
        <v>0</v>
      </c>
      <c r="J3330" t="s">
        <v>1709</v>
      </c>
      <c r="K3330" t="s">
        <v>1861</v>
      </c>
      <c r="L3330" t="s">
        <v>285</v>
      </c>
      <c r="M3330" t="str">
        <f t="shared" si="215"/>
        <v>11</v>
      </c>
      <c r="N3330" t="s">
        <v>12</v>
      </c>
    </row>
    <row r="3331" spans="1:14" x14ac:dyDescent="0.25">
      <c r="A3331">
        <v>20151106</v>
      </c>
      <c r="B3331" t="str">
        <f>"061026"</f>
        <v>061026</v>
      </c>
      <c r="C3331" t="str">
        <f>"35740"</f>
        <v>35740</v>
      </c>
      <c r="D3331" t="s">
        <v>2305</v>
      </c>
      <c r="E3331" s="3">
        <v>455.1</v>
      </c>
      <c r="F3331">
        <v>20151103</v>
      </c>
      <c r="G3331" t="s">
        <v>2074</v>
      </c>
      <c r="H3331" t="s">
        <v>2886</v>
      </c>
      <c r="I3331">
        <v>0</v>
      </c>
      <c r="J3331" t="s">
        <v>1709</v>
      </c>
      <c r="K3331" t="s">
        <v>1861</v>
      </c>
      <c r="L3331" t="s">
        <v>285</v>
      </c>
      <c r="M3331" t="str">
        <f t="shared" si="215"/>
        <v>11</v>
      </c>
      <c r="N3331" t="s">
        <v>12</v>
      </c>
    </row>
    <row r="3332" spans="1:14" x14ac:dyDescent="0.25">
      <c r="A3332">
        <v>20151106</v>
      </c>
      <c r="B3332" t="str">
        <f>"061027"</f>
        <v>061027</v>
      </c>
      <c r="C3332" t="str">
        <f>"45665"</f>
        <v>45665</v>
      </c>
      <c r="D3332" t="s">
        <v>2887</v>
      </c>
      <c r="E3332" s="3">
        <v>270</v>
      </c>
      <c r="F3332">
        <v>20151104</v>
      </c>
      <c r="G3332" t="s">
        <v>2888</v>
      </c>
      <c r="H3332" t="s">
        <v>2854</v>
      </c>
      <c r="I3332">
        <v>0</v>
      </c>
      <c r="J3332" t="s">
        <v>1709</v>
      </c>
      <c r="K3332" t="s">
        <v>290</v>
      </c>
      <c r="L3332" t="s">
        <v>285</v>
      </c>
      <c r="M3332" t="str">
        <f t="shared" si="215"/>
        <v>11</v>
      </c>
      <c r="N3332" t="s">
        <v>12</v>
      </c>
    </row>
    <row r="3333" spans="1:14" x14ac:dyDescent="0.25">
      <c r="A3333">
        <v>20151106</v>
      </c>
      <c r="B3333" t="str">
        <f>"061029"</f>
        <v>061029</v>
      </c>
      <c r="C3333" t="str">
        <f>"39531"</f>
        <v>39531</v>
      </c>
      <c r="D3333" t="s">
        <v>2889</v>
      </c>
      <c r="E3333" s="3">
        <v>198</v>
      </c>
      <c r="F3333">
        <v>20151103</v>
      </c>
      <c r="G3333" t="s">
        <v>1715</v>
      </c>
      <c r="H3333" t="s">
        <v>2419</v>
      </c>
      <c r="I3333">
        <v>0</v>
      </c>
      <c r="J3333" t="s">
        <v>1709</v>
      </c>
      <c r="K3333" t="s">
        <v>290</v>
      </c>
      <c r="L3333" t="s">
        <v>285</v>
      </c>
      <c r="M3333" t="str">
        <f t="shared" si="215"/>
        <v>11</v>
      </c>
      <c r="N3333" t="s">
        <v>12</v>
      </c>
    </row>
    <row r="3334" spans="1:14" x14ac:dyDescent="0.25">
      <c r="A3334">
        <v>20151106</v>
      </c>
      <c r="B3334" t="str">
        <f t="shared" ref="B3334:B3346" si="216">"061031"</f>
        <v>061031</v>
      </c>
      <c r="C3334" t="str">
        <f t="shared" ref="C3334:C3346" si="217">"41230"</f>
        <v>41230</v>
      </c>
      <c r="D3334" t="s">
        <v>604</v>
      </c>
      <c r="E3334" s="3">
        <v>1322.07</v>
      </c>
      <c r="F3334">
        <v>20151105</v>
      </c>
      <c r="G3334" t="s">
        <v>2317</v>
      </c>
      <c r="H3334" t="s">
        <v>2509</v>
      </c>
      <c r="I3334">
        <v>0</v>
      </c>
      <c r="J3334" t="s">
        <v>1709</v>
      </c>
      <c r="K3334" t="s">
        <v>290</v>
      </c>
      <c r="L3334" t="s">
        <v>285</v>
      </c>
      <c r="M3334" t="str">
        <f t="shared" si="215"/>
        <v>11</v>
      </c>
      <c r="N3334" t="s">
        <v>12</v>
      </c>
    </row>
    <row r="3335" spans="1:14" x14ac:dyDescent="0.25">
      <c r="A3335">
        <v>20151106</v>
      </c>
      <c r="B3335" t="str">
        <f t="shared" si="216"/>
        <v>061031</v>
      </c>
      <c r="C3335" t="str">
        <f t="shared" si="217"/>
        <v>41230</v>
      </c>
      <c r="D3335" t="s">
        <v>604</v>
      </c>
      <c r="E3335" s="3">
        <v>45.8</v>
      </c>
      <c r="F3335">
        <v>20151105</v>
      </c>
      <c r="G3335" t="s">
        <v>2317</v>
      </c>
      <c r="H3335" t="s">
        <v>2509</v>
      </c>
      <c r="I3335">
        <v>0</v>
      </c>
      <c r="J3335" t="s">
        <v>1709</v>
      </c>
      <c r="K3335" t="s">
        <v>290</v>
      </c>
      <c r="L3335" t="s">
        <v>285</v>
      </c>
      <c r="M3335" t="str">
        <f t="shared" si="215"/>
        <v>11</v>
      </c>
      <c r="N3335" t="s">
        <v>12</v>
      </c>
    </row>
    <row r="3336" spans="1:14" x14ac:dyDescent="0.25">
      <c r="A3336">
        <v>20151106</v>
      </c>
      <c r="B3336" t="str">
        <f t="shared" si="216"/>
        <v>061031</v>
      </c>
      <c r="C3336" t="str">
        <f t="shared" si="217"/>
        <v>41230</v>
      </c>
      <c r="D3336" t="s">
        <v>604</v>
      </c>
      <c r="E3336" s="3">
        <v>53.47</v>
      </c>
      <c r="F3336">
        <v>20151105</v>
      </c>
      <c r="G3336" t="s">
        <v>2317</v>
      </c>
      <c r="H3336" t="s">
        <v>2509</v>
      </c>
      <c r="I3336">
        <v>0</v>
      </c>
      <c r="J3336" t="s">
        <v>1709</v>
      </c>
      <c r="K3336" t="s">
        <v>290</v>
      </c>
      <c r="L3336" t="s">
        <v>285</v>
      </c>
      <c r="M3336" t="str">
        <f t="shared" si="215"/>
        <v>11</v>
      </c>
      <c r="N3336" t="s">
        <v>12</v>
      </c>
    </row>
    <row r="3337" spans="1:14" x14ac:dyDescent="0.25">
      <c r="A3337">
        <v>20151106</v>
      </c>
      <c r="B3337" t="str">
        <f t="shared" si="216"/>
        <v>061031</v>
      </c>
      <c r="C3337" t="str">
        <f t="shared" si="217"/>
        <v>41230</v>
      </c>
      <c r="D3337" t="s">
        <v>604</v>
      </c>
      <c r="E3337" s="3">
        <v>95.66</v>
      </c>
      <c r="F3337">
        <v>20151105</v>
      </c>
      <c r="G3337" t="s">
        <v>2317</v>
      </c>
      <c r="H3337" t="s">
        <v>2509</v>
      </c>
      <c r="I3337">
        <v>0</v>
      </c>
      <c r="J3337" t="s">
        <v>1709</v>
      </c>
      <c r="K3337" t="s">
        <v>290</v>
      </c>
      <c r="L3337" t="s">
        <v>285</v>
      </c>
      <c r="M3337" t="str">
        <f t="shared" si="215"/>
        <v>11</v>
      </c>
      <c r="N3337" t="s">
        <v>12</v>
      </c>
    </row>
    <row r="3338" spans="1:14" x14ac:dyDescent="0.25">
      <c r="A3338">
        <v>20151106</v>
      </c>
      <c r="B3338" t="str">
        <f t="shared" si="216"/>
        <v>061031</v>
      </c>
      <c r="C3338" t="str">
        <f t="shared" si="217"/>
        <v>41230</v>
      </c>
      <c r="D3338" t="s">
        <v>604</v>
      </c>
      <c r="E3338" s="3">
        <v>45.22</v>
      </c>
      <c r="F3338">
        <v>20151105</v>
      </c>
      <c r="G3338" t="s">
        <v>2317</v>
      </c>
      <c r="H3338" t="s">
        <v>2509</v>
      </c>
      <c r="I3338">
        <v>0</v>
      </c>
      <c r="J3338" t="s">
        <v>1709</v>
      </c>
      <c r="K3338" t="s">
        <v>290</v>
      </c>
      <c r="L3338" t="s">
        <v>285</v>
      </c>
      <c r="M3338" t="str">
        <f t="shared" si="215"/>
        <v>11</v>
      </c>
      <c r="N3338" t="s">
        <v>12</v>
      </c>
    </row>
    <row r="3339" spans="1:14" x14ac:dyDescent="0.25">
      <c r="A3339">
        <v>20151106</v>
      </c>
      <c r="B3339" t="str">
        <f t="shared" si="216"/>
        <v>061031</v>
      </c>
      <c r="C3339" t="str">
        <f t="shared" si="217"/>
        <v>41230</v>
      </c>
      <c r="D3339" t="s">
        <v>604</v>
      </c>
      <c r="E3339" s="3">
        <v>33.06</v>
      </c>
      <c r="F3339">
        <v>20151105</v>
      </c>
      <c r="G3339" t="s">
        <v>2317</v>
      </c>
      <c r="H3339" t="s">
        <v>2509</v>
      </c>
      <c r="I3339">
        <v>0</v>
      </c>
      <c r="J3339" t="s">
        <v>1709</v>
      </c>
      <c r="K3339" t="s">
        <v>290</v>
      </c>
      <c r="L3339" t="s">
        <v>285</v>
      </c>
      <c r="M3339" t="str">
        <f t="shared" si="215"/>
        <v>11</v>
      </c>
      <c r="N3339" t="s">
        <v>12</v>
      </c>
    </row>
    <row r="3340" spans="1:14" x14ac:dyDescent="0.25">
      <c r="A3340">
        <v>20151106</v>
      </c>
      <c r="B3340" t="str">
        <f t="shared" si="216"/>
        <v>061031</v>
      </c>
      <c r="C3340" t="str">
        <f t="shared" si="217"/>
        <v>41230</v>
      </c>
      <c r="D3340" t="s">
        <v>604</v>
      </c>
      <c r="E3340" s="3">
        <v>30.58</v>
      </c>
      <c r="F3340">
        <v>20151105</v>
      </c>
      <c r="G3340" t="s">
        <v>2317</v>
      </c>
      <c r="H3340" t="s">
        <v>2509</v>
      </c>
      <c r="I3340">
        <v>0</v>
      </c>
      <c r="J3340" t="s">
        <v>1709</v>
      </c>
      <c r="K3340" t="s">
        <v>290</v>
      </c>
      <c r="L3340" t="s">
        <v>285</v>
      </c>
      <c r="M3340" t="str">
        <f t="shared" si="215"/>
        <v>11</v>
      </c>
      <c r="N3340" t="s">
        <v>12</v>
      </c>
    </row>
    <row r="3341" spans="1:14" x14ac:dyDescent="0.25">
      <c r="A3341">
        <v>20151106</v>
      </c>
      <c r="B3341" t="str">
        <f t="shared" si="216"/>
        <v>061031</v>
      </c>
      <c r="C3341" t="str">
        <f t="shared" si="217"/>
        <v>41230</v>
      </c>
      <c r="D3341" t="s">
        <v>604</v>
      </c>
      <c r="E3341" s="3">
        <v>82.44</v>
      </c>
      <c r="F3341">
        <v>20151105</v>
      </c>
      <c r="G3341" t="s">
        <v>2317</v>
      </c>
      <c r="H3341" t="s">
        <v>2509</v>
      </c>
      <c r="I3341">
        <v>0</v>
      </c>
      <c r="J3341" t="s">
        <v>1709</v>
      </c>
      <c r="K3341" t="s">
        <v>290</v>
      </c>
      <c r="L3341" t="s">
        <v>285</v>
      </c>
      <c r="M3341" t="str">
        <f t="shared" si="215"/>
        <v>11</v>
      </c>
      <c r="N3341" t="s">
        <v>12</v>
      </c>
    </row>
    <row r="3342" spans="1:14" x14ac:dyDescent="0.25">
      <c r="A3342">
        <v>20151106</v>
      </c>
      <c r="B3342" t="str">
        <f t="shared" si="216"/>
        <v>061031</v>
      </c>
      <c r="C3342" t="str">
        <f t="shared" si="217"/>
        <v>41230</v>
      </c>
      <c r="D3342" t="s">
        <v>604</v>
      </c>
      <c r="E3342" s="3">
        <v>38.18</v>
      </c>
      <c r="F3342">
        <v>20151105</v>
      </c>
      <c r="G3342" t="s">
        <v>2317</v>
      </c>
      <c r="H3342" t="s">
        <v>2509</v>
      </c>
      <c r="I3342">
        <v>0</v>
      </c>
      <c r="J3342" t="s">
        <v>1709</v>
      </c>
      <c r="K3342" t="s">
        <v>290</v>
      </c>
      <c r="L3342" t="s">
        <v>285</v>
      </c>
      <c r="M3342" t="str">
        <f t="shared" si="215"/>
        <v>11</v>
      </c>
      <c r="N3342" t="s">
        <v>12</v>
      </c>
    </row>
    <row r="3343" spans="1:14" x14ac:dyDescent="0.25">
      <c r="A3343">
        <v>20151106</v>
      </c>
      <c r="B3343" t="str">
        <f t="shared" si="216"/>
        <v>061031</v>
      </c>
      <c r="C3343" t="str">
        <f t="shared" si="217"/>
        <v>41230</v>
      </c>
      <c r="D3343" t="s">
        <v>604</v>
      </c>
      <c r="E3343" s="3">
        <v>15.81</v>
      </c>
      <c r="F3343">
        <v>20151105</v>
      </c>
      <c r="G3343" t="s">
        <v>2317</v>
      </c>
      <c r="H3343" t="s">
        <v>2509</v>
      </c>
      <c r="I3343">
        <v>0</v>
      </c>
      <c r="J3343" t="s">
        <v>1709</v>
      </c>
      <c r="K3343" t="s">
        <v>290</v>
      </c>
      <c r="L3343" t="s">
        <v>285</v>
      </c>
      <c r="M3343" t="str">
        <f t="shared" si="215"/>
        <v>11</v>
      </c>
      <c r="N3343" t="s">
        <v>12</v>
      </c>
    </row>
    <row r="3344" spans="1:14" x14ac:dyDescent="0.25">
      <c r="A3344">
        <v>20151106</v>
      </c>
      <c r="B3344" t="str">
        <f t="shared" si="216"/>
        <v>061031</v>
      </c>
      <c r="C3344" t="str">
        <f t="shared" si="217"/>
        <v>41230</v>
      </c>
      <c r="D3344" t="s">
        <v>604</v>
      </c>
      <c r="E3344" s="3">
        <v>9.6</v>
      </c>
      <c r="F3344">
        <v>20151105</v>
      </c>
      <c r="G3344" t="s">
        <v>2317</v>
      </c>
      <c r="H3344" t="s">
        <v>2509</v>
      </c>
      <c r="I3344">
        <v>0</v>
      </c>
      <c r="J3344" t="s">
        <v>1709</v>
      </c>
      <c r="K3344" t="s">
        <v>290</v>
      </c>
      <c r="L3344" t="s">
        <v>285</v>
      </c>
      <c r="M3344" t="str">
        <f t="shared" si="215"/>
        <v>11</v>
      </c>
      <c r="N3344" t="s">
        <v>12</v>
      </c>
    </row>
    <row r="3345" spans="1:14" x14ac:dyDescent="0.25">
      <c r="A3345">
        <v>20151106</v>
      </c>
      <c r="B3345" t="str">
        <f t="shared" si="216"/>
        <v>061031</v>
      </c>
      <c r="C3345" t="str">
        <f t="shared" si="217"/>
        <v>41230</v>
      </c>
      <c r="D3345" t="s">
        <v>604</v>
      </c>
      <c r="E3345" s="3">
        <v>48.33</v>
      </c>
      <c r="F3345">
        <v>20151105</v>
      </c>
      <c r="G3345" t="s">
        <v>2317</v>
      </c>
      <c r="H3345" t="s">
        <v>2509</v>
      </c>
      <c r="I3345">
        <v>0</v>
      </c>
      <c r="J3345" t="s">
        <v>1709</v>
      </c>
      <c r="K3345" t="s">
        <v>290</v>
      </c>
      <c r="L3345" t="s">
        <v>285</v>
      </c>
      <c r="M3345" t="str">
        <f t="shared" si="215"/>
        <v>11</v>
      </c>
      <c r="N3345" t="s">
        <v>12</v>
      </c>
    </row>
    <row r="3346" spans="1:14" x14ac:dyDescent="0.25">
      <c r="A3346">
        <v>20151106</v>
      </c>
      <c r="B3346" t="str">
        <f t="shared" si="216"/>
        <v>061031</v>
      </c>
      <c r="C3346" t="str">
        <f t="shared" si="217"/>
        <v>41230</v>
      </c>
      <c r="D3346" t="s">
        <v>604</v>
      </c>
      <c r="E3346" s="3">
        <v>23.44</v>
      </c>
      <c r="F3346">
        <v>20151105</v>
      </c>
      <c r="G3346" t="s">
        <v>2317</v>
      </c>
      <c r="H3346" t="s">
        <v>2509</v>
      </c>
      <c r="I3346">
        <v>0</v>
      </c>
      <c r="J3346" t="s">
        <v>1709</v>
      </c>
      <c r="K3346" t="s">
        <v>290</v>
      </c>
      <c r="L3346" t="s">
        <v>285</v>
      </c>
      <c r="M3346" t="str">
        <f t="shared" si="215"/>
        <v>11</v>
      </c>
      <c r="N3346" t="s">
        <v>12</v>
      </c>
    </row>
    <row r="3347" spans="1:14" x14ac:dyDescent="0.25">
      <c r="A3347">
        <v>20151106</v>
      </c>
      <c r="B3347" t="str">
        <f>"061032"</f>
        <v>061032</v>
      </c>
      <c r="C3347" t="str">
        <f>"42194"</f>
        <v>42194</v>
      </c>
      <c r="D3347" t="s">
        <v>1874</v>
      </c>
      <c r="E3347" s="3">
        <v>84971.56</v>
      </c>
      <c r="F3347">
        <v>20151104</v>
      </c>
      <c r="G3347" t="s">
        <v>2890</v>
      </c>
      <c r="H3347" t="s">
        <v>2891</v>
      </c>
      <c r="I3347">
        <v>0</v>
      </c>
      <c r="J3347" t="s">
        <v>1709</v>
      </c>
      <c r="K3347" t="s">
        <v>1861</v>
      </c>
      <c r="L3347" t="s">
        <v>285</v>
      </c>
      <c r="M3347" t="str">
        <f t="shared" si="215"/>
        <v>11</v>
      </c>
      <c r="N3347" t="s">
        <v>12</v>
      </c>
    </row>
    <row r="3348" spans="1:14" x14ac:dyDescent="0.25">
      <c r="A3348">
        <v>20151106</v>
      </c>
      <c r="B3348" t="str">
        <f>"061032"</f>
        <v>061032</v>
      </c>
      <c r="C3348" t="str">
        <f>"42194"</f>
        <v>42194</v>
      </c>
      <c r="D3348" t="s">
        <v>1874</v>
      </c>
      <c r="E3348" s="3">
        <v>106866.97</v>
      </c>
      <c r="F3348">
        <v>20151104</v>
      </c>
      <c r="G3348" t="s">
        <v>2890</v>
      </c>
      <c r="H3348" t="s">
        <v>2892</v>
      </c>
      <c r="I3348">
        <v>0</v>
      </c>
      <c r="J3348" t="s">
        <v>1709</v>
      </c>
      <c r="K3348" t="s">
        <v>1861</v>
      </c>
      <c r="L3348" t="s">
        <v>285</v>
      </c>
      <c r="M3348" t="str">
        <f t="shared" si="215"/>
        <v>11</v>
      </c>
      <c r="N3348" t="s">
        <v>12</v>
      </c>
    </row>
    <row r="3349" spans="1:14" x14ac:dyDescent="0.25">
      <c r="A3349">
        <v>20151106</v>
      </c>
      <c r="B3349" t="str">
        <f>"061033"</f>
        <v>061033</v>
      </c>
      <c r="C3349" t="str">
        <f>"42212"</f>
        <v>42212</v>
      </c>
      <c r="D3349" t="s">
        <v>2513</v>
      </c>
      <c r="E3349" s="3">
        <v>450</v>
      </c>
      <c r="F3349">
        <v>20151103</v>
      </c>
      <c r="G3349" t="s">
        <v>2893</v>
      </c>
      <c r="H3349" t="s">
        <v>2641</v>
      </c>
      <c r="I3349">
        <v>0</v>
      </c>
      <c r="J3349" t="s">
        <v>1709</v>
      </c>
      <c r="K3349" t="s">
        <v>290</v>
      </c>
      <c r="L3349" t="s">
        <v>285</v>
      </c>
      <c r="M3349" t="str">
        <f t="shared" si="215"/>
        <v>11</v>
      </c>
      <c r="N3349" t="s">
        <v>12</v>
      </c>
    </row>
    <row r="3350" spans="1:14" x14ac:dyDescent="0.25">
      <c r="A3350">
        <v>20151106</v>
      </c>
      <c r="B3350" t="str">
        <f>"061033"</f>
        <v>061033</v>
      </c>
      <c r="C3350" t="str">
        <f>"42212"</f>
        <v>42212</v>
      </c>
      <c r="D3350" t="s">
        <v>2513</v>
      </c>
      <c r="E3350" s="3">
        <v>129.88</v>
      </c>
      <c r="F3350">
        <v>20151103</v>
      </c>
      <c r="G3350" t="s">
        <v>2642</v>
      </c>
      <c r="H3350" t="s">
        <v>2641</v>
      </c>
      <c r="I3350">
        <v>0</v>
      </c>
      <c r="J3350" t="s">
        <v>1709</v>
      </c>
      <c r="K3350" t="s">
        <v>290</v>
      </c>
      <c r="L3350" t="s">
        <v>285</v>
      </c>
      <c r="M3350" t="str">
        <f t="shared" si="215"/>
        <v>11</v>
      </c>
      <c r="N3350" t="s">
        <v>12</v>
      </c>
    </row>
    <row r="3351" spans="1:14" x14ac:dyDescent="0.25">
      <c r="A3351">
        <v>20151106</v>
      </c>
      <c r="B3351" t="str">
        <f>"061034"</f>
        <v>061034</v>
      </c>
      <c r="C3351" t="str">
        <f>"44450"</f>
        <v>44450</v>
      </c>
      <c r="D3351" t="s">
        <v>1989</v>
      </c>
      <c r="E3351" s="3">
        <v>225</v>
      </c>
      <c r="F3351">
        <v>20151103</v>
      </c>
      <c r="G3351" t="s">
        <v>2894</v>
      </c>
      <c r="H3351" t="s">
        <v>2895</v>
      </c>
      <c r="I3351">
        <v>0</v>
      </c>
      <c r="J3351" t="s">
        <v>1709</v>
      </c>
      <c r="K3351" t="s">
        <v>290</v>
      </c>
      <c r="L3351" t="s">
        <v>285</v>
      </c>
      <c r="M3351" t="str">
        <f t="shared" si="215"/>
        <v>11</v>
      </c>
      <c r="N3351" t="s">
        <v>12</v>
      </c>
    </row>
    <row r="3352" spans="1:14" x14ac:dyDescent="0.25">
      <c r="A3352">
        <v>20151106</v>
      </c>
      <c r="B3352" t="str">
        <f>"061034"</f>
        <v>061034</v>
      </c>
      <c r="C3352" t="str">
        <f>"44450"</f>
        <v>44450</v>
      </c>
      <c r="D3352" t="s">
        <v>1989</v>
      </c>
      <c r="E3352" s="3">
        <v>225</v>
      </c>
      <c r="F3352">
        <v>20151103</v>
      </c>
      <c r="G3352" t="s">
        <v>2896</v>
      </c>
      <c r="H3352" t="s">
        <v>2897</v>
      </c>
      <c r="I3352">
        <v>0</v>
      </c>
      <c r="J3352" t="s">
        <v>1709</v>
      </c>
      <c r="K3352" t="s">
        <v>95</v>
      </c>
      <c r="L3352" t="s">
        <v>285</v>
      </c>
      <c r="M3352" t="str">
        <f t="shared" si="215"/>
        <v>11</v>
      </c>
      <c r="N3352" t="s">
        <v>12</v>
      </c>
    </row>
    <row r="3353" spans="1:14" x14ac:dyDescent="0.25">
      <c r="A3353">
        <v>20151106</v>
      </c>
      <c r="B3353" t="str">
        <f>"061035"</f>
        <v>061035</v>
      </c>
      <c r="C3353" t="str">
        <f>"45698"</f>
        <v>45698</v>
      </c>
      <c r="D3353" t="s">
        <v>2898</v>
      </c>
      <c r="E3353" s="3">
        <v>386.4</v>
      </c>
      <c r="F3353">
        <v>20151104</v>
      </c>
      <c r="G3353" t="s">
        <v>2899</v>
      </c>
      <c r="H3353" t="s">
        <v>2900</v>
      </c>
      <c r="I3353">
        <v>0</v>
      </c>
      <c r="J3353" t="s">
        <v>1709</v>
      </c>
      <c r="K3353" t="s">
        <v>1861</v>
      </c>
      <c r="L3353" t="s">
        <v>285</v>
      </c>
      <c r="M3353" t="str">
        <f t="shared" si="215"/>
        <v>11</v>
      </c>
      <c r="N3353" t="s">
        <v>12</v>
      </c>
    </row>
    <row r="3354" spans="1:14" x14ac:dyDescent="0.25">
      <c r="A3354">
        <v>20151106</v>
      </c>
      <c r="B3354" t="str">
        <f>"061037"</f>
        <v>061037</v>
      </c>
      <c r="C3354" t="str">
        <f>"46374"</f>
        <v>46374</v>
      </c>
      <c r="D3354" t="s">
        <v>2901</v>
      </c>
      <c r="E3354" s="3">
        <v>1069.74</v>
      </c>
      <c r="F3354">
        <v>20151104</v>
      </c>
      <c r="G3354" t="s">
        <v>2356</v>
      </c>
      <c r="H3354" t="s">
        <v>1753</v>
      </c>
      <c r="I3354">
        <v>0</v>
      </c>
      <c r="J3354" t="s">
        <v>1709</v>
      </c>
      <c r="K3354" t="s">
        <v>1861</v>
      </c>
      <c r="L3354" t="s">
        <v>285</v>
      </c>
      <c r="M3354" t="str">
        <f t="shared" si="215"/>
        <v>11</v>
      </c>
      <c r="N3354" t="s">
        <v>12</v>
      </c>
    </row>
    <row r="3355" spans="1:14" x14ac:dyDescent="0.25">
      <c r="A3355">
        <v>20151106</v>
      </c>
      <c r="B3355" t="str">
        <f>"061038"</f>
        <v>061038</v>
      </c>
      <c r="C3355" t="str">
        <f>"46351"</f>
        <v>46351</v>
      </c>
      <c r="D3355" t="s">
        <v>2518</v>
      </c>
      <c r="E3355" s="3">
        <v>633.32000000000005</v>
      </c>
      <c r="F3355">
        <v>20151104</v>
      </c>
      <c r="G3355" t="s">
        <v>1995</v>
      </c>
      <c r="H3355" t="s">
        <v>2902</v>
      </c>
      <c r="I3355">
        <v>0</v>
      </c>
      <c r="J3355" t="s">
        <v>1709</v>
      </c>
      <c r="K3355" t="s">
        <v>235</v>
      </c>
      <c r="L3355" t="s">
        <v>285</v>
      </c>
      <c r="M3355" t="str">
        <f t="shared" si="215"/>
        <v>11</v>
      </c>
      <c r="N3355" t="s">
        <v>12</v>
      </c>
    </row>
    <row r="3356" spans="1:14" x14ac:dyDescent="0.25">
      <c r="A3356">
        <v>20151106</v>
      </c>
      <c r="B3356" t="str">
        <f>"061040"</f>
        <v>061040</v>
      </c>
      <c r="C3356" t="str">
        <f>"47725"</f>
        <v>47725</v>
      </c>
      <c r="D3356" t="s">
        <v>1883</v>
      </c>
      <c r="E3356" s="3">
        <v>554.4</v>
      </c>
      <c r="F3356">
        <v>20151103</v>
      </c>
      <c r="G3356" t="s">
        <v>1859</v>
      </c>
      <c r="H3356" t="s">
        <v>2903</v>
      </c>
      <c r="I3356">
        <v>0</v>
      </c>
      <c r="J3356" t="s">
        <v>1709</v>
      </c>
      <c r="K3356" t="s">
        <v>1861</v>
      </c>
      <c r="L3356" t="s">
        <v>285</v>
      </c>
      <c r="M3356" t="str">
        <f t="shared" si="215"/>
        <v>11</v>
      </c>
      <c r="N3356" t="s">
        <v>12</v>
      </c>
    </row>
    <row r="3357" spans="1:14" x14ac:dyDescent="0.25">
      <c r="A3357">
        <v>20151106</v>
      </c>
      <c r="B3357" t="str">
        <f>"061040"</f>
        <v>061040</v>
      </c>
      <c r="C3357" t="str">
        <f>"47725"</f>
        <v>47725</v>
      </c>
      <c r="D3357" t="s">
        <v>1883</v>
      </c>
      <c r="E3357" s="3">
        <v>262.35000000000002</v>
      </c>
      <c r="F3357">
        <v>20151103</v>
      </c>
      <c r="G3357" t="s">
        <v>1859</v>
      </c>
      <c r="H3357" t="s">
        <v>2904</v>
      </c>
      <c r="I3357">
        <v>0</v>
      </c>
      <c r="J3357" t="s">
        <v>1709</v>
      </c>
      <c r="K3357" t="s">
        <v>1861</v>
      </c>
      <c r="L3357" t="s">
        <v>285</v>
      </c>
      <c r="M3357" t="str">
        <f t="shared" si="215"/>
        <v>11</v>
      </c>
      <c r="N3357" t="s">
        <v>12</v>
      </c>
    </row>
    <row r="3358" spans="1:14" x14ac:dyDescent="0.25">
      <c r="A3358">
        <v>20151106</v>
      </c>
      <c r="B3358" t="str">
        <f>"061041"</f>
        <v>061041</v>
      </c>
      <c r="C3358" t="str">
        <f>"50300"</f>
        <v>50300</v>
      </c>
      <c r="D3358" t="s">
        <v>2905</v>
      </c>
      <c r="E3358" s="3">
        <v>260</v>
      </c>
      <c r="F3358">
        <v>20151104</v>
      </c>
      <c r="G3358" t="s">
        <v>2281</v>
      </c>
      <c r="H3358" t="s">
        <v>2906</v>
      </c>
      <c r="I3358">
        <v>0</v>
      </c>
      <c r="J3358" t="s">
        <v>1709</v>
      </c>
      <c r="K3358" t="s">
        <v>290</v>
      </c>
      <c r="L3358" t="s">
        <v>285</v>
      </c>
      <c r="M3358" t="str">
        <f t="shared" si="215"/>
        <v>11</v>
      </c>
      <c r="N3358" t="s">
        <v>12</v>
      </c>
    </row>
    <row r="3359" spans="1:14" x14ac:dyDescent="0.25">
      <c r="A3359">
        <v>20151106</v>
      </c>
      <c r="B3359" t="str">
        <f>"061042"</f>
        <v>061042</v>
      </c>
      <c r="C3359" t="str">
        <f>"51475"</f>
        <v>51475</v>
      </c>
      <c r="D3359" t="s">
        <v>2352</v>
      </c>
      <c r="E3359" s="3">
        <v>2082.4699999999998</v>
      </c>
      <c r="F3359">
        <v>20151103</v>
      </c>
      <c r="G3359" t="s">
        <v>2525</v>
      </c>
      <c r="H3359" t="s">
        <v>2907</v>
      </c>
      <c r="I3359">
        <v>0</v>
      </c>
      <c r="J3359" t="s">
        <v>1709</v>
      </c>
      <c r="K3359" t="s">
        <v>2194</v>
      </c>
      <c r="L3359" t="s">
        <v>285</v>
      </c>
      <c r="M3359" t="str">
        <f t="shared" si="215"/>
        <v>11</v>
      </c>
      <c r="N3359" t="s">
        <v>12</v>
      </c>
    </row>
    <row r="3360" spans="1:14" x14ac:dyDescent="0.25">
      <c r="A3360">
        <v>20151106</v>
      </c>
      <c r="B3360" t="str">
        <f>"061043"</f>
        <v>061043</v>
      </c>
      <c r="C3360" t="str">
        <f>"52185"</f>
        <v>52185</v>
      </c>
      <c r="D3360" t="s">
        <v>2130</v>
      </c>
      <c r="E3360" s="3">
        <v>280</v>
      </c>
      <c r="F3360">
        <v>20151103</v>
      </c>
      <c r="G3360" t="s">
        <v>1859</v>
      </c>
      <c r="H3360" t="s">
        <v>2908</v>
      </c>
      <c r="I3360">
        <v>0</v>
      </c>
      <c r="J3360" t="s">
        <v>1709</v>
      </c>
      <c r="K3360" t="s">
        <v>1861</v>
      </c>
      <c r="L3360" t="s">
        <v>285</v>
      </c>
      <c r="M3360" t="str">
        <f t="shared" si="215"/>
        <v>11</v>
      </c>
      <c r="N3360" t="s">
        <v>12</v>
      </c>
    </row>
    <row r="3361" spans="1:14" x14ac:dyDescent="0.25">
      <c r="A3361">
        <v>20151106</v>
      </c>
      <c r="B3361" t="str">
        <f>"061044"</f>
        <v>061044</v>
      </c>
      <c r="C3361" t="str">
        <f>"53006"</f>
        <v>53006</v>
      </c>
      <c r="D3361" t="s">
        <v>2909</v>
      </c>
      <c r="E3361" s="3">
        <v>372.77</v>
      </c>
      <c r="F3361">
        <v>20151103</v>
      </c>
      <c r="G3361" t="s">
        <v>2910</v>
      </c>
      <c r="H3361" t="s">
        <v>2911</v>
      </c>
      <c r="I3361">
        <v>0</v>
      </c>
      <c r="J3361" t="s">
        <v>1709</v>
      </c>
      <c r="K3361" t="s">
        <v>33</v>
      </c>
      <c r="L3361" t="s">
        <v>285</v>
      </c>
      <c r="M3361" t="str">
        <f t="shared" si="215"/>
        <v>11</v>
      </c>
      <c r="N3361" t="s">
        <v>12</v>
      </c>
    </row>
    <row r="3362" spans="1:14" x14ac:dyDescent="0.25">
      <c r="A3362">
        <v>20151106</v>
      </c>
      <c r="B3362" t="str">
        <f>"061045"</f>
        <v>061045</v>
      </c>
      <c r="C3362" t="str">
        <f>"53463"</f>
        <v>53463</v>
      </c>
      <c r="D3362" t="s">
        <v>2912</v>
      </c>
      <c r="E3362" s="3">
        <v>488.32</v>
      </c>
      <c r="F3362">
        <v>20151105</v>
      </c>
      <c r="G3362" t="s">
        <v>2913</v>
      </c>
      <c r="H3362" t="s">
        <v>2914</v>
      </c>
      <c r="I3362">
        <v>0</v>
      </c>
      <c r="J3362" t="s">
        <v>1709</v>
      </c>
      <c r="K3362" t="s">
        <v>235</v>
      </c>
      <c r="L3362" t="s">
        <v>285</v>
      </c>
      <c r="M3362" t="str">
        <f t="shared" si="215"/>
        <v>11</v>
      </c>
      <c r="N3362" t="s">
        <v>12</v>
      </c>
    </row>
    <row r="3363" spans="1:14" x14ac:dyDescent="0.25">
      <c r="A3363">
        <v>20151106</v>
      </c>
      <c r="B3363" t="str">
        <f>"061046"</f>
        <v>061046</v>
      </c>
      <c r="C3363" t="str">
        <f>"53483"</f>
        <v>53483</v>
      </c>
      <c r="D3363" t="s">
        <v>2132</v>
      </c>
      <c r="E3363" s="3">
        <v>228.5</v>
      </c>
      <c r="F3363">
        <v>20151105</v>
      </c>
      <c r="G3363" t="s">
        <v>2424</v>
      </c>
      <c r="H3363" t="s">
        <v>1842</v>
      </c>
      <c r="I3363">
        <v>0</v>
      </c>
      <c r="J3363" t="s">
        <v>1709</v>
      </c>
      <c r="K3363" t="s">
        <v>1775</v>
      </c>
      <c r="L3363" t="s">
        <v>285</v>
      </c>
      <c r="M3363" t="str">
        <f t="shared" si="215"/>
        <v>11</v>
      </c>
      <c r="N3363" t="s">
        <v>12</v>
      </c>
    </row>
    <row r="3364" spans="1:14" x14ac:dyDescent="0.25">
      <c r="A3364">
        <v>20151106</v>
      </c>
      <c r="B3364" t="str">
        <f>"061047"</f>
        <v>061047</v>
      </c>
      <c r="C3364" t="str">
        <f>"56183"</f>
        <v>56183</v>
      </c>
      <c r="D3364" t="s">
        <v>2359</v>
      </c>
      <c r="E3364" s="3">
        <v>52.76</v>
      </c>
      <c r="F3364">
        <v>20151105</v>
      </c>
      <c r="G3364" t="s">
        <v>2360</v>
      </c>
      <c r="H3364" t="s">
        <v>2915</v>
      </c>
      <c r="I3364">
        <v>0</v>
      </c>
      <c r="J3364" t="s">
        <v>1709</v>
      </c>
      <c r="K3364" t="s">
        <v>1856</v>
      </c>
      <c r="L3364" t="s">
        <v>285</v>
      </c>
      <c r="M3364" t="str">
        <f t="shared" si="215"/>
        <v>11</v>
      </c>
      <c r="N3364" t="s">
        <v>12</v>
      </c>
    </row>
    <row r="3365" spans="1:14" x14ac:dyDescent="0.25">
      <c r="A3365">
        <v>20151106</v>
      </c>
      <c r="B3365" t="str">
        <f>"061047"</f>
        <v>061047</v>
      </c>
      <c r="C3365" t="str">
        <f>"56183"</f>
        <v>56183</v>
      </c>
      <c r="D3365" t="s">
        <v>2359</v>
      </c>
      <c r="E3365" s="3">
        <v>21.45</v>
      </c>
      <c r="F3365">
        <v>20151105</v>
      </c>
      <c r="G3365" t="s">
        <v>2360</v>
      </c>
      <c r="H3365" t="s">
        <v>2916</v>
      </c>
      <c r="I3365">
        <v>0</v>
      </c>
      <c r="J3365" t="s">
        <v>1709</v>
      </c>
      <c r="K3365" t="s">
        <v>1856</v>
      </c>
      <c r="L3365" t="s">
        <v>285</v>
      </c>
      <c r="M3365" t="str">
        <f t="shared" si="215"/>
        <v>11</v>
      </c>
      <c r="N3365" t="s">
        <v>12</v>
      </c>
    </row>
    <row r="3366" spans="1:14" x14ac:dyDescent="0.25">
      <c r="A3366">
        <v>20151106</v>
      </c>
      <c r="B3366" t="str">
        <f>"061047"</f>
        <v>061047</v>
      </c>
      <c r="C3366" t="str">
        <f>"56183"</f>
        <v>56183</v>
      </c>
      <c r="D3366" t="s">
        <v>2359</v>
      </c>
      <c r="E3366" s="3">
        <v>28.56</v>
      </c>
      <c r="F3366">
        <v>20151105</v>
      </c>
      <c r="G3366" t="s">
        <v>2080</v>
      </c>
      <c r="H3366" t="s">
        <v>2917</v>
      </c>
      <c r="I3366">
        <v>0</v>
      </c>
      <c r="J3366" t="s">
        <v>1709</v>
      </c>
      <c r="K3366" t="s">
        <v>1861</v>
      </c>
      <c r="L3366" t="s">
        <v>285</v>
      </c>
      <c r="M3366" t="str">
        <f t="shared" si="215"/>
        <v>11</v>
      </c>
      <c r="N3366" t="s">
        <v>12</v>
      </c>
    </row>
    <row r="3367" spans="1:14" x14ac:dyDescent="0.25">
      <c r="A3367">
        <v>20151106</v>
      </c>
      <c r="B3367" t="str">
        <f>"061047"</f>
        <v>061047</v>
      </c>
      <c r="C3367" t="str">
        <f>"56183"</f>
        <v>56183</v>
      </c>
      <c r="D3367" t="s">
        <v>2359</v>
      </c>
      <c r="E3367" s="3">
        <v>45.99</v>
      </c>
      <c r="F3367">
        <v>20151105</v>
      </c>
      <c r="G3367" t="s">
        <v>2080</v>
      </c>
      <c r="H3367" t="s">
        <v>2918</v>
      </c>
      <c r="I3367">
        <v>0</v>
      </c>
      <c r="J3367" t="s">
        <v>1709</v>
      </c>
      <c r="K3367" t="s">
        <v>1861</v>
      </c>
      <c r="L3367" t="s">
        <v>285</v>
      </c>
      <c r="M3367" t="str">
        <f t="shared" si="215"/>
        <v>11</v>
      </c>
      <c r="N3367" t="s">
        <v>12</v>
      </c>
    </row>
    <row r="3368" spans="1:14" x14ac:dyDescent="0.25">
      <c r="A3368">
        <v>20151106</v>
      </c>
      <c r="B3368" t="str">
        <f>"061048"</f>
        <v>061048</v>
      </c>
      <c r="C3368" t="str">
        <f>"57697"</f>
        <v>57697</v>
      </c>
      <c r="D3368" t="s">
        <v>1897</v>
      </c>
      <c r="E3368" s="3">
        <v>207.18</v>
      </c>
      <c r="F3368">
        <v>20151104</v>
      </c>
      <c r="G3368" t="s">
        <v>2004</v>
      </c>
      <c r="H3368" t="s">
        <v>2919</v>
      </c>
      <c r="I3368">
        <v>0</v>
      </c>
      <c r="J3368" t="s">
        <v>1709</v>
      </c>
      <c r="K3368" t="s">
        <v>290</v>
      </c>
      <c r="L3368" t="s">
        <v>285</v>
      </c>
      <c r="M3368" t="str">
        <f t="shared" si="215"/>
        <v>11</v>
      </c>
      <c r="N3368" t="s">
        <v>12</v>
      </c>
    </row>
    <row r="3369" spans="1:14" x14ac:dyDescent="0.25">
      <c r="A3369">
        <v>20151106</v>
      </c>
      <c r="B3369" t="str">
        <f>"061048"</f>
        <v>061048</v>
      </c>
      <c r="C3369" t="str">
        <f>"57697"</f>
        <v>57697</v>
      </c>
      <c r="D3369" t="s">
        <v>1897</v>
      </c>
      <c r="E3369" s="3">
        <v>298.08</v>
      </c>
      <c r="F3369">
        <v>20151104</v>
      </c>
      <c r="G3369" t="s">
        <v>2004</v>
      </c>
      <c r="H3369" t="s">
        <v>1801</v>
      </c>
      <c r="I3369">
        <v>0</v>
      </c>
      <c r="J3369" t="s">
        <v>1709</v>
      </c>
      <c r="K3369" t="s">
        <v>290</v>
      </c>
      <c r="L3369" t="s">
        <v>285</v>
      </c>
      <c r="M3369" t="str">
        <f t="shared" si="215"/>
        <v>11</v>
      </c>
      <c r="N3369" t="s">
        <v>12</v>
      </c>
    </row>
    <row r="3370" spans="1:14" x14ac:dyDescent="0.25">
      <c r="A3370">
        <v>20151106</v>
      </c>
      <c r="B3370" t="str">
        <f>"061049"</f>
        <v>061049</v>
      </c>
      <c r="C3370" t="str">
        <f>"57697"</f>
        <v>57697</v>
      </c>
      <c r="D3370" t="s">
        <v>1897</v>
      </c>
      <c r="E3370" s="3">
        <v>16.48</v>
      </c>
      <c r="F3370">
        <v>20151104</v>
      </c>
      <c r="G3370" t="s">
        <v>2004</v>
      </c>
      <c r="H3370" t="s">
        <v>2186</v>
      </c>
      <c r="I3370">
        <v>0</v>
      </c>
      <c r="J3370" t="s">
        <v>1709</v>
      </c>
      <c r="K3370" t="s">
        <v>290</v>
      </c>
      <c r="L3370" t="s">
        <v>285</v>
      </c>
      <c r="M3370" t="str">
        <f t="shared" si="215"/>
        <v>11</v>
      </c>
      <c r="N3370" t="s">
        <v>12</v>
      </c>
    </row>
    <row r="3371" spans="1:14" x14ac:dyDescent="0.25">
      <c r="A3371">
        <v>20151106</v>
      </c>
      <c r="B3371" t="str">
        <f>"061050"</f>
        <v>061050</v>
      </c>
      <c r="C3371" t="str">
        <f>"59097"</f>
        <v>59097</v>
      </c>
      <c r="D3371" t="s">
        <v>1755</v>
      </c>
      <c r="E3371" s="3">
        <v>838.25</v>
      </c>
      <c r="F3371">
        <v>20151103</v>
      </c>
      <c r="G3371" t="s">
        <v>2317</v>
      </c>
      <c r="H3371" t="s">
        <v>2509</v>
      </c>
      <c r="I3371">
        <v>0</v>
      </c>
      <c r="J3371" t="s">
        <v>1709</v>
      </c>
      <c r="K3371" t="s">
        <v>290</v>
      </c>
      <c r="L3371" t="s">
        <v>285</v>
      </c>
      <c r="M3371" t="str">
        <f t="shared" si="215"/>
        <v>11</v>
      </c>
      <c r="N3371" t="s">
        <v>12</v>
      </c>
    </row>
    <row r="3372" spans="1:14" x14ac:dyDescent="0.25">
      <c r="A3372">
        <v>20151106</v>
      </c>
      <c r="B3372" t="str">
        <f>"061051"</f>
        <v>061051</v>
      </c>
      <c r="C3372" t="str">
        <f>"60842"</f>
        <v>60842</v>
      </c>
      <c r="D3372" t="s">
        <v>2920</v>
      </c>
      <c r="E3372" s="3">
        <v>1183</v>
      </c>
      <c r="F3372">
        <v>20151104</v>
      </c>
      <c r="G3372" t="s">
        <v>2921</v>
      </c>
      <c r="H3372" t="s">
        <v>2922</v>
      </c>
      <c r="I3372">
        <v>0</v>
      </c>
      <c r="J3372" t="s">
        <v>1709</v>
      </c>
      <c r="K3372" t="s">
        <v>2923</v>
      </c>
      <c r="L3372" t="s">
        <v>285</v>
      </c>
      <c r="M3372" t="str">
        <f t="shared" si="215"/>
        <v>11</v>
      </c>
      <c r="N3372" t="s">
        <v>12</v>
      </c>
    </row>
    <row r="3373" spans="1:14" x14ac:dyDescent="0.25">
      <c r="A3373">
        <v>20151106</v>
      </c>
      <c r="B3373" t="str">
        <f>"061052"</f>
        <v>061052</v>
      </c>
      <c r="C3373" t="str">
        <f>"62340"</f>
        <v>62340</v>
      </c>
      <c r="D3373" t="s">
        <v>1911</v>
      </c>
      <c r="E3373" s="3">
        <v>4135.32</v>
      </c>
      <c r="F3373">
        <v>20151103</v>
      </c>
      <c r="G3373" t="s">
        <v>1912</v>
      </c>
      <c r="H3373" t="s">
        <v>2480</v>
      </c>
      <c r="I3373">
        <v>0</v>
      </c>
      <c r="J3373" t="s">
        <v>1709</v>
      </c>
      <c r="K3373" t="s">
        <v>1861</v>
      </c>
      <c r="L3373" t="s">
        <v>285</v>
      </c>
      <c r="M3373" t="str">
        <f t="shared" si="215"/>
        <v>11</v>
      </c>
      <c r="N3373" t="s">
        <v>12</v>
      </c>
    </row>
    <row r="3374" spans="1:14" x14ac:dyDescent="0.25">
      <c r="A3374">
        <v>20151106</v>
      </c>
      <c r="B3374" t="str">
        <f>"061055"</f>
        <v>061055</v>
      </c>
      <c r="C3374" t="str">
        <f>"67744"</f>
        <v>67744</v>
      </c>
      <c r="D3374" t="s">
        <v>2924</v>
      </c>
      <c r="E3374" s="3">
        <v>127.76</v>
      </c>
      <c r="F3374">
        <v>20151103</v>
      </c>
      <c r="G3374" t="s">
        <v>2925</v>
      </c>
      <c r="H3374" t="s">
        <v>2926</v>
      </c>
      <c r="I3374">
        <v>0</v>
      </c>
      <c r="J3374" t="s">
        <v>1709</v>
      </c>
      <c r="K3374" t="s">
        <v>33</v>
      </c>
      <c r="L3374" t="s">
        <v>285</v>
      </c>
      <c r="M3374" t="str">
        <f t="shared" si="215"/>
        <v>11</v>
      </c>
      <c r="N3374" t="s">
        <v>12</v>
      </c>
    </row>
    <row r="3375" spans="1:14" x14ac:dyDescent="0.25">
      <c r="A3375">
        <v>20151106</v>
      </c>
      <c r="B3375" t="str">
        <f>"061056"</f>
        <v>061056</v>
      </c>
      <c r="C3375" t="str">
        <f>"69011"</f>
        <v>69011</v>
      </c>
      <c r="D3375" t="s">
        <v>2927</v>
      </c>
      <c r="E3375" s="3">
        <v>210</v>
      </c>
      <c r="F3375">
        <v>20151104</v>
      </c>
      <c r="G3375" t="s">
        <v>2425</v>
      </c>
      <c r="H3375" t="s">
        <v>2928</v>
      </c>
      <c r="I3375">
        <v>0</v>
      </c>
      <c r="J3375" t="s">
        <v>1709</v>
      </c>
      <c r="K3375" t="s">
        <v>290</v>
      </c>
      <c r="L3375" t="s">
        <v>285</v>
      </c>
      <c r="M3375" t="str">
        <f t="shared" si="215"/>
        <v>11</v>
      </c>
      <c r="N3375" t="s">
        <v>12</v>
      </c>
    </row>
    <row r="3376" spans="1:14" x14ac:dyDescent="0.25">
      <c r="A3376">
        <v>20151106</v>
      </c>
      <c r="B3376" t="str">
        <f>"061056"</f>
        <v>061056</v>
      </c>
      <c r="C3376" t="str">
        <f>"69011"</f>
        <v>69011</v>
      </c>
      <c r="D3376" t="s">
        <v>2927</v>
      </c>
      <c r="E3376" s="3">
        <v>102</v>
      </c>
      <c r="F3376">
        <v>20151104</v>
      </c>
      <c r="G3376" t="s">
        <v>2929</v>
      </c>
      <c r="H3376" t="s">
        <v>2928</v>
      </c>
      <c r="I3376">
        <v>0</v>
      </c>
      <c r="J3376" t="s">
        <v>1709</v>
      </c>
      <c r="K3376" t="s">
        <v>290</v>
      </c>
      <c r="L3376" t="s">
        <v>285</v>
      </c>
      <c r="M3376" t="str">
        <f t="shared" si="215"/>
        <v>11</v>
      </c>
      <c r="N3376" t="s">
        <v>12</v>
      </c>
    </row>
    <row r="3377" spans="1:14" x14ac:dyDescent="0.25">
      <c r="A3377">
        <v>20151106</v>
      </c>
      <c r="B3377" t="str">
        <f>"061057"</f>
        <v>061057</v>
      </c>
      <c r="C3377" t="str">
        <f>"71225"</f>
        <v>71225</v>
      </c>
      <c r="D3377" t="s">
        <v>1920</v>
      </c>
      <c r="E3377" s="3">
        <v>30</v>
      </c>
      <c r="F3377">
        <v>20151103</v>
      </c>
      <c r="G3377" t="s">
        <v>1854</v>
      </c>
      <c r="H3377" t="s">
        <v>2930</v>
      </c>
      <c r="I3377">
        <v>0</v>
      </c>
      <c r="J3377" t="s">
        <v>1709</v>
      </c>
      <c r="K3377" t="s">
        <v>1856</v>
      </c>
      <c r="L3377" t="s">
        <v>285</v>
      </c>
      <c r="M3377" t="str">
        <f t="shared" si="215"/>
        <v>11</v>
      </c>
      <c r="N3377" t="s">
        <v>12</v>
      </c>
    </row>
    <row r="3378" spans="1:14" x14ac:dyDescent="0.25">
      <c r="A3378">
        <v>20151106</v>
      </c>
      <c r="B3378" t="str">
        <f>"061057"</f>
        <v>061057</v>
      </c>
      <c r="C3378" t="str">
        <f>"71225"</f>
        <v>71225</v>
      </c>
      <c r="D3378" t="s">
        <v>1920</v>
      </c>
      <c r="E3378" s="3">
        <v>18.5</v>
      </c>
      <c r="F3378">
        <v>20151103</v>
      </c>
      <c r="G3378" t="s">
        <v>2164</v>
      </c>
      <c r="H3378" t="s">
        <v>2931</v>
      </c>
      <c r="I3378">
        <v>0</v>
      </c>
      <c r="J3378" t="s">
        <v>1709</v>
      </c>
      <c r="K3378" t="s">
        <v>1861</v>
      </c>
      <c r="L3378" t="s">
        <v>285</v>
      </c>
      <c r="M3378" t="str">
        <f t="shared" si="215"/>
        <v>11</v>
      </c>
      <c r="N3378" t="s">
        <v>12</v>
      </c>
    </row>
    <row r="3379" spans="1:14" x14ac:dyDescent="0.25">
      <c r="A3379">
        <v>20151106</v>
      </c>
      <c r="B3379" t="str">
        <f>"061057"</f>
        <v>061057</v>
      </c>
      <c r="C3379" t="str">
        <f>"71225"</f>
        <v>71225</v>
      </c>
      <c r="D3379" t="s">
        <v>1920</v>
      </c>
      <c r="E3379" s="3">
        <v>18.5</v>
      </c>
      <c r="F3379">
        <v>20151103</v>
      </c>
      <c r="G3379" t="s">
        <v>2164</v>
      </c>
      <c r="H3379" t="s">
        <v>2932</v>
      </c>
      <c r="I3379">
        <v>0</v>
      </c>
      <c r="J3379" t="s">
        <v>1709</v>
      </c>
      <c r="K3379" t="s">
        <v>1861</v>
      </c>
      <c r="L3379" t="s">
        <v>285</v>
      </c>
      <c r="M3379" t="str">
        <f t="shared" si="215"/>
        <v>11</v>
      </c>
      <c r="N3379" t="s">
        <v>12</v>
      </c>
    </row>
    <row r="3380" spans="1:14" x14ac:dyDescent="0.25">
      <c r="A3380">
        <v>20151106</v>
      </c>
      <c r="B3380" t="str">
        <f>"061058"</f>
        <v>061058</v>
      </c>
      <c r="C3380" t="str">
        <f>"72340"</f>
        <v>72340</v>
      </c>
      <c r="D3380" t="s">
        <v>1762</v>
      </c>
      <c r="E3380" s="3">
        <v>315.2</v>
      </c>
      <c r="F3380">
        <v>20151103</v>
      </c>
      <c r="G3380" t="s">
        <v>2768</v>
      </c>
      <c r="H3380" t="s">
        <v>2933</v>
      </c>
      <c r="I3380">
        <v>0</v>
      </c>
      <c r="J3380" t="s">
        <v>1709</v>
      </c>
      <c r="K3380" t="s">
        <v>1861</v>
      </c>
      <c r="L3380" t="s">
        <v>285</v>
      </c>
      <c r="M3380" t="str">
        <f t="shared" si="215"/>
        <v>11</v>
      </c>
      <c r="N3380" t="s">
        <v>12</v>
      </c>
    </row>
    <row r="3381" spans="1:14" x14ac:dyDescent="0.25">
      <c r="A3381">
        <v>20151106</v>
      </c>
      <c r="B3381" t="str">
        <f>"061059"</f>
        <v>061059</v>
      </c>
      <c r="C3381" t="str">
        <f>"72730"</f>
        <v>72730</v>
      </c>
      <c r="D3381" t="s">
        <v>1926</v>
      </c>
      <c r="E3381" s="3">
        <v>940.28</v>
      </c>
      <c r="F3381">
        <v>20151103</v>
      </c>
      <c r="G3381" t="s">
        <v>1974</v>
      </c>
      <c r="H3381" t="s">
        <v>2169</v>
      </c>
      <c r="I3381">
        <v>0</v>
      </c>
      <c r="J3381" t="s">
        <v>1709</v>
      </c>
      <c r="K3381" t="s">
        <v>290</v>
      </c>
      <c r="L3381" t="s">
        <v>285</v>
      </c>
      <c r="M3381" t="str">
        <f t="shared" si="215"/>
        <v>11</v>
      </c>
      <c r="N3381" t="s">
        <v>12</v>
      </c>
    </row>
    <row r="3382" spans="1:14" x14ac:dyDescent="0.25">
      <c r="A3382">
        <v>20151106</v>
      </c>
      <c r="B3382" t="str">
        <f>"061059"</f>
        <v>061059</v>
      </c>
      <c r="C3382" t="str">
        <f>"72730"</f>
        <v>72730</v>
      </c>
      <c r="D3382" t="s">
        <v>1926</v>
      </c>
      <c r="E3382" s="3">
        <v>149.1</v>
      </c>
      <c r="F3382">
        <v>20151103</v>
      </c>
      <c r="G3382" t="s">
        <v>1974</v>
      </c>
      <c r="H3382" t="s">
        <v>2934</v>
      </c>
      <c r="I3382">
        <v>0</v>
      </c>
      <c r="J3382" t="s">
        <v>1709</v>
      </c>
      <c r="K3382" t="s">
        <v>290</v>
      </c>
      <c r="L3382" t="s">
        <v>285</v>
      </c>
      <c r="M3382" t="str">
        <f t="shared" si="215"/>
        <v>11</v>
      </c>
      <c r="N3382" t="s">
        <v>12</v>
      </c>
    </row>
    <row r="3383" spans="1:14" x14ac:dyDescent="0.25">
      <c r="A3383">
        <v>20151106</v>
      </c>
      <c r="B3383" t="str">
        <f>"061062"</f>
        <v>061062</v>
      </c>
      <c r="C3383" t="str">
        <f>"78309"</f>
        <v>78309</v>
      </c>
      <c r="D3383" t="s">
        <v>2393</v>
      </c>
      <c r="E3383" s="3">
        <v>323</v>
      </c>
      <c r="F3383">
        <v>20151103</v>
      </c>
      <c r="G3383" t="s">
        <v>2214</v>
      </c>
      <c r="H3383" t="s">
        <v>2935</v>
      </c>
      <c r="I3383">
        <v>0</v>
      </c>
      <c r="J3383" t="s">
        <v>1709</v>
      </c>
      <c r="K3383" t="s">
        <v>33</v>
      </c>
      <c r="L3383" t="s">
        <v>285</v>
      </c>
      <c r="M3383" t="str">
        <f t="shared" ref="M3383:M3446" si="218">"11"</f>
        <v>11</v>
      </c>
      <c r="N3383" t="s">
        <v>12</v>
      </c>
    </row>
    <row r="3384" spans="1:14" x14ac:dyDescent="0.25">
      <c r="A3384">
        <v>20151106</v>
      </c>
      <c r="B3384" t="str">
        <f>"061062"</f>
        <v>061062</v>
      </c>
      <c r="C3384" t="str">
        <f>"78309"</f>
        <v>78309</v>
      </c>
      <c r="D3384" t="s">
        <v>2393</v>
      </c>
      <c r="E3384" s="3">
        <v>323</v>
      </c>
      <c r="F3384">
        <v>20151103</v>
      </c>
      <c r="G3384" t="s">
        <v>2214</v>
      </c>
      <c r="H3384" t="s">
        <v>2936</v>
      </c>
      <c r="I3384">
        <v>0</v>
      </c>
      <c r="J3384" t="s">
        <v>1709</v>
      </c>
      <c r="K3384" t="s">
        <v>33</v>
      </c>
      <c r="L3384" t="s">
        <v>285</v>
      </c>
      <c r="M3384" t="str">
        <f t="shared" si="218"/>
        <v>11</v>
      </c>
      <c r="N3384" t="s">
        <v>12</v>
      </c>
    </row>
    <row r="3385" spans="1:14" x14ac:dyDescent="0.25">
      <c r="A3385">
        <v>20151106</v>
      </c>
      <c r="B3385" t="str">
        <f t="shared" ref="B3385:B3390" si="219">"061063"</f>
        <v>061063</v>
      </c>
      <c r="C3385" t="str">
        <f t="shared" ref="C3385:C3390" si="220">"78311"</f>
        <v>78311</v>
      </c>
      <c r="D3385" t="s">
        <v>458</v>
      </c>
      <c r="E3385" s="3">
        <v>43.51</v>
      </c>
      <c r="F3385">
        <v>20151104</v>
      </c>
      <c r="G3385" t="s">
        <v>1710</v>
      </c>
      <c r="H3385" t="s">
        <v>2186</v>
      </c>
      <c r="I3385">
        <v>0</v>
      </c>
      <c r="J3385" t="s">
        <v>1709</v>
      </c>
      <c r="K3385" t="s">
        <v>290</v>
      </c>
      <c r="L3385" t="s">
        <v>285</v>
      </c>
      <c r="M3385" t="str">
        <f t="shared" si="218"/>
        <v>11</v>
      </c>
      <c r="N3385" t="s">
        <v>12</v>
      </c>
    </row>
    <row r="3386" spans="1:14" x14ac:dyDescent="0.25">
      <c r="A3386">
        <v>20151106</v>
      </c>
      <c r="B3386" t="str">
        <f t="shared" si="219"/>
        <v>061063</v>
      </c>
      <c r="C3386" t="str">
        <f t="shared" si="220"/>
        <v>78311</v>
      </c>
      <c r="D3386" t="s">
        <v>458</v>
      </c>
      <c r="E3386" s="3">
        <v>23.69</v>
      </c>
      <c r="F3386">
        <v>20151104</v>
      </c>
      <c r="G3386" t="s">
        <v>1710</v>
      </c>
      <c r="H3386" t="s">
        <v>1801</v>
      </c>
      <c r="I3386">
        <v>0</v>
      </c>
      <c r="J3386" t="s">
        <v>1709</v>
      </c>
      <c r="K3386" t="s">
        <v>290</v>
      </c>
      <c r="L3386" t="s">
        <v>285</v>
      </c>
      <c r="M3386" t="str">
        <f t="shared" si="218"/>
        <v>11</v>
      </c>
      <c r="N3386" t="s">
        <v>12</v>
      </c>
    </row>
    <row r="3387" spans="1:14" x14ac:dyDescent="0.25">
      <c r="A3387">
        <v>20151106</v>
      </c>
      <c r="B3387" t="str">
        <f t="shared" si="219"/>
        <v>061063</v>
      </c>
      <c r="C3387" t="str">
        <f t="shared" si="220"/>
        <v>78311</v>
      </c>
      <c r="D3387" t="s">
        <v>458</v>
      </c>
      <c r="E3387" s="3">
        <v>17.57</v>
      </c>
      <c r="F3387">
        <v>20151104</v>
      </c>
      <c r="G3387" t="s">
        <v>1710</v>
      </c>
      <c r="H3387" t="s">
        <v>2919</v>
      </c>
      <c r="I3387">
        <v>0</v>
      </c>
      <c r="J3387" t="s">
        <v>1709</v>
      </c>
      <c r="K3387" t="s">
        <v>290</v>
      </c>
      <c r="L3387" t="s">
        <v>285</v>
      </c>
      <c r="M3387" t="str">
        <f t="shared" si="218"/>
        <v>11</v>
      </c>
      <c r="N3387" t="s">
        <v>12</v>
      </c>
    </row>
    <row r="3388" spans="1:14" x14ac:dyDescent="0.25">
      <c r="A3388">
        <v>20151106</v>
      </c>
      <c r="B3388" t="str">
        <f t="shared" si="219"/>
        <v>061063</v>
      </c>
      <c r="C3388" t="str">
        <f t="shared" si="220"/>
        <v>78311</v>
      </c>
      <c r="D3388" t="s">
        <v>458</v>
      </c>
      <c r="E3388" s="3">
        <v>25.72</v>
      </c>
      <c r="F3388">
        <v>20151104</v>
      </c>
      <c r="G3388" t="s">
        <v>1710</v>
      </c>
      <c r="H3388" t="s">
        <v>1801</v>
      </c>
      <c r="I3388">
        <v>0</v>
      </c>
      <c r="J3388" t="s">
        <v>1709</v>
      </c>
      <c r="K3388" t="s">
        <v>290</v>
      </c>
      <c r="L3388" t="s">
        <v>285</v>
      </c>
      <c r="M3388" t="str">
        <f t="shared" si="218"/>
        <v>11</v>
      </c>
      <c r="N3388" t="s">
        <v>12</v>
      </c>
    </row>
    <row r="3389" spans="1:14" x14ac:dyDescent="0.25">
      <c r="A3389">
        <v>20151106</v>
      </c>
      <c r="B3389" t="str">
        <f t="shared" si="219"/>
        <v>061063</v>
      </c>
      <c r="C3389" t="str">
        <f t="shared" si="220"/>
        <v>78311</v>
      </c>
      <c r="D3389" t="s">
        <v>458</v>
      </c>
      <c r="E3389" s="3">
        <v>19.62</v>
      </c>
      <c r="F3389">
        <v>20151104</v>
      </c>
      <c r="G3389" t="s">
        <v>1880</v>
      </c>
      <c r="H3389" t="s">
        <v>2221</v>
      </c>
      <c r="I3389">
        <v>0</v>
      </c>
      <c r="J3389" t="s">
        <v>1709</v>
      </c>
      <c r="K3389" t="s">
        <v>1882</v>
      </c>
      <c r="L3389" t="s">
        <v>285</v>
      </c>
      <c r="M3389" t="str">
        <f t="shared" si="218"/>
        <v>11</v>
      </c>
      <c r="N3389" t="s">
        <v>12</v>
      </c>
    </row>
    <row r="3390" spans="1:14" x14ac:dyDescent="0.25">
      <c r="A3390">
        <v>20151106</v>
      </c>
      <c r="B3390" t="str">
        <f t="shared" si="219"/>
        <v>061063</v>
      </c>
      <c r="C3390" t="str">
        <f t="shared" si="220"/>
        <v>78311</v>
      </c>
      <c r="D3390" t="s">
        <v>458</v>
      </c>
      <c r="E3390" s="3">
        <v>6.63</v>
      </c>
      <c r="F3390">
        <v>20151104</v>
      </c>
      <c r="G3390" t="s">
        <v>1880</v>
      </c>
      <c r="H3390" t="s">
        <v>2221</v>
      </c>
      <c r="I3390">
        <v>0</v>
      </c>
      <c r="J3390" t="s">
        <v>1709</v>
      </c>
      <c r="K3390" t="s">
        <v>1882</v>
      </c>
      <c r="L3390" t="s">
        <v>285</v>
      </c>
      <c r="M3390" t="str">
        <f t="shared" si="218"/>
        <v>11</v>
      </c>
      <c r="N3390" t="s">
        <v>12</v>
      </c>
    </row>
    <row r="3391" spans="1:14" x14ac:dyDescent="0.25">
      <c r="A3391">
        <v>20151106</v>
      </c>
      <c r="B3391" t="str">
        <f>"061064"</f>
        <v>061064</v>
      </c>
      <c r="C3391" t="str">
        <f>"80612"</f>
        <v>80612</v>
      </c>
      <c r="D3391" t="s">
        <v>2937</v>
      </c>
      <c r="E3391" s="3">
        <v>51.03</v>
      </c>
      <c r="F3391">
        <v>20151105</v>
      </c>
      <c r="G3391" t="s">
        <v>2938</v>
      </c>
      <c r="H3391" t="s">
        <v>2939</v>
      </c>
      <c r="I3391">
        <v>0</v>
      </c>
      <c r="J3391" t="s">
        <v>1709</v>
      </c>
      <c r="K3391" t="s">
        <v>133</v>
      </c>
      <c r="L3391" t="s">
        <v>285</v>
      </c>
      <c r="M3391" t="str">
        <f t="shared" si="218"/>
        <v>11</v>
      </c>
      <c r="N3391" t="s">
        <v>12</v>
      </c>
    </row>
    <row r="3392" spans="1:14" x14ac:dyDescent="0.25">
      <c r="A3392">
        <v>20151106</v>
      </c>
      <c r="B3392" t="str">
        <f>"061064"</f>
        <v>061064</v>
      </c>
      <c r="C3392" t="str">
        <f>"80612"</f>
        <v>80612</v>
      </c>
      <c r="D3392" t="s">
        <v>2937</v>
      </c>
      <c r="E3392" s="3">
        <v>88.26</v>
      </c>
      <c r="F3392">
        <v>20151105</v>
      </c>
      <c r="G3392" t="s">
        <v>2938</v>
      </c>
      <c r="H3392" t="s">
        <v>2940</v>
      </c>
      <c r="I3392">
        <v>0</v>
      </c>
      <c r="J3392" t="s">
        <v>1709</v>
      </c>
      <c r="K3392" t="s">
        <v>133</v>
      </c>
      <c r="L3392" t="s">
        <v>285</v>
      </c>
      <c r="M3392" t="str">
        <f t="shared" si="218"/>
        <v>11</v>
      </c>
      <c r="N3392" t="s">
        <v>12</v>
      </c>
    </row>
    <row r="3393" spans="1:14" x14ac:dyDescent="0.25">
      <c r="A3393">
        <v>20151106</v>
      </c>
      <c r="B3393" t="str">
        <f>"061065"</f>
        <v>061065</v>
      </c>
      <c r="C3393" t="str">
        <f>"80611"</f>
        <v>80611</v>
      </c>
      <c r="D3393" t="s">
        <v>1796</v>
      </c>
      <c r="E3393" s="3">
        <v>2208.35</v>
      </c>
      <c r="F3393">
        <v>20151105</v>
      </c>
      <c r="G3393" t="s">
        <v>2414</v>
      </c>
      <c r="H3393" t="s">
        <v>1843</v>
      </c>
      <c r="I3393">
        <v>0</v>
      </c>
      <c r="J3393" t="s">
        <v>1709</v>
      </c>
      <c r="K3393" t="s">
        <v>133</v>
      </c>
      <c r="L3393" t="s">
        <v>285</v>
      </c>
      <c r="M3393" t="str">
        <f t="shared" si="218"/>
        <v>11</v>
      </c>
      <c r="N3393" t="s">
        <v>12</v>
      </c>
    </row>
    <row r="3394" spans="1:14" x14ac:dyDescent="0.25">
      <c r="A3394">
        <v>20151106</v>
      </c>
      <c r="B3394" t="str">
        <f>"061066"</f>
        <v>061066</v>
      </c>
      <c r="C3394" t="str">
        <f>"80755"</f>
        <v>80755</v>
      </c>
      <c r="D3394" t="s">
        <v>723</v>
      </c>
      <c r="E3394" s="3">
        <v>590.5</v>
      </c>
      <c r="F3394">
        <v>20151103</v>
      </c>
      <c r="G3394" t="s">
        <v>2941</v>
      </c>
      <c r="H3394" t="s">
        <v>2942</v>
      </c>
      <c r="I3394">
        <v>0</v>
      </c>
      <c r="J3394" t="s">
        <v>1709</v>
      </c>
      <c r="K3394" t="s">
        <v>95</v>
      </c>
      <c r="L3394" t="s">
        <v>285</v>
      </c>
      <c r="M3394" t="str">
        <f t="shared" si="218"/>
        <v>11</v>
      </c>
      <c r="N3394" t="s">
        <v>12</v>
      </c>
    </row>
    <row r="3395" spans="1:14" x14ac:dyDescent="0.25">
      <c r="A3395">
        <v>20151106</v>
      </c>
      <c r="B3395" t="str">
        <f>"061067"</f>
        <v>061067</v>
      </c>
      <c r="C3395" t="str">
        <f>"81299"</f>
        <v>81299</v>
      </c>
      <c r="D3395" t="s">
        <v>2415</v>
      </c>
      <c r="E3395" s="3">
        <v>165</v>
      </c>
      <c r="F3395">
        <v>20151103</v>
      </c>
      <c r="G3395" t="s">
        <v>2943</v>
      </c>
      <c r="H3395" t="s">
        <v>2944</v>
      </c>
      <c r="I3395">
        <v>0</v>
      </c>
      <c r="J3395" t="s">
        <v>1709</v>
      </c>
      <c r="K3395" t="s">
        <v>1856</v>
      </c>
      <c r="L3395" t="s">
        <v>285</v>
      </c>
      <c r="M3395" t="str">
        <f t="shared" si="218"/>
        <v>11</v>
      </c>
      <c r="N3395" t="s">
        <v>12</v>
      </c>
    </row>
    <row r="3396" spans="1:14" x14ac:dyDescent="0.25">
      <c r="A3396">
        <v>20151106</v>
      </c>
      <c r="B3396" t="str">
        <f>"061068"</f>
        <v>061068</v>
      </c>
      <c r="C3396" t="str">
        <f>"82168"</f>
        <v>82168</v>
      </c>
      <c r="D3396" t="s">
        <v>236</v>
      </c>
      <c r="E3396" s="3">
        <v>2092.8000000000002</v>
      </c>
      <c r="F3396">
        <v>20151104</v>
      </c>
      <c r="G3396" t="s">
        <v>2945</v>
      </c>
      <c r="H3396" t="s">
        <v>2003</v>
      </c>
      <c r="I3396">
        <v>0</v>
      </c>
      <c r="J3396" t="s">
        <v>1709</v>
      </c>
      <c r="K3396" t="s">
        <v>1775</v>
      </c>
      <c r="L3396" t="s">
        <v>285</v>
      </c>
      <c r="M3396" t="str">
        <f t="shared" si="218"/>
        <v>11</v>
      </c>
      <c r="N3396" t="s">
        <v>12</v>
      </c>
    </row>
    <row r="3397" spans="1:14" x14ac:dyDescent="0.25">
      <c r="A3397">
        <v>20151110</v>
      </c>
      <c r="B3397" t="str">
        <f>"061071"</f>
        <v>061071</v>
      </c>
      <c r="C3397" t="str">
        <f>"58986"</f>
        <v>58986</v>
      </c>
      <c r="D3397" t="s">
        <v>2946</v>
      </c>
      <c r="E3397" s="3">
        <v>1270</v>
      </c>
      <c r="F3397">
        <v>20151111</v>
      </c>
      <c r="G3397" t="s">
        <v>2947</v>
      </c>
      <c r="H3397" t="s">
        <v>2948</v>
      </c>
      <c r="I3397">
        <v>0</v>
      </c>
      <c r="J3397" t="s">
        <v>1709</v>
      </c>
      <c r="K3397" t="s">
        <v>2377</v>
      </c>
      <c r="L3397" t="s">
        <v>17</v>
      </c>
      <c r="M3397" t="str">
        <f t="shared" si="218"/>
        <v>11</v>
      </c>
      <c r="N3397" t="s">
        <v>12</v>
      </c>
    </row>
    <row r="3398" spans="1:14" x14ac:dyDescent="0.25">
      <c r="A3398">
        <v>20151113</v>
      </c>
      <c r="B3398" t="str">
        <f>"061073"</f>
        <v>061073</v>
      </c>
      <c r="C3398" t="str">
        <f>"04240"</f>
        <v>04240</v>
      </c>
      <c r="D3398" t="s">
        <v>2432</v>
      </c>
      <c r="E3398" s="3">
        <v>234.7</v>
      </c>
      <c r="F3398">
        <v>20151112</v>
      </c>
      <c r="G3398" t="s">
        <v>2228</v>
      </c>
      <c r="H3398" t="s">
        <v>2949</v>
      </c>
      <c r="I3398">
        <v>0</v>
      </c>
      <c r="J3398" t="s">
        <v>1709</v>
      </c>
      <c r="K3398" t="s">
        <v>290</v>
      </c>
      <c r="L3398" t="s">
        <v>285</v>
      </c>
      <c r="M3398" t="str">
        <f t="shared" si="218"/>
        <v>11</v>
      </c>
      <c r="N3398" t="s">
        <v>12</v>
      </c>
    </row>
    <row r="3399" spans="1:14" x14ac:dyDescent="0.25">
      <c r="A3399">
        <v>20151113</v>
      </c>
      <c r="B3399" t="str">
        <f>"061073"</f>
        <v>061073</v>
      </c>
      <c r="C3399" t="str">
        <f>"04240"</f>
        <v>04240</v>
      </c>
      <c r="D3399" t="s">
        <v>2432</v>
      </c>
      <c r="E3399" s="3">
        <v>93.44</v>
      </c>
      <c r="F3399">
        <v>20151112</v>
      </c>
      <c r="G3399" t="s">
        <v>2228</v>
      </c>
      <c r="H3399" t="s">
        <v>2950</v>
      </c>
      <c r="I3399">
        <v>0</v>
      </c>
      <c r="J3399" t="s">
        <v>1709</v>
      </c>
      <c r="K3399" t="s">
        <v>290</v>
      </c>
      <c r="L3399" t="s">
        <v>285</v>
      </c>
      <c r="M3399" t="str">
        <f t="shared" si="218"/>
        <v>11</v>
      </c>
      <c r="N3399" t="s">
        <v>12</v>
      </c>
    </row>
    <row r="3400" spans="1:14" x14ac:dyDescent="0.25">
      <c r="A3400">
        <v>20151113</v>
      </c>
      <c r="B3400" t="str">
        <f t="shared" ref="B3400:B3406" si="221">"061076"</f>
        <v>061076</v>
      </c>
      <c r="C3400" t="str">
        <f t="shared" ref="C3400:C3406" si="222">"16807"</f>
        <v>16807</v>
      </c>
      <c r="D3400" t="s">
        <v>1560</v>
      </c>
      <c r="E3400" s="3">
        <v>494.5</v>
      </c>
      <c r="F3400">
        <v>20151112</v>
      </c>
      <c r="G3400" t="s">
        <v>2228</v>
      </c>
      <c r="H3400" t="s">
        <v>2951</v>
      </c>
      <c r="I3400">
        <v>0</v>
      </c>
      <c r="J3400" t="s">
        <v>1709</v>
      </c>
      <c r="K3400" t="s">
        <v>290</v>
      </c>
      <c r="L3400" t="s">
        <v>285</v>
      </c>
      <c r="M3400" t="str">
        <f t="shared" si="218"/>
        <v>11</v>
      </c>
      <c r="N3400" t="s">
        <v>12</v>
      </c>
    </row>
    <row r="3401" spans="1:14" x14ac:dyDescent="0.25">
      <c r="A3401">
        <v>20151113</v>
      </c>
      <c r="B3401" t="str">
        <f t="shared" si="221"/>
        <v>061076</v>
      </c>
      <c r="C3401" t="str">
        <f t="shared" si="222"/>
        <v>16807</v>
      </c>
      <c r="D3401" t="s">
        <v>1560</v>
      </c>
      <c r="E3401" s="3">
        <v>-226.2</v>
      </c>
      <c r="F3401">
        <v>20151001</v>
      </c>
      <c r="G3401" t="s">
        <v>2228</v>
      </c>
      <c r="H3401" t="s">
        <v>2952</v>
      </c>
      <c r="I3401">
        <v>0</v>
      </c>
      <c r="J3401" t="s">
        <v>1709</v>
      </c>
      <c r="K3401" t="s">
        <v>290</v>
      </c>
      <c r="L3401" t="s">
        <v>1385</v>
      </c>
      <c r="M3401" t="str">
        <f t="shared" si="218"/>
        <v>11</v>
      </c>
      <c r="N3401" t="s">
        <v>12</v>
      </c>
    </row>
    <row r="3402" spans="1:14" x14ac:dyDescent="0.25">
      <c r="A3402">
        <v>20151113</v>
      </c>
      <c r="B3402" t="str">
        <f t="shared" si="221"/>
        <v>061076</v>
      </c>
      <c r="C3402" t="str">
        <f t="shared" si="222"/>
        <v>16807</v>
      </c>
      <c r="D3402" t="s">
        <v>1560</v>
      </c>
      <c r="E3402" s="3">
        <v>2133.9499999999998</v>
      </c>
      <c r="F3402">
        <v>20151112</v>
      </c>
      <c r="G3402" t="s">
        <v>2230</v>
      </c>
      <c r="H3402" t="s">
        <v>1661</v>
      </c>
      <c r="I3402">
        <v>0</v>
      </c>
      <c r="J3402" t="s">
        <v>1709</v>
      </c>
      <c r="K3402" t="s">
        <v>1643</v>
      </c>
      <c r="L3402" t="s">
        <v>285</v>
      </c>
      <c r="M3402" t="str">
        <f t="shared" si="218"/>
        <v>11</v>
      </c>
      <c r="N3402" t="s">
        <v>12</v>
      </c>
    </row>
    <row r="3403" spans="1:14" x14ac:dyDescent="0.25">
      <c r="A3403">
        <v>20151113</v>
      </c>
      <c r="B3403" t="str">
        <f t="shared" si="221"/>
        <v>061076</v>
      </c>
      <c r="C3403" t="str">
        <f t="shared" si="222"/>
        <v>16807</v>
      </c>
      <c r="D3403" t="s">
        <v>1560</v>
      </c>
      <c r="E3403" s="3">
        <v>268.75</v>
      </c>
      <c r="F3403">
        <v>20151112</v>
      </c>
      <c r="G3403" t="s">
        <v>2230</v>
      </c>
      <c r="H3403" t="s">
        <v>2953</v>
      </c>
      <c r="I3403">
        <v>0</v>
      </c>
      <c r="J3403" t="s">
        <v>1709</v>
      </c>
      <c r="K3403" t="s">
        <v>1643</v>
      </c>
      <c r="L3403" t="s">
        <v>285</v>
      </c>
      <c r="M3403" t="str">
        <f t="shared" si="218"/>
        <v>11</v>
      </c>
      <c r="N3403" t="s">
        <v>12</v>
      </c>
    </row>
    <row r="3404" spans="1:14" x14ac:dyDescent="0.25">
      <c r="A3404">
        <v>20151113</v>
      </c>
      <c r="B3404" t="str">
        <f t="shared" si="221"/>
        <v>061076</v>
      </c>
      <c r="C3404" t="str">
        <f t="shared" si="222"/>
        <v>16807</v>
      </c>
      <c r="D3404" t="s">
        <v>1560</v>
      </c>
      <c r="E3404" s="3">
        <v>96.66</v>
      </c>
      <c r="F3404">
        <v>20151112</v>
      </c>
      <c r="G3404" t="s">
        <v>2230</v>
      </c>
      <c r="H3404" t="s">
        <v>2954</v>
      </c>
      <c r="I3404">
        <v>0</v>
      </c>
      <c r="J3404" t="s">
        <v>1709</v>
      </c>
      <c r="K3404" t="s">
        <v>1643</v>
      </c>
      <c r="L3404" t="s">
        <v>285</v>
      </c>
      <c r="M3404" t="str">
        <f t="shared" si="218"/>
        <v>11</v>
      </c>
      <c r="N3404" t="s">
        <v>12</v>
      </c>
    </row>
    <row r="3405" spans="1:14" x14ac:dyDescent="0.25">
      <c r="A3405">
        <v>20151113</v>
      </c>
      <c r="B3405" t="str">
        <f t="shared" si="221"/>
        <v>061076</v>
      </c>
      <c r="C3405" t="str">
        <f t="shared" si="222"/>
        <v>16807</v>
      </c>
      <c r="D3405" t="s">
        <v>1560</v>
      </c>
      <c r="E3405" s="3">
        <v>-226.2</v>
      </c>
      <c r="F3405">
        <v>20151001</v>
      </c>
      <c r="G3405" t="s">
        <v>2230</v>
      </c>
      <c r="H3405" t="s">
        <v>2955</v>
      </c>
      <c r="I3405">
        <v>0</v>
      </c>
      <c r="J3405" t="s">
        <v>1709</v>
      </c>
      <c r="K3405" t="s">
        <v>1643</v>
      </c>
      <c r="L3405" t="s">
        <v>1385</v>
      </c>
      <c r="M3405" t="str">
        <f t="shared" si="218"/>
        <v>11</v>
      </c>
      <c r="N3405" t="s">
        <v>12</v>
      </c>
    </row>
    <row r="3406" spans="1:14" x14ac:dyDescent="0.25">
      <c r="A3406">
        <v>20151113</v>
      </c>
      <c r="B3406" t="str">
        <f t="shared" si="221"/>
        <v>061076</v>
      </c>
      <c r="C3406" t="str">
        <f t="shared" si="222"/>
        <v>16807</v>
      </c>
      <c r="D3406" t="s">
        <v>1560</v>
      </c>
      <c r="E3406" s="3">
        <v>928.6</v>
      </c>
      <c r="F3406">
        <v>20151112</v>
      </c>
      <c r="G3406" t="s">
        <v>2956</v>
      </c>
      <c r="H3406" t="s">
        <v>2957</v>
      </c>
      <c r="I3406">
        <v>0</v>
      </c>
      <c r="J3406" t="s">
        <v>1709</v>
      </c>
      <c r="K3406" t="s">
        <v>95</v>
      </c>
      <c r="L3406" t="s">
        <v>285</v>
      </c>
      <c r="M3406" t="str">
        <f t="shared" si="218"/>
        <v>11</v>
      </c>
      <c r="N3406" t="s">
        <v>12</v>
      </c>
    </row>
    <row r="3407" spans="1:14" x14ac:dyDescent="0.25">
      <c r="A3407">
        <v>20151113</v>
      </c>
      <c r="B3407" t="str">
        <f t="shared" ref="B3407:B3418" si="223">"061077"</f>
        <v>061077</v>
      </c>
      <c r="C3407" t="str">
        <f t="shared" ref="C3407:C3418" si="224">"20706"</f>
        <v>20706</v>
      </c>
      <c r="D3407" t="s">
        <v>1823</v>
      </c>
      <c r="E3407" s="3">
        <v>15706.72</v>
      </c>
      <c r="F3407">
        <v>20151112</v>
      </c>
      <c r="G3407" t="s">
        <v>2235</v>
      </c>
      <c r="H3407" t="s">
        <v>2958</v>
      </c>
      <c r="I3407">
        <v>0</v>
      </c>
      <c r="J3407" t="s">
        <v>1709</v>
      </c>
      <c r="K3407" t="s">
        <v>290</v>
      </c>
      <c r="L3407" t="s">
        <v>285</v>
      </c>
      <c r="M3407" t="str">
        <f t="shared" si="218"/>
        <v>11</v>
      </c>
      <c r="N3407" t="s">
        <v>12</v>
      </c>
    </row>
    <row r="3408" spans="1:14" x14ac:dyDescent="0.25">
      <c r="A3408">
        <v>20151113</v>
      </c>
      <c r="B3408" t="str">
        <f t="shared" si="223"/>
        <v>061077</v>
      </c>
      <c r="C3408" t="str">
        <f t="shared" si="224"/>
        <v>20706</v>
      </c>
      <c r="D3408" t="s">
        <v>1823</v>
      </c>
      <c r="E3408" s="3">
        <v>62.81</v>
      </c>
      <c r="F3408">
        <v>20151112</v>
      </c>
      <c r="G3408" t="s">
        <v>2237</v>
      </c>
      <c r="H3408" t="s">
        <v>2959</v>
      </c>
      <c r="I3408">
        <v>0</v>
      </c>
      <c r="J3408" t="s">
        <v>1709</v>
      </c>
      <c r="K3408" t="s">
        <v>1558</v>
      </c>
      <c r="L3408" t="s">
        <v>285</v>
      </c>
      <c r="M3408" t="str">
        <f t="shared" si="218"/>
        <v>11</v>
      </c>
      <c r="N3408" t="s">
        <v>12</v>
      </c>
    </row>
    <row r="3409" spans="1:14" x14ac:dyDescent="0.25">
      <c r="A3409">
        <v>20151113</v>
      </c>
      <c r="B3409" t="str">
        <f t="shared" si="223"/>
        <v>061077</v>
      </c>
      <c r="C3409" t="str">
        <f t="shared" si="224"/>
        <v>20706</v>
      </c>
      <c r="D3409" t="s">
        <v>1823</v>
      </c>
      <c r="E3409" s="3">
        <v>1226.9100000000001</v>
      </c>
      <c r="F3409">
        <v>20151112</v>
      </c>
      <c r="G3409" t="s">
        <v>2239</v>
      </c>
      <c r="H3409" t="s">
        <v>2960</v>
      </c>
      <c r="I3409">
        <v>0</v>
      </c>
      <c r="J3409" t="s">
        <v>1709</v>
      </c>
      <c r="K3409" t="s">
        <v>95</v>
      </c>
      <c r="L3409" t="s">
        <v>285</v>
      </c>
      <c r="M3409" t="str">
        <f t="shared" si="218"/>
        <v>11</v>
      </c>
      <c r="N3409" t="s">
        <v>12</v>
      </c>
    </row>
    <row r="3410" spans="1:14" x14ac:dyDescent="0.25">
      <c r="A3410">
        <v>20151113</v>
      </c>
      <c r="B3410" t="str">
        <f t="shared" si="223"/>
        <v>061077</v>
      </c>
      <c r="C3410" t="str">
        <f t="shared" si="224"/>
        <v>20706</v>
      </c>
      <c r="D3410" t="s">
        <v>1823</v>
      </c>
      <c r="E3410" s="3">
        <v>9094.09</v>
      </c>
      <c r="F3410">
        <v>20151112</v>
      </c>
      <c r="G3410" t="s">
        <v>2241</v>
      </c>
      <c r="H3410" t="s">
        <v>2961</v>
      </c>
      <c r="I3410">
        <v>0</v>
      </c>
      <c r="J3410" t="s">
        <v>1709</v>
      </c>
      <c r="K3410" t="s">
        <v>1643</v>
      </c>
      <c r="L3410" t="s">
        <v>285</v>
      </c>
      <c r="M3410" t="str">
        <f t="shared" si="218"/>
        <v>11</v>
      </c>
      <c r="N3410" t="s">
        <v>12</v>
      </c>
    </row>
    <row r="3411" spans="1:14" x14ac:dyDescent="0.25">
      <c r="A3411">
        <v>20151113</v>
      </c>
      <c r="B3411" t="str">
        <f t="shared" si="223"/>
        <v>061077</v>
      </c>
      <c r="C3411" t="str">
        <f t="shared" si="224"/>
        <v>20706</v>
      </c>
      <c r="D3411" t="s">
        <v>1823</v>
      </c>
      <c r="E3411" s="3">
        <v>1712.29</v>
      </c>
      <c r="F3411">
        <v>20151112</v>
      </c>
      <c r="G3411" t="s">
        <v>2243</v>
      </c>
      <c r="H3411" t="s">
        <v>2962</v>
      </c>
      <c r="I3411">
        <v>0</v>
      </c>
      <c r="J3411" t="s">
        <v>1709</v>
      </c>
      <c r="K3411" t="s">
        <v>33</v>
      </c>
      <c r="L3411" t="s">
        <v>285</v>
      </c>
      <c r="M3411" t="str">
        <f t="shared" si="218"/>
        <v>11</v>
      </c>
      <c r="N3411" t="s">
        <v>12</v>
      </c>
    </row>
    <row r="3412" spans="1:14" x14ac:dyDescent="0.25">
      <c r="A3412">
        <v>20151113</v>
      </c>
      <c r="B3412" t="str">
        <f t="shared" si="223"/>
        <v>061077</v>
      </c>
      <c r="C3412" t="str">
        <f t="shared" si="224"/>
        <v>20706</v>
      </c>
      <c r="D3412" t="s">
        <v>1823</v>
      </c>
      <c r="E3412" s="3">
        <v>467.2</v>
      </c>
      <c r="F3412">
        <v>20151112</v>
      </c>
      <c r="G3412" t="s">
        <v>2245</v>
      </c>
      <c r="H3412" t="s">
        <v>2963</v>
      </c>
      <c r="I3412">
        <v>0</v>
      </c>
      <c r="J3412" t="s">
        <v>1709</v>
      </c>
      <c r="K3412" t="s">
        <v>2247</v>
      </c>
      <c r="L3412" t="s">
        <v>285</v>
      </c>
      <c r="M3412" t="str">
        <f t="shared" si="218"/>
        <v>11</v>
      </c>
      <c r="N3412" t="s">
        <v>12</v>
      </c>
    </row>
    <row r="3413" spans="1:14" x14ac:dyDescent="0.25">
      <c r="A3413">
        <v>20151113</v>
      </c>
      <c r="B3413" t="str">
        <f t="shared" si="223"/>
        <v>061077</v>
      </c>
      <c r="C3413" t="str">
        <f t="shared" si="224"/>
        <v>20706</v>
      </c>
      <c r="D3413" t="s">
        <v>1823</v>
      </c>
      <c r="E3413" s="3">
        <v>110.02</v>
      </c>
      <c r="F3413">
        <v>20151112</v>
      </c>
      <c r="G3413" t="s">
        <v>2248</v>
      </c>
      <c r="H3413" t="s">
        <v>2964</v>
      </c>
      <c r="I3413">
        <v>0</v>
      </c>
      <c r="J3413" t="s">
        <v>1709</v>
      </c>
      <c r="K3413" t="s">
        <v>1861</v>
      </c>
      <c r="L3413" t="s">
        <v>285</v>
      </c>
      <c r="M3413" t="str">
        <f t="shared" si="218"/>
        <v>11</v>
      </c>
      <c r="N3413" t="s">
        <v>12</v>
      </c>
    </row>
    <row r="3414" spans="1:14" x14ac:dyDescent="0.25">
      <c r="A3414">
        <v>20151113</v>
      </c>
      <c r="B3414" t="str">
        <f t="shared" si="223"/>
        <v>061077</v>
      </c>
      <c r="C3414" t="str">
        <f t="shared" si="224"/>
        <v>20706</v>
      </c>
      <c r="D3414" t="s">
        <v>1823</v>
      </c>
      <c r="E3414" s="3">
        <v>9631.09</v>
      </c>
      <c r="F3414">
        <v>20151112</v>
      </c>
      <c r="G3414" t="s">
        <v>2250</v>
      </c>
      <c r="H3414" t="s">
        <v>2965</v>
      </c>
      <c r="I3414">
        <v>0</v>
      </c>
      <c r="J3414" t="s">
        <v>1709</v>
      </c>
      <c r="K3414" t="s">
        <v>2252</v>
      </c>
      <c r="L3414" t="s">
        <v>285</v>
      </c>
      <c r="M3414" t="str">
        <f t="shared" si="218"/>
        <v>11</v>
      </c>
      <c r="N3414" t="s">
        <v>12</v>
      </c>
    </row>
    <row r="3415" spans="1:14" x14ac:dyDescent="0.25">
      <c r="A3415">
        <v>20151113</v>
      </c>
      <c r="B3415" t="str">
        <f t="shared" si="223"/>
        <v>061077</v>
      </c>
      <c r="C3415" t="str">
        <f t="shared" si="224"/>
        <v>20706</v>
      </c>
      <c r="D3415" t="s">
        <v>1823</v>
      </c>
      <c r="E3415" s="3">
        <v>811.69</v>
      </c>
      <c r="F3415">
        <v>20151112</v>
      </c>
      <c r="G3415" t="s">
        <v>2253</v>
      </c>
      <c r="H3415" t="s">
        <v>2966</v>
      </c>
      <c r="I3415">
        <v>0</v>
      </c>
      <c r="J3415" t="s">
        <v>1709</v>
      </c>
      <c r="K3415" t="s">
        <v>290</v>
      </c>
      <c r="L3415" t="s">
        <v>285</v>
      </c>
      <c r="M3415" t="str">
        <f t="shared" si="218"/>
        <v>11</v>
      </c>
      <c r="N3415" t="s">
        <v>12</v>
      </c>
    </row>
    <row r="3416" spans="1:14" x14ac:dyDescent="0.25">
      <c r="A3416">
        <v>20151113</v>
      </c>
      <c r="B3416" t="str">
        <f t="shared" si="223"/>
        <v>061077</v>
      </c>
      <c r="C3416" t="str">
        <f t="shared" si="224"/>
        <v>20706</v>
      </c>
      <c r="D3416" t="s">
        <v>1823</v>
      </c>
      <c r="E3416" s="3">
        <v>291.35000000000002</v>
      </c>
      <c r="F3416">
        <v>20151112</v>
      </c>
      <c r="G3416" t="s">
        <v>2255</v>
      </c>
      <c r="H3416" t="s">
        <v>2967</v>
      </c>
      <c r="I3416">
        <v>0</v>
      </c>
      <c r="J3416" t="s">
        <v>1709</v>
      </c>
      <c r="K3416" t="s">
        <v>95</v>
      </c>
      <c r="L3416" t="s">
        <v>285</v>
      </c>
      <c r="M3416" t="str">
        <f t="shared" si="218"/>
        <v>11</v>
      </c>
      <c r="N3416" t="s">
        <v>12</v>
      </c>
    </row>
    <row r="3417" spans="1:14" x14ac:dyDescent="0.25">
      <c r="A3417">
        <v>20151113</v>
      </c>
      <c r="B3417" t="str">
        <f t="shared" si="223"/>
        <v>061077</v>
      </c>
      <c r="C3417" t="str">
        <f t="shared" si="224"/>
        <v>20706</v>
      </c>
      <c r="D3417" t="s">
        <v>1823</v>
      </c>
      <c r="E3417" s="3">
        <v>377.75</v>
      </c>
      <c r="F3417">
        <v>20151112</v>
      </c>
      <c r="G3417" t="s">
        <v>2257</v>
      </c>
      <c r="H3417" t="s">
        <v>2968</v>
      </c>
      <c r="I3417">
        <v>0</v>
      </c>
      <c r="J3417" t="s">
        <v>1709</v>
      </c>
      <c r="K3417" t="s">
        <v>1643</v>
      </c>
      <c r="L3417" t="s">
        <v>285</v>
      </c>
      <c r="M3417" t="str">
        <f t="shared" si="218"/>
        <v>11</v>
      </c>
      <c r="N3417" t="s">
        <v>12</v>
      </c>
    </row>
    <row r="3418" spans="1:14" x14ac:dyDescent="0.25">
      <c r="A3418">
        <v>20151113</v>
      </c>
      <c r="B3418" t="str">
        <f t="shared" si="223"/>
        <v>061077</v>
      </c>
      <c r="C3418" t="str">
        <f t="shared" si="224"/>
        <v>20706</v>
      </c>
      <c r="D3418" t="s">
        <v>1823</v>
      </c>
      <c r="E3418" s="3">
        <v>170.39</v>
      </c>
      <c r="F3418">
        <v>20151112</v>
      </c>
      <c r="G3418" t="s">
        <v>2259</v>
      </c>
      <c r="H3418" t="s">
        <v>2969</v>
      </c>
      <c r="I3418">
        <v>0</v>
      </c>
      <c r="J3418" t="s">
        <v>1709</v>
      </c>
      <c r="K3418" t="s">
        <v>33</v>
      </c>
      <c r="L3418" t="s">
        <v>285</v>
      </c>
      <c r="M3418" t="str">
        <f t="shared" si="218"/>
        <v>11</v>
      </c>
      <c r="N3418" t="s">
        <v>12</v>
      </c>
    </row>
    <row r="3419" spans="1:14" x14ac:dyDescent="0.25">
      <c r="A3419">
        <v>20151113</v>
      </c>
      <c r="B3419" t="str">
        <f>"061079"</f>
        <v>061079</v>
      </c>
      <c r="C3419" t="str">
        <f>"24194"</f>
        <v>24194</v>
      </c>
      <c r="D3419" t="s">
        <v>2970</v>
      </c>
      <c r="E3419" s="3">
        <v>800</v>
      </c>
      <c r="F3419">
        <v>20151112</v>
      </c>
      <c r="G3419" t="s">
        <v>2971</v>
      </c>
      <c r="H3419" t="s">
        <v>2972</v>
      </c>
      <c r="I3419">
        <v>0</v>
      </c>
      <c r="J3419" t="s">
        <v>1709</v>
      </c>
      <c r="K3419" t="s">
        <v>95</v>
      </c>
      <c r="L3419" t="s">
        <v>285</v>
      </c>
      <c r="M3419" t="str">
        <f t="shared" si="218"/>
        <v>11</v>
      </c>
      <c r="N3419" t="s">
        <v>12</v>
      </c>
    </row>
    <row r="3420" spans="1:14" x14ac:dyDescent="0.25">
      <c r="A3420">
        <v>20151113</v>
      </c>
      <c r="B3420" t="str">
        <f>"061080"</f>
        <v>061080</v>
      </c>
      <c r="C3420" t="str">
        <f>"24334"</f>
        <v>24334</v>
      </c>
      <c r="D3420" t="s">
        <v>2637</v>
      </c>
      <c r="E3420" s="3">
        <v>2650</v>
      </c>
      <c r="F3420">
        <v>20151112</v>
      </c>
      <c r="G3420" t="s">
        <v>1718</v>
      </c>
      <c r="H3420" t="s">
        <v>2973</v>
      </c>
      <c r="I3420">
        <v>0</v>
      </c>
      <c r="J3420" t="s">
        <v>1709</v>
      </c>
      <c r="K3420" t="s">
        <v>235</v>
      </c>
      <c r="L3420" t="s">
        <v>285</v>
      </c>
      <c r="M3420" t="str">
        <f t="shared" si="218"/>
        <v>11</v>
      </c>
      <c r="N3420" t="s">
        <v>12</v>
      </c>
    </row>
    <row r="3421" spans="1:14" x14ac:dyDescent="0.25">
      <c r="A3421">
        <v>20151113</v>
      </c>
      <c r="B3421" t="str">
        <f>"061081"</f>
        <v>061081</v>
      </c>
      <c r="C3421" t="str">
        <f>"29573"</f>
        <v>29573</v>
      </c>
      <c r="D3421" t="s">
        <v>2974</v>
      </c>
      <c r="E3421" s="3">
        <v>256</v>
      </c>
      <c r="F3421">
        <v>20151112</v>
      </c>
      <c r="G3421" t="s">
        <v>2537</v>
      </c>
      <c r="H3421" t="s">
        <v>2975</v>
      </c>
      <c r="I3421">
        <v>0</v>
      </c>
      <c r="J3421" t="s">
        <v>1709</v>
      </c>
      <c r="K3421" t="s">
        <v>290</v>
      </c>
      <c r="L3421" t="s">
        <v>285</v>
      </c>
      <c r="M3421" t="str">
        <f t="shared" si="218"/>
        <v>11</v>
      </c>
      <c r="N3421" t="s">
        <v>12</v>
      </c>
    </row>
    <row r="3422" spans="1:14" x14ac:dyDescent="0.25">
      <c r="A3422">
        <v>20151113</v>
      </c>
      <c r="B3422" t="str">
        <f>"061082"</f>
        <v>061082</v>
      </c>
      <c r="C3422" t="str">
        <f>"37570"</f>
        <v>37570</v>
      </c>
      <c r="D3422" t="s">
        <v>2976</v>
      </c>
      <c r="E3422" s="3">
        <v>400</v>
      </c>
      <c r="F3422">
        <v>20151112</v>
      </c>
      <c r="G3422" t="s">
        <v>2056</v>
      </c>
      <c r="H3422" t="s">
        <v>2977</v>
      </c>
      <c r="I3422">
        <v>0</v>
      </c>
      <c r="J3422" t="s">
        <v>1709</v>
      </c>
      <c r="K3422" t="s">
        <v>95</v>
      </c>
      <c r="L3422" t="s">
        <v>285</v>
      </c>
      <c r="M3422" t="str">
        <f t="shared" si="218"/>
        <v>11</v>
      </c>
      <c r="N3422" t="s">
        <v>12</v>
      </c>
    </row>
    <row r="3423" spans="1:14" x14ac:dyDescent="0.25">
      <c r="A3423">
        <v>20151113</v>
      </c>
      <c r="B3423" t="str">
        <f>"061083"</f>
        <v>061083</v>
      </c>
      <c r="C3423" t="str">
        <f>"37805"</f>
        <v>37805</v>
      </c>
      <c r="D3423" t="s">
        <v>2669</v>
      </c>
      <c r="E3423" s="3">
        <v>25</v>
      </c>
      <c r="F3423">
        <v>20151112</v>
      </c>
      <c r="G3423" t="s">
        <v>1738</v>
      </c>
      <c r="H3423" t="s">
        <v>2713</v>
      </c>
      <c r="I3423">
        <v>0</v>
      </c>
      <c r="J3423" t="s">
        <v>1709</v>
      </c>
      <c r="K3423" t="s">
        <v>290</v>
      </c>
      <c r="L3423" t="s">
        <v>285</v>
      </c>
      <c r="M3423" t="str">
        <f t="shared" si="218"/>
        <v>11</v>
      </c>
      <c r="N3423" t="s">
        <v>12</v>
      </c>
    </row>
    <row r="3424" spans="1:14" x14ac:dyDescent="0.25">
      <c r="A3424">
        <v>20151113</v>
      </c>
      <c r="B3424" t="str">
        <f>"061083"</f>
        <v>061083</v>
      </c>
      <c r="C3424" t="str">
        <f>"37805"</f>
        <v>37805</v>
      </c>
      <c r="D3424" t="s">
        <v>2669</v>
      </c>
      <c r="E3424" s="3">
        <v>375</v>
      </c>
      <c r="F3424">
        <v>20151112</v>
      </c>
      <c r="G3424" t="s">
        <v>1739</v>
      </c>
      <c r="H3424" t="s">
        <v>2713</v>
      </c>
      <c r="I3424">
        <v>0</v>
      </c>
      <c r="J3424" t="s">
        <v>1709</v>
      </c>
      <c r="K3424" t="s">
        <v>290</v>
      </c>
      <c r="L3424" t="s">
        <v>285</v>
      </c>
      <c r="M3424" t="str">
        <f t="shared" si="218"/>
        <v>11</v>
      </c>
      <c r="N3424" t="s">
        <v>12</v>
      </c>
    </row>
    <row r="3425" spans="1:14" x14ac:dyDescent="0.25">
      <c r="A3425">
        <v>20151113</v>
      </c>
      <c r="B3425" t="str">
        <f t="shared" ref="B3425:B3445" si="225">"061085"</f>
        <v>061085</v>
      </c>
      <c r="C3425" t="str">
        <f t="shared" ref="C3425:C3445" si="226">"37500"</f>
        <v>37500</v>
      </c>
      <c r="D3425" t="s">
        <v>1652</v>
      </c>
      <c r="E3425" s="3">
        <v>10.34</v>
      </c>
      <c r="F3425">
        <v>20151112</v>
      </c>
      <c r="G3425" t="s">
        <v>2978</v>
      </c>
      <c r="H3425" t="s">
        <v>2979</v>
      </c>
      <c r="I3425">
        <v>0</v>
      </c>
      <c r="J3425" t="s">
        <v>1709</v>
      </c>
      <c r="K3425" t="s">
        <v>290</v>
      </c>
      <c r="L3425" t="s">
        <v>285</v>
      </c>
      <c r="M3425" t="str">
        <f t="shared" si="218"/>
        <v>11</v>
      </c>
      <c r="N3425" t="s">
        <v>12</v>
      </c>
    </row>
    <row r="3426" spans="1:14" x14ac:dyDescent="0.25">
      <c r="A3426">
        <v>20151113</v>
      </c>
      <c r="B3426" t="str">
        <f t="shared" si="225"/>
        <v>061085</v>
      </c>
      <c r="C3426" t="str">
        <f t="shared" si="226"/>
        <v>37500</v>
      </c>
      <c r="D3426" t="s">
        <v>1652</v>
      </c>
      <c r="E3426" s="3">
        <v>10.33</v>
      </c>
      <c r="F3426">
        <v>20151112</v>
      </c>
      <c r="G3426" t="s">
        <v>2980</v>
      </c>
      <c r="H3426" t="s">
        <v>2979</v>
      </c>
      <c r="I3426">
        <v>0</v>
      </c>
      <c r="J3426" t="s">
        <v>1709</v>
      </c>
      <c r="K3426" t="s">
        <v>95</v>
      </c>
      <c r="L3426" t="s">
        <v>285</v>
      </c>
      <c r="M3426" t="str">
        <f t="shared" si="218"/>
        <v>11</v>
      </c>
      <c r="N3426" t="s">
        <v>12</v>
      </c>
    </row>
    <row r="3427" spans="1:14" x14ac:dyDescent="0.25">
      <c r="A3427">
        <v>20151113</v>
      </c>
      <c r="B3427" t="str">
        <f t="shared" si="225"/>
        <v>061085</v>
      </c>
      <c r="C3427" t="str">
        <f t="shared" si="226"/>
        <v>37500</v>
      </c>
      <c r="D3427" t="s">
        <v>1652</v>
      </c>
      <c r="E3427" s="3">
        <v>14.52</v>
      </c>
      <c r="F3427">
        <v>20151112</v>
      </c>
      <c r="G3427" t="s">
        <v>2317</v>
      </c>
      <c r="H3427" t="s">
        <v>2563</v>
      </c>
      <c r="I3427">
        <v>0</v>
      </c>
      <c r="J3427" t="s">
        <v>1709</v>
      </c>
      <c r="K3427" t="s">
        <v>290</v>
      </c>
      <c r="L3427" t="s">
        <v>285</v>
      </c>
      <c r="M3427" t="str">
        <f t="shared" si="218"/>
        <v>11</v>
      </c>
      <c r="N3427" t="s">
        <v>12</v>
      </c>
    </row>
    <row r="3428" spans="1:14" x14ac:dyDescent="0.25">
      <c r="A3428">
        <v>20151113</v>
      </c>
      <c r="B3428" t="str">
        <f t="shared" si="225"/>
        <v>061085</v>
      </c>
      <c r="C3428" t="str">
        <f t="shared" si="226"/>
        <v>37500</v>
      </c>
      <c r="D3428" t="s">
        <v>1652</v>
      </c>
      <c r="E3428" s="3">
        <v>173.96</v>
      </c>
      <c r="F3428">
        <v>20151112</v>
      </c>
      <c r="G3428" t="s">
        <v>2981</v>
      </c>
      <c r="H3428" t="s">
        <v>2170</v>
      </c>
      <c r="I3428">
        <v>0</v>
      </c>
      <c r="J3428" t="s">
        <v>1709</v>
      </c>
      <c r="K3428" t="s">
        <v>290</v>
      </c>
      <c r="L3428" t="s">
        <v>285</v>
      </c>
      <c r="M3428" t="str">
        <f t="shared" si="218"/>
        <v>11</v>
      </c>
      <c r="N3428" t="s">
        <v>12</v>
      </c>
    </row>
    <row r="3429" spans="1:14" x14ac:dyDescent="0.25">
      <c r="A3429">
        <v>20151113</v>
      </c>
      <c r="B3429" t="str">
        <f t="shared" si="225"/>
        <v>061085</v>
      </c>
      <c r="C3429" t="str">
        <f t="shared" si="226"/>
        <v>37500</v>
      </c>
      <c r="D3429" t="s">
        <v>1652</v>
      </c>
      <c r="E3429" s="3">
        <v>25.65</v>
      </c>
      <c r="F3429">
        <v>20151112</v>
      </c>
      <c r="G3429" t="s">
        <v>2153</v>
      </c>
      <c r="H3429" t="s">
        <v>2982</v>
      </c>
      <c r="I3429">
        <v>0</v>
      </c>
      <c r="J3429" t="s">
        <v>1709</v>
      </c>
      <c r="K3429" t="s">
        <v>290</v>
      </c>
      <c r="L3429" t="s">
        <v>285</v>
      </c>
      <c r="M3429" t="str">
        <f t="shared" si="218"/>
        <v>11</v>
      </c>
      <c r="N3429" t="s">
        <v>12</v>
      </c>
    </row>
    <row r="3430" spans="1:14" x14ac:dyDescent="0.25">
      <c r="A3430">
        <v>20151113</v>
      </c>
      <c r="B3430" t="str">
        <f t="shared" si="225"/>
        <v>061085</v>
      </c>
      <c r="C3430" t="str">
        <f t="shared" si="226"/>
        <v>37500</v>
      </c>
      <c r="D3430" t="s">
        <v>1652</v>
      </c>
      <c r="E3430" s="3">
        <v>25.04</v>
      </c>
      <c r="F3430">
        <v>20151112</v>
      </c>
      <c r="G3430" t="s">
        <v>2983</v>
      </c>
      <c r="H3430" t="s">
        <v>2984</v>
      </c>
      <c r="I3430">
        <v>0</v>
      </c>
      <c r="J3430" t="s">
        <v>1709</v>
      </c>
      <c r="K3430" t="s">
        <v>290</v>
      </c>
      <c r="L3430" t="s">
        <v>285</v>
      </c>
      <c r="M3430" t="str">
        <f t="shared" si="218"/>
        <v>11</v>
      </c>
      <c r="N3430" t="s">
        <v>12</v>
      </c>
    </row>
    <row r="3431" spans="1:14" x14ac:dyDescent="0.25">
      <c r="A3431">
        <v>20151113</v>
      </c>
      <c r="B3431" t="str">
        <f t="shared" si="225"/>
        <v>061085</v>
      </c>
      <c r="C3431" t="str">
        <f t="shared" si="226"/>
        <v>37500</v>
      </c>
      <c r="D3431" t="s">
        <v>1652</v>
      </c>
      <c r="E3431" s="3">
        <v>21.56</v>
      </c>
      <c r="F3431">
        <v>20151112</v>
      </c>
      <c r="G3431" t="s">
        <v>2333</v>
      </c>
      <c r="H3431" t="s">
        <v>2985</v>
      </c>
      <c r="I3431">
        <v>0</v>
      </c>
      <c r="J3431" t="s">
        <v>1709</v>
      </c>
      <c r="K3431" t="s">
        <v>290</v>
      </c>
      <c r="L3431" t="s">
        <v>285</v>
      </c>
      <c r="M3431" t="str">
        <f t="shared" si="218"/>
        <v>11</v>
      </c>
      <c r="N3431" t="s">
        <v>12</v>
      </c>
    </row>
    <row r="3432" spans="1:14" x14ac:dyDescent="0.25">
      <c r="A3432">
        <v>20151113</v>
      </c>
      <c r="B3432" t="str">
        <f t="shared" si="225"/>
        <v>061085</v>
      </c>
      <c r="C3432" t="str">
        <f t="shared" si="226"/>
        <v>37500</v>
      </c>
      <c r="D3432" t="s">
        <v>1652</v>
      </c>
      <c r="E3432" s="3">
        <v>39.479999999999997</v>
      </c>
      <c r="F3432">
        <v>20151112</v>
      </c>
      <c r="G3432" t="s">
        <v>2333</v>
      </c>
      <c r="H3432" t="s">
        <v>2985</v>
      </c>
      <c r="I3432">
        <v>0</v>
      </c>
      <c r="J3432" t="s">
        <v>1709</v>
      </c>
      <c r="K3432" t="s">
        <v>290</v>
      </c>
      <c r="L3432" t="s">
        <v>285</v>
      </c>
      <c r="M3432" t="str">
        <f t="shared" si="218"/>
        <v>11</v>
      </c>
      <c r="N3432" t="s">
        <v>12</v>
      </c>
    </row>
    <row r="3433" spans="1:14" x14ac:dyDescent="0.25">
      <c r="A3433">
        <v>20151113</v>
      </c>
      <c r="B3433" t="str">
        <f t="shared" si="225"/>
        <v>061085</v>
      </c>
      <c r="C3433" t="str">
        <f t="shared" si="226"/>
        <v>37500</v>
      </c>
      <c r="D3433" t="s">
        <v>1652</v>
      </c>
      <c r="E3433" s="3">
        <v>106.18</v>
      </c>
      <c r="F3433">
        <v>20151112</v>
      </c>
      <c r="G3433" t="s">
        <v>2791</v>
      </c>
      <c r="H3433" t="s">
        <v>2310</v>
      </c>
      <c r="I3433">
        <v>0</v>
      </c>
      <c r="J3433" t="s">
        <v>1709</v>
      </c>
      <c r="K3433" t="s">
        <v>290</v>
      </c>
      <c r="L3433" t="s">
        <v>285</v>
      </c>
      <c r="M3433" t="str">
        <f t="shared" si="218"/>
        <v>11</v>
      </c>
      <c r="N3433" t="s">
        <v>12</v>
      </c>
    </row>
    <row r="3434" spans="1:14" x14ac:dyDescent="0.25">
      <c r="A3434">
        <v>20151113</v>
      </c>
      <c r="B3434" t="str">
        <f t="shared" si="225"/>
        <v>061085</v>
      </c>
      <c r="C3434" t="str">
        <f t="shared" si="226"/>
        <v>37500</v>
      </c>
      <c r="D3434" t="s">
        <v>1652</v>
      </c>
      <c r="E3434" s="3">
        <v>94.4</v>
      </c>
      <c r="F3434">
        <v>20151112</v>
      </c>
      <c r="G3434" t="s">
        <v>2791</v>
      </c>
      <c r="H3434" t="s">
        <v>2310</v>
      </c>
      <c r="I3434">
        <v>0</v>
      </c>
      <c r="J3434" t="s">
        <v>1709</v>
      </c>
      <c r="K3434" t="s">
        <v>290</v>
      </c>
      <c r="L3434" t="s">
        <v>285</v>
      </c>
      <c r="M3434" t="str">
        <f t="shared" si="218"/>
        <v>11</v>
      </c>
      <c r="N3434" t="s">
        <v>12</v>
      </c>
    </row>
    <row r="3435" spans="1:14" x14ac:dyDescent="0.25">
      <c r="A3435">
        <v>20151113</v>
      </c>
      <c r="B3435" t="str">
        <f t="shared" si="225"/>
        <v>061085</v>
      </c>
      <c r="C3435" t="str">
        <f t="shared" si="226"/>
        <v>37500</v>
      </c>
      <c r="D3435" t="s">
        <v>1652</v>
      </c>
      <c r="E3435" s="3">
        <v>144.01</v>
      </c>
      <c r="F3435">
        <v>20151112</v>
      </c>
      <c r="G3435" t="s">
        <v>2791</v>
      </c>
      <c r="H3435" t="s">
        <v>2310</v>
      </c>
      <c r="I3435">
        <v>0</v>
      </c>
      <c r="J3435" t="s">
        <v>1709</v>
      </c>
      <c r="K3435" t="s">
        <v>290</v>
      </c>
      <c r="L3435" t="s">
        <v>285</v>
      </c>
      <c r="M3435" t="str">
        <f t="shared" si="218"/>
        <v>11</v>
      </c>
      <c r="N3435" t="s">
        <v>12</v>
      </c>
    </row>
    <row r="3436" spans="1:14" x14ac:dyDescent="0.25">
      <c r="A3436">
        <v>20151113</v>
      </c>
      <c r="B3436" t="str">
        <f t="shared" si="225"/>
        <v>061085</v>
      </c>
      <c r="C3436" t="str">
        <f t="shared" si="226"/>
        <v>37500</v>
      </c>
      <c r="D3436" t="s">
        <v>1652</v>
      </c>
      <c r="E3436" s="3">
        <v>90.53</v>
      </c>
      <c r="F3436">
        <v>20151112</v>
      </c>
      <c r="G3436" t="s">
        <v>2791</v>
      </c>
      <c r="H3436" t="s">
        <v>2310</v>
      </c>
      <c r="I3436">
        <v>0</v>
      </c>
      <c r="J3436" t="s">
        <v>1709</v>
      </c>
      <c r="K3436" t="s">
        <v>290</v>
      </c>
      <c r="L3436" t="s">
        <v>285</v>
      </c>
      <c r="M3436" t="str">
        <f t="shared" si="218"/>
        <v>11</v>
      </c>
      <c r="N3436" t="s">
        <v>12</v>
      </c>
    </row>
    <row r="3437" spans="1:14" x14ac:dyDescent="0.25">
      <c r="A3437">
        <v>20151113</v>
      </c>
      <c r="B3437" t="str">
        <f t="shared" si="225"/>
        <v>061085</v>
      </c>
      <c r="C3437" t="str">
        <f t="shared" si="226"/>
        <v>37500</v>
      </c>
      <c r="D3437" t="s">
        <v>1652</v>
      </c>
      <c r="E3437" s="3">
        <v>46.31</v>
      </c>
      <c r="F3437">
        <v>20151112</v>
      </c>
      <c r="G3437" t="s">
        <v>2791</v>
      </c>
      <c r="H3437" t="s">
        <v>2310</v>
      </c>
      <c r="I3437">
        <v>0</v>
      </c>
      <c r="J3437" t="s">
        <v>1709</v>
      </c>
      <c r="K3437" t="s">
        <v>290</v>
      </c>
      <c r="L3437" t="s">
        <v>285</v>
      </c>
      <c r="M3437" t="str">
        <f t="shared" si="218"/>
        <v>11</v>
      </c>
      <c r="N3437" t="s">
        <v>12</v>
      </c>
    </row>
    <row r="3438" spans="1:14" x14ac:dyDescent="0.25">
      <c r="A3438">
        <v>20151113</v>
      </c>
      <c r="B3438" t="str">
        <f t="shared" si="225"/>
        <v>061085</v>
      </c>
      <c r="C3438" t="str">
        <f t="shared" si="226"/>
        <v>37500</v>
      </c>
      <c r="D3438" t="s">
        <v>1652</v>
      </c>
      <c r="E3438" s="3">
        <v>-6.16</v>
      </c>
      <c r="F3438">
        <v>20151006</v>
      </c>
      <c r="G3438" t="s">
        <v>2791</v>
      </c>
      <c r="H3438" t="s">
        <v>2986</v>
      </c>
      <c r="I3438">
        <v>0</v>
      </c>
      <c r="J3438" t="s">
        <v>1709</v>
      </c>
      <c r="K3438" t="s">
        <v>290</v>
      </c>
      <c r="L3438" t="s">
        <v>1385</v>
      </c>
      <c r="M3438" t="str">
        <f t="shared" si="218"/>
        <v>11</v>
      </c>
      <c r="N3438" t="s">
        <v>12</v>
      </c>
    </row>
    <row r="3439" spans="1:14" x14ac:dyDescent="0.25">
      <c r="A3439">
        <v>20151113</v>
      </c>
      <c r="B3439" t="str">
        <f t="shared" si="225"/>
        <v>061085</v>
      </c>
      <c r="C3439" t="str">
        <f t="shared" si="226"/>
        <v>37500</v>
      </c>
      <c r="D3439" t="s">
        <v>1652</v>
      </c>
      <c r="E3439" s="3">
        <v>16.55</v>
      </c>
      <c r="F3439">
        <v>20151112</v>
      </c>
      <c r="G3439" t="s">
        <v>2794</v>
      </c>
      <c r="H3439" t="s">
        <v>2644</v>
      </c>
      <c r="I3439">
        <v>0</v>
      </c>
      <c r="J3439" t="s">
        <v>1709</v>
      </c>
      <c r="K3439" t="s">
        <v>33</v>
      </c>
      <c r="L3439" t="s">
        <v>285</v>
      </c>
      <c r="M3439" t="str">
        <f t="shared" si="218"/>
        <v>11</v>
      </c>
      <c r="N3439" t="s">
        <v>12</v>
      </c>
    </row>
    <row r="3440" spans="1:14" x14ac:dyDescent="0.25">
      <c r="A3440">
        <v>20151113</v>
      </c>
      <c r="B3440" t="str">
        <f t="shared" si="225"/>
        <v>061085</v>
      </c>
      <c r="C3440" t="str">
        <f t="shared" si="226"/>
        <v>37500</v>
      </c>
      <c r="D3440" t="s">
        <v>1652</v>
      </c>
      <c r="E3440" s="3">
        <v>73.28</v>
      </c>
      <c r="F3440">
        <v>20151112</v>
      </c>
      <c r="G3440" t="s">
        <v>2762</v>
      </c>
      <c r="H3440" t="s">
        <v>2987</v>
      </c>
      <c r="I3440">
        <v>0</v>
      </c>
      <c r="J3440" t="s">
        <v>1709</v>
      </c>
      <c r="K3440" t="s">
        <v>2764</v>
      </c>
      <c r="L3440" t="s">
        <v>285</v>
      </c>
      <c r="M3440" t="str">
        <f t="shared" si="218"/>
        <v>11</v>
      </c>
      <c r="N3440" t="s">
        <v>12</v>
      </c>
    </row>
    <row r="3441" spans="1:14" x14ac:dyDescent="0.25">
      <c r="A3441">
        <v>20151113</v>
      </c>
      <c r="B3441" t="str">
        <f t="shared" si="225"/>
        <v>061085</v>
      </c>
      <c r="C3441" t="str">
        <f t="shared" si="226"/>
        <v>37500</v>
      </c>
      <c r="D3441" t="s">
        <v>1652</v>
      </c>
      <c r="E3441" s="3">
        <v>65.290000000000006</v>
      </c>
      <c r="F3441">
        <v>20151112</v>
      </c>
      <c r="G3441" t="s">
        <v>2762</v>
      </c>
      <c r="H3441" t="s">
        <v>2987</v>
      </c>
      <c r="I3441">
        <v>0</v>
      </c>
      <c r="J3441" t="s">
        <v>1709</v>
      </c>
      <c r="K3441" t="s">
        <v>2764</v>
      </c>
      <c r="L3441" t="s">
        <v>285</v>
      </c>
      <c r="M3441" t="str">
        <f t="shared" si="218"/>
        <v>11</v>
      </c>
      <c r="N3441" t="s">
        <v>12</v>
      </c>
    </row>
    <row r="3442" spans="1:14" x14ac:dyDescent="0.25">
      <c r="A3442">
        <v>20151113</v>
      </c>
      <c r="B3442" t="str">
        <f t="shared" si="225"/>
        <v>061085</v>
      </c>
      <c r="C3442" t="str">
        <f t="shared" si="226"/>
        <v>37500</v>
      </c>
      <c r="D3442" t="s">
        <v>1652</v>
      </c>
      <c r="E3442" s="3">
        <v>32.590000000000003</v>
      </c>
      <c r="F3442">
        <v>20151112</v>
      </c>
      <c r="G3442" t="s">
        <v>2565</v>
      </c>
      <c r="H3442" t="s">
        <v>2988</v>
      </c>
      <c r="I3442">
        <v>0</v>
      </c>
      <c r="J3442" t="s">
        <v>1709</v>
      </c>
      <c r="K3442" t="s">
        <v>1558</v>
      </c>
      <c r="L3442" t="s">
        <v>285</v>
      </c>
      <c r="M3442" t="str">
        <f t="shared" si="218"/>
        <v>11</v>
      </c>
      <c r="N3442" t="s">
        <v>12</v>
      </c>
    </row>
    <row r="3443" spans="1:14" x14ac:dyDescent="0.25">
      <c r="A3443">
        <v>20151113</v>
      </c>
      <c r="B3443" t="str">
        <f t="shared" si="225"/>
        <v>061085</v>
      </c>
      <c r="C3443" t="str">
        <f t="shared" si="226"/>
        <v>37500</v>
      </c>
      <c r="D3443" t="s">
        <v>1652</v>
      </c>
      <c r="E3443" s="3">
        <v>7.76</v>
      </c>
      <c r="F3443">
        <v>20151112</v>
      </c>
      <c r="G3443" t="s">
        <v>2172</v>
      </c>
      <c r="H3443" t="s">
        <v>2173</v>
      </c>
      <c r="I3443">
        <v>0</v>
      </c>
      <c r="J3443" t="s">
        <v>1709</v>
      </c>
      <c r="K3443" t="s">
        <v>95</v>
      </c>
      <c r="L3443" t="s">
        <v>285</v>
      </c>
      <c r="M3443" t="str">
        <f t="shared" si="218"/>
        <v>11</v>
      </c>
      <c r="N3443" t="s">
        <v>12</v>
      </c>
    </row>
    <row r="3444" spans="1:14" x14ac:dyDescent="0.25">
      <c r="A3444">
        <v>20151113</v>
      </c>
      <c r="B3444" t="str">
        <f t="shared" si="225"/>
        <v>061085</v>
      </c>
      <c r="C3444" t="str">
        <f t="shared" si="226"/>
        <v>37500</v>
      </c>
      <c r="D3444" t="s">
        <v>1652</v>
      </c>
      <c r="E3444" s="3">
        <v>34.6</v>
      </c>
      <c r="F3444">
        <v>20151112</v>
      </c>
      <c r="G3444" t="s">
        <v>2172</v>
      </c>
      <c r="H3444" t="s">
        <v>2989</v>
      </c>
      <c r="I3444">
        <v>0</v>
      </c>
      <c r="J3444" t="s">
        <v>1709</v>
      </c>
      <c r="K3444" t="s">
        <v>95</v>
      </c>
      <c r="L3444" t="s">
        <v>285</v>
      </c>
      <c r="M3444" t="str">
        <f t="shared" si="218"/>
        <v>11</v>
      </c>
      <c r="N3444" t="s">
        <v>12</v>
      </c>
    </row>
    <row r="3445" spans="1:14" x14ac:dyDescent="0.25">
      <c r="A3445">
        <v>20151113</v>
      </c>
      <c r="B3445" t="str">
        <f t="shared" si="225"/>
        <v>061085</v>
      </c>
      <c r="C3445" t="str">
        <f t="shared" si="226"/>
        <v>37500</v>
      </c>
      <c r="D3445" t="s">
        <v>1652</v>
      </c>
      <c r="E3445" s="3">
        <v>37.92</v>
      </c>
      <c r="F3445">
        <v>20151112</v>
      </c>
      <c r="G3445" t="s">
        <v>2990</v>
      </c>
      <c r="H3445" t="s">
        <v>2991</v>
      </c>
      <c r="I3445">
        <v>0</v>
      </c>
      <c r="J3445" t="s">
        <v>1709</v>
      </c>
      <c r="K3445" t="s">
        <v>1779</v>
      </c>
      <c r="L3445" t="s">
        <v>285</v>
      </c>
      <c r="M3445" t="str">
        <f t="shared" si="218"/>
        <v>11</v>
      </c>
      <c r="N3445" t="s">
        <v>12</v>
      </c>
    </row>
    <row r="3446" spans="1:14" x14ac:dyDescent="0.25">
      <c r="A3446">
        <v>20151113</v>
      </c>
      <c r="B3446" t="str">
        <f>"061089"</f>
        <v>061089</v>
      </c>
      <c r="C3446" t="str">
        <f>"45158"</f>
        <v>45158</v>
      </c>
      <c r="D3446" t="s">
        <v>1590</v>
      </c>
      <c r="E3446" s="3">
        <v>445.5</v>
      </c>
      <c r="F3446">
        <v>20151112</v>
      </c>
      <c r="G3446" t="s">
        <v>2770</v>
      </c>
      <c r="H3446" t="s">
        <v>1592</v>
      </c>
      <c r="I3446">
        <v>0</v>
      </c>
      <c r="J3446" t="s">
        <v>1709</v>
      </c>
      <c r="K3446" t="s">
        <v>1643</v>
      </c>
      <c r="L3446" t="s">
        <v>285</v>
      </c>
      <c r="M3446" t="str">
        <f t="shared" si="218"/>
        <v>11</v>
      </c>
      <c r="N3446" t="s">
        <v>12</v>
      </c>
    </row>
    <row r="3447" spans="1:14" x14ac:dyDescent="0.25">
      <c r="A3447">
        <v>20151113</v>
      </c>
      <c r="B3447" t="str">
        <f>"061091"</f>
        <v>061091</v>
      </c>
      <c r="C3447" t="str">
        <f>"45855"</f>
        <v>45855</v>
      </c>
      <c r="D3447" t="s">
        <v>2546</v>
      </c>
      <c r="E3447" s="3">
        <v>8.9</v>
      </c>
      <c r="F3447">
        <v>20151112</v>
      </c>
      <c r="G3447" t="s">
        <v>2992</v>
      </c>
      <c r="H3447" t="s">
        <v>2993</v>
      </c>
      <c r="I3447">
        <v>0</v>
      </c>
      <c r="J3447" t="s">
        <v>1709</v>
      </c>
      <c r="K3447" t="s">
        <v>2194</v>
      </c>
      <c r="L3447" t="s">
        <v>285</v>
      </c>
      <c r="M3447" t="str">
        <f t="shared" ref="M3447:M3510" si="227">"11"</f>
        <v>11</v>
      </c>
      <c r="N3447" t="s">
        <v>12</v>
      </c>
    </row>
    <row r="3448" spans="1:14" x14ac:dyDescent="0.25">
      <c r="A3448">
        <v>20151113</v>
      </c>
      <c r="B3448" t="str">
        <f>"061091"</f>
        <v>061091</v>
      </c>
      <c r="C3448" t="str">
        <f>"45855"</f>
        <v>45855</v>
      </c>
      <c r="D3448" t="s">
        <v>2546</v>
      </c>
      <c r="E3448" s="3">
        <v>14.99</v>
      </c>
      <c r="F3448">
        <v>20151112</v>
      </c>
      <c r="G3448" t="s">
        <v>2720</v>
      </c>
      <c r="H3448" t="s">
        <v>2994</v>
      </c>
      <c r="I3448">
        <v>0</v>
      </c>
      <c r="J3448" t="s">
        <v>1709</v>
      </c>
      <c r="K3448" t="s">
        <v>2194</v>
      </c>
      <c r="L3448" t="s">
        <v>285</v>
      </c>
      <c r="M3448" t="str">
        <f t="shared" si="227"/>
        <v>11</v>
      </c>
      <c r="N3448" t="s">
        <v>12</v>
      </c>
    </row>
    <row r="3449" spans="1:14" x14ac:dyDescent="0.25">
      <c r="A3449">
        <v>20151113</v>
      </c>
      <c r="B3449" t="str">
        <f>"061091"</f>
        <v>061091</v>
      </c>
      <c r="C3449" t="str">
        <f>"45855"</f>
        <v>45855</v>
      </c>
      <c r="D3449" t="s">
        <v>2546</v>
      </c>
      <c r="E3449" s="3">
        <v>66.63</v>
      </c>
      <c r="F3449">
        <v>20151112</v>
      </c>
      <c r="G3449" t="s">
        <v>2995</v>
      </c>
      <c r="H3449" t="s">
        <v>2996</v>
      </c>
      <c r="I3449">
        <v>0</v>
      </c>
      <c r="J3449" t="s">
        <v>1709</v>
      </c>
      <c r="K3449" t="s">
        <v>2194</v>
      </c>
      <c r="L3449" t="s">
        <v>285</v>
      </c>
      <c r="M3449" t="str">
        <f t="shared" si="227"/>
        <v>11</v>
      </c>
      <c r="N3449" t="s">
        <v>12</v>
      </c>
    </row>
    <row r="3450" spans="1:14" x14ac:dyDescent="0.25">
      <c r="A3450">
        <v>20151113</v>
      </c>
      <c r="B3450" t="str">
        <f>"061094"</f>
        <v>061094</v>
      </c>
      <c r="C3450" t="str">
        <f>"46351"</f>
        <v>46351</v>
      </c>
      <c r="D3450" t="s">
        <v>2518</v>
      </c>
      <c r="E3450" s="3">
        <v>10288.02</v>
      </c>
      <c r="F3450">
        <v>20151112</v>
      </c>
      <c r="G3450" t="s">
        <v>1995</v>
      </c>
      <c r="H3450" t="s">
        <v>2997</v>
      </c>
      <c r="I3450">
        <v>0</v>
      </c>
      <c r="J3450" t="s">
        <v>1709</v>
      </c>
      <c r="K3450" t="s">
        <v>235</v>
      </c>
      <c r="L3450" t="s">
        <v>285</v>
      </c>
      <c r="M3450" t="str">
        <f t="shared" si="227"/>
        <v>11</v>
      </c>
      <c r="N3450" t="s">
        <v>12</v>
      </c>
    </row>
    <row r="3451" spans="1:14" x14ac:dyDescent="0.25">
      <c r="A3451">
        <v>20151113</v>
      </c>
      <c r="B3451" t="str">
        <f>"061094"</f>
        <v>061094</v>
      </c>
      <c r="C3451" t="str">
        <f>"46351"</f>
        <v>46351</v>
      </c>
      <c r="D3451" t="s">
        <v>2518</v>
      </c>
      <c r="E3451" s="3">
        <v>4248.04</v>
      </c>
      <c r="F3451">
        <v>20151112</v>
      </c>
      <c r="G3451" t="s">
        <v>2523</v>
      </c>
      <c r="H3451" t="s">
        <v>2997</v>
      </c>
      <c r="I3451">
        <v>0</v>
      </c>
      <c r="J3451" t="s">
        <v>1709</v>
      </c>
      <c r="K3451" t="s">
        <v>1942</v>
      </c>
      <c r="L3451" t="s">
        <v>285</v>
      </c>
      <c r="M3451" t="str">
        <f t="shared" si="227"/>
        <v>11</v>
      </c>
      <c r="N3451" t="s">
        <v>12</v>
      </c>
    </row>
    <row r="3452" spans="1:14" x14ac:dyDescent="0.25">
      <c r="A3452">
        <v>20151113</v>
      </c>
      <c r="B3452" t="str">
        <f>"061095"</f>
        <v>061095</v>
      </c>
      <c r="C3452" t="str">
        <f>"49959"</f>
        <v>49959</v>
      </c>
      <c r="D3452" t="s">
        <v>361</v>
      </c>
      <c r="E3452" s="3">
        <v>300</v>
      </c>
      <c r="F3452">
        <v>20151112</v>
      </c>
      <c r="G3452" t="s">
        <v>1788</v>
      </c>
      <c r="H3452" t="s">
        <v>2998</v>
      </c>
      <c r="I3452">
        <v>0</v>
      </c>
      <c r="J3452" t="s">
        <v>1709</v>
      </c>
      <c r="K3452" t="s">
        <v>1643</v>
      </c>
      <c r="L3452" t="s">
        <v>285</v>
      </c>
      <c r="M3452" t="str">
        <f t="shared" si="227"/>
        <v>11</v>
      </c>
      <c r="N3452" t="s">
        <v>12</v>
      </c>
    </row>
    <row r="3453" spans="1:14" x14ac:dyDescent="0.25">
      <c r="A3453">
        <v>20151113</v>
      </c>
      <c r="B3453" t="str">
        <f>"061096"</f>
        <v>061096</v>
      </c>
      <c r="C3453" t="str">
        <f>"49964"</f>
        <v>49964</v>
      </c>
      <c r="D3453" t="s">
        <v>2346</v>
      </c>
      <c r="E3453" s="3">
        <v>109.87</v>
      </c>
      <c r="F3453">
        <v>20151112</v>
      </c>
      <c r="G3453" t="s">
        <v>2347</v>
      </c>
      <c r="H3453" t="s">
        <v>2999</v>
      </c>
      <c r="I3453">
        <v>0</v>
      </c>
      <c r="J3453" t="s">
        <v>1709</v>
      </c>
      <c r="K3453" t="s">
        <v>2194</v>
      </c>
      <c r="L3453" t="s">
        <v>285</v>
      </c>
      <c r="M3453" t="str">
        <f t="shared" si="227"/>
        <v>11</v>
      </c>
      <c r="N3453" t="s">
        <v>12</v>
      </c>
    </row>
    <row r="3454" spans="1:14" x14ac:dyDescent="0.25">
      <c r="A3454">
        <v>20151113</v>
      </c>
      <c r="B3454" t="str">
        <f>"061097"</f>
        <v>061097</v>
      </c>
      <c r="C3454" t="str">
        <f>"53280"</f>
        <v>53280</v>
      </c>
      <c r="D3454" t="s">
        <v>3000</v>
      </c>
      <c r="E3454" s="3">
        <v>350</v>
      </c>
      <c r="F3454">
        <v>20151112</v>
      </c>
      <c r="G3454" t="s">
        <v>3001</v>
      </c>
      <c r="H3454" t="s">
        <v>2191</v>
      </c>
      <c r="I3454">
        <v>0</v>
      </c>
      <c r="J3454" t="s">
        <v>1709</v>
      </c>
      <c r="K3454" t="s">
        <v>95</v>
      </c>
      <c r="L3454" t="s">
        <v>285</v>
      </c>
      <c r="M3454" t="str">
        <f t="shared" si="227"/>
        <v>11</v>
      </c>
      <c r="N3454" t="s">
        <v>12</v>
      </c>
    </row>
    <row r="3455" spans="1:14" x14ac:dyDescent="0.25">
      <c r="A3455">
        <v>20151113</v>
      </c>
      <c r="B3455" t="str">
        <f>"061100"</f>
        <v>061100</v>
      </c>
      <c r="C3455" t="str">
        <f>"58204"</f>
        <v>58204</v>
      </c>
      <c r="D3455" t="s">
        <v>1816</v>
      </c>
      <c r="E3455" s="3">
        <v>38.49</v>
      </c>
      <c r="F3455">
        <v>20151112</v>
      </c>
      <c r="G3455" t="s">
        <v>2817</v>
      </c>
      <c r="H3455" t="s">
        <v>3002</v>
      </c>
      <c r="I3455">
        <v>0</v>
      </c>
      <c r="J3455" t="s">
        <v>1709</v>
      </c>
      <c r="K3455" t="s">
        <v>290</v>
      </c>
      <c r="L3455" t="s">
        <v>285</v>
      </c>
      <c r="M3455" t="str">
        <f t="shared" si="227"/>
        <v>11</v>
      </c>
      <c r="N3455" t="s">
        <v>12</v>
      </c>
    </row>
    <row r="3456" spans="1:14" x14ac:dyDescent="0.25">
      <c r="A3456">
        <v>20151113</v>
      </c>
      <c r="B3456" t="str">
        <f>"061100"</f>
        <v>061100</v>
      </c>
      <c r="C3456" t="str">
        <f>"58204"</f>
        <v>58204</v>
      </c>
      <c r="D3456" t="s">
        <v>1816</v>
      </c>
      <c r="E3456" s="3">
        <v>22.32</v>
      </c>
      <c r="F3456">
        <v>20151112</v>
      </c>
      <c r="G3456" t="s">
        <v>1961</v>
      </c>
      <c r="H3456" t="s">
        <v>694</v>
      </c>
      <c r="I3456">
        <v>0</v>
      </c>
      <c r="J3456" t="s">
        <v>1709</v>
      </c>
      <c r="K3456" t="s">
        <v>290</v>
      </c>
      <c r="L3456" t="s">
        <v>285</v>
      </c>
      <c r="M3456" t="str">
        <f t="shared" si="227"/>
        <v>11</v>
      </c>
      <c r="N3456" t="s">
        <v>12</v>
      </c>
    </row>
    <row r="3457" spans="1:14" x14ac:dyDescent="0.25">
      <c r="A3457">
        <v>20151113</v>
      </c>
      <c r="B3457" t="str">
        <f>"061100"</f>
        <v>061100</v>
      </c>
      <c r="C3457" t="str">
        <f>"58204"</f>
        <v>58204</v>
      </c>
      <c r="D3457" t="s">
        <v>1816</v>
      </c>
      <c r="E3457" s="3">
        <v>105</v>
      </c>
      <c r="F3457">
        <v>20151112</v>
      </c>
      <c r="G3457" t="s">
        <v>2693</v>
      </c>
      <c r="H3457" t="s">
        <v>694</v>
      </c>
      <c r="I3457">
        <v>0</v>
      </c>
      <c r="J3457" t="s">
        <v>1709</v>
      </c>
      <c r="K3457" t="s">
        <v>290</v>
      </c>
      <c r="L3457" t="s">
        <v>285</v>
      </c>
      <c r="M3457" t="str">
        <f t="shared" si="227"/>
        <v>11</v>
      </c>
      <c r="N3457" t="s">
        <v>12</v>
      </c>
    </row>
    <row r="3458" spans="1:14" x14ac:dyDescent="0.25">
      <c r="A3458">
        <v>20151113</v>
      </c>
      <c r="B3458" t="str">
        <f>"061100"</f>
        <v>061100</v>
      </c>
      <c r="C3458" t="str">
        <f>"58204"</f>
        <v>58204</v>
      </c>
      <c r="D3458" t="s">
        <v>1816</v>
      </c>
      <c r="E3458" s="3">
        <v>70</v>
      </c>
      <c r="F3458">
        <v>20151112</v>
      </c>
      <c r="G3458" t="s">
        <v>2693</v>
      </c>
      <c r="H3458" t="s">
        <v>636</v>
      </c>
      <c r="I3458">
        <v>0</v>
      </c>
      <c r="J3458" t="s">
        <v>1709</v>
      </c>
      <c r="K3458" t="s">
        <v>290</v>
      </c>
      <c r="L3458" t="s">
        <v>285</v>
      </c>
      <c r="M3458" t="str">
        <f t="shared" si="227"/>
        <v>11</v>
      </c>
      <c r="N3458" t="s">
        <v>12</v>
      </c>
    </row>
    <row r="3459" spans="1:14" x14ac:dyDescent="0.25">
      <c r="A3459">
        <v>20151113</v>
      </c>
      <c r="B3459" t="str">
        <f>"061100"</f>
        <v>061100</v>
      </c>
      <c r="C3459" t="str">
        <f>"58204"</f>
        <v>58204</v>
      </c>
      <c r="D3459" t="s">
        <v>1816</v>
      </c>
      <c r="E3459" s="3">
        <v>48</v>
      </c>
      <c r="F3459">
        <v>20151112</v>
      </c>
      <c r="G3459" t="s">
        <v>1723</v>
      </c>
      <c r="H3459" t="s">
        <v>2668</v>
      </c>
      <c r="I3459">
        <v>0</v>
      </c>
      <c r="J3459" t="s">
        <v>1709</v>
      </c>
      <c r="K3459" t="s">
        <v>290</v>
      </c>
      <c r="L3459" t="s">
        <v>285</v>
      </c>
      <c r="M3459" t="str">
        <f t="shared" si="227"/>
        <v>11</v>
      </c>
      <c r="N3459" t="s">
        <v>12</v>
      </c>
    </row>
    <row r="3460" spans="1:14" x14ac:dyDescent="0.25">
      <c r="A3460">
        <v>20151113</v>
      </c>
      <c r="B3460" t="str">
        <f>"061101"</f>
        <v>061101</v>
      </c>
      <c r="C3460" t="str">
        <f>"58202"</f>
        <v>58202</v>
      </c>
      <c r="D3460" t="s">
        <v>2695</v>
      </c>
      <c r="E3460" s="3">
        <v>352.83</v>
      </c>
      <c r="F3460">
        <v>20151112</v>
      </c>
      <c r="G3460" t="s">
        <v>2529</v>
      </c>
      <c r="H3460" t="s">
        <v>2509</v>
      </c>
      <c r="I3460">
        <v>0</v>
      </c>
      <c r="J3460" t="s">
        <v>1709</v>
      </c>
      <c r="K3460" t="s">
        <v>95</v>
      </c>
      <c r="L3460" t="s">
        <v>285</v>
      </c>
      <c r="M3460" t="str">
        <f t="shared" si="227"/>
        <v>11</v>
      </c>
      <c r="N3460" t="s">
        <v>12</v>
      </c>
    </row>
    <row r="3461" spans="1:14" x14ac:dyDescent="0.25">
      <c r="A3461">
        <v>20151113</v>
      </c>
      <c r="B3461" t="str">
        <f>"061102"</f>
        <v>061102</v>
      </c>
      <c r="C3461" t="str">
        <f>"58210"</f>
        <v>58210</v>
      </c>
      <c r="D3461" t="s">
        <v>2546</v>
      </c>
      <c r="E3461" s="3">
        <v>18.98</v>
      </c>
      <c r="F3461">
        <v>20151112</v>
      </c>
      <c r="G3461" t="s">
        <v>2720</v>
      </c>
      <c r="H3461" t="s">
        <v>3003</v>
      </c>
      <c r="I3461">
        <v>0</v>
      </c>
      <c r="J3461" t="s">
        <v>1709</v>
      </c>
      <c r="K3461" t="s">
        <v>2194</v>
      </c>
      <c r="L3461" t="s">
        <v>285</v>
      </c>
      <c r="M3461" t="str">
        <f t="shared" si="227"/>
        <v>11</v>
      </c>
      <c r="N3461" t="s">
        <v>12</v>
      </c>
    </row>
    <row r="3462" spans="1:14" x14ac:dyDescent="0.25">
      <c r="A3462">
        <v>20151113</v>
      </c>
      <c r="B3462" t="str">
        <f>"061106"</f>
        <v>061106</v>
      </c>
      <c r="C3462" t="str">
        <f>"65106"</f>
        <v>65106</v>
      </c>
      <c r="D3462" t="s">
        <v>1568</v>
      </c>
      <c r="E3462" s="3">
        <v>31.74</v>
      </c>
      <c r="F3462">
        <v>20151112</v>
      </c>
      <c r="G3462" t="s">
        <v>2317</v>
      </c>
      <c r="H3462" t="s">
        <v>2563</v>
      </c>
      <c r="I3462">
        <v>0</v>
      </c>
      <c r="J3462" t="s">
        <v>1709</v>
      </c>
      <c r="K3462" t="s">
        <v>290</v>
      </c>
      <c r="L3462" t="s">
        <v>285</v>
      </c>
      <c r="M3462" t="str">
        <f t="shared" si="227"/>
        <v>11</v>
      </c>
      <c r="N3462" t="s">
        <v>12</v>
      </c>
    </row>
    <row r="3463" spans="1:14" x14ac:dyDescent="0.25">
      <c r="A3463">
        <v>20151113</v>
      </c>
      <c r="B3463" t="str">
        <f>"061106"</f>
        <v>061106</v>
      </c>
      <c r="C3463" t="str">
        <f>"65106"</f>
        <v>65106</v>
      </c>
      <c r="D3463" t="s">
        <v>1568</v>
      </c>
      <c r="E3463" s="3">
        <v>135.76</v>
      </c>
      <c r="F3463">
        <v>20151112</v>
      </c>
      <c r="G3463" t="s">
        <v>2626</v>
      </c>
      <c r="H3463" t="s">
        <v>2173</v>
      </c>
      <c r="I3463">
        <v>0</v>
      </c>
      <c r="J3463" t="s">
        <v>1709</v>
      </c>
      <c r="K3463" t="s">
        <v>290</v>
      </c>
      <c r="L3463" t="s">
        <v>285</v>
      </c>
      <c r="M3463" t="str">
        <f t="shared" si="227"/>
        <v>11</v>
      </c>
      <c r="N3463" t="s">
        <v>12</v>
      </c>
    </row>
    <row r="3464" spans="1:14" x14ac:dyDescent="0.25">
      <c r="A3464">
        <v>20151113</v>
      </c>
      <c r="B3464" t="str">
        <f>"061106"</f>
        <v>061106</v>
      </c>
      <c r="C3464" t="str">
        <f>"65106"</f>
        <v>65106</v>
      </c>
      <c r="D3464" t="s">
        <v>1568</v>
      </c>
      <c r="E3464" s="3">
        <v>83.96</v>
      </c>
      <c r="F3464">
        <v>20151112</v>
      </c>
      <c r="G3464" t="s">
        <v>2626</v>
      </c>
      <c r="H3464" t="s">
        <v>3004</v>
      </c>
      <c r="I3464">
        <v>0</v>
      </c>
      <c r="J3464" t="s">
        <v>1709</v>
      </c>
      <c r="K3464" t="s">
        <v>290</v>
      </c>
      <c r="L3464" t="s">
        <v>285</v>
      </c>
      <c r="M3464" t="str">
        <f t="shared" si="227"/>
        <v>11</v>
      </c>
      <c r="N3464" t="s">
        <v>12</v>
      </c>
    </row>
    <row r="3465" spans="1:14" x14ac:dyDescent="0.25">
      <c r="A3465">
        <v>20151113</v>
      </c>
      <c r="B3465" t="str">
        <f>"061106"</f>
        <v>061106</v>
      </c>
      <c r="C3465" t="str">
        <f>"65106"</f>
        <v>65106</v>
      </c>
      <c r="D3465" t="s">
        <v>1568</v>
      </c>
      <c r="E3465" s="3">
        <v>91.79</v>
      </c>
      <c r="F3465">
        <v>20151112</v>
      </c>
      <c r="G3465" t="s">
        <v>2626</v>
      </c>
      <c r="H3465" t="s">
        <v>3005</v>
      </c>
      <c r="I3465">
        <v>0</v>
      </c>
      <c r="J3465" t="s">
        <v>1709</v>
      </c>
      <c r="K3465" t="s">
        <v>290</v>
      </c>
      <c r="L3465" t="s">
        <v>285</v>
      </c>
      <c r="M3465" t="str">
        <f t="shared" si="227"/>
        <v>11</v>
      </c>
      <c r="N3465" t="s">
        <v>12</v>
      </c>
    </row>
    <row r="3466" spans="1:14" x14ac:dyDescent="0.25">
      <c r="A3466">
        <v>20151113</v>
      </c>
      <c r="B3466" t="str">
        <f>"061106"</f>
        <v>061106</v>
      </c>
      <c r="C3466" t="str">
        <f>"65106"</f>
        <v>65106</v>
      </c>
      <c r="D3466" t="s">
        <v>1568</v>
      </c>
      <c r="E3466" s="3">
        <v>104.5</v>
      </c>
      <c r="F3466">
        <v>20151112</v>
      </c>
      <c r="G3466" t="s">
        <v>3006</v>
      </c>
      <c r="H3466" t="s">
        <v>3007</v>
      </c>
      <c r="I3466">
        <v>0</v>
      </c>
      <c r="J3466" t="s">
        <v>1709</v>
      </c>
      <c r="K3466" t="s">
        <v>290</v>
      </c>
      <c r="L3466" t="s">
        <v>285</v>
      </c>
      <c r="M3466" t="str">
        <f t="shared" si="227"/>
        <v>11</v>
      </c>
      <c r="N3466" t="s">
        <v>12</v>
      </c>
    </row>
    <row r="3467" spans="1:14" x14ac:dyDescent="0.25">
      <c r="A3467">
        <v>20151113</v>
      </c>
      <c r="B3467" t="str">
        <f>"061111"</f>
        <v>061111</v>
      </c>
      <c r="C3467" t="str">
        <f>"76304"</f>
        <v>76304</v>
      </c>
      <c r="D3467" t="s">
        <v>1787</v>
      </c>
      <c r="E3467" s="3">
        <v>90</v>
      </c>
      <c r="F3467">
        <v>20151112</v>
      </c>
      <c r="G3467" t="s">
        <v>1788</v>
      </c>
      <c r="H3467" t="s">
        <v>3008</v>
      </c>
      <c r="I3467">
        <v>0</v>
      </c>
      <c r="J3467" t="s">
        <v>1709</v>
      </c>
      <c r="K3467" t="s">
        <v>1643</v>
      </c>
      <c r="L3467" t="s">
        <v>285</v>
      </c>
      <c r="M3467" t="str">
        <f t="shared" si="227"/>
        <v>11</v>
      </c>
      <c r="N3467" t="s">
        <v>12</v>
      </c>
    </row>
    <row r="3468" spans="1:14" x14ac:dyDescent="0.25">
      <c r="A3468">
        <v>20151120</v>
      </c>
      <c r="B3468" t="str">
        <f>"061113"</f>
        <v>061113</v>
      </c>
      <c r="C3468" t="str">
        <f>"03710"</f>
        <v>03710</v>
      </c>
      <c r="D3468" t="s">
        <v>1553</v>
      </c>
      <c r="E3468" s="3">
        <v>68.760000000000005</v>
      </c>
      <c r="F3468">
        <v>20151118</v>
      </c>
      <c r="G3468" t="s">
        <v>2303</v>
      </c>
      <c r="H3468" t="s">
        <v>3009</v>
      </c>
      <c r="I3468">
        <v>0</v>
      </c>
      <c r="J3468" t="s">
        <v>1709</v>
      </c>
      <c r="K3468" t="s">
        <v>235</v>
      </c>
      <c r="L3468" t="s">
        <v>285</v>
      </c>
      <c r="M3468" t="str">
        <f t="shared" si="227"/>
        <v>11</v>
      </c>
      <c r="N3468" t="s">
        <v>12</v>
      </c>
    </row>
    <row r="3469" spans="1:14" x14ac:dyDescent="0.25">
      <c r="A3469">
        <v>20151120</v>
      </c>
      <c r="B3469" t="str">
        <f>"061113"</f>
        <v>061113</v>
      </c>
      <c r="C3469" t="str">
        <f>"03710"</f>
        <v>03710</v>
      </c>
      <c r="D3469" t="s">
        <v>1553</v>
      </c>
      <c r="E3469" s="3">
        <v>116.28</v>
      </c>
      <c r="F3469">
        <v>20151118</v>
      </c>
      <c r="G3469" t="s">
        <v>2762</v>
      </c>
      <c r="H3469" t="s">
        <v>595</v>
      </c>
      <c r="I3469">
        <v>0</v>
      </c>
      <c r="J3469" t="s">
        <v>1709</v>
      </c>
      <c r="K3469" t="s">
        <v>2764</v>
      </c>
      <c r="L3469" t="s">
        <v>285</v>
      </c>
      <c r="M3469" t="str">
        <f t="shared" si="227"/>
        <v>11</v>
      </c>
      <c r="N3469" t="s">
        <v>12</v>
      </c>
    </row>
    <row r="3470" spans="1:14" x14ac:dyDescent="0.25">
      <c r="A3470">
        <v>20151120</v>
      </c>
      <c r="B3470" t="str">
        <f>"061113"</f>
        <v>061113</v>
      </c>
      <c r="C3470" t="str">
        <f>"03710"</f>
        <v>03710</v>
      </c>
      <c r="D3470" t="s">
        <v>1553</v>
      </c>
      <c r="E3470" s="3">
        <v>41.8</v>
      </c>
      <c r="F3470">
        <v>20151118</v>
      </c>
      <c r="G3470" t="s">
        <v>2047</v>
      </c>
      <c r="H3470" t="s">
        <v>3010</v>
      </c>
      <c r="I3470">
        <v>0</v>
      </c>
      <c r="J3470" t="s">
        <v>1709</v>
      </c>
      <c r="K3470" t="s">
        <v>1882</v>
      </c>
      <c r="L3470" t="s">
        <v>285</v>
      </c>
      <c r="M3470" t="str">
        <f t="shared" si="227"/>
        <v>11</v>
      </c>
      <c r="N3470" t="s">
        <v>12</v>
      </c>
    </row>
    <row r="3471" spans="1:14" x14ac:dyDescent="0.25">
      <c r="A3471">
        <v>20151120</v>
      </c>
      <c r="B3471" t="str">
        <f>"061113"</f>
        <v>061113</v>
      </c>
      <c r="C3471" t="str">
        <f>"03710"</f>
        <v>03710</v>
      </c>
      <c r="D3471" t="s">
        <v>1553</v>
      </c>
      <c r="E3471" s="3">
        <v>16.7</v>
      </c>
      <c r="F3471">
        <v>20151118</v>
      </c>
      <c r="G3471" t="s">
        <v>2047</v>
      </c>
      <c r="H3471" t="s">
        <v>3011</v>
      </c>
      <c r="I3471">
        <v>0</v>
      </c>
      <c r="J3471" t="s">
        <v>1709</v>
      </c>
      <c r="K3471" t="s">
        <v>1882</v>
      </c>
      <c r="L3471" t="s">
        <v>285</v>
      </c>
      <c r="M3471" t="str">
        <f t="shared" si="227"/>
        <v>11</v>
      </c>
      <c r="N3471" t="s">
        <v>12</v>
      </c>
    </row>
    <row r="3472" spans="1:14" x14ac:dyDescent="0.25">
      <c r="A3472">
        <v>20151120</v>
      </c>
      <c r="B3472" t="str">
        <f>"061113"</f>
        <v>061113</v>
      </c>
      <c r="C3472" t="str">
        <f>"03710"</f>
        <v>03710</v>
      </c>
      <c r="D3472" t="s">
        <v>1553</v>
      </c>
      <c r="E3472" s="3">
        <v>1138.48</v>
      </c>
      <c r="F3472">
        <v>20151118</v>
      </c>
      <c r="G3472" t="s">
        <v>2049</v>
      </c>
      <c r="H3472" t="s">
        <v>595</v>
      </c>
      <c r="I3472">
        <v>0</v>
      </c>
      <c r="J3472" t="s">
        <v>1709</v>
      </c>
      <c r="K3472" t="s">
        <v>1775</v>
      </c>
      <c r="L3472" t="s">
        <v>285</v>
      </c>
      <c r="M3472" t="str">
        <f t="shared" si="227"/>
        <v>11</v>
      </c>
      <c r="N3472" t="s">
        <v>12</v>
      </c>
    </row>
    <row r="3473" spans="1:14" x14ac:dyDescent="0.25">
      <c r="A3473">
        <v>20151120</v>
      </c>
      <c r="B3473" t="str">
        <f>"061115"</f>
        <v>061115</v>
      </c>
      <c r="C3473" t="str">
        <f>"01196"</f>
        <v>01196</v>
      </c>
      <c r="D3473" t="s">
        <v>2421</v>
      </c>
      <c r="E3473" s="3">
        <v>16.989999999999998</v>
      </c>
      <c r="F3473">
        <v>20151118</v>
      </c>
      <c r="G3473" t="s">
        <v>2333</v>
      </c>
      <c r="H3473" t="s">
        <v>3012</v>
      </c>
      <c r="I3473">
        <v>0</v>
      </c>
      <c r="J3473" t="s">
        <v>1709</v>
      </c>
      <c r="K3473" t="s">
        <v>290</v>
      </c>
      <c r="L3473" t="s">
        <v>285</v>
      </c>
      <c r="M3473" t="str">
        <f t="shared" si="227"/>
        <v>11</v>
      </c>
      <c r="N3473" t="s">
        <v>12</v>
      </c>
    </row>
    <row r="3474" spans="1:14" x14ac:dyDescent="0.25">
      <c r="A3474">
        <v>20151120</v>
      </c>
      <c r="B3474" t="str">
        <f>"061115"</f>
        <v>061115</v>
      </c>
      <c r="C3474" t="str">
        <f>"01196"</f>
        <v>01196</v>
      </c>
      <c r="D3474" t="s">
        <v>2421</v>
      </c>
      <c r="E3474" s="3">
        <v>168.93</v>
      </c>
      <c r="F3474">
        <v>20151118</v>
      </c>
      <c r="G3474" t="s">
        <v>3013</v>
      </c>
      <c r="H3474" t="s">
        <v>3014</v>
      </c>
      <c r="I3474">
        <v>0</v>
      </c>
      <c r="J3474" t="s">
        <v>1709</v>
      </c>
      <c r="K3474" t="s">
        <v>1984</v>
      </c>
      <c r="L3474" t="s">
        <v>285</v>
      </c>
      <c r="M3474" t="str">
        <f t="shared" si="227"/>
        <v>11</v>
      </c>
      <c r="N3474" t="s">
        <v>12</v>
      </c>
    </row>
    <row r="3475" spans="1:14" x14ac:dyDescent="0.25">
      <c r="A3475">
        <v>20151120</v>
      </c>
      <c r="B3475" t="str">
        <f>"061116"</f>
        <v>061116</v>
      </c>
      <c r="C3475" t="str">
        <f>"01530"</f>
        <v>01530</v>
      </c>
      <c r="D3475" t="s">
        <v>1943</v>
      </c>
      <c r="E3475" s="3">
        <v>117</v>
      </c>
      <c r="F3475">
        <v>20151118</v>
      </c>
      <c r="G3475" t="s">
        <v>2424</v>
      </c>
      <c r="H3475" t="s">
        <v>3015</v>
      </c>
      <c r="I3475">
        <v>0</v>
      </c>
      <c r="J3475" t="s">
        <v>1709</v>
      </c>
      <c r="K3475" t="s">
        <v>1775</v>
      </c>
      <c r="L3475" t="s">
        <v>285</v>
      </c>
      <c r="M3475" t="str">
        <f t="shared" si="227"/>
        <v>11</v>
      </c>
      <c r="N3475" t="s">
        <v>12</v>
      </c>
    </row>
    <row r="3476" spans="1:14" x14ac:dyDescent="0.25">
      <c r="A3476">
        <v>20151120</v>
      </c>
      <c r="B3476" t="str">
        <f t="shared" ref="B3476:B3482" si="228">"061117"</f>
        <v>061117</v>
      </c>
      <c r="C3476" t="str">
        <f t="shared" ref="C3476:C3482" si="229">"02230"</f>
        <v>02230</v>
      </c>
      <c r="D3476" t="s">
        <v>1945</v>
      </c>
      <c r="E3476" s="3">
        <v>608.84</v>
      </c>
      <c r="F3476">
        <v>20151119</v>
      </c>
      <c r="G3476" t="s">
        <v>2333</v>
      </c>
      <c r="H3476" t="s">
        <v>2410</v>
      </c>
      <c r="I3476">
        <v>0</v>
      </c>
      <c r="J3476" t="s">
        <v>1709</v>
      </c>
      <c r="K3476" t="s">
        <v>290</v>
      </c>
      <c r="L3476" t="s">
        <v>285</v>
      </c>
      <c r="M3476" t="str">
        <f t="shared" si="227"/>
        <v>11</v>
      </c>
      <c r="N3476" t="s">
        <v>12</v>
      </c>
    </row>
    <row r="3477" spans="1:14" x14ac:dyDescent="0.25">
      <c r="A3477">
        <v>20151120</v>
      </c>
      <c r="B3477" t="str">
        <f t="shared" si="228"/>
        <v>061117</v>
      </c>
      <c r="C3477" t="str">
        <f t="shared" si="229"/>
        <v>02230</v>
      </c>
      <c r="D3477" t="s">
        <v>1945</v>
      </c>
      <c r="E3477" s="3">
        <v>98.61</v>
      </c>
      <c r="F3477">
        <v>20151119</v>
      </c>
      <c r="G3477" t="s">
        <v>2333</v>
      </c>
      <c r="H3477" t="s">
        <v>1842</v>
      </c>
      <c r="I3477">
        <v>0</v>
      </c>
      <c r="J3477" t="s">
        <v>1709</v>
      </c>
      <c r="K3477" t="s">
        <v>290</v>
      </c>
      <c r="L3477" t="s">
        <v>285</v>
      </c>
      <c r="M3477" t="str">
        <f t="shared" si="227"/>
        <v>11</v>
      </c>
      <c r="N3477" t="s">
        <v>12</v>
      </c>
    </row>
    <row r="3478" spans="1:14" x14ac:dyDescent="0.25">
      <c r="A3478">
        <v>20151120</v>
      </c>
      <c r="B3478" t="str">
        <f t="shared" si="228"/>
        <v>061117</v>
      </c>
      <c r="C3478" t="str">
        <f t="shared" si="229"/>
        <v>02230</v>
      </c>
      <c r="D3478" t="s">
        <v>1945</v>
      </c>
      <c r="E3478" s="3">
        <v>52.8</v>
      </c>
      <c r="F3478">
        <v>20151119</v>
      </c>
      <c r="G3478" t="s">
        <v>2333</v>
      </c>
      <c r="H3478" t="s">
        <v>3016</v>
      </c>
      <c r="I3478">
        <v>0</v>
      </c>
      <c r="J3478" t="s">
        <v>1709</v>
      </c>
      <c r="K3478" t="s">
        <v>290</v>
      </c>
      <c r="L3478" t="s">
        <v>285</v>
      </c>
      <c r="M3478" t="str">
        <f t="shared" si="227"/>
        <v>11</v>
      </c>
      <c r="N3478" t="s">
        <v>12</v>
      </c>
    </row>
    <row r="3479" spans="1:14" x14ac:dyDescent="0.25">
      <c r="A3479">
        <v>20151120</v>
      </c>
      <c r="B3479" t="str">
        <f t="shared" si="228"/>
        <v>061117</v>
      </c>
      <c r="C3479" t="str">
        <f t="shared" si="229"/>
        <v>02230</v>
      </c>
      <c r="D3479" t="s">
        <v>1945</v>
      </c>
      <c r="E3479" s="3">
        <v>2.2000000000000002</v>
      </c>
      <c r="F3479">
        <v>20151119</v>
      </c>
      <c r="G3479" t="s">
        <v>2333</v>
      </c>
      <c r="H3479" t="s">
        <v>3016</v>
      </c>
      <c r="I3479">
        <v>0</v>
      </c>
      <c r="J3479" t="s">
        <v>1709</v>
      </c>
      <c r="K3479" t="s">
        <v>290</v>
      </c>
      <c r="L3479" t="s">
        <v>285</v>
      </c>
      <c r="M3479" t="str">
        <f t="shared" si="227"/>
        <v>11</v>
      </c>
      <c r="N3479" t="s">
        <v>12</v>
      </c>
    </row>
    <row r="3480" spans="1:14" x14ac:dyDescent="0.25">
      <c r="A3480">
        <v>20151120</v>
      </c>
      <c r="B3480" t="str">
        <f t="shared" si="228"/>
        <v>061117</v>
      </c>
      <c r="C3480" t="str">
        <f t="shared" si="229"/>
        <v>02230</v>
      </c>
      <c r="D3480" t="s">
        <v>1945</v>
      </c>
      <c r="E3480" s="3">
        <v>77.5</v>
      </c>
      <c r="F3480">
        <v>20151119</v>
      </c>
      <c r="G3480" t="s">
        <v>2333</v>
      </c>
      <c r="H3480" t="s">
        <v>3017</v>
      </c>
      <c r="I3480">
        <v>0</v>
      </c>
      <c r="J3480" t="s">
        <v>1709</v>
      </c>
      <c r="K3480" t="s">
        <v>290</v>
      </c>
      <c r="L3480" t="s">
        <v>285</v>
      </c>
      <c r="M3480" t="str">
        <f t="shared" si="227"/>
        <v>11</v>
      </c>
      <c r="N3480" t="s">
        <v>12</v>
      </c>
    </row>
    <row r="3481" spans="1:14" x14ac:dyDescent="0.25">
      <c r="A3481">
        <v>20151120</v>
      </c>
      <c r="B3481" t="str">
        <f t="shared" si="228"/>
        <v>061117</v>
      </c>
      <c r="C3481" t="str">
        <f t="shared" si="229"/>
        <v>02230</v>
      </c>
      <c r="D3481" t="s">
        <v>1945</v>
      </c>
      <c r="E3481" s="3">
        <v>79.62</v>
      </c>
      <c r="F3481">
        <v>20151119</v>
      </c>
      <c r="G3481" t="s">
        <v>2333</v>
      </c>
      <c r="H3481" t="s">
        <v>3018</v>
      </c>
      <c r="I3481">
        <v>0</v>
      </c>
      <c r="J3481" t="s">
        <v>1709</v>
      </c>
      <c r="K3481" t="s">
        <v>290</v>
      </c>
      <c r="L3481" t="s">
        <v>285</v>
      </c>
      <c r="M3481" t="str">
        <f t="shared" si="227"/>
        <v>11</v>
      </c>
      <c r="N3481" t="s">
        <v>12</v>
      </c>
    </row>
    <row r="3482" spans="1:14" x14ac:dyDescent="0.25">
      <c r="A3482">
        <v>20151120</v>
      </c>
      <c r="B3482" t="str">
        <f t="shared" si="228"/>
        <v>061117</v>
      </c>
      <c r="C3482" t="str">
        <f t="shared" si="229"/>
        <v>02230</v>
      </c>
      <c r="D3482" t="s">
        <v>1945</v>
      </c>
      <c r="E3482" s="3">
        <v>125.66</v>
      </c>
      <c r="F3482">
        <v>20151119</v>
      </c>
      <c r="G3482" t="s">
        <v>2333</v>
      </c>
      <c r="H3482" t="s">
        <v>1843</v>
      </c>
      <c r="I3482">
        <v>0</v>
      </c>
      <c r="J3482" t="s">
        <v>1709</v>
      </c>
      <c r="K3482" t="s">
        <v>290</v>
      </c>
      <c r="L3482" t="s">
        <v>285</v>
      </c>
      <c r="M3482" t="str">
        <f t="shared" si="227"/>
        <v>11</v>
      </c>
      <c r="N3482" t="s">
        <v>12</v>
      </c>
    </row>
    <row r="3483" spans="1:14" x14ac:dyDescent="0.25">
      <c r="A3483">
        <v>20151120</v>
      </c>
      <c r="B3483" t="str">
        <f>"061118"</f>
        <v>061118</v>
      </c>
      <c r="C3483" t="str">
        <f>"29779"</f>
        <v>29779</v>
      </c>
      <c r="D3483" t="s">
        <v>1806</v>
      </c>
      <c r="E3483" s="3">
        <v>837.48</v>
      </c>
      <c r="F3483">
        <v>20151118</v>
      </c>
      <c r="G3483" t="s">
        <v>2192</v>
      </c>
      <c r="H3483" t="s">
        <v>2051</v>
      </c>
      <c r="I3483">
        <v>0</v>
      </c>
      <c r="J3483" t="s">
        <v>1709</v>
      </c>
      <c r="K3483" t="s">
        <v>2194</v>
      </c>
      <c r="L3483" t="s">
        <v>285</v>
      </c>
      <c r="M3483" t="str">
        <f t="shared" si="227"/>
        <v>11</v>
      </c>
      <c r="N3483" t="s">
        <v>12</v>
      </c>
    </row>
    <row r="3484" spans="1:14" x14ac:dyDescent="0.25">
      <c r="A3484">
        <v>20151120</v>
      </c>
      <c r="B3484" t="str">
        <f>"061118"</f>
        <v>061118</v>
      </c>
      <c r="C3484" t="str">
        <f>"29779"</f>
        <v>29779</v>
      </c>
      <c r="D3484" t="s">
        <v>1806</v>
      </c>
      <c r="E3484" s="3">
        <v>803</v>
      </c>
      <c r="F3484">
        <v>20151118</v>
      </c>
      <c r="G3484" t="s">
        <v>2192</v>
      </c>
      <c r="H3484" t="s">
        <v>2051</v>
      </c>
      <c r="I3484">
        <v>0</v>
      </c>
      <c r="J3484" t="s">
        <v>1709</v>
      </c>
      <c r="K3484" t="s">
        <v>2194</v>
      </c>
      <c r="L3484" t="s">
        <v>285</v>
      </c>
      <c r="M3484" t="str">
        <f t="shared" si="227"/>
        <v>11</v>
      </c>
      <c r="N3484" t="s">
        <v>12</v>
      </c>
    </row>
    <row r="3485" spans="1:14" x14ac:dyDescent="0.25">
      <c r="A3485">
        <v>20151120</v>
      </c>
      <c r="B3485" t="str">
        <f>"061118"</f>
        <v>061118</v>
      </c>
      <c r="C3485" t="str">
        <f>"29779"</f>
        <v>29779</v>
      </c>
      <c r="D3485" t="s">
        <v>1806</v>
      </c>
      <c r="E3485" s="3">
        <v>568.74</v>
      </c>
      <c r="F3485">
        <v>20151118</v>
      </c>
      <c r="G3485" t="s">
        <v>2192</v>
      </c>
      <c r="H3485" t="s">
        <v>2051</v>
      </c>
      <c r="I3485">
        <v>0</v>
      </c>
      <c r="J3485" t="s">
        <v>1709</v>
      </c>
      <c r="K3485" t="s">
        <v>2194</v>
      </c>
      <c r="L3485" t="s">
        <v>285</v>
      </c>
      <c r="M3485" t="str">
        <f t="shared" si="227"/>
        <v>11</v>
      </c>
      <c r="N3485" t="s">
        <v>12</v>
      </c>
    </row>
    <row r="3486" spans="1:14" x14ac:dyDescent="0.25">
      <c r="A3486">
        <v>20151120</v>
      </c>
      <c r="B3486" t="str">
        <f>"061121"</f>
        <v>061121</v>
      </c>
      <c r="C3486" t="str">
        <f>"06267"</f>
        <v>06267</v>
      </c>
      <c r="D3486" t="s">
        <v>1948</v>
      </c>
      <c r="E3486" s="3">
        <v>2503.0300000000002</v>
      </c>
      <c r="F3486">
        <v>20151118</v>
      </c>
      <c r="G3486" t="s">
        <v>1854</v>
      </c>
      <c r="H3486" t="s">
        <v>3019</v>
      </c>
      <c r="I3486">
        <v>0</v>
      </c>
      <c r="J3486" t="s">
        <v>1709</v>
      </c>
      <c r="K3486" t="s">
        <v>1856</v>
      </c>
      <c r="L3486" t="s">
        <v>285</v>
      </c>
      <c r="M3486" t="str">
        <f t="shared" si="227"/>
        <v>11</v>
      </c>
      <c r="N3486" t="s">
        <v>12</v>
      </c>
    </row>
    <row r="3487" spans="1:14" x14ac:dyDescent="0.25">
      <c r="A3487">
        <v>20151120</v>
      </c>
      <c r="B3487" t="str">
        <f>"061122"</f>
        <v>061122</v>
      </c>
      <c r="C3487" t="str">
        <f>"24208"</f>
        <v>24208</v>
      </c>
      <c r="D3487" t="s">
        <v>1541</v>
      </c>
      <c r="E3487" s="3">
        <v>95</v>
      </c>
      <c r="F3487">
        <v>20151118</v>
      </c>
      <c r="G3487" t="s">
        <v>1854</v>
      </c>
      <c r="H3487" t="s">
        <v>3020</v>
      </c>
      <c r="I3487">
        <v>0</v>
      </c>
      <c r="J3487" t="s">
        <v>1709</v>
      </c>
      <c r="K3487" t="s">
        <v>1856</v>
      </c>
      <c r="L3487" t="s">
        <v>285</v>
      </c>
      <c r="M3487" t="str">
        <f t="shared" si="227"/>
        <v>11</v>
      </c>
      <c r="N3487" t="s">
        <v>12</v>
      </c>
    </row>
    <row r="3488" spans="1:14" x14ac:dyDescent="0.25">
      <c r="A3488">
        <v>20151120</v>
      </c>
      <c r="B3488" t="str">
        <f>"061123"</f>
        <v>061123</v>
      </c>
      <c r="C3488" t="str">
        <f>"06509"</f>
        <v>06509</v>
      </c>
      <c r="D3488" t="s">
        <v>1555</v>
      </c>
      <c r="E3488" s="3">
        <v>45</v>
      </c>
      <c r="F3488">
        <v>20151118</v>
      </c>
      <c r="G3488" t="s">
        <v>2124</v>
      </c>
      <c r="H3488" t="s">
        <v>3021</v>
      </c>
      <c r="I3488">
        <v>0</v>
      </c>
      <c r="J3488" t="s">
        <v>1709</v>
      </c>
      <c r="K3488" t="s">
        <v>290</v>
      </c>
      <c r="L3488" t="s">
        <v>285</v>
      </c>
      <c r="M3488" t="str">
        <f t="shared" si="227"/>
        <v>11</v>
      </c>
      <c r="N3488" t="s">
        <v>12</v>
      </c>
    </row>
    <row r="3489" spans="1:14" x14ac:dyDescent="0.25">
      <c r="A3489">
        <v>20151120</v>
      </c>
      <c r="B3489" t="str">
        <f>"061123"</f>
        <v>061123</v>
      </c>
      <c r="C3489" t="str">
        <f>"06509"</f>
        <v>06509</v>
      </c>
      <c r="D3489" t="s">
        <v>1555</v>
      </c>
      <c r="E3489" s="3">
        <v>2856</v>
      </c>
      <c r="F3489">
        <v>20151118</v>
      </c>
      <c r="G3489" t="s">
        <v>3022</v>
      </c>
      <c r="H3489" t="s">
        <v>3023</v>
      </c>
      <c r="I3489">
        <v>0</v>
      </c>
      <c r="J3489" t="s">
        <v>1709</v>
      </c>
      <c r="K3489" t="s">
        <v>290</v>
      </c>
      <c r="L3489" t="s">
        <v>285</v>
      </c>
      <c r="M3489" t="str">
        <f t="shared" si="227"/>
        <v>11</v>
      </c>
      <c r="N3489" t="s">
        <v>12</v>
      </c>
    </row>
    <row r="3490" spans="1:14" x14ac:dyDescent="0.25">
      <c r="A3490">
        <v>20151120</v>
      </c>
      <c r="B3490" t="str">
        <f>"061123"</f>
        <v>061123</v>
      </c>
      <c r="C3490" t="str">
        <f>"06509"</f>
        <v>06509</v>
      </c>
      <c r="D3490" t="s">
        <v>1555</v>
      </c>
      <c r="E3490" s="3">
        <v>24264</v>
      </c>
      <c r="F3490">
        <v>20151118</v>
      </c>
      <c r="G3490" t="s">
        <v>3022</v>
      </c>
      <c r="H3490" t="s">
        <v>3024</v>
      </c>
      <c r="I3490">
        <v>0</v>
      </c>
      <c r="J3490" t="s">
        <v>1709</v>
      </c>
      <c r="K3490" t="s">
        <v>290</v>
      </c>
      <c r="L3490" t="s">
        <v>285</v>
      </c>
      <c r="M3490" t="str">
        <f t="shared" si="227"/>
        <v>11</v>
      </c>
      <c r="N3490" t="s">
        <v>12</v>
      </c>
    </row>
    <row r="3491" spans="1:14" x14ac:dyDescent="0.25">
      <c r="A3491">
        <v>20151120</v>
      </c>
      <c r="B3491" t="str">
        <f>"061124"</f>
        <v>061124</v>
      </c>
      <c r="C3491" t="str">
        <f>"06893"</f>
        <v>06893</v>
      </c>
      <c r="D3491" t="s">
        <v>1956</v>
      </c>
      <c r="E3491" s="3">
        <v>32</v>
      </c>
      <c r="F3491">
        <v>20151118</v>
      </c>
      <c r="G3491" t="s">
        <v>1957</v>
      </c>
      <c r="H3491" t="s">
        <v>2622</v>
      </c>
      <c r="I3491">
        <v>0</v>
      </c>
      <c r="J3491" t="s">
        <v>1709</v>
      </c>
      <c r="K3491" t="s">
        <v>290</v>
      </c>
      <c r="L3491" t="s">
        <v>285</v>
      </c>
      <c r="M3491" t="str">
        <f t="shared" si="227"/>
        <v>11</v>
      </c>
      <c r="N3491" t="s">
        <v>12</v>
      </c>
    </row>
    <row r="3492" spans="1:14" x14ac:dyDescent="0.25">
      <c r="A3492">
        <v>20151120</v>
      </c>
      <c r="B3492" t="str">
        <f>"061124"</f>
        <v>061124</v>
      </c>
      <c r="C3492" t="str">
        <f>"06893"</f>
        <v>06893</v>
      </c>
      <c r="D3492" t="s">
        <v>1956</v>
      </c>
      <c r="E3492" s="3">
        <v>25</v>
      </c>
      <c r="F3492">
        <v>20151118</v>
      </c>
      <c r="G3492" t="s">
        <v>2320</v>
      </c>
      <c r="H3492" t="s">
        <v>2622</v>
      </c>
      <c r="I3492">
        <v>0</v>
      </c>
      <c r="J3492" t="s">
        <v>1709</v>
      </c>
      <c r="K3492" t="s">
        <v>290</v>
      </c>
      <c r="L3492" t="s">
        <v>285</v>
      </c>
      <c r="M3492" t="str">
        <f t="shared" si="227"/>
        <v>11</v>
      </c>
      <c r="N3492" t="s">
        <v>12</v>
      </c>
    </row>
    <row r="3493" spans="1:14" x14ac:dyDescent="0.25">
      <c r="A3493">
        <v>20151120</v>
      </c>
      <c r="B3493" t="str">
        <f>"061125"</f>
        <v>061125</v>
      </c>
      <c r="C3493" t="str">
        <f>"07699"</f>
        <v>07699</v>
      </c>
      <c r="D3493" t="s">
        <v>2822</v>
      </c>
      <c r="E3493" s="3">
        <v>273.02</v>
      </c>
      <c r="F3493">
        <v>20151119</v>
      </c>
      <c r="G3493" t="s">
        <v>2317</v>
      </c>
      <c r="H3493" t="s">
        <v>2509</v>
      </c>
      <c r="I3493">
        <v>0</v>
      </c>
      <c r="J3493" t="s">
        <v>1709</v>
      </c>
      <c r="K3493" t="s">
        <v>290</v>
      </c>
      <c r="L3493" t="s">
        <v>285</v>
      </c>
      <c r="M3493" t="str">
        <f t="shared" si="227"/>
        <v>11</v>
      </c>
      <c r="N3493" t="s">
        <v>12</v>
      </c>
    </row>
    <row r="3494" spans="1:14" x14ac:dyDescent="0.25">
      <c r="A3494">
        <v>20151120</v>
      </c>
      <c r="B3494" t="str">
        <f>"061126"</f>
        <v>061126</v>
      </c>
      <c r="C3494" t="str">
        <f>"08196"</f>
        <v>08196</v>
      </c>
      <c r="D3494" t="s">
        <v>2438</v>
      </c>
      <c r="E3494" s="3">
        <v>289.99</v>
      </c>
      <c r="F3494">
        <v>20151118</v>
      </c>
      <c r="G3494" t="s">
        <v>3025</v>
      </c>
      <c r="H3494" t="s">
        <v>3026</v>
      </c>
      <c r="I3494">
        <v>0</v>
      </c>
      <c r="J3494" t="s">
        <v>1709</v>
      </c>
      <c r="K3494" t="s">
        <v>290</v>
      </c>
      <c r="L3494" t="s">
        <v>285</v>
      </c>
      <c r="M3494" t="str">
        <f t="shared" si="227"/>
        <v>11</v>
      </c>
      <c r="N3494" t="s">
        <v>12</v>
      </c>
    </row>
    <row r="3495" spans="1:14" x14ac:dyDescent="0.25">
      <c r="A3495">
        <v>20151120</v>
      </c>
      <c r="B3495" t="str">
        <f>"061126"</f>
        <v>061126</v>
      </c>
      <c r="C3495" t="str">
        <f>"08196"</f>
        <v>08196</v>
      </c>
      <c r="D3495" t="s">
        <v>2438</v>
      </c>
      <c r="E3495" s="3">
        <v>62.41</v>
      </c>
      <c r="F3495">
        <v>20151118</v>
      </c>
      <c r="G3495" t="s">
        <v>2422</v>
      </c>
      <c r="H3495" t="s">
        <v>3027</v>
      </c>
      <c r="I3495">
        <v>0</v>
      </c>
      <c r="J3495" t="s">
        <v>1709</v>
      </c>
      <c r="K3495" t="s">
        <v>290</v>
      </c>
      <c r="L3495" t="s">
        <v>285</v>
      </c>
      <c r="M3495" t="str">
        <f t="shared" si="227"/>
        <v>11</v>
      </c>
      <c r="N3495" t="s">
        <v>12</v>
      </c>
    </row>
    <row r="3496" spans="1:14" x14ac:dyDescent="0.25">
      <c r="A3496">
        <v>20151120</v>
      </c>
      <c r="B3496" t="str">
        <f>"061126"</f>
        <v>061126</v>
      </c>
      <c r="C3496" t="str">
        <f>"08196"</f>
        <v>08196</v>
      </c>
      <c r="D3496" t="s">
        <v>2438</v>
      </c>
      <c r="E3496" s="3">
        <v>19.690000000000001</v>
      </c>
      <c r="F3496">
        <v>20151118</v>
      </c>
      <c r="G3496" t="s">
        <v>2422</v>
      </c>
      <c r="H3496" t="s">
        <v>3028</v>
      </c>
      <c r="I3496">
        <v>0</v>
      </c>
      <c r="J3496" t="s">
        <v>1709</v>
      </c>
      <c r="K3496" t="s">
        <v>290</v>
      </c>
      <c r="L3496" t="s">
        <v>285</v>
      </c>
      <c r="M3496" t="str">
        <f t="shared" si="227"/>
        <v>11</v>
      </c>
      <c r="N3496" t="s">
        <v>12</v>
      </c>
    </row>
    <row r="3497" spans="1:14" x14ac:dyDescent="0.25">
      <c r="A3497">
        <v>20151120</v>
      </c>
      <c r="B3497" t="str">
        <f>"061126"</f>
        <v>061126</v>
      </c>
      <c r="C3497" t="str">
        <f>"08196"</f>
        <v>08196</v>
      </c>
      <c r="D3497" t="s">
        <v>2438</v>
      </c>
      <c r="E3497" s="3">
        <v>17.28</v>
      </c>
      <c r="F3497">
        <v>20151118</v>
      </c>
      <c r="G3497" t="s">
        <v>2422</v>
      </c>
      <c r="H3497" t="s">
        <v>3029</v>
      </c>
      <c r="I3497">
        <v>0</v>
      </c>
      <c r="J3497" t="s">
        <v>1709</v>
      </c>
      <c r="K3497" t="s">
        <v>290</v>
      </c>
      <c r="L3497" t="s">
        <v>285</v>
      </c>
      <c r="M3497" t="str">
        <f t="shared" si="227"/>
        <v>11</v>
      </c>
      <c r="N3497" t="s">
        <v>12</v>
      </c>
    </row>
    <row r="3498" spans="1:14" x14ac:dyDescent="0.25">
      <c r="A3498">
        <v>20151120</v>
      </c>
      <c r="B3498" t="str">
        <f>"061129"</f>
        <v>061129</v>
      </c>
      <c r="C3498" t="str">
        <f>"11210"</f>
        <v>11210</v>
      </c>
      <c r="D3498" t="s">
        <v>3030</v>
      </c>
      <c r="E3498" s="3">
        <v>441.78</v>
      </c>
      <c r="F3498">
        <v>20151118</v>
      </c>
      <c r="G3498" t="s">
        <v>3031</v>
      </c>
      <c r="H3498" t="s">
        <v>1618</v>
      </c>
      <c r="I3498">
        <v>0</v>
      </c>
      <c r="J3498" t="s">
        <v>1709</v>
      </c>
      <c r="K3498" t="s">
        <v>290</v>
      </c>
      <c r="L3498" t="s">
        <v>285</v>
      </c>
      <c r="M3498" t="str">
        <f t="shared" si="227"/>
        <v>11</v>
      </c>
      <c r="N3498" t="s">
        <v>12</v>
      </c>
    </row>
    <row r="3499" spans="1:14" x14ac:dyDescent="0.25">
      <c r="A3499">
        <v>20151120</v>
      </c>
      <c r="B3499" t="str">
        <f>"061129"</f>
        <v>061129</v>
      </c>
      <c r="C3499" t="str">
        <f>"11210"</f>
        <v>11210</v>
      </c>
      <c r="D3499" t="s">
        <v>3030</v>
      </c>
      <c r="E3499" s="3">
        <v>1222.0999999999999</v>
      </c>
      <c r="F3499">
        <v>20151118</v>
      </c>
      <c r="G3499" t="s">
        <v>3032</v>
      </c>
      <c r="H3499" t="s">
        <v>1618</v>
      </c>
      <c r="I3499">
        <v>0</v>
      </c>
      <c r="J3499" t="s">
        <v>1709</v>
      </c>
      <c r="K3499" t="s">
        <v>95</v>
      </c>
      <c r="L3499" t="s">
        <v>285</v>
      </c>
      <c r="M3499" t="str">
        <f t="shared" si="227"/>
        <v>11</v>
      </c>
      <c r="N3499" t="s">
        <v>12</v>
      </c>
    </row>
    <row r="3500" spans="1:14" x14ac:dyDescent="0.25">
      <c r="A3500">
        <v>20151120</v>
      </c>
      <c r="B3500" t="str">
        <f>"061129"</f>
        <v>061129</v>
      </c>
      <c r="C3500" t="str">
        <f>"11210"</f>
        <v>11210</v>
      </c>
      <c r="D3500" t="s">
        <v>3030</v>
      </c>
      <c r="E3500" s="3">
        <v>44.7</v>
      </c>
      <c r="F3500">
        <v>20151118</v>
      </c>
      <c r="G3500" t="s">
        <v>3032</v>
      </c>
      <c r="H3500" t="s">
        <v>3033</v>
      </c>
      <c r="I3500">
        <v>0</v>
      </c>
      <c r="J3500" t="s">
        <v>1709</v>
      </c>
      <c r="K3500" t="s">
        <v>95</v>
      </c>
      <c r="L3500" t="s">
        <v>285</v>
      </c>
      <c r="M3500" t="str">
        <f t="shared" si="227"/>
        <v>11</v>
      </c>
      <c r="N3500" t="s">
        <v>12</v>
      </c>
    </row>
    <row r="3501" spans="1:14" x14ac:dyDescent="0.25">
      <c r="A3501">
        <v>20151120</v>
      </c>
      <c r="B3501" t="str">
        <f>"061129"</f>
        <v>061129</v>
      </c>
      <c r="C3501" t="str">
        <f>"11210"</f>
        <v>11210</v>
      </c>
      <c r="D3501" t="s">
        <v>3030</v>
      </c>
      <c r="E3501" s="3">
        <v>71.34</v>
      </c>
      <c r="F3501">
        <v>20151118</v>
      </c>
      <c r="G3501" t="s">
        <v>3032</v>
      </c>
      <c r="H3501" t="s">
        <v>3034</v>
      </c>
      <c r="I3501">
        <v>0</v>
      </c>
      <c r="J3501" t="s">
        <v>1709</v>
      </c>
      <c r="K3501" t="s">
        <v>95</v>
      </c>
      <c r="L3501" t="s">
        <v>285</v>
      </c>
      <c r="M3501" t="str">
        <f t="shared" si="227"/>
        <v>11</v>
      </c>
      <c r="N3501" t="s">
        <v>12</v>
      </c>
    </row>
    <row r="3502" spans="1:14" x14ac:dyDescent="0.25">
      <c r="A3502">
        <v>20151120</v>
      </c>
      <c r="B3502" t="str">
        <f>"061130"</f>
        <v>061130</v>
      </c>
      <c r="C3502" t="str">
        <f>"11759"</f>
        <v>11759</v>
      </c>
      <c r="D3502" t="s">
        <v>2089</v>
      </c>
      <c r="E3502" s="3">
        <v>343.8</v>
      </c>
      <c r="F3502">
        <v>20151118</v>
      </c>
      <c r="G3502" t="s">
        <v>2123</v>
      </c>
      <c r="H3502" t="s">
        <v>3035</v>
      </c>
      <c r="I3502">
        <v>0</v>
      </c>
      <c r="J3502" t="s">
        <v>1709</v>
      </c>
      <c r="K3502" t="s">
        <v>33</v>
      </c>
      <c r="L3502" t="s">
        <v>285</v>
      </c>
      <c r="M3502" t="str">
        <f t="shared" si="227"/>
        <v>11</v>
      </c>
      <c r="N3502" t="s">
        <v>12</v>
      </c>
    </row>
    <row r="3503" spans="1:14" x14ac:dyDescent="0.25">
      <c r="A3503">
        <v>20151120</v>
      </c>
      <c r="B3503" t="str">
        <f>"061132"</f>
        <v>061132</v>
      </c>
      <c r="C3503" t="str">
        <f>"13268"</f>
        <v>13268</v>
      </c>
      <c r="D3503" t="s">
        <v>2450</v>
      </c>
      <c r="E3503" s="3">
        <v>1447.28</v>
      </c>
      <c r="F3503">
        <v>20151118</v>
      </c>
      <c r="G3503" t="s">
        <v>2303</v>
      </c>
      <c r="H3503" t="s">
        <v>3036</v>
      </c>
      <c r="I3503">
        <v>0</v>
      </c>
      <c r="J3503" t="s">
        <v>1709</v>
      </c>
      <c r="K3503" t="s">
        <v>235</v>
      </c>
      <c r="L3503" t="s">
        <v>285</v>
      </c>
      <c r="M3503" t="str">
        <f t="shared" si="227"/>
        <v>11</v>
      </c>
      <c r="N3503" t="s">
        <v>12</v>
      </c>
    </row>
    <row r="3504" spans="1:14" x14ac:dyDescent="0.25">
      <c r="A3504">
        <v>20151120</v>
      </c>
      <c r="B3504" t="str">
        <f>"061132"</f>
        <v>061132</v>
      </c>
      <c r="C3504" t="str">
        <f>"13268"</f>
        <v>13268</v>
      </c>
      <c r="D3504" t="s">
        <v>2450</v>
      </c>
      <c r="E3504" s="3">
        <v>2697.22</v>
      </c>
      <c r="F3504">
        <v>20151118</v>
      </c>
      <c r="G3504" t="s">
        <v>2303</v>
      </c>
      <c r="H3504" t="s">
        <v>3036</v>
      </c>
      <c r="I3504">
        <v>0</v>
      </c>
      <c r="J3504" t="s">
        <v>1709</v>
      </c>
      <c r="K3504" t="s">
        <v>235</v>
      </c>
      <c r="L3504" t="s">
        <v>285</v>
      </c>
      <c r="M3504" t="str">
        <f t="shared" si="227"/>
        <v>11</v>
      </c>
      <c r="N3504" t="s">
        <v>12</v>
      </c>
    </row>
    <row r="3505" spans="1:14" x14ac:dyDescent="0.25">
      <c r="A3505">
        <v>20151120</v>
      </c>
      <c r="B3505" t="str">
        <f>"061132"</f>
        <v>061132</v>
      </c>
      <c r="C3505" t="str">
        <f>"13268"</f>
        <v>13268</v>
      </c>
      <c r="D3505" t="s">
        <v>2450</v>
      </c>
      <c r="E3505" s="3">
        <v>521.55999999999995</v>
      </c>
      <c r="F3505">
        <v>20151118</v>
      </c>
      <c r="G3505" t="s">
        <v>2303</v>
      </c>
      <c r="H3505" t="s">
        <v>3037</v>
      </c>
      <c r="I3505">
        <v>0</v>
      </c>
      <c r="J3505" t="s">
        <v>1709</v>
      </c>
      <c r="K3505" t="s">
        <v>235</v>
      </c>
      <c r="L3505" t="s">
        <v>285</v>
      </c>
      <c r="M3505" t="str">
        <f t="shared" si="227"/>
        <v>11</v>
      </c>
      <c r="N3505" t="s">
        <v>12</v>
      </c>
    </row>
    <row r="3506" spans="1:14" x14ac:dyDescent="0.25">
      <c r="A3506">
        <v>20151120</v>
      </c>
      <c r="B3506" t="str">
        <f>"061132"</f>
        <v>061132</v>
      </c>
      <c r="C3506" t="str">
        <f>"13268"</f>
        <v>13268</v>
      </c>
      <c r="D3506" t="s">
        <v>2450</v>
      </c>
      <c r="E3506" s="3">
        <v>289.68</v>
      </c>
      <c r="F3506">
        <v>20151118</v>
      </c>
      <c r="G3506" t="s">
        <v>2303</v>
      </c>
      <c r="H3506" t="s">
        <v>2451</v>
      </c>
      <c r="I3506">
        <v>0</v>
      </c>
      <c r="J3506" t="s">
        <v>1709</v>
      </c>
      <c r="K3506" t="s">
        <v>235</v>
      </c>
      <c r="L3506" t="s">
        <v>285</v>
      </c>
      <c r="M3506" t="str">
        <f t="shared" si="227"/>
        <v>11</v>
      </c>
      <c r="N3506" t="s">
        <v>12</v>
      </c>
    </row>
    <row r="3507" spans="1:14" x14ac:dyDescent="0.25">
      <c r="A3507">
        <v>20151120</v>
      </c>
      <c r="B3507" t="str">
        <f>"061132"</f>
        <v>061132</v>
      </c>
      <c r="C3507" t="str">
        <f>"13268"</f>
        <v>13268</v>
      </c>
      <c r="D3507" t="s">
        <v>2450</v>
      </c>
      <c r="E3507" s="3">
        <v>1212.82</v>
      </c>
      <c r="F3507">
        <v>20151118</v>
      </c>
      <c r="G3507" t="s">
        <v>2303</v>
      </c>
      <c r="H3507" t="s">
        <v>3036</v>
      </c>
      <c r="I3507">
        <v>0</v>
      </c>
      <c r="J3507" t="s">
        <v>1709</v>
      </c>
      <c r="K3507" t="s">
        <v>235</v>
      </c>
      <c r="L3507" t="s">
        <v>285</v>
      </c>
      <c r="M3507" t="str">
        <f t="shared" si="227"/>
        <v>11</v>
      </c>
      <c r="N3507" t="s">
        <v>12</v>
      </c>
    </row>
    <row r="3508" spans="1:14" x14ac:dyDescent="0.25">
      <c r="A3508">
        <v>20151120</v>
      </c>
      <c r="B3508" t="str">
        <f>"061133"</f>
        <v>061133</v>
      </c>
      <c r="C3508" t="str">
        <f>"45705"</f>
        <v>45705</v>
      </c>
      <c r="D3508" t="s">
        <v>3038</v>
      </c>
      <c r="E3508" s="3">
        <v>625</v>
      </c>
      <c r="F3508">
        <v>20151118</v>
      </c>
      <c r="G3508" t="s">
        <v>3039</v>
      </c>
      <c r="H3508" t="s">
        <v>3040</v>
      </c>
      <c r="I3508">
        <v>0</v>
      </c>
      <c r="J3508" t="s">
        <v>1709</v>
      </c>
      <c r="K3508" t="s">
        <v>290</v>
      </c>
      <c r="L3508" t="s">
        <v>285</v>
      </c>
      <c r="M3508" t="str">
        <f t="shared" si="227"/>
        <v>11</v>
      </c>
      <c r="N3508" t="s">
        <v>12</v>
      </c>
    </row>
    <row r="3509" spans="1:14" x14ac:dyDescent="0.25">
      <c r="A3509">
        <v>20151120</v>
      </c>
      <c r="B3509" t="str">
        <f t="shared" ref="B3509:B3515" si="230">"061136"</f>
        <v>061136</v>
      </c>
      <c r="C3509" t="str">
        <f t="shared" ref="C3509:C3515" si="231">"14821"</f>
        <v>14821</v>
      </c>
      <c r="D3509" t="s">
        <v>2461</v>
      </c>
      <c r="E3509" s="3">
        <v>52.88</v>
      </c>
      <c r="F3509">
        <v>20151118</v>
      </c>
      <c r="G3509" t="s">
        <v>2303</v>
      </c>
      <c r="H3509" t="s">
        <v>3041</v>
      </c>
      <c r="I3509">
        <v>0</v>
      </c>
      <c r="J3509" t="s">
        <v>1709</v>
      </c>
      <c r="K3509" t="s">
        <v>235</v>
      </c>
      <c r="L3509" t="s">
        <v>285</v>
      </c>
      <c r="M3509" t="str">
        <f t="shared" si="227"/>
        <v>11</v>
      </c>
      <c r="N3509" t="s">
        <v>12</v>
      </c>
    </row>
    <row r="3510" spans="1:14" x14ac:dyDescent="0.25">
      <c r="A3510">
        <v>20151120</v>
      </c>
      <c r="B3510" t="str">
        <f t="shared" si="230"/>
        <v>061136</v>
      </c>
      <c r="C3510" t="str">
        <f t="shared" si="231"/>
        <v>14821</v>
      </c>
      <c r="D3510" t="s">
        <v>2461</v>
      </c>
      <c r="E3510" s="3">
        <v>123.06</v>
      </c>
      <c r="F3510">
        <v>20151118</v>
      </c>
      <c r="G3510" t="s">
        <v>2303</v>
      </c>
      <c r="H3510" t="s">
        <v>3036</v>
      </c>
      <c r="I3510">
        <v>0</v>
      </c>
      <c r="J3510" t="s">
        <v>1709</v>
      </c>
      <c r="K3510" t="s">
        <v>235</v>
      </c>
      <c r="L3510" t="s">
        <v>285</v>
      </c>
      <c r="M3510" t="str">
        <f t="shared" si="227"/>
        <v>11</v>
      </c>
      <c r="N3510" t="s">
        <v>12</v>
      </c>
    </row>
    <row r="3511" spans="1:14" x14ac:dyDescent="0.25">
      <c r="A3511">
        <v>20151120</v>
      </c>
      <c r="B3511" t="str">
        <f t="shared" si="230"/>
        <v>061136</v>
      </c>
      <c r="C3511" t="str">
        <f t="shared" si="231"/>
        <v>14821</v>
      </c>
      <c r="D3511" t="s">
        <v>2461</v>
      </c>
      <c r="E3511" s="3">
        <v>39.6</v>
      </c>
      <c r="F3511">
        <v>20151118</v>
      </c>
      <c r="G3511" t="s">
        <v>2303</v>
      </c>
      <c r="H3511" t="s">
        <v>3042</v>
      </c>
      <c r="I3511">
        <v>0</v>
      </c>
      <c r="J3511" t="s">
        <v>1709</v>
      </c>
      <c r="K3511" t="s">
        <v>235</v>
      </c>
      <c r="L3511" t="s">
        <v>285</v>
      </c>
      <c r="M3511" t="str">
        <f t="shared" ref="M3511:M3574" si="232">"11"</f>
        <v>11</v>
      </c>
      <c r="N3511" t="s">
        <v>12</v>
      </c>
    </row>
    <row r="3512" spans="1:14" x14ac:dyDescent="0.25">
      <c r="A3512">
        <v>20151120</v>
      </c>
      <c r="B3512" t="str">
        <f t="shared" si="230"/>
        <v>061136</v>
      </c>
      <c r="C3512" t="str">
        <f t="shared" si="231"/>
        <v>14821</v>
      </c>
      <c r="D3512" t="s">
        <v>2461</v>
      </c>
      <c r="E3512" s="3">
        <v>861.24</v>
      </c>
      <c r="F3512">
        <v>20151118</v>
      </c>
      <c r="G3512" t="s">
        <v>2303</v>
      </c>
      <c r="H3512" t="s">
        <v>3043</v>
      </c>
      <c r="I3512">
        <v>0</v>
      </c>
      <c r="J3512" t="s">
        <v>1709</v>
      </c>
      <c r="K3512" t="s">
        <v>235</v>
      </c>
      <c r="L3512" t="s">
        <v>285</v>
      </c>
      <c r="M3512" t="str">
        <f t="shared" si="232"/>
        <v>11</v>
      </c>
      <c r="N3512" t="s">
        <v>12</v>
      </c>
    </row>
    <row r="3513" spans="1:14" x14ac:dyDescent="0.25">
      <c r="A3513">
        <v>20151120</v>
      </c>
      <c r="B3513" t="str">
        <f t="shared" si="230"/>
        <v>061136</v>
      </c>
      <c r="C3513" t="str">
        <f t="shared" si="231"/>
        <v>14821</v>
      </c>
      <c r="D3513" t="s">
        <v>2461</v>
      </c>
      <c r="E3513" s="3">
        <v>201.94</v>
      </c>
      <c r="F3513">
        <v>20151118</v>
      </c>
      <c r="G3513" t="s">
        <v>2303</v>
      </c>
      <c r="H3513" t="s">
        <v>3044</v>
      </c>
      <c r="I3513">
        <v>0</v>
      </c>
      <c r="J3513" t="s">
        <v>1709</v>
      </c>
      <c r="K3513" t="s">
        <v>235</v>
      </c>
      <c r="L3513" t="s">
        <v>285</v>
      </c>
      <c r="M3513" t="str">
        <f t="shared" si="232"/>
        <v>11</v>
      </c>
      <c r="N3513" t="s">
        <v>12</v>
      </c>
    </row>
    <row r="3514" spans="1:14" x14ac:dyDescent="0.25">
      <c r="A3514">
        <v>20151120</v>
      </c>
      <c r="B3514" t="str">
        <f t="shared" si="230"/>
        <v>061136</v>
      </c>
      <c r="C3514" t="str">
        <f t="shared" si="231"/>
        <v>14821</v>
      </c>
      <c r="D3514" t="s">
        <v>2461</v>
      </c>
      <c r="E3514" s="3">
        <v>263.89999999999998</v>
      </c>
      <c r="F3514">
        <v>20151118</v>
      </c>
      <c r="G3514" t="s">
        <v>2303</v>
      </c>
      <c r="H3514" t="s">
        <v>3045</v>
      </c>
      <c r="I3514">
        <v>0</v>
      </c>
      <c r="J3514" t="s">
        <v>1709</v>
      </c>
      <c r="K3514" t="s">
        <v>235</v>
      </c>
      <c r="L3514" t="s">
        <v>285</v>
      </c>
      <c r="M3514" t="str">
        <f t="shared" si="232"/>
        <v>11</v>
      </c>
      <c r="N3514" t="s">
        <v>12</v>
      </c>
    </row>
    <row r="3515" spans="1:14" x14ac:dyDescent="0.25">
      <c r="A3515">
        <v>20151120</v>
      </c>
      <c r="B3515" t="str">
        <f t="shared" si="230"/>
        <v>061136</v>
      </c>
      <c r="C3515" t="str">
        <f t="shared" si="231"/>
        <v>14821</v>
      </c>
      <c r="D3515" t="s">
        <v>2461</v>
      </c>
      <c r="E3515" s="3">
        <v>764</v>
      </c>
      <c r="F3515">
        <v>20151118</v>
      </c>
      <c r="G3515" t="s">
        <v>2303</v>
      </c>
      <c r="H3515" t="s">
        <v>3046</v>
      </c>
      <c r="I3515">
        <v>0</v>
      </c>
      <c r="J3515" t="s">
        <v>1709</v>
      </c>
      <c r="K3515" t="s">
        <v>235</v>
      </c>
      <c r="L3515" t="s">
        <v>285</v>
      </c>
      <c r="M3515" t="str">
        <f t="shared" si="232"/>
        <v>11</v>
      </c>
      <c r="N3515" t="s">
        <v>12</v>
      </c>
    </row>
    <row r="3516" spans="1:14" x14ac:dyDescent="0.25">
      <c r="A3516">
        <v>20151120</v>
      </c>
      <c r="B3516" t="str">
        <f>"061137"</f>
        <v>061137</v>
      </c>
      <c r="C3516" t="str">
        <f>"74150"</f>
        <v>74150</v>
      </c>
      <c r="D3516" t="s">
        <v>3047</v>
      </c>
      <c r="E3516" s="3">
        <v>800</v>
      </c>
      <c r="F3516">
        <v>20151118</v>
      </c>
      <c r="G3516" t="s">
        <v>2192</v>
      </c>
      <c r="H3516" t="s">
        <v>3048</v>
      </c>
      <c r="I3516">
        <v>0</v>
      </c>
      <c r="J3516" t="s">
        <v>1709</v>
      </c>
      <c r="K3516" t="s">
        <v>2194</v>
      </c>
      <c r="L3516" t="s">
        <v>285</v>
      </c>
      <c r="M3516" t="str">
        <f t="shared" si="232"/>
        <v>11</v>
      </c>
      <c r="N3516" t="s">
        <v>12</v>
      </c>
    </row>
    <row r="3517" spans="1:14" x14ac:dyDescent="0.25">
      <c r="A3517">
        <v>20151120</v>
      </c>
      <c r="B3517" t="str">
        <f>"061137"</f>
        <v>061137</v>
      </c>
      <c r="C3517" t="str">
        <f>"74150"</f>
        <v>74150</v>
      </c>
      <c r="D3517" t="s">
        <v>3047</v>
      </c>
      <c r="E3517" s="3">
        <v>800</v>
      </c>
      <c r="F3517">
        <v>20151118</v>
      </c>
      <c r="G3517" t="s">
        <v>2192</v>
      </c>
      <c r="H3517" t="s">
        <v>3049</v>
      </c>
      <c r="I3517">
        <v>0</v>
      </c>
      <c r="J3517" t="s">
        <v>1709</v>
      </c>
      <c r="K3517" t="s">
        <v>2194</v>
      </c>
      <c r="L3517" t="s">
        <v>285</v>
      </c>
      <c r="M3517" t="str">
        <f t="shared" si="232"/>
        <v>11</v>
      </c>
      <c r="N3517" t="s">
        <v>12</v>
      </c>
    </row>
    <row r="3518" spans="1:14" x14ac:dyDescent="0.25">
      <c r="A3518">
        <v>20151120</v>
      </c>
      <c r="B3518" t="str">
        <f>"061140"</f>
        <v>061140</v>
      </c>
      <c r="C3518" t="str">
        <f>"51349"</f>
        <v>51349</v>
      </c>
      <c r="D3518" t="s">
        <v>640</v>
      </c>
      <c r="E3518" s="3">
        <v>48</v>
      </c>
      <c r="F3518">
        <v>20151118</v>
      </c>
      <c r="G3518" t="s">
        <v>2547</v>
      </c>
      <c r="H3518" t="s">
        <v>3050</v>
      </c>
      <c r="I3518">
        <v>0</v>
      </c>
      <c r="J3518" t="s">
        <v>1709</v>
      </c>
      <c r="K3518" t="s">
        <v>1643</v>
      </c>
      <c r="L3518" t="s">
        <v>285</v>
      </c>
      <c r="M3518" t="str">
        <f t="shared" si="232"/>
        <v>11</v>
      </c>
      <c r="N3518" t="s">
        <v>12</v>
      </c>
    </row>
    <row r="3519" spans="1:14" x14ac:dyDescent="0.25">
      <c r="A3519">
        <v>20151120</v>
      </c>
      <c r="B3519" t="str">
        <f t="shared" ref="B3519:B3528" si="233">"061141"</f>
        <v>061141</v>
      </c>
      <c r="C3519" t="str">
        <f t="shared" ref="C3519:C3528" si="234">"20683"</f>
        <v>20683</v>
      </c>
      <c r="D3519" t="s">
        <v>1818</v>
      </c>
      <c r="E3519" s="3">
        <v>48.7</v>
      </c>
      <c r="F3519">
        <v>20151118</v>
      </c>
      <c r="G3519" t="s">
        <v>2469</v>
      </c>
      <c r="H3519" t="s">
        <v>3051</v>
      </c>
      <c r="I3519">
        <v>0</v>
      </c>
      <c r="J3519" t="s">
        <v>1709</v>
      </c>
      <c r="K3519" t="s">
        <v>290</v>
      </c>
      <c r="L3519" t="s">
        <v>285</v>
      </c>
      <c r="M3519" t="str">
        <f t="shared" si="232"/>
        <v>11</v>
      </c>
      <c r="N3519" t="s">
        <v>12</v>
      </c>
    </row>
    <row r="3520" spans="1:14" x14ac:dyDescent="0.25">
      <c r="A3520">
        <v>20151120</v>
      </c>
      <c r="B3520" t="str">
        <f t="shared" si="233"/>
        <v>061141</v>
      </c>
      <c r="C3520" t="str">
        <f t="shared" si="234"/>
        <v>20683</v>
      </c>
      <c r="D3520" t="s">
        <v>1818</v>
      </c>
      <c r="E3520" s="3">
        <v>96.62</v>
      </c>
      <c r="F3520">
        <v>20151118</v>
      </c>
      <c r="G3520" t="s">
        <v>2469</v>
      </c>
      <c r="H3520" t="s">
        <v>3052</v>
      </c>
      <c r="I3520">
        <v>0</v>
      </c>
      <c r="J3520" t="s">
        <v>1709</v>
      </c>
      <c r="K3520" t="s">
        <v>290</v>
      </c>
      <c r="L3520" t="s">
        <v>285</v>
      </c>
      <c r="M3520" t="str">
        <f t="shared" si="232"/>
        <v>11</v>
      </c>
      <c r="N3520" t="s">
        <v>12</v>
      </c>
    </row>
    <row r="3521" spans="1:14" x14ac:dyDescent="0.25">
      <c r="A3521">
        <v>20151120</v>
      </c>
      <c r="B3521" t="str">
        <f t="shared" si="233"/>
        <v>061141</v>
      </c>
      <c r="C3521" t="str">
        <f t="shared" si="234"/>
        <v>20683</v>
      </c>
      <c r="D3521" t="s">
        <v>1818</v>
      </c>
      <c r="E3521" s="3">
        <v>48.02</v>
      </c>
      <c r="F3521">
        <v>20151118</v>
      </c>
      <c r="G3521" t="s">
        <v>2469</v>
      </c>
      <c r="H3521" t="s">
        <v>3053</v>
      </c>
      <c r="I3521">
        <v>0</v>
      </c>
      <c r="J3521" t="s">
        <v>1709</v>
      </c>
      <c r="K3521" t="s">
        <v>290</v>
      </c>
      <c r="L3521" t="s">
        <v>285</v>
      </c>
      <c r="M3521" t="str">
        <f t="shared" si="232"/>
        <v>11</v>
      </c>
      <c r="N3521" t="s">
        <v>12</v>
      </c>
    </row>
    <row r="3522" spans="1:14" x14ac:dyDescent="0.25">
      <c r="A3522">
        <v>20151120</v>
      </c>
      <c r="B3522" t="str">
        <f t="shared" si="233"/>
        <v>061141</v>
      </c>
      <c r="C3522" t="str">
        <f t="shared" si="234"/>
        <v>20683</v>
      </c>
      <c r="D3522" t="s">
        <v>1818</v>
      </c>
      <c r="E3522" s="3">
        <v>48.03</v>
      </c>
      <c r="F3522">
        <v>20151118</v>
      </c>
      <c r="G3522" t="s">
        <v>2469</v>
      </c>
      <c r="H3522" t="s">
        <v>3054</v>
      </c>
      <c r="I3522">
        <v>0</v>
      </c>
      <c r="J3522" t="s">
        <v>1709</v>
      </c>
      <c r="K3522" t="s">
        <v>290</v>
      </c>
      <c r="L3522" t="s">
        <v>285</v>
      </c>
      <c r="M3522" t="str">
        <f t="shared" si="232"/>
        <v>11</v>
      </c>
      <c r="N3522" t="s">
        <v>12</v>
      </c>
    </row>
    <row r="3523" spans="1:14" x14ac:dyDescent="0.25">
      <c r="A3523">
        <v>20151120</v>
      </c>
      <c r="B3523" t="str">
        <f t="shared" si="233"/>
        <v>061141</v>
      </c>
      <c r="C3523" t="str">
        <f t="shared" si="234"/>
        <v>20683</v>
      </c>
      <c r="D3523" t="s">
        <v>1818</v>
      </c>
      <c r="E3523" s="3">
        <v>48.02</v>
      </c>
      <c r="F3523">
        <v>20151118</v>
      </c>
      <c r="G3523" t="s">
        <v>2469</v>
      </c>
      <c r="H3523" t="s">
        <v>3055</v>
      </c>
      <c r="I3523">
        <v>0</v>
      </c>
      <c r="J3523" t="s">
        <v>1709</v>
      </c>
      <c r="K3523" t="s">
        <v>290</v>
      </c>
      <c r="L3523" t="s">
        <v>285</v>
      </c>
      <c r="M3523" t="str">
        <f t="shared" si="232"/>
        <v>11</v>
      </c>
      <c r="N3523" t="s">
        <v>12</v>
      </c>
    </row>
    <row r="3524" spans="1:14" x14ac:dyDescent="0.25">
      <c r="A3524">
        <v>20151120</v>
      </c>
      <c r="B3524" t="str">
        <f t="shared" si="233"/>
        <v>061141</v>
      </c>
      <c r="C3524" t="str">
        <f t="shared" si="234"/>
        <v>20683</v>
      </c>
      <c r="D3524" t="s">
        <v>1818</v>
      </c>
      <c r="E3524" s="3">
        <v>11.97</v>
      </c>
      <c r="F3524">
        <v>20151118</v>
      </c>
      <c r="G3524" t="s">
        <v>2333</v>
      </c>
      <c r="H3524" t="s">
        <v>3051</v>
      </c>
      <c r="I3524">
        <v>0</v>
      </c>
      <c r="J3524" t="s">
        <v>1709</v>
      </c>
      <c r="K3524" t="s">
        <v>290</v>
      </c>
      <c r="L3524" t="s">
        <v>285</v>
      </c>
      <c r="M3524" t="str">
        <f t="shared" si="232"/>
        <v>11</v>
      </c>
      <c r="N3524" t="s">
        <v>12</v>
      </c>
    </row>
    <row r="3525" spans="1:14" x14ac:dyDescent="0.25">
      <c r="A3525">
        <v>20151120</v>
      </c>
      <c r="B3525" t="str">
        <f t="shared" si="233"/>
        <v>061141</v>
      </c>
      <c r="C3525" t="str">
        <f t="shared" si="234"/>
        <v>20683</v>
      </c>
      <c r="D3525" t="s">
        <v>1818</v>
      </c>
      <c r="E3525" s="3">
        <v>8.33</v>
      </c>
      <c r="F3525">
        <v>20151118</v>
      </c>
      <c r="G3525" t="s">
        <v>2333</v>
      </c>
      <c r="H3525" t="s">
        <v>3052</v>
      </c>
      <c r="I3525">
        <v>0</v>
      </c>
      <c r="J3525" t="s">
        <v>1709</v>
      </c>
      <c r="K3525" t="s">
        <v>290</v>
      </c>
      <c r="L3525" t="s">
        <v>285</v>
      </c>
      <c r="M3525" t="str">
        <f t="shared" si="232"/>
        <v>11</v>
      </c>
      <c r="N3525" t="s">
        <v>12</v>
      </c>
    </row>
    <row r="3526" spans="1:14" x14ac:dyDescent="0.25">
      <c r="A3526">
        <v>20151120</v>
      </c>
      <c r="B3526" t="str">
        <f t="shared" si="233"/>
        <v>061141</v>
      </c>
      <c r="C3526" t="str">
        <f t="shared" si="234"/>
        <v>20683</v>
      </c>
      <c r="D3526" t="s">
        <v>1818</v>
      </c>
      <c r="E3526" s="3">
        <v>11.97</v>
      </c>
      <c r="F3526">
        <v>20151118</v>
      </c>
      <c r="G3526" t="s">
        <v>2333</v>
      </c>
      <c r="H3526" t="s">
        <v>3053</v>
      </c>
      <c r="I3526">
        <v>0</v>
      </c>
      <c r="J3526" t="s">
        <v>1709</v>
      </c>
      <c r="K3526" t="s">
        <v>290</v>
      </c>
      <c r="L3526" t="s">
        <v>285</v>
      </c>
      <c r="M3526" t="str">
        <f t="shared" si="232"/>
        <v>11</v>
      </c>
      <c r="N3526" t="s">
        <v>12</v>
      </c>
    </row>
    <row r="3527" spans="1:14" x14ac:dyDescent="0.25">
      <c r="A3527">
        <v>20151120</v>
      </c>
      <c r="B3527" t="str">
        <f t="shared" si="233"/>
        <v>061141</v>
      </c>
      <c r="C3527" t="str">
        <f t="shared" si="234"/>
        <v>20683</v>
      </c>
      <c r="D3527" t="s">
        <v>1818</v>
      </c>
      <c r="E3527" s="3">
        <v>11.96</v>
      </c>
      <c r="F3527">
        <v>20151118</v>
      </c>
      <c r="G3527" t="s">
        <v>2333</v>
      </c>
      <c r="H3527" t="s">
        <v>3054</v>
      </c>
      <c r="I3527">
        <v>0</v>
      </c>
      <c r="J3527" t="s">
        <v>1709</v>
      </c>
      <c r="K3527" t="s">
        <v>290</v>
      </c>
      <c r="L3527" t="s">
        <v>285</v>
      </c>
      <c r="M3527" t="str">
        <f t="shared" si="232"/>
        <v>11</v>
      </c>
      <c r="N3527" t="s">
        <v>12</v>
      </c>
    </row>
    <row r="3528" spans="1:14" x14ac:dyDescent="0.25">
      <c r="A3528">
        <v>20151120</v>
      </c>
      <c r="B3528" t="str">
        <f t="shared" si="233"/>
        <v>061141</v>
      </c>
      <c r="C3528" t="str">
        <f t="shared" si="234"/>
        <v>20683</v>
      </c>
      <c r="D3528" t="s">
        <v>1818</v>
      </c>
      <c r="E3528" s="3">
        <v>13.33</v>
      </c>
      <c r="F3528">
        <v>20151118</v>
      </c>
      <c r="G3528" t="s">
        <v>2333</v>
      </c>
      <c r="H3528" t="s">
        <v>3055</v>
      </c>
      <c r="I3528">
        <v>0</v>
      </c>
      <c r="J3528" t="s">
        <v>1709</v>
      </c>
      <c r="K3528" t="s">
        <v>290</v>
      </c>
      <c r="L3528" t="s">
        <v>285</v>
      </c>
      <c r="M3528" t="str">
        <f t="shared" si="232"/>
        <v>11</v>
      </c>
      <c r="N3528" t="s">
        <v>12</v>
      </c>
    </row>
    <row r="3529" spans="1:14" x14ac:dyDescent="0.25">
      <c r="A3529">
        <v>20151120</v>
      </c>
      <c r="B3529" t="str">
        <f>"061143"</f>
        <v>061143</v>
      </c>
      <c r="C3529" t="str">
        <f>"21769"</f>
        <v>21769</v>
      </c>
      <c r="D3529" t="s">
        <v>1836</v>
      </c>
      <c r="E3529" s="3">
        <v>1588.5</v>
      </c>
      <c r="F3529">
        <v>20151118</v>
      </c>
      <c r="G3529" t="s">
        <v>2192</v>
      </c>
      <c r="H3529" t="s">
        <v>3056</v>
      </c>
      <c r="I3529">
        <v>0</v>
      </c>
      <c r="J3529" t="s">
        <v>1709</v>
      </c>
      <c r="K3529" t="s">
        <v>2194</v>
      </c>
      <c r="L3529" t="s">
        <v>285</v>
      </c>
      <c r="M3529" t="str">
        <f t="shared" si="232"/>
        <v>11</v>
      </c>
      <c r="N3529" t="s">
        <v>12</v>
      </c>
    </row>
    <row r="3530" spans="1:14" x14ac:dyDescent="0.25">
      <c r="A3530">
        <v>20151120</v>
      </c>
      <c r="B3530" t="str">
        <f>"061147"</f>
        <v>061147</v>
      </c>
      <c r="C3530" t="str">
        <f>"24132"</f>
        <v>24132</v>
      </c>
      <c r="D3530" t="s">
        <v>3057</v>
      </c>
      <c r="E3530" s="3">
        <v>607.53</v>
      </c>
      <c r="F3530">
        <v>20151118</v>
      </c>
      <c r="G3530" t="s">
        <v>2416</v>
      </c>
      <c r="H3530" t="s">
        <v>3058</v>
      </c>
      <c r="I3530">
        <v>0</v>
      </c>
      <c r="J3530" t="s">
        <v>1709</v>
      </c>
      <c r="K3530" t="s">
        <v>1744</v>
      </c>
      <c r="L3530" t="s">
        <v>285</v>
      </c>
      <c r="M3530" t="str">
        <f t="shared" si="232"/>
        <v>11</v>
      </c>
      <c r="N3530" t="s">
        <v>12</v>
      </c>
    </row>
    <row r="3531" spans="1:14" x14ac:dyDescent="0.25">
      <c r="A3531">
        <v>20151120</v>
      </c>
      <c r="B3531" t="str">
        <f>"061148"</f>
        <v>061148</v>
      </c>
      <c r="C3531" t="str">
        <f>"25853"</f>
        <v>25853</v>
      </c>
      <c r="D3531" t="s">
        <v>532</v>
      </c>
      <c r="E3531" s="3">
        <v>868</v>
      </c>
      <c r="F3531">
        <v>20151118</v>
      </c>
      <c r="G3531" t="s">
        <v>3059</v>
      </c>
      <c r="H3531" t="s">
        <v>3060</v>
      </c>
      <c r="I3531">
        <v>0</v>
      </c>
      <c r="J3531" t="s">
        <v>1709</v>
      </c>
      <c r="K3531" t="s">
        <v>290</v>
      </c>
      <c r="L3531" t="s">
        <v>285</v>
      </c>
      <c r="M3531" t="str">
        <f t="shared" si="232"/>
        <v>11</v>
      </c>
      <c r="N3531" t="s">
        <v>12</v>
      </c>
    </row>
    <row r="3532" spans="1:14" x14ac:dyDescent="0.25">
      <c r="A3532">
        <v>20151120</v>
      </c>
      <c r="B3532" t="str">
        <f>"061149"</f>
        <v>061149</v>
      </c>
      <c r="C3532" t="str">
        <f>"25871"</f>
        <v>25871</v>
      </c>
      <c r="D3532" t="s">
        <v>647</v>
      </c>
      <c r="E3532" s="3">
        <v>247.5</v>
      </c>
      <c r="F3532">
        <v>20151118</v>
      </c>
      <c r="G3532" t="s">
        <v>1728</v>
      </c>
      <c r="H3532" t="s">
        <v>3061</v>
      </c>
      <c r="I3532">
        <v>0</v>
      </c>
      <c r="J3532" t="s">
        <v>1709</v>
      </c>
      <c r="K3532" t="s">
        <v>290</v>
      </c>
      <c r="L3532" t="s">
        <v>285</v>
      </c>
      <c r="M3532" t="str">
        <f t="shared" si="232"/>
        <v>11</v>
      </c>
      <c r="N3532" t="s">
        <v>12</v>
      </c>
    </row>
    <row r="3533" spans="1:14" x14ac:dyDescent="0.25">
      <c r="A3533">
        <v>20151120</v>
      </c>
      <c r="B3533" t="str">
        <f>"061151"</f>
        <v>061151</v>
      </c>
      <c r="C3533" t="str">
        <f>"54555"</f>
        <v>54555</v>
      </c>
      <c r="D3533" t="s">
        <v>2104</v>
      </c>
      <c r="E3533" s="3">
        <v>35.44</v>
      </c>
      <c r="F3533">
        <v>20151118</v>
      </c>
      <c r="G3533" t="s">
        <v>2105</v>
      </c>
      <c r="H3533" t="s">
        <v>3062</v>
      </c>
      <c r="I3533">
        <v>0</v>
      </c>
      <c r="J3533" t="s">
        <v>1709</v>
      </c>
      <c r="K3533" t="s">
        <v>1782</v>
      </c>
      <c r="L3533" t="s">
        <v>285</v>
      </c>
      <c r="M3533" t="str">
        <f t="shared" si="232"/>
        <v>11</v>
      </c>
      <c r="N3533" t="s">
        <v>12</v>
      </c>
    </row>
    <row r="3534" spans="1:14" x14ac:dyDescent="0.25">
      <c r="A3534">
        <v>20151120</v>
      </c>
      <c r="B3534" t="str">
        <f t="shared" ref="B3534:B3541" si="235">"061153"</f>
        <v>061153</v>
      </c>
      <c r="C3534" t="str">
        <f t="shared" ref="C3534:C3541" si="236">"27900"</f>
        <v>27900</v>
      </c>
      <c r="D3534" t="s">
        <v>1596</v>
      </c>
      <c r="E3534" s="3">
        <v>25</v>
      </c>
      <c r="F3534">
        <v>20151119</v>
      </c>
      <c r="G3534" t="s">
        <v>2585</v>
      </c>
      <c r="H3534" t="s">
        <v>3063</v>
      </c>
      <c r="I3534">
        <v>0</v>
      </c>
      <c r="J3534" t="s">
        <v>1709</v>
      </c>
      <c r="K3534" t="s">
        <v>290</v>
      </c>
      <c r="L3534" t="s">
        <v>285</v>
      </c>
      <c r="M3534" t="str">
        <f t="shared" si="232"/>
        <v>11</v>
      </c>
      <c r="N3534" t="s">
        <v>12</v>
      </c>
    </row>
    <row r="3535" spans="1:14" x14ac:dyDescent="0.25">
      <c r="A3535">
        <v>20151120</v>
      </c>
      <c r="B3535" t="str">
        <f t="shared" si="235"/>
        <v>061153</v>
      </c>
      <c r="C3535" t="str">
        <f t="shared" si="236"/>
        <v>27900</v>
      </c>
      <c r="D3535" t="s">
        <v>1596</v>
      </c>
      <c r="E3535" s="3">
        <v>25</v>
      </c>
      <c r="F3535">
        <v>20151119</v>
      </c>
      <c r="G3535" t="s">
        <v>3064</v>
      </c>
      <c r="H3535" t="s">
        <v>3063</v>
      </c>
      <c r="I3535">
        <v>0</v>
      </c>
      <c r="J3535" t="s">
        <v>1709</v>
      </c>
      <c r="K3535" t="s">
        <v>33</v>
      </c>
      <c r="L3535" t="s">
        <v>285</v>
      </c>
      <c r="M3535" t="str">
        <f t="shared" si="232"/>
        <v>11</v>
      </c>
      <c r="N3535" t="s">
        <v>12</v>
      </c>
    </row>
    <row r="3536" spans="1:14" x14ac:dyDescent="0.25">
      <c r="A3536">
        <v>20151120</v>
      </c>
      <c r="B3536" t="str">
        <f t="shared" si="235"/>
        <v>061153</v>
      </c>
      <c r="C3536" t="str">
        <f t="shared" si="236"/>
        <v>27900</v>
      </c>
      <c r="D3536" t="s">
        <v>1596</v>
      </c>
      <c r="E3536" s="3">
        <v>50</v>
      </c>
      <c r="F3536">
        <v>20151119</v>
      </c>
      <c r="G3536" t="s">
        <v>3065</v>
      </c>
      <c r="H3536" t="s">
        <v>3066</v>
      </c>
      <c r="I3536">
        <v>0</v>
      </c>
      <c r="J3536" t="s">
        <v>1709</v>
      </c>
      <c r="K3536" t="s">
        <v>290</v>
      </c>
      <c r="L3536" t="s">
        <v>285</v>
      </c>
      <c r="M3536" t="str">
        <f t="shared" si="232"/>
        <v>11</v>
      </c>
      <c r="N3536" t="s">
        <v>12</v>
      </c>
    </row>
    <row r="3537" spans="1:14" x14ac:dyDescent="0.25">
      <c r="A3537">
        <v>20151120</v>
      </c>
      <c r="B3537" t="str">
        <f t="shared" si="235"/>
        <v>061153</v>
      </c>
      <c r="C3537" t="str">
        <f t="shared" si="236"/>
        <v>27900</v>
      </c>
      <c r="D3537" t="s">
        <v>1596</v>
      </c>
      <c r="E3537" s="3">
        <v>25</v>
      </c>
      <c r="F3537">
        <v>20151119</v>
      </c>
      <c r="G3537" t="s">
        <v>2285</v>
      </c>
      <c r="H3537" t="s">
        <v>3063</v>
      </c>
      <c r="I3537">
        <v>0</v>
      </c>
      <c r="J3537" t="s">
        <v>1709</v>
      </c>
      <c r="K3537" t="s">
        <v>95</v>
      </c>
      <c r="L3537" t="s">
        <v>285</v>
      </c>
      <c r="M3537" t="str">
        <f t="shared" si="232"/>
        <v>11</v>
      </c>
      <c r="N3537" t="s">
        <v>12</v>
      </c>
    </row>
    <row r="3538" spans="1:14" x14ac:dyDescent="0.25">
      <c r="A3538">
        <v>20151120</v>
      </c>
      <c r="B3538" t="str">
        <f t="shared" si="235"/>
        <v>061153</v>
      </c>
      <c r="C3538" t="str">
        <f t="shared" si="236"/>
        <v>27900</v>
      </c>
      <c r="D3538" t="s">
        <v>1596</v>
      </c>
      <c r="E3538" s="3">
        <v>25</v>
      </c>
      <c r="F3538">
        <v>20151119</v>
      </c>
      <c r="G3538" t="s">
        <v>2285</v>
      </c>
      <c r="H3538" t="s">
        <v>3063</v>
      </c>
      <c r="I3538">
        <v>0</v>
      </c>
      <c r="J3538" t="s">
        <v>1709</v>
      </c>
      <c r="K3538" t="s">
        <v>95</v>
      </c>
      <c r="L3538" t="s">
        <v>285</v>
      </c>
      <c r="M3538" t="str">
        <f t="shared" si="232"/>
        <v>11</v>
      </c>
      <c r="N3538" t="s">
        <v>12</v>
      </c>
    </row>
    <row r="3539" spans="1:14" x14ac:dyDescent="0.25">
      <c r="A3539">
        <v>20151120</v>
      </c>
      <c r="B3539" t="str">
        <f t="shared" si="235"/>
        <v>061153</v>
      </c>
      <c r="C3539" t="str">
        <f t="shared" si="236"/>
        <v>27900</v>
      </c>
      <c r="D3539" t="s">
        <v>1596</v>
      </c>
      <c r="E3539" s="3">
        <v>300</v>
      </c>
      <c r="F3539">
        <v>20151119</v>
      </c>
      <c r="G3539" t="s">
        <v>1794</v>
      </c>
      <c r="H3539" t="s">
        <v>3067</v>
      </c>
      <c r="I3539">
        <v>0</v>
      </c>
      <c r="J3539" t="s">
        <v>1709</v>
      </c>
      <c r="K3539" t="s">
        <v>290</v>
      </c>
      <c r="L3539" t="s">
        <v>285</v>
      </c>
      <c r="M3539" t="str">
        <f t="shared" si="232"/>
        <v>11</v>
      </c>
      <c r="N3539" t="s">
        <v>12</v>
      </c>
    </row>
    <row r="3540" spans="1:14" x14ac:dyDescent="0.25">
      <c r="A3540">
        <v>20151120</v>
      </c>
      <c r="B3540" t="str">
        <f t="shared" si="235"/>
        <v>061153</v>
      </c>
      <c r="C3540" t="str">
        <f t="shared" si="236"/>
        <v>27900</v>
      </c>
      <c r="D3540" t="s">
        <v>1596</v>
      </c>
      <c r="E3540" s="3">
        <v>100</v>
      </c>
      <c r="F3540">
        <v>20151119</v>
      </c>
      <c r="G3540" t="s">
        <v>2490</v>
      </c>
      <c r="H3540" t="s">
        <v>3068</v>
      </c>
      <c r="I3540">
        <v>0</v>
      </c>
      <c r="J3540" t="s">
        <v>1709</v>
      </c>
      <c r="K3540" t="s">
        <v>1856</v>
      </c>
      <c r="L3540" t="s">
        <v>285</v>
      </c>
      <c r="M3540" t="str">
        <f t="shared" si="232"/>
        <v>11</v>
      </c>
      <c r="N3540" t="s">
        <v>12</v>
      </c>
    </row>
    <row r="3541" spans="1:14" x14ac:dyDescent="0.25">
      <c r="A3541">
        <v>20151120</v>
      </c>
      <c r="B3541" t="str">
        <f t="shared" si="235"/>
        <v>061153</v>
      </c>
      <c r="C3541" t="str">
        <f t="shared" si="236"/>
        <v>27900</v>
      </c>
      <c r="D3541" t="s">
        <v>1596</v>
      </c>
      <c r="E3541" s="3">
        <v>1200</v>
      </c>
      <c r="F3541">
        <v>20151119</v>
      </c>
      <c r="G3541" t="s">
        <v>3069</v>
      </c>
      <c r="H3541" t="s">
        <v>3070</v>
      </c>
      <c r="I3541">
        <v>0</v>
      </c>
      <c r="J3541" t="s">
        <v>1709</v>
      </c>
      <c r="K3541" t="s">
        <v>1882</v>
      </c>
      <c r="L3541" t="s">
        <v>285</v>
      </c>
      <c r="M3541" t="str">
        <f t="shared" si="232"/>
        <v>11</v>
      </c>
      <c r="N3541" t="s">
        <v>12</v>
      </c>
    </row>
    <row r="3542" spans="1:14" x14ac:dyDescent="0.25">
      <c r="A3542">
        <v>20151120</v>
      </c>
      <c r="B3542" t="str">
        <f>"061154"</f>
        <v>061154</v>
      </c>
      <c r="C3542" t="str">
        <f>"28680"</f>
        <v>28680</v>
      </c>
      <c r="D3542" t="s">
        <v>422</v>
      </c>
      <c r="E3542" s="3">
        <v>74</v>
      </c>
      <c r="F3542">
        <v>20151118</v>
      </c>
      <c r="G3542" t="s">
        <v>1969</v>
      </c>
      <c r="H3542" t="s">
        <v>3071</v>
      </c>
      <c r="I3542">
        <v>0</v>
      </c>
      <c r="J3542" t="s">
        <v>1709</v>
      </c>
      <c r="K3542" t="s">
        <v>290</v>
      </c>
      <c r="L3542" t="s">
        <v>285</v>
      </c>
      <c r="M3542" t="str">
        <f t="shared" si="232"/>
        <v>11</v>
      </c>
      <c r="N3542" t="s">
        <v>12</v>
      </c>
    </row>
    <row r="3543" spans="1:14" x14ac:dyDescent="0.25">
      <c r="A3543">
        <v>20151120</v>
      </c>
      <c r="B3543" t="str">
        <f>"061154"</f>
        <v>061154</v>
      </c>
      <c r="C3543" t="str">
        <f>"28680"</f>
        <v>28680</v>
      </c>
      <c r="D3543" t="s">
        <v>422</v>
      </c>
      <c r="E3543" s="3">
        <v>74</v>
      </c>
      <c r="F3543">
        <v>20151118</v>
      </c>
      <c r="G3543" t="s">
        <v>1880</v>
      </c>
      <c r="H3543" t="s">
        <v>3072</v>
      </c>
      <c r="I3543">
        <v>0</v>
      </c>
      <c r="J3543" t="s">
        <v>1709</v>
      </c>
      <c r="K3543" t="s">
        <v>1882</v>
      </c>
      <c r="L3543" t="s">
        <v>285</v>
      </c>
      <c r="M3543" t="str">
        <f t="shared" si="232"/>
        <v>11</v>
      </c>
      <c r="N3543" t="s">
        <v>12</v>
      </c>
    </row>
    <row r="3544" spans="1:14" x14ac:dyDescent="0.25">
      <c r="A3544">
        <v>20151120</v>
      </c>
      <c r="B3544" t="str">
        <f>"061155"</f>
        <v>061155</v>
      </c>
      <c r="C3544" t="str">
        <f>"28820"</f>
        <v>28820</v>
      </c>
      <c r="D3544" t="s">
        <v>2647</v>
      </c>
      <c r="E3544" s="3">
        <v>131.30000000000001</v>
      </c>
      <c r="F3544">
        <v>20151118</v>
      </c>
      <c r="G3544" t="s">
        <v>2648</v>
      </c>
      <c r="H3544" t="s">
        <v>2649</v>
      </c>
      <c r="I3544">
        <v>0</v>
      </c>
      <c r="J3544" t="s">
        <v>1709</v>
      </c>
      <c r="K3544" t="s">
        <v>2377</v>
      </c>
      <c r="L3544" t="s">
        <v>285</v>
      </c>
      <c r="M3544" t="str">
        <f t="shared" si="232"/>
        <v>11</v>
      </c>
      <c r="N3544" t="s">
        <v>12</v>
      </c>
    </row>
    <row r="3545" spans="1:14" x14ac:dyDescent="0.25">
      <c r="A3545">
        <v>20151120</v>
      </c>
      <c r="B3545" t="str">
        <f>"061156"</f>
        <v>061156</v>
      </c>
      <c r="C3545" t="str">
        <f>"29500"</f>
        <v>29500</v>
      </c>
      <c r="D3545" t="s">
        <v>1698</v>
      </c>
      <c r="E3545" s="3">
        <v>77.34</v>
      </c>
      <c r="F3545">
        <v>20151118</v>
      </c>
      <c r="G3545" t="s">
        <v>1859</v>
      </c>
      <c r="H3545" t="s">
        <v>3073</v>
      </c>
      <c r="I3545">
        <v>0</v>
      </c>
      <c r="J3545" t="s">
        <v>1709</v>
      </c>
      <c r="K3545" t="s">
        <v>1861</v>
      </c>
      <c r="L3545" t="s">
        <v>285</v>
      </c>
      <c r="M3545" t="str">
        <f t="shared" si="232"/>
        <v>11</v>
      </c>
      <c r="N3545" t="s">
        <v>12</v>
      </c>
    </row>
    <row r="3546" spans="1:14" x14ac:dyDescent="0.25">
      <c r="A3546">
        <v>20151120</v>
      </c>
      <c r="B3546" t="str">
        <f>"061156"</f>
        <v>061156</v>
      </c>
      <c r="C3546" t="str">
        <f>"29500"</f>
        <v>29500</v>
      </c>
      <c r="D3546" t="s">
        <v>1698</v>
      </c>
      <c r="E3546" s="3">
        <v>315.7</v>
      </c>
      <c r="F3546">
        <v>20151118</v>
      </c>
      <c r="G3546" t="s">
        <v>1859</v>
      </c>
      <c r="H3546" t="s">
        <v>3074</v>
      </c>
      <c r="I3546">
        <v>0</v>
      </c>
      <c r="J3546" t="s">
        <v>1709</v>
      </c>
      <c r="K3546" t="s">
        <v>1861</v>
      </c>
      <c r="L3546" t="s">
        <v>285</v>
      </c>
      <c r="M3546" t="str">
        <f t="shared" si="232"/>
        <v>11</v>
      </c>
      <c r="N3546" t="s">
        <v>12</v>
      </c>
    </row>
    <row r="3547" spans="1:14" x14ac:dyDescent="0.25">
      <c r="A3547">
        <v>20151120</v>
      </c>
      <c r="B3547" t="str">
        <f>"061156"</f>
        <v>061156</v>
      </c>
      <c r="C3547" t="str">
        <f>"29500"</f>
        <v>29500</v>
      </c>
      <c r="D3547" t="s">
        <v>1698</v>
      </c>
      <c r="E3547" s="3">
        <v>298.8</v>
      </c>
      <c r="F3547">
        <v>20151118</v>
      </c>
      <c r="G3547" t="s">
        <v>1859</v>
      </c>
      <c r="H3547" t="s">
        <v>3075</v>
      </c>
      <c r="I3547">
        <v>0</v>
      </c>
      <c r="J3547" t="s">
        <v>1709</v>
      </c>
      <c r="K3547" t="s">
        <v>1861</v>
      </c>
      <c r="L3547" t="s">
        <v>285</v>
      </c>
      <c r="M3547" t="str">
        <f t="shared" si="232"/>
        <v>11</v>
      </c>
      <c r="N3547" t="s">
        <v>12</v>
      </c>
    </row>
    <row r="3548" spans="1:14" x14ac:dyDescent="0.25">
      <c r="A3548">
        <v>20151120</v>
      </c>
      <c r="B3548" t="str">
        <f>"061157"</f>
        <v>061157</v>
      </c>
      <c r="C3548" t="str">
        <f>"29548"</f>
        <v>29548</v>
      </c>
      <c r="D3548" t="s">
        <v>1862</v>
      </c>
      <c r="E3548" s="3">
        <v>170.4</v>
      </c>
      <c r="F3548">
        <v>20151118</v>
      </c>
      <c r="G3548" t="s">
        <v>1859</v>
      </c>
      <c r="H3548" t="s">
        <v>2295</v>
      </c>
      <c r="I3548">
        <v>0</v>
      </c>
      <c r="J3548" t="s">
        <v>1709</v>
      </c>
      <c r="K3548" t="s">
        <v>1861</v>
      </c>
      <c r="L3548" t="s">
        <v>285</v>
      </c>
      <c r="M3548" t="str">
        <f t="shared" si="232"/>
        <v>11</v>
      </c>
      <c r="N3548" t="s">
        <v>12</v>
      </c>
    </row>
    <row r="3549" spans="1:14" x14ac:dyDescent="0.25">
      <c r="A3549">
        <v>20151120</v>
      </c>
      <c r="B3549" t="str">
        <f>"061157"</f>
        <v>061157</v>
      </c>
      <c r="C3549" t="str">
        <f>"29548"</f>
        <v>29548</v>
      </c>
      <c r="D3549" t="s">
        <v>1862</v>
      </c>
      <c r="E3549" s="3">
        <v>101.2</v>
      </c>
      <c r="F3549">
        <v>20151118</v>
      </c>
      <c r="G3549" t="s">
        <v>1859</v>
      </c>
      <c r="H3549" t="s">
        <v>2295</v>
      </c>
      <c r="I3549">
        <v>0</v>
      </c>
      <c r="J3549" t="s">
        <v>1709</v>
      </c>
      <c r="K3549" t="s">
        <v>1861</v>
      </c>
      <c r="L3549" t="s">
        <v>285</v>
      </c>
      <c r="M3549" t="str">
        <f t="shared" si="232"/>
        <v>11</v>
      </c>
      <c r="N3549" t="s">
        <v>12</v>
      </c>
    </row>
    <row r="3550" spans="1:14" x14ac:dyDescent="0.25">
      <c r="A3550">
        <v>20151120</v>
      </c>
      <c r="B3550" t="str">
        <f>"061157"</f>
        <v>061157</v>
      </c>
      <c r="C3550" t="str">
        <f>"29548"</f>
        <v>29548</v>
      </c>
      <c r="D3550" t="s">
        <v>1862</v>
      </c>
      <c r="E3550" s="3">
        <v>282</v>
      </c>
      <c r="F3550">
        <v>20151118</v>
      </c>
      <c r="G3550" t="s">
        <v>1859</v>
      </c>
      <c r="H3550" t="s">
        <v>3076</v>
      </c>
      <c r="I3550">
        <v>0</v>
      </c>
      <c r="J3550" t="s">
        <v>1709</v>
      </c>
      <c r="K3550" t="s">
        <v>1861</v>
      </c>
      <c r="L3550" t="s">
        <v>285</v>
      </c>
      <c r="M3550" t="str">
        <f t="shared" si="232"/>
        <v>11</v>
      </c>
      <c r="N3550" t="s">
        <v>12</v>
      </c>
    </row>
    <row r="3551" spans="1:14" x14ac:dyDescent="0.25">
      <c r="A3551">
        <v>20151120</v>
      </c>
      <c r="B3551" t="str">
        <f>"061158"</f>
        <v>061158</v>
      </c>
      <c r="C3551" t="str">
        <f>"29554"</f>
        <v>29554</v>
      </c>
      <c r="D3551" t="s">
        <v>1865</v>
      </c>
      <c r="E3551" s="3">
        <v>97.88</v>
      </c>
      <c r="F3551">
        <v>20151118</v>
      </c>
      <c r="G3551" t="s">
        <v>3077</v>
      </c>
      <c r="H3551" t="s">
        <v>3078</v>
      </c>
      <c r="I3551">
        <v>0</v>
      </c>
      <c r="J3551" t="s">
        <v>1709</v>
      </c>
      <c r="K3551" t="s">
        <v>290</v>
      </c>
      <c r="L3551" t="s">
        <v>285</v>
      </c>
      <c r="M3551" t="str">
        <f t="shared" si="232"/>
        <v>11</v>
      </c>
      <c r="N3551" t="s">
        <v>12</v>
      </c>
    </row>
    <row r="3552" spans="1:14" x14ac:dyDescent="0.25">
      <c r="A3552">
        <v>20151120</v>
      </c>
      <c r="B3552" t="str">
        <f>"061158"</f>
        <v>061158</v>
      </c>
      <c r="C3552" t="str">
        <f>"29554"</f>
        <v>29554</v>
      </c>
      <c r="D3552" t="s">
        <v>1865</v>
      </c>
      <c r="E3552" s="3">
        <v>97.88</v>
      </c>
      <c r="F3552">
        <v>20151118</v>
      </c>
      <c r="G3552" t="s">
        <v>3079</v>
      </c>
      <c r="H3552" t="s">
        <v>3078</v>
      </c>
      <c r="I3552">
        <v>0</v>
      </c>
      <c r="J3552" t="s">
        <v>1709</v>
      </c>
      <c r="K3552" t="s">
        <v>95</v>
      </c>
      <c r="L3552" t="s">
        <v>285</v>
      </c>
      <c r="M3552" t="str">
        <f t="shared" si="232"/>
        <v>11</v>
      </c>
      <c r="N3552" t="s">
        <v>12</v>
      </c>
    </row>
    <row r="3553" spans="1:14" x14ac:dyDescent="0.25">
      <c r="A3553">
        <v>20151120</v>
      </c>
      <c r="B3553" t="str">
        <f>"061158"</f>
        <v>061158</v>
      </c>
      <c r="C3553" t="str">
        <f>"29554"</f>
        <v>29554</v>
      </c>
      <c r="D3553" t="s">
        <v>1865</v>
      </c>
      <c r="E3553" s="3">
        <v>97.88</v>
      </c>
      <c r="F3553">
        <v>20151118</v>
      </c>
      <c r="G3553" t="s">
        <v>3080</v>
      </c>
      <c r="H3553" t="s">
        <v>3078</v>
      </c>
      <c r="I3553">
        <v>0</v>
      </c>
      <c r="J3553" t="s">
        <v>1709</v>
      </c>
      <c r="K3553" t="s">
        <v>1643</v>
      </c>
      <c r="L3553" t="s">
        <v>285</v>
      </c>
      <c r="M3553" t="str">
        <f t="shared" si="232"/>
        <v>11</v>
      </c>
      <c r="N3553" t="s">
        <v>12</v>
      </c>
    </row>
    <row r="3554" spans="1:14" x14ac:dyDescent="0.25">
      <c r="A3554">
        <v>20151120</v>
      </c>
      <c r="B3554" t="str">
        <f>"061158"</f>
        <v>061158</v>
      </c>
      <c r="C3554" t="str">
        <f>"29554"</f>
        <v>29554</v>
      </c>
      <c r="D3554" t="s">
        <v>1865</v>
      </c>
      <c r="E3554" s="3">
        <v>97.89</v>
      </c>
      <c r="F3554">
        <v>20151118</v>
      </c>
      <c r="G3554" t="s">
        <v>3081</v>
      </c>
      <c r="H3554" t="s">
        <v>3078</v>
      </c>
      <c r="I3554">
        <v>0</v>
      </c>
      <c r="J3554" t="s">
        <v>1709</v>
      </c>
      <c r="K3554" t="s">
        <v>33</v>
      </c>
      <c r="L3554" t="s">
        <v>285</v>
      </c>
      <c r="M3554" t="str">
        <f t="shared" si="232"/>
        <v>11</v>
      </c>
      <c r="N3554" t="s">
        <v>12</v>
      </c>
    </row>
    <row r="3555" spans="1:14" x14ac:dyDescent="0.25">
      <c r="A3555">
        <v>20151120</v>
      </c>
      <c r="B3555" t="str">
        <f>"061159"</f>
        <v>061159</v>
      </c>
      <c r="C3555" t="str">
        <f>"29610"</f>
        <v>29610</v>
      </c>
      <c r="D3555" t="s">
        <v>1867</v>
      </c>
      <c r="E3555" s="3">
        <v>138.80000000000001</v>
      </c>
      <c r="F3555">
        <v>20151118</v>
      </c>
      <c r="G3555" t="s">
        <v>2495</v>
      </c>
      <c r="H3555" t="s">
        <v>1868</v>
      </c>
      <c r="I3555">
        <v>0</v>
      </c>
      <c r="J3555" t="s">
        <v>1709</v>
      </c>
      <c r="K3555" t="s">
        <v>235</v>
      </c>
      <c r="L3555" t="s">
        <v>285</v>
      </c>
      <c r="M3555" t="str">
        <f t="shared" si="232"/>
        <v>11</v>
      </c>
      <c r="N3555" t="s">
        <v>12</v>
      </c>
    </row>
    <row r="3556" spans="1:14" x14ac:dyDescent="0.25">
      <c r="A3556">
        <v>20151120</v>
      </c>
      <c r="B3556" t="str">
        <f>"061162"</f>
        <v>061162</v>
      </c>
      <c r="C3556" t="str">
        <f>"30130"</f>
        <v>30130</v>
      </c>
      <c r="D3556" t="s">
        <v>3082</v>
      </c>
      <c r="E3556" s="3">
        <v>326.87</v>
      </c>
      <c r="F3556">
        <v>20151118</v>
      </c>
      <c r="G3556" t="s">
        <v>1854</v>
      </c>
      <c r="H3556" t="s">
        <v>2857</v>
      </c>
      <c r="I3556">
        <v>0</v>
      </c>
      <c r="J3556" t="s">
        <v>1709</v>
      </c>
      <c r="K3556" t="s">
        <v>1856</v>
      </c>
      <c r="L3556" t="s">
        <v>285</v>
      </c>
      <c r="M3556" t="str">
        <f t="shared" si="232"/>
        <v>11</v>
      </c>
      <c r="N3556" t="s">
        <v>12</v>
      </c>
    </row>
    <row r="3557" spans="1:14" x14ac:dyDescent="0.25">
      <c r="A3557">
        <v>20151120</v>
      </c>
      <c r="B3557" t="str">
        <f>"061162"</f>
        <v>061162</v>
      </c>
      <c r="C3557" t="str">
        <f>"30130"</f>
        <v>30130</v>
      </c>
      <c r="D3557" t="s">
        <v>3082</v>
      </c>
      <c r="E3557" s="3">
        <v>330.19</v>
      </c>
      <c r="F3557">
        <v>20151118</v>
      </c>
      <c r="G3557" t="s">
        <v>1854</v>
      </c>
      <c r="H3557" t="s">
        <v>3083</v>
      </c>
      <c r="I3557">
        <v>0</v>
      </c>
      <c r="J3557" t="s">
        <v>1709</v>
      </c>
      <c r="K3557" t="s">
        <v>1856</v>
      </c>
      <c r="L3557" t="s">
        <v>285</v>
      </c>
      <c r="M3557" t="str">
        <f t="shared" si="232"/>
        <v>11</v>
      </c>
      <c r="N3557" t="s">
        <v>12</v>
      </c>
    </row>
    <row r="3558" spans="1:14" x14ac:dyDescent="0.25">
      <c r="A3558">
        <v>20151120</v>
      </c>
      <c r="B3558" t="str">
        <f>"061162"</f>
        <v>061162</v>
      </c>
      <c r="C3558" t="str">
        <f>"30130"</f>
        <v>30130</v>
      </c>
      <c r="D3558" t="s">
        <v>3082</v>
      </c>
      <c r="E3558" s="3">
        <v>27.16</v>
      </c>
      <c r="F3558">
        <v>20151118</v>
      </c>
      <c r="G3558" t="s">
        <v>2360</v>
      </c>
      <c r="H3558" t="s">
        <v>3084</v>
      </c>
      <c r="I3558">
        <v>0</v>
      </c>
      <c r="J3558" t="s">
        <v>1709</v>
      </c>
      <c r="K3558" t="s">
        <v>1856</v>
      </c>
      <c r="L3558" t="s">
        <v>285</v>
      </c>
      <c r="M3558" t="str">
        <f t="shared" si="232"/>
        <v>11</v>
      </c>
      <c r="N3558" t="s">
        <v>12</v>
      </c>
    </row>
    <row r="3559" spans="1:14" x14ac:dyDescent="0.25">
      <c r="A3559">
        <v>20151120</v>
      </c>
      <c r="B3559" t="str">
        <f>"061163"</f>
        <v>061163</v>
      </c>
      <c r="C3559" t="str">
        <f>"30140"</f>
        <v>30140</v>
      </c>
      <c r="D3559" t="s">
        <v>3085</v>
      </c>
      <c r="E3559" s="3">
        <v>25</v>
      </c>
      <c r="F3559">
        <v>20151119</v>
      </c>
      <c r="G3559" t="s">
        <v>2320</v>
      </c>
      <c r="H3559" t="s">
        <v>3086</v>
      </c>
      <c r="I3559">
        <v>0</v>
      </c>
      <c r="J3559" t="s">
        <v>1709</v>
      </c>
      <c r="K3559" t="s">
        <v>290</v>
      </c>
      <c r="L3559" t="s">
        <v>285</v>
      </c>
      <c r="M3559" t="str">
        <f t="shared" si="232"/>
        <v>11</v>
      </c>
      <c r="N3559" t="s">
        <v>12</v>
      </c>
    </row>
    <row r="3560" spans="1:14" x14ac:dyDescent="0.25">
      <c r="A3560">
        <v>20151120</v>
      </c>
      <c r="B3560" t="str">
        <f>"061164"</f>
        <v>061164</v>
      </c>
      <c r="C3560" t="str">
        <f>"30390"</f>
        <v>30390</v>
      </c>
      <c r="D3560" t="s">
        <v>3087</v>
      </c>
      <c r="E3560" s="3">
        <v>962</v>
      </c>
      <c r="F3560">
        <v>20151118</v>
      </c>
      <c r="G3560" t="s">
        <v>2750</v>
      </c>
      <c r="H3560" t="s">
        <v>2091</v>
      </c>
      <c r="I3560">
        <v>0</v>
      </c>
      <c r="J3560" t="s">
        <v>1709</v>
      </c>
      <c r="K3560" t="s">
        <v>1643</v>
      </c>
      <c r="L3560" t="s">
        <v>285</v>
      </c>
      <c r="M3560" t="str">
        <f t="shared" si="232"/>
        <v>11</v>
      </c>
      <c r="N3560" t="s">
        <v>12</v>
      </c>
    </row>
    <row r="3561" spans="1:14" x14ac:dyDescent="0.25">
      <c r="A3561">
        <v>20151120</v>
      </c>
      <c r="B3561" t="str">
        <f t="shared" ref="B3561:B3567" si="237">"061174"</f>
        <v>061174</v>
      </c>
      <c r="C3561" t="str">
        <f t="shared" ref="C3561:C3567" si="238">"35430"</f>
        <v>35430</v>
      </c>
      <c r="D3561" t="s">
        <v>2302</v>
      </c>
      <c r="E3561" s="3">
        <v>44.64</v>
      </c>
      <c r="F3561">
        <v>20151118</v>
      </c>
      <c r="G3561" t="s">
        <v>2303</v>
      </c>
      <c r="H3561" t="s">
        <v>3088</v>
      </c>
      <c r="I3561">
        <v>0</v>
      </c>
      <c r="J3561" t="s">
        <v>1709</v>
      </c>
      <c r="K3561" t="s">
        <v>235</v>
      </c>
      <c r="L3561" t="s">
        <v>285</v>
      </c>
      <c r="M3561" t="str">
        <f t="shared" si="232"/>
        <v>11</v>
      </c>
      <c r="N3561" t="s">
        <v>12</v>
      </c>
    </row>
    <row r="3562" spans="1:14" x14ac:dyDescent="0.25">
      <c r="A3562">
        <v>20151120</v>
      </c>
      <c r="B3562" t="str">
        <f t="shared" si="237"/>
        <v>061174</v>
      </c>
      <c r="C3562" t="str">
        <f t="shared" si="238"/>
        <v>35430</v>
      </c>
      <c r="D3562" t="s">
        <v>2302</v>
      </c>
      <c r="E3562" s="3">
        <v>25.98</v>
      </c>
      <c r="F3562">
        <v>20151118</v>
      </c>
      <c r="G3562" t="s">
        <v>2303</v>
      </c>
      <c r="H3562" t="s">
        <v>3089</v>
      </c>
      <c r="I3562">
        <v>0</v>
      </c>
      <c r="J3562" t="s">
        <v>1709</v>
      </c>
      <c r="K3562" t="s">
        <v>235</v>
      </c>
      <c r="L3562" t="s">
        <v>285</v>
      </c>
      <c r="M3562" t="str">
        <f t="shared" si="232"/>
        <v>11</v>
      </c>
      <c r="N3562" t="s">
        <v>12</v>
      </c>
    </row>
    <row r="3563" spans="1:14" x14ac:dyDescent="0.25">
      <c r="A3563">
        <v>20151120</v>
      </c>
      <c r="B3563" t="str">
        <f t="shared" si="237"/>
        <v>061174</v>
      </c>
      <c r="C3563" t="str">
        <f t="shared" si="238"/>
        <v>35430</v>
      </c>
      <c r="D3563" t="s">
        <v>2302</v>
      </c>
      <c r="E3563" s="3">
        <v>77.28</v>
      </c>
      <c r="F3563">
        <v>20151118</v>
      </c>
      <c r="G3563" t="s">
        <v>2303</v>
      </c>
      <c r="H3563" t="s">
        <v>3090</v>
      </c>
      <c r="I3563">
        <v>0</v>
      </c>
      <c r="J3563" t="s">
        <v>1709</v>
      </c>
      <c r="K3563" t="s">
        <v>235</v>
      </c>
      <c r="L3563" t="s">
        <v>285</v>
      </c>
      <c r="M3563" t="str">
        <f t="shared" si="232"/>
        <v>11</v>
      </c>
      <c r="N3563" t="s">
        <v>12</v>
      </c>
    </row>
    <row r="3564" spans="1:14" x14ac:dyDescent="0.25">
      <c r="A3564">
        <v>20151120</v>
      </c>
      <c r="B3564" t="str">
        <f t="shared" si="237"/>
        <v>061174</v>
      </c>
      <c r="C3564" t="str">
        <f t="shared" si="238"/>
        <v>35430</v>
      </c>
      <c r="D3564" t="s">
        <v>2302</v>
      </c>
      <c r="E3564" s="3">
        <v>431.4</v>
      </c>
      <c r="F3564">
        <v>20151118</v>
      </c>
      <c r="G3564" t="s">
        <v>2303</v>
      </c>
      <c r="H3564" t="s">
        <v>3091</v>
      </c>
      <c r="I3564">
        <v>0</v>
      </c>
      <c r="J3564" t="s">
        <v>1709</v>
      </c>
      <c r="K3564" t="s">
        <v>235</v>
      </c>
      <c r="L3564" t="s">
        <v>285</v>
      </c>
      <c r="M3564" t="str">
        <f t="shared" si="232"/>
        <v>11</v>
      </c>
      <c r="N3564" t="s">
        <v>12</v>
      </c>
    </row>
    <row r="3565" spans="1:14" x14ac:dyDescent="0.25">
      <c r="A3565">
        <v>20151120</v>
      </c>
      <c r="B3565" t="str">
        <f t="shared" si="237"/>
        <v>061174</v>
      </c>
      <c r="C3565" t="str">
        <f t="shared" si="238"/>
        <v>35430</v>
      </c>
      <c r="D3565" t="s">
        <v>2302</v>
      </c>
      <c r="E3565" s="3">
        <v>90.36</v>
      </c>
      <c r="F3565">
        <v>20151118</v>
      </c>
      <c r="G3565" t="s">
        <v>1859</v>
      </c>
      <c r="H3565" t="s">
        <v>3092</v>
      </c>
      <c r="I3565">
        <v>0</v>
      </c>
      <c r="J3565" t="s">
        <v>1709</v>
      </c>
      <c r="K3565" t="s">
        <v>1861</v>
      </c>
      <c r="L3565" t="s">
        <v>285</v>
      </c>
      <c r="M3565" t="str">
        <f t="shared" si="232"/>
        <v>11</v>
      </c>
      <c r="N3565" t="s">
        <v>12</v>
      </c>
    </row>
    <row r="3566" spans="1:14" x14ac:dyDescent="0.25">
      <c r="A3566">
        <v>20151120</v>
      </c>
      <c r="B3566" t="str">
        <f t="shared" si="237"/>
        <v>061174</v>
      </c>
      <c r="C3566" t="str">
        <f t="shared" si="238"/>
        <v>35430</v>
      </c>
      <c r="D3566" t="s">
        <v>2302</v>
      </c>
      <c r="E3566" s="3">
        <v>32.65</v>
      </c>
      <c r="F3566">
        <v>20151118</v>
      </c>
      <c r="G3566" t="s">
        <v>1859</v>
      </c>
      <c r="H3566" t="s">
        <v>3092</v>
      </c>
      <c r="I3566">
        <v>0</v>
      </c>
      <c r="J3566" t="s">
        <v>1709</v>
      </c>
      <c r="K3566" t="s">
        <v>1861</v>
      </c>
      <c r="L3566" t="s">
        <v>285</v>
      </c>
      <c r="M3566" t="str">
        <f t="shared" si="232"/>
        <v>11</v>
      </c>
      <c r="N3566" t="s">
        <v>12</v>
      </c>
    </row>
    <row r="3567" spans="1:14" x14ac:dyDescent="0.25">
      <c r="A3567">
        <v>20151120</v>
      </c>
      <c r="B3567" t="str">
        <f t="shared" si="237"/>
        <v>061174</v>
      </c>
      <c r="C3567" t="str">
        <f t="shared" si="238"/>
        <v>35430</v>
      </c>
      <c r="D3567" t="s">
        <v>2302</v>
      </c>
      <c r="E3567" s="3">
        <v>149.25</v>
      </c>
      <c r="F3567">
        <v>20151118</v>
      </c>
      <c r="G3567" t="s">
        <v>1859</v>
      </c>
      <c r="H3567" t="s">
        <v>3092</v>
      </c>
      <c r="I3567">
        <v>0</v>
      </c>
      <c r="J3567" t="s">
        <v>1709</v>
      </c>
      <c r="K3567" t="s">
        <v>1861</v>
      </c>
      <c r="L3567" t="s">
        <v>285</v>
      </c>
      <c r="M3567" t="str">
        <f t="shared" si="232"/>
        <v>11</v>
      </c>
      <c r="N3567" t="s">
        <v>12</v>
      </c>
    </row>
    <row r="3568" spans="1:14" x14ac:dyDescent="0.25">
      <c r="A3568">
        <v>20151120</v>
      </c>
      <c r="B3568" t="str">
        <f>"061181"</f>
        <v>061181</v>
      </c>
      <c r="C3568" t="str">
        <f>"43534"</f>
        <v>43534</v>
      </c>
      <c r="D3568" t="s">
        <v>3093</v>
      </c>
      <c r="E3568" s="3">
        <v>10600</v>
      </c>
      <c r="F3568">
        <v>20151118</v>
      </c>
      <c r="G3568" t="s">
        <v>2956</v>
      </c>
      <c r="H3568" t="s">
        <v>3094</v>
      </c>
      <c r="I3568">
        <v>0</v>
      </c>
      <c r="J3568" t="s">
        <v>1709</v>
      </c>
      <c r="K3568" t="s">
        <v>95</v>
      </c>
      <c r="L3568" t="s">
        <v>285</v>
      </c>
      <c r="M3568" t="str">
        <f t="shared" si="232"/>
        <v>11</v>
      </c>
      <c r="N3568" t="s">
        <v>12</v>
      </c>
    </row>
    <row r="3569" spans="1:14" x14ac:dyDescent="0.25">
      <c r="A3569">
        <v>20151120</v>
      </c>
      <c r="B3569" t="str">
        <f>"061181"</f>
        <v>061181</v>
      </c>
      <c r="C3569" t="str">
        <f>"43534"</f>
        <v>43534</v>
      </c>
      <c r="D3569" t="s">
        <v>3093</v>
      </c>
      <c r="E3569" s="3">
        <v>13745</v>
      </c>
      <c r="F3569">
        <v>20151118</v>
      </c>
      <c r="G3569" t="s">
        <v>2671</v>
      </c>
      <c r="H3569" t="s">
        <v>3095</v>
      </c>
      <c r="I3569">
        <v>0</v>
      </c>
      <c r="J3569" t="s">
        <v>1709</v>
      </c>
      <c r="K3569" t="s">
        <v>33</v>
      </c>
      <c r="L3569" t="s">
        <v>285</v>
      </c>
      <c r="M3569" t="str">
        <f t="shared" si="232"/>
        <v>11</v>
      </c>
      <c r="N3569" t="s">
        <v>12</v>
      </c>
    </row>
    <row r="3570" spans="1:14" x14ac:dyDescent="0.25">
      <c r="A3570">
        <v>20151120</v>
      </c>
      <c r="B3570" t="str">
        <f>"061182"</f>
        <v>061182</v>
      </c>
      <c r="C3570" t="str">
        <f>"44450"</f>
        <v>44450</v>
      </c>
      <c r="D3570" t="s">
        <v>1989</v>
      </c>
      <c r="E3570" s="3">
        <v>225</v>
      </c>
      <c r="F3570">
        <v>20151118</v>
      </c>
      <c r="G3570" t="s">
        <v>2896</v>
      </c>
      <c r="H3570" t="s">
        <v>3096</v>
      </c>
      <c r="I3570">
        <v>0</v>
      </c>
      <c r="J3570" t="s">
        <v>1709</v>
      </c>
      <c r="K3570" t="s">
        <v>95</v>
      </c>
      <c r="L3570" t="s">
        <v>285</v>
      </c>
      <c r="M3570" t="str">
        <f t="shared" si="232"/>
        <v>11</v>
      </c>
      <c r="N3570" t="s">
        <v>12</v>
      </c>
    </row>
    <row r="3571" spans="1:14" x14ac:dyDescent="0.25">
      <c r="A3571">
        <v>20151120</v>
      </c>
      <c r="B3571" t="str">
        <f>"061183"</f>
        <v>061183</v>
      </c>
      <c r="C3571" t="str">
        <f>"46369"</f>
        <v>46369</v>
      </c>
      <c r="D3571" t="s">
        <v>1991</v>
      </c>
      <c r="E3571" s="3">
        <v>216</v>
      </c>
      <c r="F3571">
        <v>20151118</v>
      </c>
      <c r="G3571" t="s">
        <v>1992</v>
      </c>
      <c r="H3571" t="s">
        <v>3097</v>
      </c>
      <c r="I3571">
        <v>0</v>
      </c>
      <c r="J3571" t="s">
        <v>1709</v>
      </c>
      <c r="K3571" t="s">
        <v>1861</v>
      </c>
      <c r="L3571" t="s">
        <v>285</v>
      </c>
      <c r="M3571" t="str">
        <f t="shared" si="232"/>
        <v>11</v>
      </c>
      <c r="N3571" t="s">
        <v>12</v>
      </c>
    </row>
    <row r="3572" spans="1:14" x14ac:dyDescent="0.25">
      <c r="A3572">
        <v>20151120</v>
      </c>
      <c r="B3572" t="str">
        <f>"061183"</f>
        <v>061183</v>
      </c>
      <c r="C3572" t="str">
        <f>"46369"</f>
        <v>46369</v>
      </c>
      <c r="D3572" t="s">
        <v>1991</v>
      </c>
      <c r="E3572" s="3">
        <v>146</v>
      </c>
      <c r="F3572">
        <v>20151118</v>
      </c>
      <c r="G3572" t="s">
        <v>1992</v>
      </c>
      <c r="H3572" t="s">
        <v>3098</v>
      </c>
      <c r="I3572">
        <v>0</v>
      </c>
      <c r="J3572" t="s">
        <v>1709</v>
      </c>
      <c r="K3572" t="s">
        <v>1861</v>
      </c>
      <c r="L3572" t="s">
        <v>285</v>
      </c>
      <c r="M3572" t="str">
        <f t="shared" si="232"/>
        <v>11</v>
      </c>
      <c r="N3572" t="s">
        <v>12</v>
      </c>
    </row>
    <row r="3573" spans="1:14" x14ac:dyDescent="0.25">
      <c r="A3573">
        <v>20151120</v>
      </c>
      <c r="B3573" t="str">
        <f>"061183"</f>
        <v>061183</v>
      </c>
      <c r="C3573" t="str">
        <f>"46369"</f>
        <v>46369</v>
      </c>
      <c r="D3573" t="s">
        <v>1991</v>
      </c>
      <c r="E3573" s="3">
        <v>938.91</v>
      </c>
      <c r="F3573">
        <v>20151118</v>
      </c>
      <c r="G3573" t="s">
        <v>1992</v>
      </c>
      <c r="H3573" t="s">
        <v>3099</v>
      </c>
      <c r="I3573">
        <v>0</v>
      </c>
      <c r="J3573" t="s">
        <v>1709</v>
      </c>
      <c r="K3573" t="s">
        <v>1861</v>
      </c>
      <c r="L3573" t="s">
        <v>285</v>
      </c>
      <c r="M3573" t="str">
        <f t="shared" si="232"/>
        <v>11</v>
      </c>
      <c r="N3573" t="s">
        <v>12</v>
      </c>
    </row>
    <row r="3574" spans="1:14" x14ac:dyDescent="0.25">
      <c r="A3574">
        <v>20151120</v>
      </c>
      <c r="B3574" t="str">
        <f>"061184"</f>
        <v>061184</v>
      </c>
      <c r="C3574" t="str">
        <f>"46398"</f>
        <v>46398</v>
      </c>
      <c r="D3574" t="s">
        <v>1994</v>
      </c>
      <c r="E3574" s="3">
        <v>1820</v>
      </c>
      <c r="F3574">
        <v>20151118</v>
      </c>
      <c r="G3574" t="s">
        <v>1995</v>
      </c>
      <c r="H3574" t="s">
        <v>3100</v>
      </c>
      <c r="I3574">
        <v>0</v>
      </c>
      <c r="J3574" t="s">
        <v>1709</v>
      </c>
      <c r="K3574" t="s">
        <v>235</v>
      </c>
      <c r="L3574" t="s">
        <v>285</v>
      </c>
      <c r="M3574" t="str">
        <f t="shared" si="232"/>
        <v>11</v>
      </c>
      <c r="N3574" t="s">
        <v>12</v>
      </c>
    </row>
    <row r="3575" spans="1:14" x14ac:dyDescent="0.25">
      <c r="A3575">
        <v>20151120</v>
      </c>
      <c r="B3575" t="str">
        <f>"061184"</f>
        <v>061184</v>
      </c>
      <c r="C3575" t="str">
        <f>"46398"</f>
        <v>46398</v>
      </c>
      <c r="D3575" t="s">
        <v>1994</v>
      </c>
      <c r="E3575" s="3">
        <v>10490.45</v>
      </c>
      <c r="F3575">
        <v>20151118</v>
      </c>
      <c r="G3575" t="s">
        <v>1995</v>
      </c>
      <c r="H3575" t="s">
        <v>3101</v>
      </c>
      <c r="I3575">
        <v>0</v>
      </c>
      <c r="J3575" t="s">
        <v>1709</v>
      </c>
      <c r="K3575" t="s">
        <v>235</v>
      </c>
      <c r="L3575" t="s">
        <v>285</v>
      </c>
      <c r="M3575" t="str">
        <f t="shared" ref="M3575:M3638" si="239">"11"</f>
        <v>11</v>
      </c>
      <c r="N3575" t="s">
        <v>12</v>
      </c>
    </row>
    <row r="3576" spans="1:14" x14ac:dyDescent="0.25">
      <c r="A3576">
        <v>20151120</v>
      </c>
      <c r="B3576" t="str">
        <f>"061184"</f>
        <v>061184</v>
      </c>
      <c r="C3576" t="str">
        <f>"46398"</f>
        <v>46398</v>
      </c>
      <c r="D3576" t="s">
        <v>1994</v>
      </c>
      <c r="E3576" s="3">
        <v>810.45</v>
      </c>
      <c r="F3576">
        <v>20151118</v>
      </c>
      <c r="G3576" t="s">
        <v>1998</v>
      </c>
      <c r="H3576" t="s">
        <v>3101</v>
      </c>
      <c r="I3576">
        <v>0</v>
      </c>
      <c r="J3576" t="s">
        <v>1709</v>
      </c>
      <c r="K3576" t="s">
        <v>1942</v>
      </c>
      <c r="L3576" t="s">
        <v>285</v>
      </c>
      <c r="M3576" t="str">
        <f t="shared" si="239"/>
        <v>11</v>
      </c>
      <c r="N3576" t="s">
        <v>12</v>
      </c>
    </row>
    <row r="3577" spans="1:14" x14ac:dyDescent="0.25">
      <c r="A3577">
        <v>20151120</v>
      </c>
      <c r="B3577" t="str">
        <f>"061187"</f>
        <v>061187</v>
      </c>
      <c r="C3577" t="str">
        <f>"49748"</f>
        <v>49748</v>
      </c>
      <c r="D3577" t="s">
        <v>1885</v>
      </c>
      <c r="E3577" s="3">
        <v>131.16</v>
      </c>
      <c r="F3577">
        <v>20151118</v>
      </c>
      <c r="G3577" t="s">
        <v>1886</v>
      </c>
      <c r="H3577" t="s">
        <v>3102</v>
      </c>
      <c r="I3577">
        <v>0</v>
      </c>
      <c r="J3577" t="s">
        <v>1709</v>
      </c>
      <c r="K3577" t="s">
        <v>290</v>
      </c>
      <c r="L3577" t="s">
        <v>285</v>
      </c>
      <c r="M3577" t="str">
        <f t="shared" si="239"/>
        <v>11</v>
      </c>
      <c r="N3577" t="s">
        <v>12</v>
      </c>
    </row>
    <row r="3578" spans="1:14" x14ac:dyDescent="0.25">
      <c r="A3578">
        <v>20151120</v>
      </c>
      <c r="B3578" t="str">
        <f>"061187"</f>
        <v>061187</v>
      </c>
      <c r="C3578" t="str">
        <f>"49748"</f>
        <v>49748</v>
      </c>
      <c r="D3578" t="s">
        <v>1885</v>
      </c>
      <c r="E3578" s="3">
        <v>47.98</v>
      </c>
      <c r="F3578">
        <v>20151118</v>
      </c>
      <c r="G3578" t="s">
        <v>1886</v>
      </c>
      <c r="H3578" t="s">
        <v>3103</v>
      </c>
      <c r="I3578">
        <v>0</v>
      </c>
      <c r="J3578" t="s">
        <v>1709</v>
      </c>
      <c r="K3578" t="s">
        <v>290</v>
      </c>
      <c r="L3578" t="s">
        <v>285</v>
      </c>
      <c r="M3578" t="str">
        <f t="shared" si="239"/>
        <v>11</v>
      </c>
      <c r="N3578" t="s">
        <v>12</v>
      </c>
    </row>
    <row r="3579" spans="1:14" x14ac:dyDescent="0.25">
      <c r="A3579">
        <v>20151120</v>
      </c>
      <c r="B3579" t="str">
        <f>"061187"</f>
        <v>061187</v>
      </c>
      <c r="C3579" t="str">
        <f>"49748"</f>
        <v>49748</v>
      </c>
      <c r="D3579" t="s">
        <v>1885</v>
      </c>
      <c r="E3579" s="3">
        <v>187.49</v>
      </c>
      <c r="F3579">
        <v>20151118</v>
      </c>
      <c r="G3579" t="s">
        <v>2626</v>
      </c>
      <c r="H3579" t="s">
        <v>3104</v>
      </c>
      <c r="I3579">
        <v>0</v>
      </c>
      <c r="J3579" t="s">
        <v>1709</v>
      </c>
      <c r="K3579" t="s">
        <v>290</v>
      </c>
      <c r="L3579" t="s">
        <v>285</v>
      </c>
      <c r="M3579" t="str">
        <f t="shared" si="239"/>
        <v>11</v>
      </c>
      <c r="N3579" t="s">
        <v>12</v>
      </c>
    </row>
    <row r="3580" spans="1:14" x14ac:dyDescent="0.25">
      <c r="A3580">
        <v>20151120</v>
      </c>
      <c r="B3580" t="str">
        <f>"061187"</f>
        <v>061187</v>
      </c>
      <c r="C3580" t="str">
        <f>"49748"</f>
        <v>49748</v>
      </c>
      <c r="D3580" t="s">
        <v>1885</v>
      </c>
      <c r="E3580" s="3">
        <v>69.98</v>
      </c>
      <c r="F3580">
        <v>20151118</v>
      </c>
      <c r="G3580" t="s">
        <v>3006</v>
      </c>
      <c r="H3580" t="s">
        <v>3103</v>
      </c>
      <c r="I3580">
        <v>0</v>
      </c>
      <c r="J3580" t="s">
        <v>1709</v>
      </c>
      <c r="K3580" t="s">
        <v>290</v>
      </c>
      <c r="L3580" t="s">
        <v>285</v>
      </c>
      <c r="M3580" t="str">
        <f t="shared" si="239"/>
        <v>11</v>
      </c>
      <c r="N3580" t="s">
        <v>12</v>
      </c>
    </row>
    <row r="3581" spans="1:14" x14ac:dyDescent="0.25">
      <c r="A3581">
        <v>20151120</v>
      </c>
      <c r="B3581" t="str">
        <f>"061189"</f>
        <v>061189</v>
      </c>
      <c r="C3581" t="str">
        <f>"49959"</f>
        <v>49959</v>
      </c>
      <c r="D3581" t="s">
        <v>361</v>
      </c>
      <c r="E3581" s="3">
        <v>300</v>
      </c>
      <c r="F3581">
        <v>20151118</v>
      </c>
      <c r="G3581" t="s">
        <v>1788</v>
      </c>
      <c r="H3581" t="s">
        <v>3105</v>
      </c>
      <c r="I3581">
        <v>0</v>
      </c>
      <c r="J3581" t="s">
        <v>1709</v>
      </c>
      <c r="K3581" t="s">
        <v>1643</v>
      </c>
      <c r="L3581" t="s">
        <v>285</v>
      </c>
      <c r="M3581" t="str">
        <f t="shared" si="239"/>
        <v>11</v>
      </c>
      <c r="N3581" t="s">
        <v>12</v>
      </c>
    </row>
    <row r="3582" spans="1:14" x14ac:dyDescent="0.25">
      <c r="A3582">
        <v>20151120</v>
      </c>
      <c r="B3582" t="str">
        <f>"061197"</f>
        <v>061197</v>
      </c>
      <c r="C3582" t="str">
        <f>"56013"</f>
        <v>56013</v>
      </c>
      <c r="D3582" t="s">
        <v>2355</v>
      </c>
      <c r="E3582" s="3">
        <v>320</v>
      </c>
      <c r="F3582">
        <v>20151118</v>
      </c>
      <c r="G3582" t="s">
        <v>2356</v>
      </c>
      <c r="H3582" t="s">
        <v>3106</v>
      </c>
      <c r="I3582">
        <v>0</v>
      </c>
      <c r="J3582" t="s">
        <v>1709</v>
      </c>
      <c r="K3582" t="s">
        <v>1861</v>
      </c>
      <c r="L3582" t="s">
        <v>285</v>
      </c>
      <c r="M3582" t="str">
        <f t="shared" si="239"/>
        <v>11</v>
      </c>
      <c r="N3582" t="s">
        <v>12</v>
      </c>
    </row>
    <row r="3583" spans="1:14" x14ac:dyDescent="0.25">
      <c r="A3583">
        <v>20151120</v>
      </c>
      <c r="B3583" t="str">
        <f>"061197"</f>
        <v>061197</v>
      </c>
      <c r="C3583" t="str">
        <f>"56013"</f>
        <v>56013</v>
      </c>
      <c r="D3583" t="s">
        <v>2355</v>
      </c>
      <c r="E3583" s="3">
        <v>300</v>
      </c>
      <c r="F3583">
        <v>20151118</v>
      </c>
      <c r="G3583" t="s">
        <v>2356</v>
      </c>
      <c r="H3583" t="s">
        <v>3107</v>
      </c>
      <c r="I3583">
        <v>0</v>
      </c>
      <c r="J3583" t="s">
        <v>1709</v>
      </c>
      <c r="K3583" t="s">
        <v>1861</v>
      </c>
      <c r="L3583" t="s">
        <v>285</v>
      </c>
      <c r="M3583" t="str">
        <f t="shared" si="239"/>
        <v>11</v>
      </c>
      <c r="N3583" t="s">
        <v>12</v>
      </c>
    </row>
    <row r="3584" spans="1:14" x14ac:dyDescent="0.25">
      <c r="A3584">
        <v>20151120</v>
      </c>
      <c r="B3584" t="str">
        <f>"061198"</f>
        <v>061198</v>
      </c>
      <c r="C3584" t="str">
        <f>"56226"</f>
        <v>56226</v>
      </c>
      <c r="D3584" t="s">
        <v>3108</v>
      </c>
      <c r="E3584" s="3">
        <v>209.55</v>
      </c>
      <c r="F3584">
        <v>20151118</v>
      </c>
      <c r="G3584" t="s">
        <v>3109</v>
      </c>
      <c r="H3584" t="s">
        <v>3110</v>
      </c>
      <c r="I3584">
        <v>0</v>
      </c>
      <c r="J3584" t="s">
        <v>1709</v>
      </c>
      <c r="K3584" t="s">
        <v>1893</v>
      </c>
      <c r="L3584" t="s">
        <v>285</v>
      </c>
      <c r="M3584" t="str">
        <f t="shared" si="239"/>
        <v>11</v>
      </c>
      <c r="N3584" t="s">
        <v>12</v>
      </c>
    </row>
    <row r="3585" spans="1:14" x14ac:dyDescent="0.25">
      <c r="A3585">
        <v>20151120</v>
      </c>
      <c r="B3585" t="str">
        <f>"061200"</f>
        <v>061200</v>
      </c>
      <c r="C3585" t="str">
        <f>"57662"</f>
        <v>57662</v>
      </c>
      <c r="D3585" t="s">
        <v>2364</v>
      </c>
      <c r="E3585" s="3">
        <v>126</v>
      </c>
      <c r="F3585">
        <v>20151118</v>
      </c>
      <c r="G3585" t="s">
        <v>2365</v>
      </c>
      <c r="H3585" t="s">
        <v>2366</v>
      </c>
      <c r="I3585">
        <v>0</v>
      </c>
      <c r="J3585" t="s">
        <v>1709</v>
      </c>
      <c r="K3585" t="s">
        <v>290</v>
      </c>
      <c r="L3585" t="s">
        <v>285</v>
      </c>
      <c r="M3585" t="str">
        <f t="shared" si="239"/>
        <v>11</v>
      </c>
      <c r="N3585" t="s">
        <v>12</v>
      </c>
    </row>
    <row r="3586" spans="1:14" x14ac:dyDescent="0.25">
      <c r="A3586">
        <v>20151120</v>
      </c>
      <c r="B3586" t="str">
        <f>"061200"</f>
        <v>061200</v>
      </c>
      <c r="C3586" t="str">
        <f>"57662"</f>
        <v>57662</v>
      </c>
      <c r="D3586" t="s">
        <v>2364</v>
      </c>
      <c r="E3586" s="3">
        <v>35.25</v>
      </c>
      <c r="F3586">
        <v>20151118</v>
      </c>
      <c r="G3586" t="s">
        <v>2365</v>
      </c>
      <c r="H3586" t="s">
        <v>2366</v>
      </c>
      <c r="I3586">
        <v>0</v>
      </c>
      <c r="J3586" t="s">
        <v>1709</v>
      </c>
      <c r="K3586" t="s">
        <v>290</v>
      </c>
      <c r="L3586" t="s">
        <v>285</v>
      </c>
      <c r="M3586" t="str">
        <f t="shared" si="239"/>
        <v>11</v>
      </c>
      <c r="N3586" t="s">
        <v>12</v>
      </c>
    </row>
    <row r="3587" spans="1:14" x14ac:dyDescent="0.25">
      <c r="A3587">
        <v>20151120</v>
      </c>
      <c r="B3587" t="str">
        <f>"061203"</f>
        <v>061203</v>
      </c>
      <c r="C3587" t="str">
        <f>"58173"</f>
        <v>58173</v>
      </c>
      <c r="D3587" t="s">
        <v>2544</v>
      </c>
      <c r="E3587" s="3">
        <v>705</v>
      </c>
      <c r="F3587">
        <v>20151118</v>
      </c>
      <c r="G3587" t="s">
        <v>2545</v>
      </c>
      <c r="H3587" t="s">
        <v>3111</v>
      </c>
      <c r="I3587">
        <v>0</v>
      </c>
      <c r="J3587" t="s">
        <v>1709</v>
      </c>
      <c r="K3587" t="s">
        <v>1861</v>
      </c>
      <c r="L3587" t="s">
        <v>285</v>
      </c>
      <c r="M3587" t="str">
        <f t="shared" si="239"/>
        <v>11</v>
      </c>
      <c r="N3587" t="s">
        <v>12</v>
      </c>
    </row>
    <row r="3588" spans="1:14" x14ac:dyDescent="0.25">
      <c r="A3588">
        <v>20151120</v>
      </c>
      <c r="B3588" t="str">
        <f>"061204"</f>
        <v>061204</v>
      </c>
      <c r="C3588" t="str">
        <f>"58201"</f>
        <v>58201</v>
      </c>
      <c r="D3588" t="s">
        <v>1690</v>
      </c>
      <c r="E3588" s="3">
        <v>23.04</v>
      </c>
      <c r="F3588">
        <v>20151118</v>
      </c>
      <c r="G3588" t="s">
        <v>2714</v>
      </c>
      <c r="H3588" t="s">
        <v>3112</v>
      </c>
      <c r="I3588">
        <v>0</v>
      </c>
      <c r="J3588" t="s">
        <v>1709</v>
      </c>
      <c r="K3588" t="s">
        <v>33</v>
      </c>
      <c r="L3588" t="s">
        <v>285</v>
      </c>
      <c r="M3588" t="str">
        <f t="shared" si="239"/>
        <v>11</v>
      </c>
      <c r="N3588" t="s">
        <v>12</v>
      </c>
    </row>
    <row r="3589" spans="1:14" x14ac:dyDescent="0.25">
      <c r="A3589">
        <v>20151120</v>
      </c>
      <c r="B3589" t="str">
        <f>"061204"</f>
        <v>061204</v>
      </c>
      <c r="C3589" t="str">
        <f>"58201"</f>
        <v>58201</v>
      </c>
      <c r="D3589" t="s">
        <v>1690</v>
      </c>
      <c r="E3589" s="3">
        <v>11.24</v>
      </c>
      <c r="F3589">
        <v>20151118</v>
      </c>
      <c r="G3589" t="s">
        <v>2384</v>
      </c>
      <c r="H3589" t="s">
        <v>3113</v>
      </c>
      <c r="I3589">
        <v>0</v>
      </c>
      <c r="J3589" t="s">
        <v>1709</v>
      </c>
      <c r="K3589" t="s">
        <v>33</v>
      </c>
      <c r="L3589" t="s">
        <v>285</v>
      </c>
      <c r="M3589" t="str">
        <f t="shared" si="239"/>
        <v>11</v>
      </c>
      <c r="N3589" t="s">
        <v>12</v>
      </c>
    </row>
    <row r="3590" spans="1:14" x14ac:dyDescent="0.25">
      <c r="A3590">
        <v>20151120</v>
      </c>
      <c r="B3590" t="str">
        <f>"061204"</f>
        <v>061204</v>
      </c>
      <c r="C3590" t="str">
        <f>"58201"</f>
        <v>58201</v>
      </c>
      <c r="D3590" t="s">
        <v>1690</v>
      </c>
      <c r="E3590" s="3">
        <v>83.46</v>
      </c>
      <c r="F3590">
        <v>20151118</v>
      </c>
      <c r="G3590" t="s">
        <v>3114</v>
      </c>
      <c r="H3590" t="s">
        <v>3115</v>
      </c>
      <c r="I3590">
        <v>0</v>
      </c>
      <c r="J3590" t="s">
        <v>1709</v>
      </c>
      <c r="K3590" t="s">
        <v>33</v>
      </c>
      <c r="L3590" t="s">
        <v>285</v>
      </c>
      <c r="M3590" t="str">
        <f t="shared" si="239"/>
        <v>11</v>
      </c>
      <c r="N3590" t="s">
        <v>12</v>
      </c>
    </row>
    <row r="3591" spans="1:14" x14ac:dyDescent="0.25">
      <c r="A3591">
        <v>20151120</v>
      </c>
      <c r="B3591" t="str">
        <f t="shared" ref="B3591:B3597" si="240">"061205"</f>
        <v>061205</v>
      </c>
      <c r="C3591" t="str">
        <f t="shared" ref="C3591:C3597" si="241">"58927"</f>
        <v>58927</v>
      </c>
      <c r="D3591" t="s">
        <v>1899</v>
      </c>
      <c r="E3591" s="3">
        <v>720</v>
      </c>
      <c r="F3591">
        <v>20151118</v>
      </c>
      <c r="G3591" t="s">
        <v>2829</v>
      </c>
      <c r="H3591" t="s">
        <v>3116</v>
      </c>
      <c r="I3591">
        <v>0</v>
      </c>
      <c r="J3591" t="s">
        <v>1709</v>
      </c>
      <c r="K3591" t="s">
        <v>290</v>
      </c>
      <c r="L3591" t="s">
        <v>285</v>
      </c>
      <c r="M3591" t="str">
        <f t="shared" si="239"/>
        <v>11</v>
      </c>
      <c r="N3591" t="s">
        <v>12</v>
      </c>
    </row>
    <row r="3592" spans="1:14" x14ac:dyDescent="0.25">
      <c r="A3592">
        <v>20151120</v>
      </c>
      <c r="B3592" t="str">
        <f t="shared" si="240"/>
        <v>061205</v>
      </c>
      <c r="C3592" t="str">
        <f t="shared" si="241"/>
        <v>58927</v>
      </c>
      <c r="D3592" t="s">
        <v>1899</v>
      </c>
      <c r="E3592" s="3">
        <v>80</v>
      </c>
      <c r="F3592">
        <v>20151118</v>
      </c>
      <c r="G3592" t="s">
        <v>2829</v>
      </c>
      <c r="H3592" t="s">
        <v>3116</v>
      </c>
      <c r="I3592">
        <v>0</v>
      </c>
      <c r="J3592" t="s">
        <v>1709</v>
      </c>
      <c r="K3592" t="s">
        <v>290</v>
      </c>
      <c r="L3592" t="s">
        <v>285</v>
      </c>
      <c r="M3592" t="str">
        <f t="shared" si="239"/>
        <v>11</v>
      </c>
      <c r="N3592" t="s">
        <v>12</v>
      </c>
    </row>
    <row r="3593" spans="1:14" x14ac:dyDescent="0.25">
      <c r="A3593">
        <v>20151120</v>
      </c>
      <c r="B3593" t="str">
        <f t="shared" si="240"/>
        <v>061205</v>
      </c>
      <c r="C3593" t="str">
        <f t="shared" si="241"/>
        <v>58927</v>
      </c>
      <c r="D3593" t="s">
        <v>1899</v>
      </c>
      <c r="E3593" s="3">
        <v>45</v>
      </c>
      <c r="F3593">
        <v>20151118</v>
      </c>
      <c r="G3593" t="s">
        <v>2699</v>
      </c>
      <c r="H3593" t="s">
        <v>3117</v>
      </c>
      <c r="I3593">
        <v>0</v>
      </c>
      <c r="J3593" t="s">
        <v>1709</v>
      </c>
      <c r="K3593" t="s">
        <v>1856</v>
      </c>
      <c r="L3593" t="s">
        <v>285</v>
      </c>
      <c r="M3593" t="str">
        <f t="shared" si="239"/>
        <v>11</v>
      </c>
      <c r="N3593" t="s">
        <v>12</v>
      </c>
    </row>
    <row r="3594" spans="1:14" x14ac:dyDescent="0.25">
      <c r="A3594">
        <v>20151120</v>
      </c>
      <c r="B3594" t="str">
        <f t="shared" si="240"/>
        <v>061205</v>
      </c>
      <c r="C3594" t="str">
        <f t="shared" si="241"/>
        <v>58927</v>
      </c>
      <c r="D3594" t="s">
        <v>1899</v>
      </c>
      <c r="E3594" s="3">
        <v>55</v>
      </c>
      <c r="F3594">
        <v>20151118</v>
      </c>
      <c r="G3594" t="s">
        <v>2699</v>
      </c>
      <c r="H3594" t="s">
        <v>1900</v>
      </c>
      <c r="I3594">
        <v>0</v>
      </c>
      <c r="J3594" t="s">
        <v>1709</v>
      </c>
      <c r="K3594" t="s">
        <v>1856</v>
      </c>
      <c r="L3594" t="s">
        <v>285</v>
      </c>
      <c r="M3594" t="str">
        <f t="shared" si="239"/>
        <v>11</v>
      </c>
      <c r="N3594" t="s">
        <v>12</v>
      </c>
    </row>
    <row r="3595" spans="1:14" x14ac:dyDescent="0.25">
      <c r="A3595">
        <v>20151120</v>
      </c>
      <c r="B3595" t="str">
        <f t="shared" si="240"/>
        <v>061205</v>
      </c>
      <c r="C3595" t="str">
        <f t="shared" si="241"/>
        <v>58927</v>
      </c>
      <c r="D3595" t="s">
        <v>1899</v>
      </c>
      <c r="E3595" s="3">
        <v>310</v>
      </c>
      <c r="F3595">
        <v>20151118</v>
      </c>
      <c r="G3595" t="s">
        <v>2699</v>
      </c>
      <c r="H3595" t="s">
        <v>2135</v>
      </c>
      <c r="I3595">
        <v>0</v>
      </c>
      <c r="J3595" t="s">
        <v>1709</v>
      </c>
      <c r="K3595" t="s">
        <v>1856</v>
      </c>
      <c r="L3595" t="s">
        <v>285</v>
      </c>
      <c r="M3595" t="str">
        <f t="shared" si="239"/>
        <v>11</v>
      </c>
      <c r="N3595" t="s">
        <v>12</v>
      </c>
    </row>
    <row r="3596" spans="1:14" x14ac:dyDescent="0.25">
      <c r="A3596">
        <v>20151120</v>
      </c>
      <c r="B3596" t="str">
        <f t="shared" si="240"/>
        <v>061205</v>
      </c>
      <c r="C3596" t="str">
        <f t="shared" si="241"/>
        <v>58927</v>
      </c>
      <c r="D3596" t="s">
        <v>1899</v>
      </c>
      <c r="E3596" s="3">
        <v>55</v>
      </c>
      <c r="F3596">
        <v>20151118</v>
      </c>
      <c r="G3596" t="s">
        <v>2699</v>
      </c>
      <c r="H3596" t="s">
        <v>1900</v>
      </c>
      <c r="I3596">
        <v>0</v>
      </c>
      <c r="J3596" t="s">
        <v>1709</v>
      </c>
      <c r="K3596" t="s">
        <v>1856</v>
      </c>
      <c r="L3596" t="s">
        <v>285</v>
      </c>
      <c r="M3596" t="str">
        <f t="shared" si="239"/>
        <v>11</v>
      </c>
      <c r="N3596" t="s">
        <v>12</v>
      </c>
    </row>
    <row r="3597" spans="1:14" x14ac:dyDescent="0.25">
      <c r="A3597">
        <v>20151120</v>
      </c>
      <c r="B3597" t="str">
        <f t="shared" si="240"/>
        <v>061205</v>
      </c>
      <c r="C3597" t="str">
        <f t="shared" si="241"/>
        <v>58927</v>
      </c>
      <c r="D3597" t="s">
        <v>1899</v>
      </c>
      <c r="E3597" s="3">
        <v>150</v>
      </c>
      <c r="F3597">
        <v>20151118</v>
      </c>
      <c r="G3597" t="s">
        <v>2699</v>
      </c>
      <c r="H3597" t="s">
        <v>1901</v>
      </c>
      <c r="I3597">
        <v>0</v>
      </c>
      <c r="J3597" t="s">
        <v>1709</v>
      </c>
      <c r="K3597" t="s">
        <v>1856</v>
      </c>
      <c r="L3597" t="s">
        <v>285</v>
      </c>
      <c r="M3597" t="str">
        <f t="shared" si="239"/>
        <v>11</v>
      </c>
      <c r="N3597" t="s">
        <v>12</v>
      </c>
    </row>
    <row r="3598" spans="1:14" x14ac:dyDescent="0.25">
      <c r="A3598">
        <v>20151120</v>
      </c>
      <c r="B3598" t="str">
        <f>"061207"</f>
        <v>061207</v>
      </c>
      <c r="C3598" t="str">
        <f>"59097"</f>
        <v>59097</v>
      </c>
      <c r="D3598" t="s">
        <v>1755</v>
      </c>
      <c r="E3598" s="3">
        <v>1219.71</v>
      </c>
      <c r="F3598">
        <v>20151118</v>
      </c>
      <c r="G3598" t="s">
        <v>2317</v>
      </c>
      <c r="H3598" t="s">
        <v>2509</v>
      </c>
      <c r="I3598">
        <v>0</v>
      </c>
      <c r="J3598" t="s">
        <v>1709</v>
      </c>
      <c r="K3598" t="s">
        <v>290</v>
      </c>
      <c r="L3598" t="s">
        <v>285</v>
      </c>
      <c r="M3598" t="str">
        <f t="shared" si="239"/>
        <v>11</v>
      </c>
      <c r="N3598" t="s">
        <v>12</v>
      </c>
    </row>
    <row r="3599" spans="1:14" x14ac:dyDescent="0.25">
      <c r="A3599">
        <v>20151120</v>
      </c>
      <c r="B3599" t="str">
        <f>"061208"</f>
        <v>061208</v>
      </c>
      <c r="C3599" t="str">
        <f>"60179"</f>
        <v>60179</v>
      </c>
      <c r="D3599" t="s">
        <v>3118</v>
      </c>
      <c r="E3599" s="3">
        <v>312.66000000000003</v>
      </c>
      <c r="F3599">
        <v>20151118</v>
      </c>
      <c r="G3599" t="s">
        <v>2047</v>
      </c>
      <c r="H3599" t="s">
        <v>3119</v>
      </c>
      <c r="I3599">
        <v>0</v>
      </c>
      <c r="J3599" t="s">
        <v>1709</v>
      </c>
      <c r="K3599" t="s">
        <v>1882</v>
      </c>
      <c r="L3599" t="s">
        <v>285</v>
      </c>
      <c r="M3599" t="str">
        <f t="shared" si="239"/>
        <v>11</v>
      </c>
      <c r="N3599" t="s">
        <v>12</v>
      </c>
    </row>
    <row r="3600" spans="1:14" x14ac:dyDescent="0.25">
      <c r="A3600">
        <v>20151120</v>
      </c>
      <c r="B3600" t="str">
        <f>"061209"</f>
        <v>061209</v>
      </c>
      <c r="C3600" t="str">
        <f>"60362"</f>
        <v>60362</v>
      </c>
      <c r="D3600" t="s">
        <v>2006</v>
      </c>
      <c r="E3600" s="3">
        <v>4040</v>
      </c>
      <c r="F3600">
        <v>20151118</v>
      </c>
      <c r="G3600" t="s">
        <v>2007</v>
      </c>
      <c r="H3600" t="s">
        <v>3120</v>
      </c>
      <c r="I3600">
        <v>0</v>
      </c>
      <c r="J3600" t="s">
        <v>1709</v>
      </c>
      <c r="K3600" t="s">
        <v>235</v>
      </c>
      <c r="L3600" t="s">
        <v>285</v>
      </c>
      <c r="M3600" t="str">
        <f t="shared" si="239"/>
        <v>11</v>
      </c>
      <c r="N3600" t="s">
        <v>12</v>
      </c>
    </row>
    <row r="3601" spans="1:14" x14ac:dyDescent="0.25">
      <c r="A3601">
        <v>20151120</v>
      </c>
      <c r="B3601" t="str">
        <f>"061211"</f>
        <v>061211</v>
      </c>
      <c r="C3601" t="str">
        <f>"60835"</f>
        <v>60835</v>
      </c>
      <c r="D3601" t="s">
        <v>1904</v>
      </c>
      <c r="E3601" s="3">
        <v>420</v>
      </c>
      <c r="F3601">
        <v>20151118</v>
      </c>
      <c r="G3601" t="s">
        <v>1854</v>
      </c>
      <c r="H3601" t="s">
        <v>3121</v>
      </c>
      <c r="I3601">
        <v>0</v>
      </c>
      <c r="J3601" t="s">
        <v>1709</v>
      </c>
      <c r="K3601" t="s">
        <v>1856</v>
      </c>
      <c r="L3601" t="s">
        <v>285</v>
      </c>
      <c r="M3601" t="str">
        <f t="shared" si="239"/>
        <v>11</v>
      </c>
      <c r="N3601" t="s">
        <v>12</v>
      </c>
    </row>
    <row r="3602" spans="1:14" x14ac:dyDescent="0.25">
      <c r="A3602">
        <v>20151120</v>
      </c>
      <c r="B3602" t="str">
        <f>"061213"</f>
        <v>061213</v>
      </c>
      <c r="C3602" t="str">
        <f>"60832"</f>
        <v>60832</v>
      </c>
      <c r="D3602" t="s">
        <v>1913</v>
      </c>
      <c r="E3602" s="3">
        <v>300</v>
      </c>
      <c r="F3602">
        <v>20151118</v>
      </c>
      <c r="G3602" t="s">
        <v>2588</v>
      </c>
      <c r="H3602" t="s">
        <v>3122</v>
      </c>
      <c r="I3602">
        <v>0</v>
      </c>
      <c r="J3602" t="s">
        <v>1709</v>
      </c>
      <c r="K3602" t="s">
        <v>1861</v>
      </c>
      <c r="L3602" t="s">
        <v>285</v>
      </c>
      <c r="M3602" t="str">
        <f t="shared" si="239"/>
        <v>11</v>
      </c>
      <c r="N3602" t="s">
        <v>12</v>
      </c>
    </row>
    <row r="3603" spans="1:14" x14ac:dyDescent="0.25">
      <c r="A3603">
        <v>20151120</v>
      </c>
      <c r="B3603" t="str">
        <f>"061216"</f>
        <v>061216</v>
      </c>
      <c r="C3603" t="str">
        <f>"63053"</f>
        <v>63053</v>
      </c>
      <c r="D3603" t="s">
        <v>2012</v>
      </c>
      <c r="E3603" s="3">
        <v>21.11</v>
      </c>
      <c r="F3603">
        <v>20151118</v>
      </c>
      <c r="G3603" t="s">
        <v>3123</v>
      </c>
      <c r="H3603" t="s">
        <v>2191</v>
      </c>
      <c r="I3603">
        <v>0</v>
      </c>
      <c r="J3603" t="s">
        <v>1709</v>
      </c>
      <c r="K3603" t="s">
        <v>290</v>
      </c>
      <c r="L3603" t="s">
        <v>285</v>
      </c>
      <c r="M3603" t="str">
        <f t="shared" si="239"/>
        <v>11</v>
      </c>
      <c r="N3603" t="s">
        <v>12</v>
      </c>
    </row>
    <row r="3604" spans="1:14" x14ac:dyDescent="0.25">
      <c r="A3604">
        <v>20151120</v>
      </c>
      <c r="B3604" t="str">
        <f>"061216"</f>
        <v>061216</v>
      </c>
      <c r="C3604" t="str">
        <f>"63053"</f>
        <v>63053</v>
      </c>
      <c r="D3604" t="s">
        <v>2012</v>
      </c>
      <c r="E3604" s="3">
        <v>125</v>
      </c>
      <c r="F3604">
        <v>20151118</v>
      </c>
      <c r="G3604" t="s">
        <v>2553</v>
      </c>
      <c r="H3604" t="s">
        <v>2554</v>
      </c>
      <c r="I3604">
        <v>0</v>
      </c>
      <c r="J3604" t="s">
        <v>1709</v>
      </c>
      <c r="K3604" t="s">
        <v>290</v>
      </c>
      <c r="L3604" t="s">
        <v>285</v>
      </c>
      <c r="M3604" t="str">
        <f t="shared" si="239"/>
        <v>11</v>
      </c>
      <c r="N3604" t="s">
        <v>12</v>
      </c>
    </row>
    <row r="3605" spans="1:14" x14ac:dyDescent="0.25">
      <c r="A3605">
        <v>20151120</v>
      </c>
      <c r="B3605" t="str">
        <f>"061216"</f>
        <v>061216</v>
      </c>
      <c r="C3605" t="str">
        <f>"63053"</f>
        <v>63053</v>
      </c>
      <c r="D3605" t="s">
        <v>2012</v>
      </c>
      <c r="E3605" s="3">
        <v>225</v>
      </c>
      <c r="F3605">
        <v>20151118</v>
      </c>
      <c r="G3605" t="s">
        <v>2553</v>
      </c>
      <c r="H3605" t="s">
        <v>2191</v>
      </c>
      <c r="I3605">
        <v>0</v>
      </c>
      <c r="J3605" t="s">
        <v>1709</v>
      </c>
      <c r="K3605" t="s">
        <v>290</v>
      </c>
      <c r="L3605" t="s">
        <v>285</v>
      </c>
      <c r="M3605" t="str">
        <f t="shared" si="239"/>
        <v>11</v>
      </c>
      <c r="N3605" t="s">
        <v>12</v>
      </c>
    </row>
    <row r="3606" spans="1:14" x14ac:dyDescent="0.25">
      <c r="A3606">
        <v>20151120</v>
      </c>
      <c r="B3606" t="str">
        <f>"061218"</f>
        <v>061218</v>
      </c>
      <c r="C3606" t="str">
        <f>"64610"</f>
        <v>64610</v>
      </c>
      <c r="D3606" t="s">
        <v>678</v>
      </c>
      <c r="E3606" s="3">
        <v>148</v>
      </c>
      <c r="F3606">
        <v>20151118</v>
      </c>
      <c r="G3606" t="s">
        <v>2172</v>
      </c>
      <c r="H3606" t="s">
        <v>3124</v>
      </c>
      <c r="I3606">
        <v>0</v>
      </c>
      <c r="J3606" t="s">
        <v>1709</v>
      </c>
      <c r="K3606" t="s">
        <v>95</v>
      </c>
      <c r="L3606" t="s">
        <v>285</v>
      </c>
      <c r="M3606" t="str">
        <f t="shared" si="239"/>
        <v>11</v>
      </c>
      <c r="N3606" t="s">
        <v>12</v>
      </c>
    </row>
    <row r="3607" spans="1:14" x14ac:dyDescent="0.25">
      <c r="A3607">
        <v>20151120</v>
      </c>
      <c r="B3607" t="str">
        <f>"061218"</f>
        <v>061218</v>
      </c>
      <c r="C3607" t="str">
        <f>"64610"</f>
        <v>64610</v>
      </c>
      <c r="D3607" t="s">
        <v>678</v>
      </c>
      <c r="E3607" s="3">
        <v>61.45</v>
      </c>
      <c r="F3607">
        <v>20151118</v>
      </c>
      <c r="G3607" t="s">
        <v>1916</v>
      </c>
      <c r="H3607" t="s">
        <v>3125</v>
      </c>
      <c r="I3607">
        <v>0</v>
      </c>
      <c r="J3607" t="s">
        <v>1709</v>
      </c>
      <c r="K3607" t="s">
        <v>1782</v>
      </c>
      <c r="L3607" t="s">
        <v>285</v>
      </c>
      <c r="M3607" t="str">
        <f t="shared" si="239"/>
        <v>11</v>
      </c>
      <c r="N3607" t="s">
        <v>12</v>
      </c>
    </row>
    <row r="3608" spans="1:14" x14ac:dyDescent="0.25">
      <c r="A3608">
        <v>20151120</v>
      </c>
      <c r="B3608" t="str">
        <f>"061218"</f>
        <v>061218</v>
      </c>
      <c r="C3608" t="str">
        <f>"64610"</f>
        <v>64610</v>
      </c>
      <c r="D3608" t="s">
        <v>678</v>
      </c>
      <c r="E3608" s="3">
        <v>12</v>
      </c>
      <c r="F3608">
        <v>20151118</v>
      </c>
      <c r="G3608" t="s">
        <v>1916</v>
      </c>
      <c r="H3608" t="s">
        <v>2763</v>
      </c>
      <c r="I3608">
        <v>0</v>
      </c>
      <c r="J3608" t="s">
        <v>1709</v>
      </c>
      <c r="K3608" t="s">
        <v>1782</v>
      </c>
      <c r="L3608" t="s">
        <v>285</v>
      </c>
      <c r="M3608" t="str">
        <f t="shared" si="239"/>
        <v>11</v>
      </c>
      <c r="N3608" t="s">
        <v>12</v>
      </c>
    </row>
    <row r="3609" spans="1:14" x14ac:dyDescent="0.25">
      <c r="A3609">
        <v>20151120</v>
      </c>
      <c r="B3609" t="str">
        <f>"061221"</f>
        <v>061221</v>
      </c>
      <c r="C3609" t="str">
        <f>"65235"</f>
        <v>65235</v>
      </c>
      <c r="D3609" t="s">
        <v>3126</v>
      </c>
      <c r="E3609" s="3">
        <v>181.81</v>
      </c>
      <c r="F3609">
        <v>20151118</v>
      </c>
      <c r="G3609" t="s">
        <v>3127</v>
      </c>
      <c r="H3609" t="s">
        <v>3128</v>
      </c>
      <c r="I3609">
        <v>0</v>
      </c>
      <c r="J3609" t="s">
        <v>1709</v>
      </c>
      <c r="K3609" t="s">
        <v>95</v>
      </c>
      <c r="L3609" t="s">
        <v>285</v>
      </c>
      <c r="M3609" t="str">
        <f t="shared" si="239"/>
        <v>11</v>
      </c>
      <c r="N3609" t="s">
        <v>12</v>
      </c>
    </row>
    <row r="3610" spans="1:14" x14ac:dyDescent="0.25">
      <c r="A3610">
        <v>20151120</v>
      </c>
      <c r="B3610" t="str">
        <f t="shared" ref="B3610:B3615" si="242">"061223"</f>
        <v>061223</v>
      </c>
      <c r="C3610" t="str">
        <f t="shared" ref="C3610:C3615" si="243">"65826"</f>
        <v>65826</v>
      </c>
      <c r="D3610" t="s">
        <v>2386</v>
      </c>
      <c r="E3610" s="3">
        <v>391.88</v>
      </c>
      <c r="F3610">
        <v>20151118</v>
      </c>
      <c r="G3610" t="s">
        <v>2678</v>
      </c>
      <c r="H3610" t="s">
        <v>3129</v>
      </c>
      <c r="I3610">
        <v>0</v>
      </c>
      <c r="J3610" t="s">
        <v>1709</v>
      </c>
      <c r="K3610" t="s">
        <v>1643</v>
      </c>
      <c r="L3610" t="s">
        <v>285</v>
      </c>
      <c r="M3610" t="str">
        <f t="shared" si="239"/>
        <v>11</v>
      </c>
      <c r="N3610" t="s">
        <v>12</v>
      </c>
    </row>
    <row r="3611" spans="1:14" x14ac:dyDescent="0.25">
      <c r="A3611">
        <v>20151120</v>
      </c>
      <c r="B3611" t="str">
        <f t="shared" si="242"/>
        <v>061223</v>
      </c>
      <c r="C3611" t="str">
        <f t="shared" si="243"/>
        <v>65826</v>
      </c>
      <c r="D3611" t="s">
        <v>2386</v>
      </c>
      <c r="E3611" s="3">
        <v>363.36</v>
      </c>
      <c r="F3611">
        <v>20151118</v>
      </c>
      <c r="G3611" t="s">
        <v>3130</v>
      </c>
      <c r="H3611" t="s">
        <v>595</v>
      </c>
      <c r="I3611">
        <v>0</v>
      </c>
      <c r="J3611" t="s">
        <v>1709</v>
      </c>
      <c r="K3611" t="s">
        <v>1643</v>
      </c>
      <c r="L3611" t="s">
        <v>285</v>
      </c>
      <c r="M3611" t="str">
        <f t="shared" si="239"/>
        <v>11</v>
      </c>
      <c r="N3611" t="s">
        <v>12</v>
      </c>
    </row>
    <row r="3612" spans="1:14" x14ac:dyDescent="0.25">
      <c r="A3612">
        <v>20151120</v>
      </c>
      <c r="B3612" t="str">
        <f t="shared" si="242"/>
        <v>061223</v>
      </c>
      <c r="C3612" t="str">
        <f t="shared" si="243"/>
        <v>65826</v>
      </c>
      <c r="D3612" t="s">
        <v>2386</v>
      </c>
      <c r="E3612" s="3">
        <v>273.20999999999998</v>
      </c>
      <c r="F3612">
        <v>20151118</v>
      </c>
      <c r="G3612" t="s">
        <v>3130</v>
      </c>
      <c r="H3612" t="s">
        <v>3131</v>
      </c>
      <c r="I3612">
        <v>0</v>
      </c>
      <c r="J3612" t="s">
        <v>1709</v>
      </c>
      <c r="K3612" t="s">
        <v>1643</v>
      </c>
      <c r="L3612" t="s">
        <v>285</v>
      </c>
      <c r="M3612" t="str">
        <f t="shared" si="239"/>
        <v>11</v>
      </c>
      <c r="N3612" t="s">
        <v>12</v>
      </c>
    </row>
    <row r="3613" spans="1:14" x14ac:dyDescent="0.25">
      <c r="A3613">
        <v>20151120</v>
      </c>
      <c r="B3613" t="str">
        <f t="shared" si="242"/>
        <v>061223</v>
      </c>
      <c r="C3613" t="str">
        <f t="shared" si="243"/>
        <v>65826</v>
      </c>
      <c r="D3613" t="s">
        <v>2386</v>
      </c>
      <c r="E3613" s="3">
        <v>436.96</v>
      </c>
      <c r="F3613">
        <v>20151118</v>
      </c>
      <c r="G3613" t="s">
        <v>3130</v>
      </c>
      <c r="H3613" t="s">
        <v>3131</v>
      </c>
      <c r="I3613">
        <v>0</v>
      </c>
      <c r="J3613" t="s">
        <v>1709</v>
      </c>
      <c r="K3613" t="s">
        <v>1643</v>
      </c>
      <c r="L3613" t="s">
        <v>285</v>
      </c>
      <c r="M3613" t="str">
        <f t="shared" si="239"/>
        <v>11</v>
      </c>
      <c r="N3613" t="s">
        <v>12</v>
      </c>
    </row>
    <row r="3614" spans="1:14" x14ac:dyDescent="0.25">
      <c r="A3614">
        <v>20151120</v>
      </c>
      <c r="B3614" t="str">
        <f t="shared" si="242"/>
        <v>061223</v>
      </c>
      <c r="C3614" t="str">
        <f t="shared" si="243"/>
        <v>65826</v>
      </c>
      <c r="D3614" t="s">
        <v>2386</v>
      </c>
      <c r="E3614" s="3">
        <v>57.77</v>
      </c>
      <c r="F3614">
        <v>20151118</v>
      </c>
      <c r="G3614" t="s">
        <v>1758</v>
      </c>
      <c r="H3614" t="s">
        <v>595</v>
      </c>
      <c r="I3614">
        <v>0</v>
      </c>
      <c r="J3614" t="s">
        <v>1709</v>
      </c>
      <c r="K3614" t="s">
        <v>1643</v>
      </c>
      <c r="L3614" t="s">
        <v>285</v>
      </c>
      <c r="M3614" t="str">
        <f t="shared" si="239"/>
        <v>11</v>
      </c>
      <c r="N3614" t="s">
        <v>12</v>
      </c>
    </row>
    <row r="3615" spans="1:14" x14ac:dyDescent="0.25">
      <c r="A3615">
        <v>20151120</v>
      </c>
      <c r="B3615" t="str">
        <f t="shared" si="242"/>
        <v>061223</v>
      </c>
      <c r="C3615" t="str">
        <f t="shared" si="243"/>
        <v>65826</v>
      </c>
      <c r="D3615" t="s">
        <v>2386</v>
      </c>
      <c r="E3615" s="3">
        <v>460.48</v>
      </c>
      <c r="F3615">
        <v>20151118</v>
      </c>
      <c r="G3615" t="s">
        <v>3031</v>
      </c>
      <c r="H3615" t="s">
        <v>1618</v>
      </c>
      <c r="I3615">
        <v>0</v>
      </c>
      <c r="J3615" t="s">
        <v>1709</v>
      </c>
      <c r="K3615" t="s">
        <v>290</v>
      </c>
      <c r="L3615" t="s">
        <v>285</v>
      </c>
      <c r="M3615" t="str">
        <f t="shared" si="239"/>
        <v>11</v>
      </c>
      <c r="N3615" t="s">
        <v>12</v>
      </c>
    </row>
    <row r="3616" spans="1:14" x14ac:dyDescent="0.25">
      <c r="A3616">
        <v>20151120</v>
      </c>
      <c r="B3616" t="str">
        <f>"061224"</f>
        <v>061224</v>
      </c>
      <c r="C3616" t="str">
        <f>"71763"</f>
        <v>71763</v>
      </c>
      <c r="D3616" t="s">
        <v>3132</v>
      </c>
      <c r="E3616" s="3">
        <v>634.51</v>
      </c>
      <c r="F3616">
        <v>20151118</v>
      </c>
      <c r="G3616" t="s">
        <v>3133</v>
      </c>
      <c r="H3616" t="s">
        <v>3134</v>
      </c>
      <c r="I3616">
        <v>0</v>
      </c>
      <c r="J3616" t="s">
        <v>1709</v>
      </c>
      <c r="K3616" t="s">
        <v>290</v>
      </c>
      <c r="L3616" t="s">
        <v>285</v>
      </c>
      <c r="M3616" t="str">
        <f t="shared" si="239"/>
        <v>11</v>
      </c>
      <c r="N3616" t="s">
        <v>12</v>
      </c>
    </row>
    <row r="3617" spans="1:14" x14ac:dyDescent="0.25">
      <c r="A3617">
        <v>20151120</v>
      </c>
      <c r="B3617" t="str">
        <f>"061225"</f>
        <v>061225</v>
      </c>
      <c r="C3617" t="str">
        <f>"71250"</f>
        <v>71250</v>
      </c>
      <c r="D3617" t="s">
        <v>2574</v>
      </c>
      <c r="E3617" s="3">
        <v>392.76</v>
      </c>
      <c r="F3617">
        <v>20151118</v>
      </c>
      <c r="G3617" t="s">
        <v>2333</v>
      </c>
      <c r="H3617" t="s">
        <v>3135</v>
      </c>
      <c r="I3617">
        <v>0</v>
      </c>
      <c r="J3617" t="s">
        <v>1709</v>
      </c>
      <c r="K3617" t="s">
        <v>290</v>
      </c>
      <c r="L3617" t="s">
        <v>285</v>
      </c>
      <c r="M3617" t="str">
        <f t="shared" si="239"/>
        <v>11</v>
      </c>
      <c r="N3617" t="s">
        <v>12</v>
      </c>
    </row>
    <row r="3618" spans="1:14" x14ac:dyDescent="0.25">
      <c r="A3618">
        <v>20151120</v>
      </c>
      <c r="B3618" t="str">
        <f>"061226"</f>
        <v>061226</v>
      </c>
      <c r="C3618" t="str">
        <f>"73874"</f>
        <v>73874</v>
      </c>
      <c r="D3618" t="s">
        <v>3136</v>
      </c>
      <c r="E3618" s="3">
        <v>275</v>
      </c>
      <c r="F3618">
        <v>20151118</v>
      </c>
      <c r="G3618" t="s">
        <v>2281</v>
      </c>
      <c r="H3618" t="s">
        <v>3137</v>
      </c>
      <c r="I3618">
        <v>0</v>
      </c>
      <c r="J3618" t="s">
        <v>1709</v>
      </c>
      <c r="K3618" t="s">
        <v>290</v>
      </c>
      <c r="L3618" t="s">
        <v>285</v>
      </c>
      <c r="M3618" t="str">
        <f t="shared" si="239"/>
        <v>11</v>
      </c>
      <c r="N3618" t="s">
        <v>12</v>
      </c>
    </row>
    <row r="3619" spans="1:14" x14ac:dyDescent="0.25">
      <c r="A3619">
        <v>20151120</v>
      </c>
      <c r="B3619" t="str">
        <f>"061229"</f>
        <v>061229</v>
      </c>
      <c r="C3619" t="str">
        <f>"74060"</f>
        <v>74060</v>
      </c>
      <c r="D3619" t="s">
        <v>3138</v>
      </c>
      <c r="E3619" s="3">
        <v>444.3</v>
      </c>
      <c r="F3619">
        <v>20151118</v>
      </c>
      <c r="G3619" t="s">
        <v>3139</v>
      </c>
      <c r="H3619" t="s">
        <v>3140</v>
      </c>
      <c r="I3619">
        <v>0</v>
      </c>
      <c r="J3619" t="s">
        <v>1709</v>
      </c>
      <c r="K3619" t="s">
        <v>1779</v>
      </c>
      <c r="L3619" t="s">
        <v>285</v>
      </c>
      <c r="M3619" t="str">
        <f t="shared" si="239"/>
        <v>11</v>
      </c>
      <c r="N3619" t="s">
        <v>12</v>
      </c>
    </row>
    <row r="3620" spans="1:14" x14ac:dyDescent="0.25">
      <c r="A3620">
        <v>20151120</v>
      </c>
      <c r="B3620" t="str">
        <f>"061230"</f>
        <v>061230</v>
      </c>
      <c r="C3620" t="str">
        <f>"74160"</f>
        <v>74160</v>
      </c>
      <c r="D3620" t="s">
        <v>3141</v>
      </c>
      <c r="E3620" s="3">
        <v>154</v>
      </c>
      <c r="F3620">
        <v>20151118</v>
      </c>
      <c r="G3620" t="s">
        <v>2162</v>
      </c>
      <c r="H3620" t="s">
        <v>3142</v>
      </c>
      <c r="I3620">
        <v>0</v>
      </c>
      <c r="J3620" t="s">
        <v>1709</v>
      </c>
      <c r="K3620" t="s">
        <v>1643</v>
      </c>
      <c r="L3620" t="s">
        <v>285</v>
      </c>
      <c r="M3620" t="str">
        <f t="shared" si="239"/>
        <v>11</v>
      </c>
      <c r="N3620" t="s">
        <v>12</v>
      </c>
    </row>
    <row r="3621" spans="1:14" x14ac:dyDescent="0.25">
      <c r="A3621">
        <v>20151120</v>
      </c>
      <c r="B3621" t="str">
        <f>"061232"</f>
        <v>061232</v>
      </c>
      <c r="C3621" t="str">
        <f>"74385"</f>
        <v>74385</v>
      </c>
      <c r="D3621" t="s">
        <v>1767</v>
      </c>
      <c r="E3621" s="3">
        <v>999.72</v>
      </c>
      <c r="F3621">
        <v>20151118</v>
      </c>
      <c r="G3621" t="s">
        <v>1768</v>
      </c>
      <c r="H3621" t="s">
        <v>3143</v>
      </c>
      <c r="I3621">
        <v>0</v>
      </c>
      <c r="J3621" t="s">
        <v>1709</v>
      </c>
      <c r="K3621" t="s">
        <v>1744</v>
      </c>
      <c r="L3621" t="s">
        <v>285</v>
      </c>
      <c r="M3621" t="str">
        <f t="shared" si="239"/>
        <v>11</v>
      </c>
      <c r="N3621" t="s">
        <v>12</v>
      </c>
    </row>
    <row r="3622" spans="1:14" x14ac:dyDescent="0.25">
      <c r="A3622">
        <v>20151120</v>
      </c>
      <c r="B3622" t="str">
        <f>"061232"</f>
        <v>061232</v>
      </c>
      <c r="C3622" t="str">
        <f>"74385"</f>
        <v>74385</v>
      </c>
      <c r="D3622" t="s">
        <v>1767</v>
      </c>
      <c r="E3622" s="3">
        <v>1265</v>
      </c>
      <c r="F3622">
        <v>20151118</v>
      </c>
      <c r="G3622" t="s">
        <v>1768</v>
      </c>
      <c r="H3622" t="s">
        <v>3144</v>
      </c>
      <c r="I3622">
        <v>0</v>
      </c>
      <c r="J3622" t="s">
        <v>1709</v>
      </c>
      <c r="K3622" t="s">
        <v>1744</v>
      </c>
      <c r="L3622" t="s">
        <v>285</v>
      </c>
      <c r="M3622" t="str">
        <f t="shared" si="239"/>
        <v>11</v>
      </c>
      <c r="N3622" t="s">
        <v>12</v>
      </c>
    </row>
    <row r="3623" spans="1:14" x14ac:dyDescent="0.25">
      <c r="A3623">
        <v>20151120</v>
      </c>
      <c r="B3623" t="str">
        <f>"061232"</f>
        <v>061232</v>
      </c>
      <c r="C3623" t="str">
        <f>"74385"</f>
        <v>74385</v>
      </c>
      <c r="D3623" t="s">
        <v>1767</v>
      </c>
      <c r="E3623" s="3">
        <v>329.29</v>
      </c>
      <c r="F3623">
        <v>20151118</v>
      </c>
      <c r="G3623" t="s">
        <v>1895</v>
      </c>
      <c r="H3623" t="s">
        <v>3144</v>
      </c>
      <c r="I3623">
        <v>0</v>
      </c>
      <c r="J3623" t="s">
        <v>1709</v>
      </c>
      <c r="K3623" t="s">
        <v>1744</v>
      </c>
      <c r="L3623" t="s">
        <v>285</v>
      </c>
      <c r="M3623" t="str">
        <f t="shared" si="239"/>
        <v>11</v>
      </c>
      <c r="N3623" t="s">
        <v>12</v>
      </c>
    </row>
    <row r="3624" spans="1:14" x14ac:dyDescent="0.25">
      <c r="A3624">
        <v>20151120</v>
      </c>
      <c r="B3624" t="str">
        <f>"061232"</f>
        <v>061232</v>
      </c>
      <c r="C3624" t="str">
        <f>"74385"</f>
        <v>74385</v>
      </c>
      <c r="D3624" t="s">
        <v>1767</v>
      </c>
      <c r="E3624" s="3">
        <v>5150</v>
      </c>
      <c r="F3624">
        <v>20151118</v>
      </c>
      <c r="G3624" t="s">
        <v>1770</v>
      </c>
      <c r="H3624" t="s">
        <v>3144</v>
      </c>
      <c r="I3624">
        <v>0</v>
      </c>
      <c r="J3624" t="s">
        <v>1709</v>
      </c>
      <c r="K3624" t="s">
        <v>1744</v>
      </c>
      <c r="L3624" t="s">
        <v>285</v>
      </c>
      <c r="M3624" t="str">
        <f t="shared" si="239"/>
        <v>11</v>
      </c>
      <c r="N3624" t="s">
        <v>12</v>
      </c>
    </row>
    <row r="3625" spans="1:14" x14ac:dyDescent="0.25">
      <c r="A3625">
        <v>20151120</v>
      </c>
      <c r="B3625" t="str">
        <f>"061232"</f>
        <v>061232</v>
      </c>
      <c r="C3625" t="str">
        <f>"74385"</f>
        <v>74385</v>
      </c>
      <c r="D3625" t="s">
        <v>1767</v>
      </c>
      <c r="E3625" s="3">
        <v>350</v>
      </c>
      <c r="F3625">
        <v>20151118</v>
      </c>
      <c r="G3625" t="s">
        <v>1770</v>
      </c>
      <c r="H3625" t="s">
        <v>3145</v>
      </c>
      <c r="I3625">
        <v>0</v>
      </c>
      <c r="J3625" t="s">
        <v>1709</v>
      </c>
      <c r="K3625" t="s">
        <v>1744</v>
      </c>
      <c r="L3625" t="s">
        <v>285</v>
      </c>
      <c r="M3625" t="str">
        <f t="shared" si="239"/>
        <v>11</v>
      </c>
      <c r="N3625" t="s">
        <v>12</v>
      </c>
    </row>
    <row r="3626" spans="1:14" x14ac:dyDescent="0.25">
      <c r="A3626">
        <v>20151120</v>
      </c>
      <c r="B3626" t="str">
        <f>"061233"</f>
        <v>061233</v>
      </c>
      <c r="C3626" t="str">
        <f>"75735"</f>
        <v>75735</v>
      </c>
      <c r="D3626" t="s">
        <v>3146</v>
      </c>
      <c r="E3626" s="3">
        <v>268.8</v>
      </c>
      <c r="F3626">
        <v>20151118</v>
      </c>
      <c r="G3626" t="s">
        <v>2817</v>
      </c>
      <c r="H3626" t="s">
        <v>3002</v>
      </c>
      <c r="I3626">
        <v>0</v>
      </c>
      <c r="J3626" t="s">
        <v>1709</v>
      </c>
      <c r="K3626" t="s">
        <v>290</v>
      </c>
      <c r="L3626" t="s">
        <v>285</v>
      </c>
      <c r="M3626" t="str">
        <f t="shared" si="239"/>
        <v>11</v>
      </c>
      <c r="N3626" t="s">
        <v>12</v>
      </c>
    </row>
    <row r="3627" spans="1:14" x14ac:dyDescent="0.25">
      <c r="A3627">
        <v>20151120</v>
      </c>
      <c r="B3627" t="str">
        <f>"061237"</f>
        <v>061237</v>
      </c>
      <c r="C3627" t="str">
        <f>"79661"</f>
        <v>79661</v>
      </c>
      <c r="D3627" t="s">
        <v>2403</v>
      </c>
      <c r="E3627" s="3">
        <v>115</v>
      </c>
      <c r="F3627">
        <v>20151118</v>
      </c>
      <c r="G3627" t="s">
        <v>2404</v>
      </c>
      <c r="H3627" t="s">
        <v>2405</v>
      </c>
      <c r="I3627">
        <v>0</v>
      </c>
      <c r="J3627" t="s">
        <v>1709</v>
      </c>
      <c r="K3627" t="s">
        <v>290</v>
      </c>
      <c r="L3627" t="s">
        <v>285</v>
      </c>
      <c r="M3627" t="str">
        <f t="shared" si="239"/>
        <v>11</v>
      </c>
      <c r="N3627" t="s">
        <v>12</v>
      </c>
    </row>
    <row r="3628" spans="1:14" x14ac:dyDescent="0.25">
      <c r="A3628">
        <v>20151120</v>
      </c>
      <c r="B3628" t="str">
        <f>"061238"</f>
        <v>061238</v>
      </c>
      <c r="C3628" t="str">
        <f>"80389"</f>
        <v>80389</v>
      </c>
      <c r="D3628" t="s">
        <v>2032</v>
      </c>
      <c r="E3628" s="3">
        <v>84.58</v>
      </c>
      <c r="F3628">
        <v>20151118</v>
      </c>
      <c r="G3628" t="s">
        <v>2033</v>
      </c>
      <c r="H3628" t="s">
        <v>3147</v>
      </c>
      <c r="I3628">
        <v>0</v>
      </c>
      <c r="J3628" t="s">
        <v>1709</v>
      </c>
      <c r="K3628" t="s">
        <v>1984</v>
      </c>
      <c r="L3628" t="s">
        <v>285</v>
      </c>
      <c r="M3628" t="str">
        <f t="shared" si="239"/>
        <v>11</v>
      </c>
      <c r="N3628" t="s">
        <v>12</v>
      </c>
    </row>
    <row r="3629" spans="1:14" x14ac:dyDescent="0.25">
      <c r="A3629">
        <v>20151120</v>
      </c>
      <c r="B3629" t="str">
        <f>"061238"</f>
        <v>061238</v>
      </c>
      <c r="C3629" t="str">
        <f>"80389"</f>
        <v>80389</v>
      </c>
      <c r="D3629" t="s">
        <v>2032</v>
      </c>
      <c r="E3629" s="3">
        <v>894.61</v>
      </c>
      <c r="F3629">
        <v>20151118</v>
      </c>
      <c r="G3629" t="s">
        <v>2035</v>
      </c>
      <c r="H3629" t="s">
        <v>3148</v>
      </c>
      <c r="I3629">
        <v>0</v>
      </c>
      <c r="J3629" t="s">
        <v>1709</v>
      </c>
      <c r="K3629" t="s">
        <v>1984</v>
      </c>
      <c r="L3629" t="s">
        <v>285</v>
      </c>
      <c r="M3629" t="str">
        <f t="shared" si="239"/>
        <v>11</v>
      </c>
      <c r="N3629" t="s">
        <v>12</v>
      </c>
    </row>
    <row r="3630" spans="1:14" x14ac:dyDescent="0.25">
      <c r="A3630">
        <v>20151120</v>
      </c>
      <c r="B3630" t="str">
        <f>"061238"</f>
        <v>061238</v>
      </c>
      <c r="C3630" t="str">
        <f>"80389"</f>
        <v>80389</v>
      </c>
      <c r="D3630" t="s">
        <v>2032</v>
      </c>
      <c r="E3630" s="3">
        <v>1435.01</v>
      </c>
      <c r="F3630">
        <v>20151118</v>
      </c>
      <c r="G3630" t="s">
        <v>2037</v>
      </c>
      <c r="H3630" t="s">
        <v>3149</v>
      </c>
      <c r="I3630">
        <v>0</v>
      </c>
      <c r="J3630" t="s">
        <v>1709</v>
      </c>
      <c r="K3630" t="s">
        <v>1984</v>
      </c>
      <c r="L3630" t="s">
        <v>285</v>
      </c>
      <c r="M3630" t="str">
        <f t="shared" si="239"/>
        <v>11</v>
      </c>
      <c r="N3630" t="s">
        <v>12</v>
      </c>
    </row>
    <row r="3631" spans="1:14" x14ac:dyDescent="0.25">
      <c r="A3631">
        <v>20151120</v>
      </c>
      <c r="B3631" t="str">
        <f>"061239"</f>
        <v>061239</v>
      </c>
      <c r="C3631" t="str">
        <f>"81155"</f>
        <v>81155</v>
      </c>
      <c r="D3631" t="s">
        <v>131</v>
      </c>
      <c r="E3631" s="3">
        <v>750</v>
      </c>
      <c r="F3631">
        <v>20151119</v>
      </c>
      <c r="G3631" t="s">
        <v>3150</v>
      </c>
      <c r="H3631" t="s">
        <v>3151</v>
      </c>
      <c r="I3631">
        <v>0</v>
      </c>
      <c r="J3631" t="s">
        <v>1709</v>
      </c>
      <c r="K3631" t="s">
        <v>235</v>
      </c>
      <c r="L3631" t="s">
        <v>285</v>
      </c>
      <c r="M3631" t="str">
        <f t="shared" si="239"/>
        <v>11</v>
      </c>
      <c r="N3631" t="s">
        <v>12</v>
      </c>
    </row>
    <row r="3632" spans="1:14" x14ac:dyDescent="0.25">
      <c r="A3632">
        <v>20151120</v>
      </c>
      <c r="B3632" t="str">
        <f t="shared" ref="B3632:B3637" si="244">"061240"</f>
        <v>061240</v>
      </c>
      <c r="C3632" t="str">
        <f t="shared" ref="C3632:C3637" si="245">"80481"</f>
        <v>80481</v>
      </c>
      <c r="D3632" t="s">
        <v>1935</v>
      </c>
      <c r="E3632" s="3">
        <v>74</v>
      </c>
      <c r="F3632">
        <v>20151118</v>
      </c>
      <c r="G3632" t="s">
        <v>1938</v>
      </c>
      <c r="H3632" t="s">
        <v>2480</v>
      </c>
      <c r="I3632">
        <v>0</v>
      </c>
      <c r="J3632" t="s">
        <v>1709</v>
      </c>
      <c r="K3632" t="s">
        <v>1643</v>
      </c>
      <c r="L3632" t="s">
        <v>285</v>
      </c>
      <c r="M3632" t="str">
        <f t="shared" si="239"/>
        <v>11</v>
      </c>
      <c r="N3632" t="s">
        <v>12</v>
      </c>
    </row>
    <row r="3633" spans="1:14" x14ac:dyDescent="0.25">
      <c r="A3633">
        <v>20151120</v>
      </c>
      <c r="B3633" t="str">
        <f t="shared" si="244"/>
        <v>061240</v>
      </c>
      <c r="C3633" t="str">
        <f t="shared" si="245"/>
        <v>80481</v>
      </c>
      <c r="D3633" t="s">
        <v>1935</v>
      </c>
      <c r="E3633" s="3">
        <v>74</v>
      </c>
      <c r="F3633">
        <v>20151118</v>
      </c>
      <c r="G3633" t="s">
        <v>1939</v>
      </c>
      <c r="H3633" t="s">
        <v>2480</v>
      </c>
      <c r="I3633">
        <v>0</v>
      </c>
      <c r="J3633" t="s">
        <v>1709</v>
      </c>
      <c r="K3633" t="s">
        <v>33</v>
      </c>
      <c r="L3633" t="s">
        <v>285</v>
      </c>
      <c r="M3633" t="str">
        <f t="shared" si="239"/>
        <v>11</v>
      </c>
      <c r="N3633" t="s">
        <v>12</v>
      </c>
    </row>
    <row r="3634" spans="1:14" x14ac:dyDescent="0.25">
      <c r="A3634">
        <v>20151120</v>
      </c>
      <c r="B3634" t="str">
        <f t="shared" si="244"/>
        <v>061240</v>
      </c>
      <c r="C3634" t="str">
        <f t="shared" si="245"/>
        <v>80481</v>
      </c>
      <c r="D3634" t="s">
        <v>1935</v>
      </c>
      <c r="E3634" s="3">
        <v>74</v>
      </c>
      <c r="F3634">
        <v>20151118</v>
      </c>
      <c r="G3634" t="s">
        <v>1940</v>
      </c>
      <c r="H3634" t="s">
        <v>2480</v>
      </c>
      <c r="I3634">
        <v>0</v>
      </c>
      <c r="J3634" t="s">
        <v>1709</v>
      </c>
      <c r="K3634" t="s">
        <v>290</v>
      </c>
      <c r="L3634" t="s">
        <v>285</v>
      </c>
      <c r="M3634" t="str">
        <f t="shared" si="239"/>
        <v>11</v>
      </c>
      <c r="N3634" t="s">
        <v>12</v>
      </c>
    </row>
    <row r="3635" spans="1:14" x14ac:dyDescent="0.25">
      <c r="A3635">
        <v>20151120</v>
      </c>
      <c r="B3635" t="str">
        <f t="shared" si="244"/>
        <v>061240</v>
      </c>
      <c r="C3635" t="str">
        <f t="shared" si="245"/>
        <v>80481</v>
      </c>
      <c r="D3635" t="s">
        <v>1935</v>
      </c>
      <c r="E3635" s="3">
        <v>85.28</v>
      </c>
      <c r="F3635">
        <v>20151118</v>
      </c>
      <c r="G3635" t="s">
        <v>1940</v>
      </c>
      <c r="H3635" t="s">
        <v>2480</v>
      </c>
      <c r="I3635">
        <v>0</v>
      </c>
      <c r="J3635" t="s">
        <v>1709</v>
      </c>
      <c r="K3635" t="s">
        <v>290</v>
      </c>
      <c r="L3635" t="s">
        <v>285</v>
      </c>
      <c r="M3635" t="str">
        <f t="shared" si="239"/>
        <v>11</v>
      </c>
      <c r="N3635" t="s">
        <v>12</v>
      </c>
    </row>
    <row r="3636" spans="1:14" x14ac:dyDescent="0.25">
      <c r="A3636">
        <v>20151120</v>
      </c>
      <c r="B3636" t="str">
        <f t="shared" si="244"/>
        <v>061240</v>
      </c>
      <c r="C3636" t="str">
        <f t="shared" si="245"/>
        <v>80481</v>
      </c>
      <c r="D3636" t="s">
        <v>1935</v>
      </c>
      <c r="E3636" s="3">
        <v>15.74</v>
      </c>
      <c r="F3636">
        <v>20151118</v>
      </c>
      <c r="G3636" t="s">
        <v>1941</v>
      </c>
      <c r="H3636" t="s">
        <v>3152</v>
      </c>
      <c r="I3636">
        <v>0</v>
      </c>
      <c r="J3636" t="s">
        <v>1709</v>
      </c>
      <c r="K3636" t="s">
        <v>1942</v>
      </c>
      <c r="L3636" t="s">
        <v>285</v>
      </c>
      <c r="M3636" t="str">
        <f t="shared" si="239"/>
        <v>11</v>
      </c>
      <c r="N3636" t="s">
        <v>12</v>
      </c>
    </row>
    <row r="3637" spans="1:14" x14ac:dyDescent="0.25">
      <c r="A3637">
        <v>20151120</v>
      </c>
      <c r="B3637" t="str">
        <f t="shared" si="244"/>
        <v>061240</v>
      </c>
      <c r="C3637" t="str">
        <f t="shared" si="245"/>
        <v>80481</v>
      </c>
      <c r="D3637" t="s">
        <v>1935</v>
      </c>
      <c r="E3637" s="3">
        <v>49.48</v>
      </c>
      <c r="F3637">
        <v>20151118</v>
      </c>
      <c r="G3637" t="s">
        <v>1941</v>
      </c>
      <c r="H3637" t="s">
        <v>2480</v>
      </c>
      <c r="I3637">
        <v>0</v>
      </c>
      <c r="J3637" t="s">
        <v>1709</v>
      </c>
      <c r="K3637" t="s">
        <v>1942</v>
      </c>
      <c r="L3637" t="s">
        <v>285</v>
      </c>
      <c r="M3637" t="str">
        <f t="shared" si="239"/>
        <v>11</v>
      </c>
      <c r="N3637" t="s">
        <v>12</v>
      </c>
    </row>
    <row r="3638" spans="1:14" x14ac:dyDescent="0.25">
      <c r="A3638">
        <v>20151120</v>
      </c>
      <c r="B3638" t="str">
        <f>"061241"</f>
        <v>061241</v>
      </c>
      <c r="C3638" t="str">
        <f>"80600"</f>
        <v>80600</v>
      </c>
      <c r="D3638" t="s">
        <v>2411</v>
      </c>
      <c r="E3638" s="3">
        <v>234.64</v>
      </c>
      <c r="F3638">
        <v>20151118</v>
      </c>
      <c r="G3638" t="s">
        <v>3153</v>
      </c>
      <c r="H3638" t="s">
        <v>3154</v>
      </c>
      <c r="I3638">
        <v>0</v>
      </c>
      <c r="J3638" t="s">
        <v>1709</v>
      </c>
      <c r="K3638" t="s">
        <v>1643</v>
      </c>
      <c r="L3638" t="s">
        <v>285</v>
      </c>
      <c r="M3638" t="str">
        <f t="shared" si="239"/>
        <v>11</v>
      </c>
      <c r="N3638" t="s">
        <v>12</v>
      </c>
    </row>
    <row r="3639" spans="1:14" x14ac:dyDescent="0.25">
      <c r="A3639">
        <v>20151120</v>
      </c>
      <c r="B3639" t="str">
        <f>"061243"</f>
        <v>061243</v>
      </c>
      <c r="C3639" t="str">
        <f>"82131"</f>
        <v>82131</v>
      </c>
      <c r="D3639" t="s">
        <v>1516</v>
      </c>
      <c r="E3639" s="3">
        <v>273</v>
      </c>
      <c r="F3639">
        <v>20151118</v>
      </c>
      <c r="G3639" t="s">
        <v>2529</v>
      </c>
      <c r="H3639" t="s">
        <v>3155</v>
      </c>
      <c r="I3639">
        <v>0</v>
      </c>
      <c r="J3639" t="s">
        <v>1709</v>
      </c>
      <c r="K3639" t="s">
        <v>95</v>
      </c>
      <c r="L3639" t="s">
        <v>285</v>
      </c>
      <c r="M3639" t="str">
        <f t="shared" ref="M3639:M3646" si="246">"11"</f>
        <v>11</v>
      </c>
      <c r="N3639" t="s">
        <v>12</v>
      </c>
    </row>
    <row r="3640" spans="1:14" x14ac:dyDescent="0.25">
      <c r="A3640">
        <v>20151120</v>
      </c>
      <c r="B3640" t="str">
        <f>"061243"</f>
        <v>061243</v>
      </c>
      <c r="C3640" t="str">
        <f>"82131"</f>
        <v>82131</v>
      </c>
      <c r="D3640" t="s">
        <v>1516</v>
      </c>
      <c r="E3640" s="3">
        <v>30</v>
      </c>
      <c r="F3640">
        <v>20151118</v>
      </c>
      <c r="G3640" t="s">
        <v>2110</v>
      </c>
      <c r="H3640" t="s">
        <v>3156</v>
      </c>
      <c r="I3640">
        <v>0</v>
      </c>
      <c r="J3640" t="s">
        <v>1709</v>
      </c>
      <c r="K3640" t="s">
        <v>33</v>
      </c>
      <c r="L3640" t="s">
        <v>285</v>
      </c>
      <c r="M3640" t="str">
        <f t="shared" si="246"/>
        <v>11</v>
      </c>
      <c r="N3640" t="s">
        <v>12</v>
      </c>
    </row>
    <row r="3641" spans="1:14" x14ac:dyDescent="0.25">
      <c r="A3641">
        <v>20151120</v>
      </c>
      <c r="B3641" t="str">
        <f>"061246"</f>
        <v>061246</v>
      </c>
      <c r="C3641" t="str">
        <f>"82385"</f>
        <v>82385</v>
      </c>
      <c r="D3641" t="s">
        <v>3157</v>
      </c>
      <c r="E3641" s="3">
        <v>90.94</v>
      </c>
      <c r="F3641">
        <v>20151118</v>
      </c>
      <c r="G3641" t="s">
        <v>2153</v>
      </c>
      <c r="H3641" t="s">
        <v>3158</v>
      </c>
      <c r="I3641">
        <v>0</v>
      </c>
      <c r="J3641" t="s">
        <v>1709</v>
      </c>
      <c r="K3641" t="s">
        <v>290</v>
      </c>
      <c r="L3641" t="s">
        <v>285</v>
      </c>
      <c r="M3641" t="str">
        <f t="shared" si="246"/>
        <v>11</v>
      </c>
      <c r="N3641" t="s">
        <v>12</v>
      </c>
    </row>
    <row r="3642" spans="1:14" x14ac:dyDescent="0.25">
      <c r="A3642">
        <v>20151120</v>
      </c>
      <c r="B3642" t="str">
        <f>"061248"</f>
        <v>061248</v>
      </c>
      <c r="C3642" t="str">
        <f>"82970"</f>
        <v>82970</v>
      </c>
      <c r="D3642" t="s">
        <v>1108</v>
      </c>
      <c r="E3642" s="3">
        <v>325</v>
      </c>
      <c r="F3642">
        <v>20151118</v>
      </c>
      <c r="G3642" t="s">
        <v>1725</v>
      </c>
      <c r="H3642" t="s">
        <v>3159</v>
      </c>
      <c r="I3642">
        <v>0</v>
      </c>
      <c r="J3642" t="s">
        <v>1709</v>
      </c>
      <c r="K3642" t="s">
        <v>290</v>
      </c>
      <c r="L3642" t="s">
        <v>285</v>
      </c>
      <c r="M3642" t="str">
        <f t="shared" si="246"/>
        <v>11</v>
      </c>
      <c r="N3642" t="s">
        <v>12</v>
      </c>
    </row>
    <row r="3643" spans="1:14" x14ac:dyDescent="0.25">
      <c r="A3643">
        <v>20151120</v>
      </c>
      <c r="B3643" t="str">
        <f>"061251"</f>
        <v>061251</v>
      </c>
      <c r="C3643" t="str">
        <f>"84607"</f>
        <v>84607</v>
      </c>
      <c r="D3643" t="s">
        <v>3160</v>
      </c>
      <c r="E3643" s="3">
        <v>116.8</v>
      </c>
      <c r="F3643">
        <v>20151118</v>
      </c>
      <c r="G3643" t="s">
        <v>2025</v>
      </c>
      <c r="H3643" t="s">
        <v>3161</v>
      </c>
      <c r="I3643">
        <v>0</v>
      </c>
      <c r="J3643" t="s">
        <v>1709</v>
      </c>
      <c r="K3643" t="s">
        <v>1984</v>
      </c>
      <c r="L3643" t="s">
        <v>285</v>
      </c>
      <c r="M3643" t="str">
        <f t="shared" si="246"/>
        <v>11</v>
      </c>
      <c r="N3643" t="s">
        <v>12</v>
      </c>
    </row>
    <row r="3644" spans="1:14" x14ac:dyDescent="0.25">
      <c r="A3644">
        <v>20151120</v>
      </c>
      <c r="B3644" t="str">
        <f>"061251"</f>
        <v>061251</v>
      </c>
      <c r="C3644" t="str">
        <f>"84607"</f>
        <v>84607</v>
      </c>
      <c r="D3644" t="s">
        <v>3160</v>
      </c>
      <c r="E3644" s="3">
        <v>255.76</v>
      </c>
      <c r="F3644">
        <v>20151118</v>
      </c>
      <c r="G3644" t="s">
        <v>2025</v>
      </c>
      <c r="H3644" t="s">
        <v>2479</v>
      </c>
      <c r="I3644">
        <v>0</v>
      </c>
      <c r="J3644" t="s">
        <v>1709</v>
      </c>
      <c r="K3644" t="s">
        <v>1984</v>
      </c>
      <c r="L3644" t="s">
        <v>285</v>
      </c>
      <c r="M3644" t="str">
        <f t="shared" si="246"/>
        <v>11</v>
      </c>
      <c r="N3644" t="s">
        <v>12</v>
      </c>
    </row>
    <row r="3645" spans="1:14" x14ac:dyDescent="0.25">
      <c r="A3645">
        <v>20151120</v>
      </c>
      <c r="B3645" t="str">
        <f>"061253"</f>
        <v>061253</v>
      </c>
      <c r="C3645" t="str">
        <f>"86120"</f>
        <v>86120</v>
      </c>
      <c r="D3645" t="s">
        <v>3162</v>
      </c>
      <c r="E3645" s="3">
        <v>775</v>
      </c>
      <c r="F3645">
        <v>20151118</v>
      </c>
      <c r="G3645" t="s">
        <v>1977</v>
      </c>
      <c r="H3645" t="s">
        <v>3163</v>
      </c>
      <c r="I3645">
        <v>0</v>
      </c>
      <c r="J3645" t="s">
        <v>1709</v>
      </c>
      <c r="K3645" t="s">
        <v>290</v>
      </c>
      <c r="L3645" t="s">
        <v>285</v>
      </c>
      <c r="M3645" t="str">
        <f t="shared" si="246"/>
        <v>11</v>
      </c>
      <c r="N3645" t="s">
        <v>12</v>
      </c>
    </row>
    <row r="3646" spans="1:14" x14ac:dyDescent="0.25">
      <c r="A3646">
        <v>20151120</v>
      </c>
      <c r="B3646" t="str">
        <f>"061254"</f>
        <v>061254</v>
      </c>
      <c r="C3646" t="str">
        <f>"29500"</f>
        <v>29500</v>
      </c>
      <c r="D3646" t="s">
        <v>1698</v>
      </c>
      <c r="E3646" s="3">
        <v>8792</v>
      </c>
      <c r="F3646">
        <v>20151120</v>
      </c>
      <c r="G3646" t="s">
        <v>2446</v>
      </c>
      <c r="H3646" t="s">
        <v>1700</v>
      </c>
      <c r="I3646">
        <v>0</v>
      </c>
      <c r="J3646" t="s">
        <v>1709</v>
      </c>
      <c r="K3646" t="s">
        <v>290</v>
      </c>
      <c r="L3646" t="s">
        <v>17</v>
      </c>
      <c r="M3646" t="str">
        <f t="shared" si="246"/>
        <v>11</v>
      </c>
      <c r="N3646" t="s">
        <v>12</v>
      </c>
    </row>
    <row r="3647" spans="1:14" x14ac:dyDescent="0.25">
      <c r="A3647">
        <v>20151204</v>
      </c>
      <c r="B3647" t="str">
        <f>"061255"</f>
        <v>061255</v>
      </c>
      <c r="C3647" t="str">
        <f>"00792"</f>
        <v>00792</v>
      </c>
      <c r="D3647" t="s">
        <v>3164</v>
      </c>
      <c r="E3647" s="3">
        <v>176</v>
      </c>
      <c r="F3647">
        <v>20151203</v>
      </c>
      <c r="G3647" t="s">
        <v>3165</v>
      </c>
      <c r="H3647" t="s">
        <v>3166</v>
      </c>
      <c r="I3647">
        <v>0</v>
      </c>
      <c r="J3647" t="s">
        <v>1709</v>
      </c>
      <c r="K3647" t="s">
        <v>1643</v>
      </c>
      <c r="L3647" t="s">
        <v>285</v>
      </c>
      <c r="M3647" t="str">
        <f t="shared" ref="M3647:M3710" si="247">"12"</f>
        <v>12</v>
      </c>
      <c r="N3647" t="s">
        <v>12</v>
      </c>
    </row>
    <row r="3648" spans="1:14" x14ac:dyDescent="0.25">
      <c r="A3648">
        <v>20151204</v>
      </c>
      <c r="B3648" t="str">
        <f t="shared" ref="B3648:B3653" si="248">"061257"</f>
        <v>061257</v>
      </c>
      <c r="C3648" t="str">
        <f t="shared" ref="C3648:C3653" si="249">"00306"</f>
        <v>00306</v>
      </c>
      <c r="D3648" t="s">
        <v>2609</v>
      </c>
      <c r="E3648" s="3">
        <v>154.22999999999999</v>
      </c>
      <c r="F3648">
        <v>20151203</v>
      </c>
      <c r="G3648" t="s">
        <v>2610</v>
      </c>
      <c r="H3648" t="s">
        <v>3167</v>
      </c>
      <c r="I3648">
        <v>0</v>
      </c>
      <c r="J3648" t="s">
        <v>1709</v>
      </c>
      <c r="K3648" t="s">
        <v>1861</v>
      </c>
      <c r="L3648" t="s">
        <v>285</v>
      </c>
      <c r="M3648" t="str">
        <f t="shared" si="247"/>
        <v>12</v>
      </c>
      <c r="N3648" t="s">
        <v>12</v>
      </c>
    </row>
    <row r="3649" spans="1:14" x14ac:dyDescent="0.25">
      <c r="A3649">
        <v>20151204</v>
      </c>
      <c r="B3649" t="str">
        <f t="shared" si="248"/>
        <v>061257</v>
      </c>
      <c r="C3649" t="str">
        <f t="shared" si="249"/>
        <v>00306</v>
      </c>
      <c r="D3649" t="s">
        <v>2609</v>
      </c>
      <c r="E3649" s="3">
        <v>87.08</v>
      </c>
      <c r="F3649">
        <v>20151203</v>
      </c>
      <c r="G3649" t="s">
        <v>2610</v>
      </c>
      <c r="H3649" t="s">
        <v>3168</v>
      </c>
      <c r="I3649">
        <v>0</v>
      </c>
      <c r="J3649" t="s">
        <v>1709</v>
      </c>
      <c r="K3649" t="s">
        <v>1861</v>
      </c>
      <c r="L3649" t="s">
        <v>285</v>
      </c>
      <c r="M3649" t="str">
        <f t="shared" si="247"/>
        <v>12</v>
      </c>
      <c r="N3649" t="s">
        <v>12</v>
      </c>
    </row>
    <row r="3650" spans="1:14" x14ac:dyDescent="0.25">
      <c r="A3650">
        <v>20151204</v>
      </c>
      <c r="B3650" t="str">
        <f t="shared" si="248"/>
        <v>061257</v>
      </c>
      <c r="C3650" t="str">
        <f t="shared" si="249"/>
        <v>00306</v>
      </c>
      <c r="D3650" t="s">
        <v>2609</v>
      </c>
      <c r="E3650" s="3">
        <v>375.78</v>
      </c>
      <c r="F3650">
        <v>20151203</v>
      </c>
      <c r="G3650" t="s">
        <v>2610</v>
      </c>
      <c r="H3650" t="s">
        <v>3169</v>
      </c>
      <c r="I3650">
        <v>0</v>
      </c>
      <c r="J3650" t="s">
        <v>1709</v>
      </c>
      <c r="K3650" t="s">
        <v>1861</v>
      </c>
      <c r="L3650" t="s">
        <v>285</v>
      </c>
      <c r="M3650" t="str">
        <f t="shared" si="247"/>
        <v>12</v>
      </c>
      <c r="N3650" t="s">
        <v>12</v>
      </c>
    </row>
    <row r="3651" spans="1:14" x14ac:dyDescent="0.25">
      <c r="A3651">
        <v>20151204</v>
      </c>
      <c r="B3651" t="str">
        <f t="shared" si="248"/>
        <v>061257</v>
      </c>
      <c r="C3651" t="str">
        <f t="shared" si="249"/>
        <v>00306</v>
      </c>
      <c r="D3651" t="s">
        <v>2609</v>
      </c>
      <c r="E3651" s="3">
        <v>78.540000000000006</v>
      </c>
      <c r="F3651">
        <v>20151203</v>
      </c>
      <c r="G3651" t="s">
        <v>2610</v>
      </c>
      <c r="H3651" t="s">
        <v>3170</v>
      </c>
      <c r="I3651">
        <v>0</v>
      </c>
      <c r="J3651" t="s">
        <v>1709</v>
      </c>
      <c r="K3651" t="s">
        <v>1861</v>
      </c>
      <c r="L3651" t="s">
        <v>285</v>
      </c>
      <c r="M3651" t="str">
        <f t="shared" si="247"/>
        <v>12</v>
      </c>
      <c r="N3651" t="s">
        <v>12</v>
      </c>
    </row>
    <row r="3652" spans="1:14" x14ac:dyDescent="0.25">
      <c r="A3652">
        <v>20151204</v>
      </c>
      <c r="B3652" t="str">
        <f t="shared" si="248"/>
        <v>061257</v>
      </c>
      <c r="C3652" t="str">
        <f t="shared" si="249"/>
        <v>00306</v>
      </c>
      <c r="D3652" t="s">
        <v>2609</v>
      </c>
      <c r="E3652" s="3">
        <v>119.79</v>
      </c>
      <c r="F3652">
        <v>20151203</v>
      </c>
      <c r="G3652" t="s">
        <v>2610</v>
      </c>
      <c r="H3652" t="s">
        <v>3171</v>
      </c>
      <c r="I3652">
        <v>0</v>
      </c>
      <c r="J3652" t="s">
        <v>1709</v>
      </c>
      <c r="K3652" t="s">
        <v>1861</v>
      </c>
      <c r="L3652" t="s">
        <v>285</v>
      </c>
      <c r="M3652" t="str">
        <f t="shared" si="247"/>
        <v>12</v>
      </c>
      <c r="N3652" t="s">
        <v>12</v>
      </c>
    </row>
    <row r="3653" spans="1:14" x14ac:dyDescent="0.25">
      <c r="A3653">
        <v>20151204</v>
      </c>
      <c r="B3653" t="str">
        <f t="shared" si="248"/>
        <v>061257</v>
      </c>
      <c r="C3653" t="str">
        <f t="shared" si="249"/>
        <v>00306</v>
      </c>
      <c r="D3653" t="s">
        <v>2609</v>
      </c>
      <c r="E3653" s="3">
        <v>3698.26</v>
      </c>
      <c r="F3653">
        <v>20151203</v>
      </c>
      <c r="G3653" t="s">
        <v>2610</v>
      </c>
      <c r="H3653" t="s">
        <v>3172</v>
      </c>
      <c r="I3653">
        <v>0</v>
      </c>
      <c r="J3653" t="s">
        <v>1709</v>
      </c>
      <c r="K3653" t="s">
        <v>1861</v>
      </c>
      <c r="L3653" t="s">
        <v>285</v>
      </c>
      <c r="M3653" t="str">
        <f t="shared" si="247"/>
        <v>12</v>
      </c>
      <c r="N3653" t="s">
        <v>12</v>
      </c>
    </row>
    <row r="3654" spans="1:14" x14ac:dyDescent="0.25">
      <c r="A3654">
        <v>20151204</v>
      </c>
      <c r="B3654" t="str">
        <f>"061258"</f>
        <v>061258</v>
      </c>
      <c r="C3654" t="str">
        <f>"03829"</f>
        <v>03829</v>
      </c>
      <c r="D3654" t="s">
        <v>1808</v>
      </c>
      <c r="E3654" s="3">
        <v>210.5</v>
      </c>
      <c r="F3654">
        <v>20151203</v>
      </c>
      <c r="G3654" t="s">
        <v>2427</v>
      </c>
      <c r="H3654" t="s">
        <v>3173</v>
      </c>
      <c r="I3654">
        <v>0</v>
      </c>
      <c r="J3654" t="s">
        <v>1709</v>
      </c>
      <c r="K3654" t="s">
        <v>1861</v>
      </c>
      <c r="L3654" t="s">
        <v>285</v>
      </c>
      <c r="M3654" t="str">
        <f t="shared" si="247"/>
        <v>12</v>
      </c>
      <c r="N3654" t="s">
        <v>12</v>
      </c>
    </row>
    <row r="3655" spans="1:14" x14ac:dyDescent="0.25">
      <c r="A3655">
        <v>20151204</v>
      </c>
      <c r="B3655" t="str">
        <f>"061260"</f>
        <v>061260</v>
      </c>
      <c r="C3655" t="str">
        <f>"06480"</f>
        <v>06480</v>
      </c>
      <c r="D3655" t="s">
        <v>2198</v>
      </c>
      <c r="E3655" s="3">
        <v>164.72</v>
      </c>
      <c r="F3655">
        <v>20151203</v>
      </c>
      <c r="G3655" t="s">
        <v>2199</v>
      </c>
      <c r="H3655" t="s">
        <v>3174</v>
      </c>
      <c r="I3655">
        <v>0</v>
      </c>
      <c r="J3655" t="s">
        <v>1709</v>
      </c>
      <c r="K3655" t="s">
        <v>290</v>
      </c>
      <c r="L3655" t="s">
        <v>285</v>
      </c>
      <c r="M3655" t="str">
        <f t="shared" si="247"/>
        <v>12</v>
      </c>
      <c r="N3655" t="s">
        <v>12</v>
      </c>
    </row>
    <row r="3656" spans="1:14" x14ac:dyDescent="0.25">
      <c r="A3656">
        <v>20151204</v>
      </c>
      <c r="B3656" t="str">
        <f>"061262"</f>
        <v>061262</v>
      </c>
      <c r="C3656" t="str">
        <f>"07701"</f>
        <v>07701</v>
      </c>
      <c r="D3656" t="s">
        <v>2209</v>
      </c>
      <c r="E3656" s="3">
        <v>26.45</v>
      </c>
      <c r="F3656">
        <v>20151203</v>
      </c>
      <c r="G3656" t="s">
        <v>1933</v>
      </c>
      <c r="H3656" t="s">
        <v>3175</v>
      </c>
      <c r="I3656">
        <v>0</v>
      </c>
      <c r="J3656" t="s">
        <v>1709</v>
      </c>
      <c r="K3656" t="s">
        <v>1558</v>
      </c>
      <c r="L3656" t="s">
        <v>285</v>
      </c>
      <c r="M3656" t="str">
        <f t="shared" si="247"/>
        <v>12</v>
      </c>
      <c r="N3656" t="s">
        <v>12</v>
      </c>
    </row>
    <row r="3657" spans="1:14" x14ac:dyDescent="0.25">
      <c r="A3657">
        <v>20151204</v>
      </c>
      <c r="B3657" t="str">
        <f>"061263"</f>
        <v>061263</v>
      </c>
      <c r="C3657" t="str">
        <f>"07699"</f>
        <v>07699</v>
      </c>
      <c r="D3657" t="s">
        <v>2822</v>
      </c>
      <c r="E3657" s="3">
        <v>134.06</v>
      </c>
      <c r="F3657">
        <v>20151203</v>
      </c>
      <c r="G3657" t="s">
        <v>2317</v>
      </c>
      <c r="H3657" t="s">
        <v>2509</v>
      </c>
      <c r="I3657">
        <v>0</v>
      </c>
      <c r="J3657" t="s">
        <v>1709</v>
      </c>
      <c r="K3657" t="s">
        <v>290</v>
      </c>
      <c r="L3657" t="s">
        <v>285</v>
      </c>
      <c r="M3657" t="str">
        <f t="shared" si="247"/>
        <v>12</v>
      </c>
      <c r="N3657" t="s">
        <v>12</v>
      </c>
    </row>
    <row r="3658" spans="1:14" x14ac:dyDescent="0.25">
      <c r="A3658">
        <v>20151204</v>
      </c>
      <c r="B3658" t="str">
        <f>"061264"</f>
        <v>061264</v>
      </c>
      <c r="C3658" t="str">
        <f>"00390"</f>
        <v>00390</v>
      </c>
      <c r="D3658" t="s">
        <v>1717</v>
      </c>
      <c r="E3658" s="3">
        <v>6020.04</v>
      </c>
      <c r="F3658">
        <v>20151203</v>
      </c>
      <c r="G3658" t="s">
        <v>2217</v>
      </c>
      <c r="H3658" t="s">
        <v>3176</v>
      </c>
      <c r="I3658">
        <v>0</v>
      </c>
      <c r="J3658" t="s">
        <v>1709</v>
      </c>
      <c r="K3658" t="s">
        <v>1984</v>
      </c>
      <c r="L3658" t="s">
        <v>285</v>
      </c>
      <c r="M3658" t="str">
        <f t="shared" si="247"/>
        <v>12</v>
      </c>
      <c r="N3658" t="s">
        <v>12</v>
      </c>
    </row>
    <row r="3659" spans="1:14" x14ac:dyDescent="0.25">
      <c r="A3659">
        <v>20151204</v>
      </c>
      <c r="B3659" t="str">
        <f>"061265"</f>
        <v>061265</v>
      </c>
      <c r="C3659" t="str">
        <f>"00392"</f>
        <v>00392</v>
      </c>
      <c r="D3659" t="s">
        <v>1717</v>
      </c>
      <c r="E3659" s="3">
        <v>455.83</v>
      </c>
      <c r="F3659">
        <v>20151203</v>
      </c>
      <c r="G3659" t="s">
        <v>2219</v>
      </c>
      <c r="H3659" t="s">
        <v>3176</v>
      </c>
      <c r="I3659">
        <v>0</v>
      </c>
      <c r="J3659" t="s">
        <v>1709</v>
      </c>
      <c r="K3659" t="s">
        <v>1984</v>
      </c>
      <c r="L3659" t="s">
        <v>285</v>
      </c>
      <c r="M3659" t="str">
        <f t="shared" si="247"/>
        <v>12</v>
      </c>
      <c r="N3659" t="s">
        <v>12</v>
      </c>
    </row>
    <row r="3660" spans="1:14" x14ac:dyDescent="0.25">
      <c r="A3660">
        <v>20151204</v>
      </c>
      <c r="B3660" t="str">
        <f>"061266"</f>
        <v>061266</v>
      </c>
      <c r="C3660" t="str">
        <f>"08719"</f>
        <v>08719</v>
      </c>
      <c r="D3660" t="s">
        <v>2052</v>
      </c>
      <c r="E3660" s="3">
        <v>48.1</v>
      </c>
      <c r="F3660">
        <v>20151203</v>
      </c>
      <c r="G3660" t="s">
        <v>2053</v>
      </c>
      <c r="H3660" t="s">
        <v>3177</v>
      </c>
      <c r="I3660">
        <v>0</v>
      </c>
      <c r="J3660" t="s">
        <v>1709</v>
      </c>
      <c r="K3660" t="s">
        <v>290</v>
      </c>
      <c r="L3660" t="s">
        <v>285</v>
      </c>
      <c r="M3660" t="str">
        <f t="shared" si="247"/>
        <v>12</v>
      </c>
      <c r="N3660" t="s">
        <v>12</v>
      </c>
    </row>
    <row r="3661" spans="1:14" x14ac:dyDescent="0.25">
      <c r="A3661">
        <v>20151204</v>
      </c>
      <c r="B3661" t="str">
        <f t="shared" ref="B3661:B3687" si="250">"061267"</f>
        <v>061267</v>
      </c>
      <c r="C3661" t="str">
        <f t="shared" ref="C3661:C3687" si="251">"09170"</f>
        <v>09170</v>
      </c>
      <c r="D3661" t="s">
        <v>596</v>
      </c>
      <c r="E3661" s="3">
        <v>131</v>
      </c>
      <c r="F3661">
        <v>20151203</v>
      </c>
      <c r="G3661" t="s">
        <v>3178</v>
      </c>
      <c r="H3661" t="s">
        <v>3179</v>
      </c>
      <c r="I3661">
        <v>0</v>
      </c>
      <c r="J3661" t="s">
        <v>1709</v>
      </c>
      <c r="K3661" t="s">
        <v>235</v>
      </c>
      <c r="L3661" t="s">
        <v>285</v>
      </c>
      <c r="M3661" t="str">
        <f t="shared" si="247"/>
        <v>12</v>
      </c>
      <c r="N3661" t="s">
        <v>12</v>
      </c>
    </row>
    <row r="3662" spans="1:14" x14ac:dyDescent="0.25">
      <c r="A3662">
        <v>20151204</v>
      </c>
      <c r="B3662" t="str">
        <f t="shared" si="250"/>
        <v>061267</v>
      </c>
      <c r="C3662" t="str">
        <f t="shared" si="251"/>
        <v>09170</v>
      </c>
      <c r="D3662" t="s">
        <v>596</v>
      </c>
      <c r="E3662" s="3">
        <v>1495</v>
      </c>
      <c r="F3662">
        <v>20151203</v>
      </c>
      <c r="G3662" t="s">
        <v>2508</v>
      </c>
      <c r="H3662" t="s">
        <v>2509</v>
      </c>
      <c r="I3662">
        <v>0</v>
      </c>
      <c r="J3662" t="s">
        <v>1709</v>
      </c>
      <c r="K3662" t="s">
        <v>290</v>
      </c>
      <c r="L3662" t="s">
        <v>285</v>
      </c>
      <c r="M3662" t="str">
        <f t="shared" si="247"/>
        <v>12</v>
      </c>
      <c r="N3662" t="s">
        <v>12</v>
      </c>
    </row>
    <row r="3663" spans="1:14" x14ac:dyDescent="0.25">
      <c r="A3663">
        <v>20151204</v>
      </c>
      <c r="B3663" t="str">
        <f t="shared" si="250"/>
        <v>061267</v>
      </c>
      <c r="C3663" t="str">
        <f t="shared" si="251"/>
        <v>09170</v>
      </c>
      <c r="D3663" t="s">
        <v>596</v>
      </c>
      <c r="E3663" s="3">
        <v>141.49</v>
      </c>
      <c r="F3663">
        <v>20151203</v>
      </c>
      <c r="G3663" t="s">
        <v>3180</v>
      </c>
      <c r="H3663" t="s">
        <v>3181</v>
      </c>
      <c r="I3663">
        <v>0</v>
      </c>
      <c r="J3663" t="s">
        <v>1709</v>
      </c>
      <c r="K3663" t="s">
        <v>290</v>
      </c>
      <c r="L3663" t="s">
        <v>285</v>
      </c>
      <c r="M3663" t="str">
        <f t="shared" si="247"/>
        <v>12</v>
      </c>
      <c r="N3663" t="s">
        <v>12</v>
      </c>
    </row>
    <row r="3664" spans="1:14" x14ac:dyDescent="0.25">
      <c r="A3664">
        <v>20151204</v>
      </c>
      <c r="B3664" t="str">
        <f t="shared" si="250"/>
        <v>061267</v>
      </c>
      <c r="C3664" t="str">
        <f t="shared" si="251"/>
        <v>09170</v>
      </c>
      <c r="D3664" t="s">
        <v>596</v>
      </c>
      <c r="E3664" s="3">
        <v>999.98</v>
      </c>
      <c r="F3664">
        <v>20151203</v>
      </c>
      <c r="G3664" t="s">
        <v>2232</v>
      </c>
      <c r="H3664" t="s">
        <v>3182</v>
      </c>
      <c r="I3664">
        <v>0</v>
      </c>
      <c r="J3664" t="s">
        <v>1709</v>
      </c>
      <c r="K3664" t="s">
        <v>290</v>
      </c>
      <c r="L3664" t="s">
        <v>285</v>
      </c>
      <c r="M3664" t="str">
        <f t="shared" si="247"/>
        <v>12</v>
      </c>
      <c r="N3664" t="s">
        <v>12</v>
      </c>
    </row>
    <row r="3665" spans="1:14" x14ac:dyDescent="0.25">
      <c r="A3665">
        <v>20151204</v>
      </c>
      <c r="B3665" t="str">
        <f t="shared" si="250"/>
        <v>061267</v>
      </c>
      <c r="C3665" t="str">
        <f t="shared" si="251"/>
        <v>09170</v>
      </c>
      <c r="D3665" t="s">
        <v>596</v>
      </c>
      <c r="E3665" s="3">
        <v>999.97</v>
      </c>
      <c r="F3665">
        <v>20151203</v>
      </c>
      <c r="G3665" t="s">
        <v>2234</v>
      </c>
      <c r="H3665" t="s">
        <v>3183</v>
      </c>
      <c r="I3665">
        <v>0</v>
      </c>
      <c r="J3665" t="s">
        <v>1709</v>
      </c>
      <c r="K3665" t="s">
        <v>290</v>
      </c>
      <c r="L3665" t="s">
        <v>285</v>
      </c>
      <c r="M3665" t="str">
        <f t="shared" si="247"/>
        <v>12</v>
      </c>
      <c r="N3665" t="s">
        <v>12</v>
      </c>
    </row>
    <row r="3666" spans="1:14" x14ac:dyDescent="0.25">
      <c r="A3666">
        <v>20151204</v>
      </c>
      <c r="B3666" t="str">
        <f t="shared" si="250"/>
        <v>061267</v>
      </c>
      <c r="C3666" t="str">
        <f t="shared" si="251"/>
        <v>09170</v>
      </c>
      <c r="D3666" t="s">
        <v>596</v>
      </c>
      <c r="E3666" s="3">
        <v>87.94</v>
      </c>
      <c r="F3666">
        <v>20151203</v>
      </c>
      <c r="G3666" t="s">
        <v>2817</v>
      </c>
      <c r="H3666" t="s">
        <v>3184</v>
      </c>
      <c r="I3666">
        <v>0</v>
      </c>
      <c r="J3666" t="s">
        <v>1709</v>
      </c>
      <c r="K3666" t="s">
        <v>290</v>
      </c>
      <c r="L3666" t="s">
        <v>285</v>
      </c>
      <c r="M3666" t="str">
        <f t="shared" si="247"/>
        <v>12</v>
      </c>
      <c r="N3666" t="s">
        <v>12</v>
      </c>
    </row>
    <row r="3667" spans="1:14" x14ac:dyDescent="0.25">
      <c r="A3667">
        <v>20151204</v>
      </c>
      <c r="B3667" t="str">
        <f t="shared" si="250"/>
        <v>061267</v>
      </c>
      <c r="C3667" t="str">
        <f t="shared" si="251"/>
        <v>09170</v>
      </c>
      <c r="D3667" t="s">
        <v>596</v>
      </c>
      <c r="E3667" s="3">
        <v>63.95</v>
      </c>
      <c r="F3667">
        <v>20151203</v>
      </c>
      <c r="G3667" t="s">
        <v>3185</v>
      </c>
      <c r="H3667" t="s">
        <v>3186</v>
      </c>
      <c r="I3667">
        <v>0</v>
      </c>
      <c r="J3667" t="s">
        <v>1709</v>
      </c>
      <c r="K3667" t="s">
        <v>290</v>
      </c>
      <c r="L3667" t="s">
        <v>285</v>
      </c>
      <c r="M3667" t="str">
        <f t="shared" si="247"/>
        <v>12</v>
      </c>
      <c r="N3667" t="s">
        <v>12</v>
      </c>
    </row>
    <row r="3668" spans="1:14" x14ac:dyDescent="0.25">
      <c r="A3668">
        <v>20151204</v>
      </c>
      <c r="B3668" t="str">
        <f t="shared" si="250"/>
        <v>061267</v>
      </c>
      <c r="C3668" t="str">
        <f t="shared" si="251"/>
        <v>09170</v>
      </c>
      <c r="D3668" t="s">
        <v>596</v>
      </c>
      <c r="E3668" s="3">
        <v>-26.02</v>
      </c>
      <c r="F3668">
        <v>20151103</v>
      </c>
      <c r="G3668" t="s">
        <v>2834</v>
      </c>
      <c r="H3668" t="s">
        <v>3187</v>
      </c>
      <c r="I3668">
        <v>0</v>
      </c>
      <c r="J3668" t="s">
        <v>1709</v>
      </c>
      <c r="K3668" t="s">
        <v>290</v>
      </c>
      <c r="L3668" t="s">
        <v>1385</v>
      </c>
      <c r="M3668" t="str">
        <f t="shared" si="247"/>
        <v>12</v>
      </c>
      <c r="N3668" t="s">
        <v>12</v>
      </c>
    </row>
    <row r="3669" spans="1:14" x14ac:dyDescent="0.25">
      <c r="A3669">
        <v>20151204</v>
      </c>
      <c r="B3669" t="str">
        <f t="shared" si="250"/>
        <v>061267</v>
      </c>
      <c r="C3669" t="str">
        <f t="shared" si="251"/>
        <v>09170</v>
      </c>
      <c r="D3669" t="s">
        <v>596</v>
      </c>
      <c r="E3669" s="3">
        <v>120</v>
      </c>
      <c r="F3669">
        <v>20151203</v>
      </c>
      <c r="G3669" t="s">
        <v>3188</v>
      </c>
      <c r="H3669" t="s">
        <v>3189</v>
      </c>
      <c r="I3669">
        <v>0</v>
      </c>
      <c r="J3669" t="s">
        <v>1709</v>
      </c>
      <c r="K3669" t="s">
        <v>290</v>
      </c>
      <c r="L3669" t="s">
        <v>285</v>
      </c>
      <c r="M3669" t="str">
        <f t="shared" si="247"/>
        <v>12</v>
      </c>
      <c r="N3669" t="s">
        <v>12</v>
      </c>
    </row>
    <row r="3670" spans="1:14" x14ac:dyDescent="0.25">
      <c r="A3670">
        <v>20151204</v>
      </c>
      <c r="B3670" t="str">
        <f t="shared" si="250"/>
        <v>061267</v>
      </c>
      <c r="C3670" t="str">
        <f t="shared" si="251"/>
        <v>09170</v>
      </c>
      <c r="D3670" t="s">
        <v>596</v>
      </c>
      <c r="E3670" s="3">
        <v>149.99</v>
      </c>
      <c r="F3670">
        <v>20151204</v>
      </c>
      <c r="G3670" t="s">
        <v>1886</v>
      </c>
      <c r="H3670" t="s">
        <v>3190</v>
      </c>
      <c r="I3670">
        <v>0</v>
      </c>
      <c r="J3670" t="s">
        <v>1709</v>
      </c>
      <c r="K3670" t="s">
        <v>290</v>
      </c>
      <c r="L3670" t="s">
        <v>285</v>
      </c>
      <c r="M3670" t="str">
        <f t="shared" si="247"/>
        <v>12</v>
      </c>
      <c r="N3670" t="s">
        <v>12</v>
      </c>
    </row>
    <row r="3671" spans="1:14" x14ac:dyDescent="0.25">
      <c r="A3671">
        <v>20151204</v>
      </c>
      <c r="B3671" t="str">
        <f t="shared" si="250"/>
        <v>061267</v>
      </c>
      <c r="C3671" t="str">
        <f t="shared" si="251"/>
        <v>09170</v>
      </c>
      <c r="D3671" t="s">
        <v>596</v>
      </c>
      <c r="E3671" s="3">
        <v>90.66</v>
      </c>
      <c r="F3671">
        <v>20151203</v>
      </c>
      <c r="G3671" t="s">
        <v>3153</v>
      </c>
      <c r="H3671" t="s">
        <v>3191</v>
      </c>
      <c r="I3671">
        <v>0</v>
      </c>
      <c r="J3671" t="s">
        <v>1709</v>
      </c>
      <c r="K3671" t="s">
        <v>1643</v>
      </c>
      <c r="L3671" t="s">
        <v>285</v>
      </c>
      <c r="M3671" t="str">
        <f t="shared" si="247"/>
        <v>12</v>
      </c>
      <c r="N3671" t="s">
        <v>12</v>
      </c>
    </row>
    <row r="3672" spans="1:14" x14ac:dyDescent="0.25">
      <c r="A3672">
        <v>20151204</v>
      </c>
      <c r="B3672" t="str">
        <f t="shared" si="250"/>
        <v>061267</v>
      </c>
      <c r="C3672" t="str">
        <f t="shared" si="251"/>
        <v>09170</v>
      </c>
      <c r="D3672" t="s">
        <v>596</v>
      </c>
      <c r="E3672" s="3">
        <v>35.01</v>
      </c>
      <c r="F3672">
        <v>20151203</v>
      </c>
      <c r="G3672" t="s">
        <v>2416</v>
      </c>
      <c r="H3672" t="s">
        <v>3192</v>
      </c>
      <c r="I3672">
        <v>0</v>
      </c>
      <c r="J3672" t="s">
        <v>1709</v>
      </c>
      <c r="K3672" t="s">
        <v>1744</v>
      </c>
      <c r="L3672" t="s">
        <v>285</v>
      </c>
      <c r="M3672" t="str">
        <f t="shared" si="247"/>
        <v>12</v>
      </c>
      <c r="N3672" t="s">
        <v>12</v>
      </c>
    </row>
    <row r="3673" spans="1:14" x14ac:dyDescent="0.25">
      <c r="A3673">
        <v>20151204</v>
      </c>
      <c r="B3673" t="str">
        <f t="shared" si="250"/>
        <v>061267</v>
      </c>
      <c r="C3673" t="str">
        <f t="shared" si="251"/>
        <v>09170</v>
      </c>
      <c r="D3673" t="s">
        <v>596</v>
      </c>
      <c r="E3673" s="3">
        <v>979.64</v>
      </c>
      <c r="F3673">
        <v>20151203</v>
      </c>
      <c r="G3673" t="s">
        <v>2416</v>
      </c>
      <c r="H3673" t="s">
        <v>3193</v>
      </c>
      <c r="I3673">
        <v>0</v>
      </c>
      <c r="J3673" t="s">
        <v>1709</v>
      </c>
      <c r="K3673" t="s">
        <v>1744</v>
      </c>
      <c r="L3673" t="s">
        <v>285</v>
      </c>
      <c r="M3673" t="str">
        <f t="shared" si="247"/>
        <v>12</v>
      </c>
      <c r="N3673" t="s">
        <v>12</v>
      </c>
    </row>
    <row r="3674" spans="1:14" x14ac:dyDescent="0.25">
      <c r="A3674">
        <v>20151204</v>
      </c>
      <c r="B3674" t="str">
        <f t="shared" si="250"/>
        <v>061267</v>
      </c>
      <c r="C3674" t="str">
        <f t="shared" si="251"/>
        <v>09170</v>
      </c>
      <c r="D3674" t="s">
        <v>596</v>
      </c>
      <c r="E3674" s="3">
        <v>93.92</v>
      </c>
      <c r="F3674">
        <v>20151203</v>
      </c>
      <c r="G3674" t="s">
        <v>2883</v>
      </c>
      <c r="H3674" t="s">
        <v>3194</v>
      </c>
      <c r="I3674">
        <v>0</v>
      </c>
      <c r="J3674" t="s">
        <v>1709</v>
      </c>
      <c r="K3674" t="s">
        <v>1861</v>
      </c>
      <c r="L3674" t="s">
        <v>285</v>
      </c>
      <c r="M3674" t="str">
        <f t="shared" si="247"/>
        <v>12</v>
      </c>
      <c r="N3674" t="s">
        <v>12</v>
      </c>
    </row>
    <row r="3675" spans="1:14" x14ac:dyDescent="0.25">
      <c r="A3675">
        <v>20151204</v>
      </c>
      <c r="B3675" t="str">
        <f t="shared" si="250"/>
        <v>061267</v>
      </c>
      <c r="C3675" t="str">
        <f t="shared" si="251"/>
        <v>09170</v>
      </c>
      <c r="D3675" t="s">
        <v>596</v>
      </c>
      <c r="E3675" s="3">
        <v>657.78</v>
      </c>
      <c r="F3675">
        <v>20151203</v>
      </c>
      <c r="G3675" t="s">
        <v>2074</v>
      </c>
      <c r="H3675" t="s">
        <v>2064</v>
      </c>
      <c r="I3675">
        <v>0</v>
      </c>
      <c r="J3675" t="s">
        <v>1709</v>
      </c>
      <c r="K3675" t="s">
        <v>1861</v>
      </c>
      <c r="L3675" t="s">
        <v>285</v>
      </c>
      <c r="M3675" t="str">
        <f t="shared" si="247"/>
        <v>12</v>
      </c>
      <c r="N3675" t="s">
        <v>12</v>
      </c>
    </row>
    <row r="3676" spans="1:14" x14ac:dyDescent="0.25">
      <c r="A3676">
        <v>20151204</v>
      </c>
      <c r="B3676" t="str">
        <f t="shared" si="250"/>
        <v>061267</v>
      </c>
      <c r="C3676" t="str">
        <f t="shared" si="251"/>
        <v>09170</v>
      </c>
      <c r="D3676" t="s">
        <v>596</v>
      </c>
      <c r="E3676" s="3">
        <v>18.010000000000002</v>
      </c>
      <c r="F3676">
        <v>20151203</v>
      </c>
      <c r="G3676" t="s">
        <v>1859</v>
      </c>
      <c r="H3676" t="s">
        <v>3195</v>
      </c>
      <c r="I3676">
        <v>0</v>
      </c>
      <c r="J3676" t="s">
        <v>1709</v>
      </c>
      <c r="K3676" t="s">
        <v>1861</v>
      </c>
      <c r="L3676" t="s">
        <v>285</v>
      </c>
      <c r="M3676" t="str">
        <f t="shared" si="247"/>
        <v>12</v>
      </c>
      <c r="N3676" t="s">
        <v>12</v>
      </c>
    </row>
    <row r="3677" spans="1:14" x14ac:dyDescent="0.25">
      <c r="A3677">
        <v>20151204</v>
      </c>
      <c r="B3677" t="str">
        <f t="shared" si="250"/>
        <v>061267</v>
      </c>
      <c r="C3677" t="str">
        <f t="shared" si="251"/>
        <v>09170</v>
      </c>
      <c r="D3677" t="s">
        <v>596</v>
      </c>
      <c r="E3677" s="3">
        <v>102.67</v>
      </c>
      <c r="F3677">
        <v>20151203</v>
      </c>
      <c r="G3677" t="s">
        <v>1859</v>
      </c>
      <c r="H3677" t="s">
        <v>2295</v>
      </c>
      <c r="I3677">
        <v>0</v>
      </c>
      <c r="J3677" t="s">
        <v>1709</v>
      </c>
      <c r="K3677" t="s">
        <v>1861</v>
      </c>
      <c r="L3677" t="s">
        <v>285</v>
      </c>
      <c r="M3677" t="str">
        <f t="shared" si="247"/>
        <v>12</v>
      </c>
      <c r="N3677" t="s">
        <v>12</v>
      </c>
    </row>
    <row r="3678" spans="1:14" x14ac:dyDescent="0.25">
      <c r="A3678">
        <v>20151204</v>
      </c>
      <c r="B3678" t="str">
        <f t="shared" si="250"/>
        <v>061267</v>
      </c>
      <c r="C3678" t="str">
        <f t="shared" si="251"/>
        <v>09170</v>
      </c>
      <c r="D3678" t="s">
        <v>596</v>
      </c>
      <c r="E3678" s="3">
        <v>101.34</v>
      </c>
      <c r="F3678">
        <v>20151203</v>
      </c>
      <c r="G3678" t="s">
        <v>1859</v>
      </c>
      <c r="H3678" t="s">
        <v>3196</v>
      </c>
      <c r="I3678">
        <v>0</v>
      </c>
      <c r="J3678" t="s">
        <v>1709</v>
      </c>
      <c r="K3678" t="s">
        <v>1861</v>
      </c>
      <c r="L3678" t="s">
        <v>285</v>
      </c>
      <c r="M3678" t="str">
        <f t="shared" si="247"/>
        <v>12</v>
      </c>
      <c r="N3678" t="s">
        <v>12</v>
      </c>
    </row>
    <row r="3679" spans="1:14" x14ac:dyDescent="0.25">
      <c r="A3679">
        <v>20151204</v>
      </c>
      <c r="B3679" t="str">
        <f t="shared" si="250"/>
        <v>061267</v>
      </c>
      <c r="C3679" t="str">
        <f t="shared" si="251"/>
        <v>09170</v>
      </c>
      <c r="D3679" t="s">
        <v>596</v>
      </c>
      <c r="E3679" s="3">
        <v>89.21</v>
      </c>
      <c r="F3679">
        <v>20151203</v>
      </c>
      <c r="G3679" t="s">
        <v>1859</v>
      </c>
      <c r="H3679" t="s">
        <v>2295</v>
      </c>
      <c r="I3679">
        <v>0</v>
      </c>
      <c r="J3679" t="s">
        <v>1709</v>
      </c>
      <c r="K3679" t="s">
        <v>1861</v>
      </c>
      <c r="L3679" t="s">
        <v>285</v>
      </c>
      <c r="M3679" t="str">
        <f t="shared" si="247"/>
        <v>12</v>
      </c>
      <c r="N3679" t="s">
        <v>12</v>
      </c>
    </row>
    <row r="3680" spans="1:14" x14ac:dyDescent="0.25">
      <c r="A3680">
        <v>20151204</v>
      </c>
      <c r="B3680" t="str">
        <f t="shared" si="250"/>
        <v>061267</v>
      </c>
      <c r="C3680" t="str">
        <f t="shared" si="251"/>
        <v>09170</v>
      </c>
      <c r="D3680" t="s">
        <v>596</v>
      </c>
      <c r="E3680" s="3">
        <v>366.44</v>
      </c>
      <c r="F3680">
        <v>20151203</v>
      </c>
      <c r="G3680" t="s">
        <v>1859</v>
      </c>
      <c r="H3680" t="s">
        <v>2295</v>
      </c>
      <c r="I3680">
        <v>0</v>
      </c>
      <c r="J3680" t="s">
        <v>1709</v>
      </c>
      <c r="K3680" t="s">
        <v>1861</v>
      </c>
      <c r="L3680" t="s">
        <v>285</v>
      </c>
      <c r="M3680" t="str">
        <f t="shared" si="247"/>
        <v>12</v>
      </c>
      <c r="N3680" t="s">
        <v>12</v>
      </c>
    </row>
    <row r="3681" spans="1:14" x14ac:dyDescent="0.25">
      <c r="A3681">
        <v>20151204</v>
      </c>
      <c r="B3681" t="str">
        <f t="shared" si="250"/>
        <v>061267</v>
      </c>
      <c r="C3681" t="str">
        <f t="shared" si="251"/>
        <v>09170</v>
      </c>
      <c r="D3681" t="s">
        <v>596</v>
      </c>
      <c r="E3681" s="3">
        <v>26.32</v>
      </c>
      <c r="F3681">
        <v>20151203</v>
      </c>
      <c r="G3681" t="s">
        <v>1859</v>
      </c>
      <c r="H3681" t="s">
        <v>3197</v>
      </c>
      <c r="I3681">
        <v>0</v>
      </c>
      <c r="J3681" t="s">
        <v>1709</v>
      </c>
      <c r="K3681" t="s">
        <v>1861</v>
      </c>
      <c r="L3681" t="s">
        <v>285</v>
      </c>
      <c r="M3681" t="str">
        <f t="shared" si="247"/>
        <v>12</v>
      </c>
      <c r="N3681" t="s">
        <v>12</v>
      </c>
    </row>
    <row r="3682" spans="1:14" x14ac:dyDescent="0.25">
      <c r="A3682">
        <v>20151204</v>
      </c>
      <c r="B3682" t="str">
        <f t="shared" si="250"/>
        <v>061267</v>
      </c>
      <c r="C3682" t="str">
        <f t="shared" si="251"/>
        <v>09170</v>
      </c>
      <c r="D3682" t="s">
        <v>596</v>
      </c>
      <c r="E3682" s="3">
        <v>79.94</v>
      </c>
      <c r="F3682">
        <v>20151203</v>
      </c>
      <c r="G3682" t="s">
        <v>3198</v>
      </c>
      <c r="H3682" t="s">
        <v>3199</v>
      </c>
      <c r="I3682">
        <v>0</v>
      </c>
      <c r="J3682" t="s">
        <v>1709</v>
      </c>
      <c r="K3682" t="s">
        <v>1861</v>
      </c>
      <c r="L3682" t="s">
        <v>285</v>
      </c>
      <c r="M3682" t="str">
        <f t="shared" si="247"/>
        <v>12</v>
      </c>
      <c r="N3682" t="s">
        <v>12</v>
      </c>
    </row>
    <row r="3683" spans="1:14" x14ac:dyDescent="0.25">
      <c r="A3683">
        <v>20151204</v>
      </c>
      <c r="B3683" t="str">
        <f t="shared" si="250"/>
        <v>061267</v>
      </c>
      <c r="C3683" t="str">
        <f t="shared" si="251"/>
        <v>09170</v>
      </c>
      <c r="D3683" t="s">
        <v>596</v>
      </c>
      <c r="E3683" s="3">
        <v>130</v>
      </c>
      <c r="F3683">
        <v>20151203</v>
      </c>
      <c r="G3683" t="s">
        <v>3200</v>
      </c>
      <c r="H3683" t="s">
        <v>3201</v>
      </c>
      <c r="I3683">
        <v>0</v>
      </c>
      <c r="J3683" t="s">
        <v>1709</v>
      </c>
      <c r="K3683" t="s">
        <v>1861</v>
      </c>
      <c r="L3683" t="s">
        <v>285</v>
      </c>
      <c r="M3683" t="str">
        <f t="shared" si="247"/>
        <v>12</v>
      </c>
      <c r="N3683" t="s">
        <v>12</v>
      </c>
    </row>
    <row r="3684" spans="1:14" x14ac:dyDescent="0.25">
      <c r="A3684">
        <v>20151204</v>
      </c>
      <c r="B3684" t="str">
        <f t="shared" si="250"/>
        <v>061267</v>
      </c>
      <c r="C3684" t="str">
        <f t="shared" si="251"/>
        <v>09170</v>
      </c>
      <c r="D3684" t="s">
        <v>596</v>
      </c>
      <c r="E3684" s="3">
        <v>169.03</v>
      </c>
      <c r="F3684">
        <v>20151203</v>
      </c>
      <c r="G3684" t="s">
        <v>2799</v>
      </c>
      <c r="H3684" t="s">
        <v>3202</v>
      </c>
      <c r="I3684">
        <v>0</v>
      </c>
      <c r="J3684" t="s">
        <v>1709</v>
      </c>
      <c r="K3684" t="s">
        <v>1861</v>
      </c>
      <c r="L3684" t="s">
        <v>285</v>
      </c>
      <c r="M3684" t="str">
        <f t="shared" si="247"/>
        <v>12</v>
      </c>
      <c r="N3684" t="s">
        <v>12</v>
      </c>
    </row>
    <row r="3685" spans="1:14" x14ac:dyDescent="0.25">
      <c r="A3685">
        <v>20151204</v>
      </c>
      <c r="B3685" t="str">
        <f t="shared" si="250"/>
        <v>061267</v>
      </c>
      <c r="C3685" t="str">
        <f t="shared" si="251"/>
        <v>09170</v>
      </c>
      <c r="D3685" t="s">
        <v>596</v>
      </c>
      <c r="E3685" s="3">
        <v>76.150000000000006</v>
      </c>
      <c r="F3685">
        <v>20151203</v>
      </c>
      <c r="G3685" t="s">
        <v>2799</v>
      </c>
      <c r="H3685" t="s">
        <v>3202</v>
      </c>
      <c r="I3685">
        <v>0</v>
      </c>
      <c r="J3685" t="s">
        <v>1709</v>
      </c>
      <c r="K3685" t="s">
        <v>1861</v>
      </c>
      <c r="L3685" t="s">
        <v>285</v>
      </c>
      <c r="M3685" t="str">
        <f t="shared" si="247"/>
        <v>12</v>
      </c>
      <c r="N3685" t="s">
        <v>12</v>
      </c>
    </row>
    <row r="3686" spans="1:14" x14ac:dyDescent="0.25">
      <c r="A3686">
        <v>20151204</v>
      </c>
      <c r="B3686" t="str">
        <f t="shared" si="250"/>
        <v>061267</v>
      </c>
      <c r="C3686" t="str">
        <f t="shared" si="251"/>
        <v>09170</v>
      </c>
      <c r="D3686" t="s">
        <v>596</v>
      </c>
      <c r="E3686" s="3">
        <v>39.96</v>
      </c>
      <c r="F3686">
        <v>20151203</v>
      </c>
      <c r="G3686" t="s">
        <v>2799</v>
      </c>
      <c r="H3686" t="s">
        <v>3202</v>
      </c>
      <c r="I3686">
        <v>0</v>
      </c>
      <c r="J3686" t="s">
        <v>1709</v>
      </c>
      <c r="K3686" t="s">
        <v>1861</v>
      </c>
      <c r="L3686" t="s">
        <v>285</v>
      </c>
      <c r="M3686" t="str">
        <f t="shared" si="247"/>
        <v>12</v>
      </c>
      <c r="N3686" t="s">
        <v>12</v>
      </c>
    </row>
    <row r="3687" spans="1:14" x14ac:dyDescent="0.25">
      <c r="A3687">
        <v>20151204</v>
      </c>
      <c r="B3687" t="str">
        <f t="shared" si="250"/>
        <v>061267</v>
      </c>
      <c r="C3687" t="str">
        <f t="shared" si="251"/>
        <v>09170</v>
      </c>
      <c r="D3687" t="s">
        <v>596</v>
      </c>
      <c r="E3687" s="3">
        <v>23.15</v>
      </c>
      <c r="F3687">
        <v>20151203</v>
      </c>
      <c r="G3687" t="s">
        <v>2799</v>
      </c>
      <c r="H3687" t="s">
        <v>3202</v>
      </c>
      <c r="I3687">
        <v>0</v>
      </c>
      <c r="J3687" t="s">
        <v>1709</v>
      </c>
      <c r="K3687" t="s">
        <v>1861</v>
      </c>
      <c r="L3687" t="s">
        <v>285</v>
      </c>
      <c r="M3687" t="str">
        <f t="shared" si="247"/>
        <v>12</v>
      </c>
      <c r="N3687" t="s">
        <v>12</v>
      </c>
    </row>
    <row r="3688" spans="1:14" x14ac:dyDescent="0.25">
      <c r="A3688">
        <v>20151204</v>
      </c>
      <c r="B3688" t="str">
        <f>"061268"</f>
        <v>061268</v>
      </c>
      <c r="C3688" t="str">
        <f>"10063"</f>
        <v>10063</v>
      </c>
      <c r="D3688" t="s">
        <v>1816</v>
      </c>
      <c r="E3688" s="3">
        <v>230.45</v>
      </c>
      <c r="F3688">
        <v>20151203</v>
      </c>
      <c r="G3688" t="s">
        <v>1961</v>
      </c>
      <c r="H3688" t="s">
        <v>3203</v>
      </c>
      <c r="I3688">
        <v>0</v>
      </c>
      <c r="J3688" t="s">
        <v>1709</v>
      </c>
      <c r="K3688" t="s">
        <v>290</v>
      </c>
      <c r="L3688" t="s">
        <v>285</v>
      </c>
      <c r="M3688" t="str">
        <f t="shared" si="247"/>
        <v>12</v>
      </c>
      <c r="N3688" t="s">
        <v>12</v>
      </c>
    </row>
    <row r="3689" spans="1:14" x14ac:dyDescent="0.25">
      <c r="A3689">
        <v>20151204</v>
      </c>
      <c r="B3689" t="str">
        <f>"061271"</f>
        <v>061271</v>
      </c>
      <c r="C3689" t="str">
        <f>"21158"</f>
        <v>21158</v>
      </c>
      <c r="D3689" t="s">
        <v>1721</v>
      </c>
      <c r="E3689" s="3">
        <v>58.54</v>
      </c>
      <c r="F3689">
        <v>20151203</v>
      </c>
      <c r="G3689" t="s">
        <v>3204</v>
      </c>
      <c r="H3689" t="s">
        <v>3205</v>
      </c>
      <c r="I3689">
        <v>0</v>
      </c>
      <c r="J3689" t="s">
        <v>1709</v>
      </c>
      <c r="K3689" t="s">
        <v>1643</v>
      </c>
      <c r="L3689" t="s">
        <v>285</v>
      </c>
      <c r="M3689" t="str">
        <f t="shared" si="247"/>
        <v>12</v>
      </c>
      <c r="N3689" t="s">
        <v>12</v>
      </c>
    </row>
    <row r="3690" spans="1:14" x14ac:dyDescent="0.25">
      <c r="A3690">
        <v>20151204</v>
      </c>
      <c r="B3690" t="str">
        <f>"061275"</f>
        <v>061275</v>
      </c>
      <c r="C3690" t="str">
        <f>"21842"</f>
        <v>21842</v>
      </c>
      <c r="D3690" t="s">
        <v>2455</v>
      </c>
      <c r="E3690" s="3">
        <v>137.28</v>
      </c>
      <c r="F3690">
        <v>20151203</v>
      </c>
      <c r="G3690" t="s">
        <v>2074</v>
      </c>
      <c r="H3690" t="s">
        <v>3206</v>
      </c>
      <c r="I3690">
        <v>0</v>
      </c>
      <c r="J3690" t="s">
        <v>1709</v>
      </c>
      <c r="K3690" t="s">
        <v>1861</v>
      </c>
      <c r="L3690" t="s">
        <v>285</v>
      </c>
      <c r="M3690" t="str">
        <f t="shared" si="247"/>
        <v>12</v>
      </c>
      <c r="N3690" t="s">
        <v>12</v>
      </c>
    </row>
    <row r="3691" spans="1:14" x14ac:dyDescent="0.25">
      <c r="A3691">
        <v>20151204</v>
      </c>
      <c r="B3691" t="str">
        <f>"061277"</f>
        <v>061277</v>
      </c>
      <c r="C3691" t="str">
        <f>"20416"</f>
        <v>20416</v>
      </c>
      <c r="D3691" t="s">
        <v>1727</v>
      </c>
      <c r="E3691" s="3">
        <v>180</v>
      </c>
      <c r="F3691">
        <v>20151203</v>
      </c>
      <c r="G3691" t="s">
        <v>1728</v>
      </c>
      <c r="H3691" t="s">
        <v>3207</v>
      </c>
      <c r="I3691">
        <v>0</v>
      </c>
      <c r="J3691" t="s">
        <v>1709</v>
      </c>
      <c r="K3691" t="s">
        <v>290</v>
      </c>
      <c r="L3691" t="s">
        <v>285</v>
      </c>
      <c r="M3691" t="str">
        <f t="shared" si="247"/>
        <v>12</v>
      </c>
      <c r="N3691" t="s">
        <v>12</v>
      </c>
    </row>
    <row r="3692" spans="1:14" x14ac:dyDescent="0.25">
      <c r="A3692">
        <v>20151204</v>
      </c>
      <c r="B3692" t="str">
        <f>"061278"</f>
        <v>061278</v>
      </c>
      <c r="C3692" t="str">
        <f>"20416"</f>
        <v>20416</v>
      </c>
      <c r="D3692" t="s">
        <v>1727</v>
      </c>
      <c r="E3692" s="3">
        <v>150</v>
      </c>
      <c r="F3692">
        <v>20151203</v>
      </c>
      <c r="G3692" t="s">
        <v>1728</v>
      </c>
      <c r="H3692" t="s">
        <v>3208</v>
      </c>
      <c r="I3692">
        <v>0</v>
      </c>
      <c r="J3692" t="s">
        <v>1709</v>
      </c>
      <c r="K3692" t="s">
        <v>290</v>
      </c>
      <c r="L3692" t="s">
        <v>285</v>
      </c>
      <c r="M3692" t="str">
        <f t="shared" si="247"/>
        <v>12</v>
      </c>
      <c r="N3692" t="s">
        <v>12</v>
      </c>
    </row>
    <row r="3693" spans="1:14" x14ac:dyDescent="0.25">
      <c r="A3693">
        <v>20151204</v>
      </c>
      <c r="B3693" t="str">
        <f>"061280"</f>
        <v>061280</v>
      </c>
      <c r="C3693" t="str">
        <f>"21091"</f>
        <v>21091</v>
      </c>
      <c r="D3693" t="s">
        <v>2855</v>
      </c>
      <c r="E3693" s="3">
        <v>604.51</v>
      </c>
      <c r="F3693">
        <v>20151203</v>
      </c>
      <c r="G3693" t="s">
        <v>1854</v>
      </c>
      <c r="H3693" t="s">
        <v>3209</v>
      </c>
      <c r="I3693">
        <v>0</v>
      </c>
      <c r="J3693" t="s">
        <v>1709</v>
      </c>
      <c r="K3693" t="s">
        <v>1856</v>
      </c>
      <c r="L3693" t="s">
        <v>285</v>
      </c>
      <c r="M3693" t="str">
        <f t="shared" si="247"/>
        <v>12</v>
      </c>
      <c r="N3693" t="s">
        <v>12</v>
      </c>
    </row>
    <row r="3694" spans="1:14" x14ac:dyDescent="0.25">
      <c r="A3694">
        <v>20151204</v>
      </c>
      <c r="B3694" t="str">
        <f>"061280"</f>
        <v>061280</v>
      </c>
      <c r="C3694" t="str">
        <f>"21091"</f>
        <v>21091</v>
      </c>
      <c r="D3694" t="s">
        <v>2855</v>
      </c>
      <c r="E3694" s="3">
        <v>531.70000000000005</v>
      </c>
      <c r="F3694">
        <v>20151203</v>
      </c>
      <c r="G3694" t="s">
        <v>1854</v>
      </c>
      <c r="H3694" t="s">
        <v>3209</v>
      </c>
      <c r="I3694">
        <v>0</v>
      </c>
      <c r="J3694" t="s">
        <v>1709</v>
      </c>
      <c r="K3694" t="s">
        <v>1856</v>
      </c>
      <c r="L3694" t="s">
        <v>285</v>
      </c>
      <c r="M3694" t="str">
        <f t="shared" si="247"/>
        <v>12</v>
      </c>
      <c r="N3694" t="s">
        <v>12</v>
      </c>
    </row>
    <row r="3695" spans="1:14" x14ac:dyDescent="0.25">
      <c r="A3695">
        <v>20151204</v>
      </c>
      <c r="B3695" t="str">
        <f>"061280"</f>
        <v>061280</v>
      </c>
      <c r="C3695" t="str">
        <f>"21091"</f>
        <v>21091</v>
      </c>
      <c r="D3695" t="s">
        <v>2855</v>
      </c>
      <c r="E3695" s="3">
        <v>503.66</v>
      </c>
      <c r="F3695">
        <v>20151203</v>
      </c>
      <c r="G3695" t="s">
        <v>1854</v>
      </c>
      <c r="H3695" t="s">
        <v>3210</v>
      </c>
      <c r="I3695">
        <v>0</v>
      </c>
      <c r="J3695" t="s">
        <v>1709</v>
      </c>
      <c r="K3695" t="s">
        <v>1856</v>
      </c>
      <c r="L3695" t="s">
        <v>285</v>
      </c>
      <c r="M3695" t="str">
        <f t="shared" si="247"/>
        <v>12</v>
      </c>
      <c r="N3695" t="s">
        <v>12</v>
      </c>
    </row>
    <row r="3696" spans="1:14" x14ac:dyDescent="0.25">
      <c r="A3696">
        <v>20151204</v>
      </c>
      <c r="B3696" t="str">
        <f>"061281"</f>
        <v>061281</v>
      </c>
      <c r="C3696" t="str">
        <f>"21098"</f>
        <v>21098</v>
      </c>
      <c r="D3696" t="s">
        <v>2261</v>
      </c>
      <c r="E3696" s="3">
        <v>569.30999999999995</v>
      </c>
      <c r="F3696">
        <v>20151203</v>
      </c>
      <c r="G3696" t="s">
        <v>3211</v>
      </c>
      <c r="H3696" t="s">
        <v>2169</v>
      </c>
      <c r="I3696">
        <v>0</v>
      </c>
      <c r="J3696" t="s">
        <v>1709</v>
      </c>
      <c r="K3696" t="s">
        <v>1643</v>
      </c>
      <c r="L3696" t="s">
        <v>285</v>
      </c>
      <c r="M3696" t="str">
        <f t="shared" si="247"/>
        <v>12</v>
      </c>
      <c r="N3696" t="s">
        <v>12</v>
      </c>
    </row>
    <row r="3697" spans="1:14" x14ac:dyDescent="0.25">
      <c r="A3697">
        <v>20151204</v>
      </c>
      <c r="B3697" t="str">
        <f>"061281"</f>
        <v>061281</v>
      </c>
      <c r="C3697" t="str">
        <f>"21098"</f>
        <v>21098</v>
      </c>
      <c r="D3697" t="s">
        <v>2261</v>
      </c>
      <c r="E3697" s="3">
        <v>250.1</v>
      </c>
      <c r="F3697">
        <v>20151203</v>
      </c>
      <c r="G3697" t="s">
        <v>2262</v>
      </c>
      <c r="H3697" t="s">
        <v>595</v>
      </c>
      <c r="I3697">
        <v>0</v>
      </c>
      <c r="J3697" t="s">
        <v>1709</v>
      </c>
      <c r="K3697" t="s">
        <v>1643</v>
      </c>
      <c r="L3697" t="s">
        <v>285</v>
      </c>
      <c r="M3697" t="str">
        <f t="shared" si="247"/>
        <v>12</v>
      </c>
      <c r="N3697" t="s">
        <v>12</v>
      </c>
    </row>
    <row r="3698" spans="1:14" x14ac:dyDescent="0.25">
      <c r="A3698">
        <v>20151204</v>
      </c>
      <c r="B3698" t="str">
        <f>"061281"</f>
        <v>061281</v>
      </c>
      <c r="C3698" t="str">
        <f>"21098"</f>
        <v>21098</v>
      </c>
      <c r="D3698" t="s">
        <v>2261</v>
      </c>
      <c r="E3698" s="3">
        <v>111.52</v>
      </c>
      <c r="F3698">
        <v>20151203</v>
      </c>
      <c r="G3698" t="s">
        <v>2264</v>
      </c>
      <c r="H3698" t="s">
        <v>595</v>
      </c>
      <c r="I3698">
        <v>0</v>
      </c>
      <c r="J3698" t="s">
        <v>1709</v>
      </c>
      <c r="K3698" t="s">
        <v>1643</v>
      </c>
      <c r="L3698" t="s">
        <v>285</v>
      </c>
      <c r="M3698" t="str">
        <f t="shared" si="247"/>
        <v>12</v>
      </c>
      <c r="N3698" t="s">
        <v>12</v>
      </c>
    </row>
    <row r="3699" spans="1:14" x14ac:dyDescent="0.25">
      <c r="A3699">
        <v>20151204</v>
      </c>
      <c r="B3699" t="str">
        <f>"061284"</f>
        <v>061284</v>
      </c>
      <c r="C3699" t="str">
        <f>"25855"</f>
        <v>25855</v>
      </c>
      <c r="D3699" t="s">
        <v>3212</v>
      </c>
      <c r="E3699" s="3">
        <v>360</v>
      </c>
      <c r="F3699">
        <v>20151204</v>
      </c>
      <c r="G3699" t="s">
        <v>2640</v>
      </c>
      <c r="H3699" t="s">
        <v>3213</v>
      </c>
      <c r="I3699">
        <v>0</v>
      </c>
      <c r="J3699" t="s">
        <v>1709</v>
      </c>
      <c r="K3699" t="s">
        <v>290</v>
      </c>
      <c r="L3699" t="s">
        <v>285</v>
      </c>
      <c r="M3699" t="str">
        <f t="shared" si="247"/>
        <v>12</v>
      </c>
      <c r="N3699" t="s">
        <v>12</v>
      </c>
    </row>
    <row r="3700" spans="1:14" x14ac:dyDescent="0.25">
      <c r="A3700">
        <v>20151204</v>
      </c>
      <c r="B3700" t="str">
        <f>"061284"</f>
        <v>061284</v>
      </c>
      <c r="C3700" t="str">
        <f>"25855"</f>
        <v>25855</v>
      </c>
      <c r="D3700" t="s">
        <v>3212</v>
      </c>
      <c r="E3700" s="3">
        <v>30</v>
      </c>
      <c r="F3700">
        <v>20151203</v>
      </c>
      <c r="G3700" t="s">
        <v>2642</v>
      </c>
      <c r="H3700" t="s">
        <v>3213</v>
      </c>
      <c r="I3700">
        <v>0</v>
      </c>
      <c r="J3700" t="s">
        <v>1709</v>
      </c>
      <c r="K3700" t="s">
        <v>290</v>
      </c>
      <c r="L3700" t="s">
        <v>285</v>
      </c>
      <c r="M3700" t="str">
        <f t="shared" si="247"/>
        <v>12</v>
      </c>
      <c r="N3700" t="s">
        <v>12</v>
      </c>
    </row>
    <row r="3701" spans="1:14" x14ac:dyDescent="0.25">
      <c r="A3701">
        <v>20151204</v>
      </c>
      <c r="B3701" t="str">
        <f>"061286"</f>
        <v>061286</v>
      </c>
      <c r="C3701" t="str">
        <f>"25165"</f>
        <v>25165</v>
      </c>
      <c r="D3701" t="s">
        <v>1563</v>
      </c>
      <c r="E3701" s="3">
        <v>1164.6199999999999</v>
      </c>
      <c r="F3701">
        <v>20151203</v>
      </c>
      <c r="G3701" t="s">
        <v>2133</v>
      </c>
      <c r="H3701" t="s">
        <v>3214</v>
      </c>
      <c r="I3701">
        <v>0</v>
      </c>
      <c r="J3701" t="s">
        <v>1709</v>
      </c>
      <c r="K3701" t="s">
        <v>290</v>
      </c>
      <c r="L3701" t="s">
        <v>285</v>
      </c>
      <c r="M3701" t="str">
        <f t="shared" si="247"/>
        <v>12</v>
      </c>
      <c r="N3701" t="s">
        <v>12</v>
      </c>
    </row>
    <row r="3702" spans="1:14" x14ac:dyDescent="0.25">
      <c r="A3702">
        <v>20151204</v>
      </c>
      <c r="B3702" t="str">
        <f>"061287"</f>
        <v>061287</v>
      </c>
      <c r="C3702" t="str">
        <f>"25221"</f>
        <v>25221</v>
      </c>
      <c r="D3702" t="s">
        <v>2099</v>
      </c>
      <c r="E3702" s="3">
        <v>133.49</v>
      </c>
      <c r="F3702">
        <v>20151203</v>
      </c>
      <c r="G3702" t="s">
        <v>2794</v>
      </c>
      <c r="H3702" t="s">
        <v>2644</v>
      </c>
      <c r="I3702">
        <v>0</v>
      </c>
      <c r="J3702" t="s">
        <v>1709</v>
      </c>
      <c r="K3702" t="s">
        <v>33</v>
      </c>
      <c r="L3702" t="s">
        <v>285</v>
      </c>
      <c r="M3702" t="str">
        <f t="shared" si="247"/>
        <v>12</v>
      </c>
      <c r="N3702" t="s">
        <v>12</v>
      </c>
    </row>
    <row r="3703" spans="1:14" x14ac:dyDescent="0.25">
      <c r="A3703">
        <v>20151204</v>
      </c>
      <c r="B3703" t="str">
        <f>"061288"</f>
        <v>061288</v>
      </c>
      <c r="C3703" t="str">
        <f>"53040"</f>
        <v>53040</v>
      </c>
      <c r="D3703" t="s">
        <v>3215</v>
      </c>
      <c r="E3703" s="3">
        <v>9481.43</v>
      </c>
      <c r="F3703">
        <v>20151203</v>
      </c>
      <c r="G3703" t="s">
        <v>2281</v>
      </c>
      <c r="H3703" t="s">
        <v>3216</v>
      </c>
      <c r="I3703">
        <v>0</v>
      </c>
      <c r="J3703" t="s">
        <v>1709</v>
      </c>
      <c r="K3703" t="s">
        <v>290</v>
      </c>
      <c r="L3703" t="s">
        <v>285</v>
      </c>
      <c r="M3703" t="str">
        <f t="shared" si="247"/>
        <v>12</v>
      </c>
      <c r="N3703" t="s">
        <v>12</v>
      </c>
    </row>
    <row r="3704" spans="1:14" x14ac:dyDescent="0.25">
      <c r="A3704">
        <v>20151204</v>
      </c>
      <c r="B3704" t="str">
        <f>"061288"</f>
        <v>061288</v>
      </c>
      <c r="C3704" t="str">
        <f>"53040"</f>
        <v>53040</v>
      </c>
      <c r="D3704" t="s">
        <v>3215</v>
      </c>
      <c r="E3704" s="3">
        <v>135</v>
      </c>
      <c r="F3704">
        <v>20151203</v>
      </c>
      <c r="G3704" t="s">
        <v>3217</v>
      </c>
      <c r="H3704" t="s">
        <v>3218</v>
      </c>
      <c r="I3704">
        <v>0</v>
      </c>
      <c r="J3704" t="s">
        <v>1709</v>
      </c>
      <c r="K3704" t="s">
        <v>1558</v>
      </c>
      <c r="L3704" t="s">
        <v>285</v>
      </c>
      <c r="M3704" t="str">
        <f t="shared" si="247"/>
        <v>12</v>
      </c>
      <c r="N3704" t="s">
        <v>12</v>
      </c>
    </row>
    <row r="3705" spans="1:14" x14ac:dyDescent="0.25">
      <c r="A3705">
        <v>20151204</v>
      </c>
      <c r="B3705" t="str">
        <f>"061290"</f>
        <v>061290</v>
      </c>
      <c r="C3705" t="str">
        <f>"27134"</f>
        <v>27134</v>
      </c>
      <c r="D3705" t="s">
        <v>3219</v>
      </c>
      <c r="E3705" s="3">
        <v>473.49</v>
      </c>
      <c r="F3705">
        <v>20151203</v>
      </c>
      <c r="G3705" t="s">
        <v>2652</v>
      </c>
      <c r="H3705" t="s">
        <v>3220</v>
      </c>
      <c r="I3705">
        <v>0</v>
      </c>
      <c r="J3705" t="s">
        <v>1709</v>
      </c>
      <c r="K3705" t="s">
        <v>1861</v>
      </c>
      <c r="L3705" t="s">
        <v>285</v>
      </c>
      <c r="M3705" t="str">
        <f t="shared" si="247"/>
        <v>12</v>
      </c>
      <c r="N3705" t="s">
        <v>12</v>
      </c>
    </row>
    <row r="3706" spans="1:14" x14ac:dyDescent="0.25">
      <c r="A3706">
        <v>20151204</v>
      </c>
      <c r="B3706" t="str">
        <f>"061290"</f>
        <v>061290</v>
      </c>
      <c r="C3706" t="str">
        <f>"27134"</f>
        <v>27134</v>
      </c>
      <c r="D3706" t="s">
        <v>3219</v>
      </c>
      <c r="E3706" s="3">
        <v>-473.49</v>
      </c>
      <c r="F3706">
        <v>20151211</v>
      </c>
      <c r="G3706" t="s">
        <v>2652</v>
      </c>
      <c r="H3706" t="s">
        <v>228</v>
      </c>
      <c r="I3706">
        <v>0</v>
      </c>
      <c r="J3706" t="s">
        <v>1709</v>
      </c>
      <c r="K3706" t="s">
        <v>1861</v>
      </c>
      <c r="L3706" t="s">
        <v>17</v>
      </c>
      <c r="M3706" t="str">
        <f t="shared" si="247"/>
        <v>12</v>
      </c>
      <c r="N3706" t="s">
        <v>12</v>
      </c>
    </row>
    <row r="3707" spans="1:14" x14ac:dyDescent="0.25">
      <c r="A3707">
        <v>20151204</v>
      </c>
      <c r="B3707" t="str">
        <f>"061294"</f>
        <v>061294</v>
      </c>
      <c r="C3707" t="str">
        <f>"28825"</f>
        <v>28825</v>
      </c>
      <c r="D3707" t="s">
        <v>1852</v>
      </c>
      <c r="E3707" s="3">
        <v>168.41</v>
      </c>
      <c r="F3707">
        <v>20151203</v>
      </c>
      <c r="G3707" t="s">
        <v>1854</v>
      </c>
      <c r="H3707" t="s">
        <v>3221</v>
      </c>
      <c r="I3707">
        <v>0</v>
      </c>
      <c r="J3707" t="s">
        <v>1709</v>
      </c>
      <c r="K3707" t="s">
        <v>1856</v>
      </c>
      <c r="L3707" t="s">
        <v>285</v>
      </c>
      <c r="M3707" t="str">
        <f t="shared" si="247"/>
        <v>12</v>
      </c>
      <c r="N3707" t="s">
        <v>12</v>
      </c>
    </row>
    <row r="3708" spans="1:14" x14ac:dyDescent="0.25">
      <c r="A3708">
        <v>20151204</v>
      </c>
      <c r="B3708" t="str">
        <f>"061295"</f>
        <v>061295</v>
      </c>
      <c r="C3708" t="str">
        <f>"29500"</f>
        <v>29500</v>
      </c>
      <c r="D3708" t="s">
        <v>1698</v>
      </c>
      <c r="E3708" s="3">
        <v>88.2</v>
      </c>
      <c r="F3708">
        <v>20151203</v>
      </c>
      <c r="G3708" t="s">
        <v>1859</v>
      </c>
      <c r="H3708" t="s">
        <v>3222</v>
      </c>
      <c r="I3708">
        <v>0</v>
      </c>
      <c r="J3708" t="s">
        <v>1709</v>
      </c>
      <c r="K3708" t="s">
        <v>1861</v>
      </c>
      <c r="L3708" t="s">
        <v>285</v>
      </c>
      <c r="M3708" t="str">
        <f t="shared" si="247"/>
        <v>12</v>
      </c>
      <c r="N3708" t="s">
        <v>12</v>
      </c>
    </row>
    <row r="3709" spans="1:14" x14ac:dyDescent="0.25">
      <c r="A3709">
        <v>20151204</v>
      </c>
      <c r="B3709" t="str">
        <f>"061295"</f>
        <v>061295</v>
      </c>
      <c r="C3709" t="str">
        <f>"29500"</f>
        <v>29500</v>
      </c>
      <c r="D3709" t="s">
        <v>1698</v>
      </c>
      <c r="E3709" s="3">
        <v>648.22</v>
      </c>
      <c r="F3709">
        <v>20151203</v>
      </c>
      <c r="G3709" t="s">
        <v>1859</v>
      </c>
      <c r="H3709" t="s">
        <v>3223</v>
      </c>
      <c r="I3709">
        <v>0</v>
      </c>
      <c r="J3709" t="s">
        <v>1709</v>
      </c>
      <c r="K3709" t="s">
        <v>1861</v>
      </c>
      <c r="L3709" t="s">
        <v>285</v>
      </c>
      <c r="M3709" t="str">
        <f t="shared" si="247"/>
        <v>12</v>
      </c>
      <c r="N3709" t="s">
        <v>12</v>
      </c>
    </row>
    <row r="3710" spans="1:14" x14ac:dyDescent="0.25">
      <c r="A3710">
        <v>20151204</v>
      </c>
      <c r="B3710" t="str">
        <f>"061296"</f>
        <v>061296</v>
      </c>
      <c r="C3710" t="str">
        <f>"29548"</f>
        <v>29548</v>
      </c>
      <c r="D3710" t="s">
        <v>1862</v>
      </c>
      <c r="E3710" s="3">
        <v>686.8</v>
      </c>
      <c r="F3710">
        <v>20151203</v>
      </c>
      <c r="G3710" t="s">
        <v>1859</v>
      </c>
      <c r="H3710" t="s">
        <v>2295</v>
      </c>
      <c r="I3710">
        <v>0</v>
      </c>
      <c r="J3710" t="s">
        <v>1709</v>
      </c>
      <c r="K3710" t="s">
        <v>1861</v>
      </c>
      <c r="L3710" t="s">
        <v>285</v>
      </c>
      <c r="M3710" t="str">
        <f t="shared" si="247"/>
        <v>12</v>
      </c>
      <c r="N3710" t="s">
        <v>12</v>
      </c>
    </row>
    <row r="3711" spans="1:14" x14ac:dyDescent="0.25">
      <c r="A3711">
        <v>20151204</v>
      </c>
      <c r="B3711" t="str">
        <f>"061296"</f>
        <v>061296</v>
      </c>
      <c r="C3711" t="str">
        <f>"29548"</f>
        <v>29548</v>
      </c>
      <c r="D3711" t="s">
        <v>1862</v>
      </c>
      <c r="E3711" s="3">
        <v>1198.5</v>
      </c>
      <c r="F3711">
        <v>20151203</v>
      </c>
      <c r="G3711" t="s">
        <v>1859</v>
      </c>
      <c r="H3711" t="s">
        <v>3224</v>
      </c>
      <c r="I3711">
        <v>0</v>
      </c>
      <c r="J3711" t="s">
        <v>1709</v>
      </c>
      <c r="K3711" t="s">
        <v>1861</v>
      </c>
      <c r="L3711" t="s">
        <v>285</v>
      </c>
      <c r="M3711" t="str">
        <f t="shared" ref="M3711:M3774" si="252">"12"</f>
        <v>12</v>
      </c>
      <c r="N3711" t="s">
        <v>12</v>
      </c>
    </row>
    <row r="3712" spans="1:14" x14ac:dyDescent="0.25">
      <c r="A3712">
        <v>20151204</v>
      </c>
      <c r="B3712" t="str">
        <f>"061296"</f>
        <v>061296</v>
      </c>
      <c r="C3712" t="str">
        <f>"29548"</f>
        <v>29548</v>
      </c>
      <c r="D3712" t="s">
        <v>1862</v>
      </c>
      <c r="E3712" s="3">
        <v>162.43</v>
      </c>
      <c r="F3712">
        <v>20151203</v>
      </c>
      <c r="G3712" t="s">
        <v>1859</v>
      </c>
      <c r="H3712" t="s">
        <v>3225</v>
      </c>
      <c r="I3712">
        <v>0</v>
      </c>
      <c r="J3712" t="s">
        <v>1709</v>
      </c>
      <c r="K3712" t="s">
        <v>1861</v>
      </c>
      <c r="L3712" t="s">
        <v>285</v>
      </c>
      <c r="M3712" t="str">
        <f t="shared" si="252"/>
        <v>12</v>
      </c>
      <c r="N3712" t="s">
        <v>12</v>
      </c>
    </row>
    <row r="3713" spans="1:14" x14ac:dyDescent="0.25">
      <c r="A3713">
        <v>20151204</v>
      </c>
      <c r="B3713" t="str">
        <f>"061297"</f>
        <v>061297</v>
      </c>
      <c r="C3713" t="str">
        <f>"29622"</f>
        <v>29622</v>
      </c>
      <c r="D3713" t="s">
        <v>1734</v>
      </c>
      <c r="E3713" s="3">
        <v>5.24</v>
      </c>
      <c r="F3713">
        <v>20151203</v>
      </c>
      <c r="G3713" t="s">
        <v>3226</v>
      </c>
      <c r="H3713" t="s">
        <v>3227</v>
      </c>
      <c r="I3713">
        <v>0</v>
      </c>
      <c r="J3713" t="s">
        <v>1709</v>
      </c>
      <c r="K3713" t="s">
        <v>2377</v>
      </c>
      <c r="L3713" t="s">
        <v>285</v>
      </c>
      <c r="M3713" t="str">
        <f t="shared" si="252"/>
        <v>12</v>
      </c>
      <c r="N3713" t="s">
        <v>12</v>
      </c>
    </row>
    <row r="3714" spans="1:14" x14ac:dyDescent="0.25">
      <c r="A3714">
        <v>20151204</v>
      </c>
      <c r="B3714" t="str">
        <f>"061297"</f>
        <v>061297</v>
      </c>
      <c r="C3714" t="str">
        <f>"29622"</f>
        <v>29622</v>
      </c>
      <c r="D3714" t="s">
        <v>1734</v>
      </c>
      <c r="E3714" s="3">
        <v>5.24</v>
      </c>
      <c r="F3714">
        <v>20151203</v>
      </c>
      <c r="G3714" t="s">
        <v>3226</v>
      </c>
      <c r="H3714" t="s">
        <v>3227</v>
      </c>
      <c r="I3714">
        <v>0</v>
      </c>
      <c r="J3714" t="s">
        <v>1709</v>
      </c>
      <c r="K3714" t="s">
        <v>2377</v>
      </c>
      <c r="L3714" t="s">
        <v>285</v>
      </c>
      <c r="M3714" t="str">
        <f t="shared" si="252"/>
        <v>12</v>
      </c>
      <c r="N3714" t="s">
        <v>12</v>
      </c>
    </row>
    <row r="3715" spans="1:14" x14ac:dyDescent="0.25">
      <c r="A3715">
        <v>20151204</v>
      </c>
      <c r="B3715" t="str">
        <f>"061297"</f>
        <v>061297</v>
      </c>
      <c r="C3715" t="str">
        <f>"29622"</f>
        <v>29622</v>
      </c>
      <c r="D3715" t="s">
        <v>1734</v>
      </c>
      <c r="E3715" s="3">
        <v>7.33</v>
      </c>
      <c r="F3715">
        <v>20151203</v>
      </c>
      <c r="G3715" t="s">
        <v>3226</v>
      </c>
      <c r="H3715" t="s">
        <v>3228</v>
      </c>
      <c r="I3715">
        <v>0</v>
      </c>
      <c r="J3715" t="s">
        <v>1709</v>
      </c>
      <c r="K3715" t="s">
        <v>2377</v>
      </c>
      <c r="L3715" t="s">
        <v>285</v>
      </c>
      <c r="M3715" t="str">
        <f t="shared" si="252"/>
        <v>12</v>
      </c>
      <c r="N3715" t="s">
        <v>12</v>
      </c>
    </row>
    <row r="3716" spans="1:14" x14ac:dyDescent="0.25">
      <c r="A3716">
        <v>20151204</v>
      </c>
      <c r="B3716" t="str">
        <f>"061298"</f>
        <v>061298</v>
      </c>
      <c r="C3716" t="str">
        <f>"29680"</f>
        <v>29680</v>
      </c>
      <c r="D3716" t="s">
        <v>653</v>
      </c>
      <c r="E3716" s="3">
        <v>135.27000000000001</v>
      </c>
      <c r="F3716">
        <v>20151203</v>
      </c>
      <c r="G3716" t="s">
        <v>1961</v>
      </c>
      <c r="H3716" t="s">
        <v>3229</v>
      </c>
      <c r="I3716">
        <v>0</v>
      </c>
      <c r="J3716" t="s">
        <v>1709</v>
      </c>
      <c r="K3716" t="s">
        <v>290</v>
      </c>
      <c r="L3716" t="s">
        <v>285</v>
      </c>
      <c r="M3716" t="str">
        <f t="shared" si="252"/>
        <v>12</v>
      </c>
      <c r="N3716" t="s">
        <v>12</v>
      </c>
    </row>
    <row r="3717" spans="1:14" x14ac:dyDescent="0.25">
      <c r="A3717">
        <v>20151204</v>
      </c>
      <c r="B3717" t="str">
        <f>"061299"</f>
        <v>061299</v>
      </c>
      <c r="C3717" t="str">
        <f>"06470"</f>
        <v>06470</v>
      </c>
      <c r="D3717" t="s">
        <v>2654</v>
      </c>
      <c r="E3717" s="3">
        <v>945.6</v>
      </c>
      <c r="F3717">
        <v>20151203</v>
      </c>
      <c r="G3717" t="s">
        <v>2164</v>
      </c>
      <c r="H3717" t="s">
        <v>3230</v>
      </c>
      <c r="I3717">
        <v>0</v>
      </c>
      <c r="J3717" t="s">
        <v>1709</v>
      </c>
      <c r="K3717" t="s">
        <v>1861</v>
      </c>
      <c r="L3717" t="s">
        <v>285</v>
      </c>
      <c r="M3717" t="str">
        <f t="shared" si="252"/>
        <v>12</v>
      </c>
      <c r="N3717" t="s">
        <v>12</v>
      </c>
    </row>
    <row r="3718" spans="1:14" x14ac:dyDescent="0.25">
      <c r="A3718">
        <v>20151204</v>
      </c>
      <c r="B3718" t="str">
        <f>"061299"</f>
        <v>061299</v>
      </c>
      <c r="C3718" t="str">
        <f>"06470"</f>
        <v>06470</v>
      </c>
      <c r="D3718" t="s">
        <v>2654</v>
      </c>
      <c r="E3718" s="3">
        <v>352.62</v>
      </c>
      <c r="F3718">
        <v>20151203</v>
      </c>
      <c r="G3718" t="s">
        <v>2164</v>
      </c>
      <c r="H3718" t="s">
        <v>3231</v>
      </c>
      <c r="I3718">
        <v>0</v>
      </c>
      <c r="J3718" t="s">
        <v>1709</v>
      </c>
      <c r="K3718" t="s">
        <v>1861</v>
      </c>
      <c r="L3718" t="s">
        <v>285</v>
      </c>
      <c r="M3718" t="str">
        <f t="shared" si="252"/>
        <v>12</v>
      </c>
      <c r="N3718" t="s">
        <v>12</v>
      </c>
    </row>
    <row r="3719" spans="1:14" x14ac:dyDescent="0.25">
      <c r="A3719">
        <v>20151204</v>
      </c>
      <c r="B3719" t="str">
        <f>"061299"</f>
        <v>061299</v>
      </c>
      <c r="C3719" t="str">
        <f>"06470"</f>
        <v>06470</v>
      </c>
      <c r="D3719" t="s">
        <v>2654</v>
      </c>
      <c r="E3719" s="3">
        <v>627.26</v>
      </c>
      <c r="F3719">
        <v>20151203</v>
      </c>
      <c r="G3719" t="s">
        <v>2164</v>
      </c>
      <c r="H3719" t="s">
        <v>3232</v>
      </c>
      <c r="I3719">
        <v>0</v>
      </c>
      <c r="J3719" t="s">
        <v>1709</v>
      </c>
      <c r="K3719" t="s">
        <v>1861</v>
      </c>
      <c r="L3719" t="s">
        <v>285</v>
      </c>
      <c r="M3719" t="str">
        <f t="shared" si="252"/>
        <v>12</v>
      </c>
      <c r="N3719" t="s">
        <v>12</v>
      </c>
    </row>
    <row r="3720" spans="1:14" x14ac:dyDescent="0.25">
      <c r="A3720">
        <v>20151204</v>
      </c>
      <c r="B3720" t="str">
        <f>"061303"</f>
        <v>061303</v>
      </c>
      <c r="C3720" t="str">
        <f>"34226"</f>
        <v>34226</v>
      </c>
      <c r="D3720" t="s">
        <v>1976</v>
      </c>
      <c r="E3720" s="3">
        <v>286.05</v>
      </c>
      <c r="F3720">
        <v>20151203</v>
      </c>
      <c r="G3720" t="s">
        <v>3233</v>
      </c>
      <c r="H3720" t="s">
        <v>3234</v>
      </c>
      <c r="I3720">
        <v>0</v>
      </c>
      <c r="J3720" t="s">
        <v>1709</v>
      </c>
      <c r="K3720" t="s">
        <v>290</v>
      </c>
      <c r="L3720" t="s">
        <v>285</v>
      </c>
      <c r="M3720" t="str">
        <f t="shared" si="252"/>
        <v>12</v>
      </c>
      <c r="N3720" t="s">
        <v>12</v>
      </c>
    </row>
    <row r="3721" spans="1:14" x14ac:dyDescent="0.25">
      <c r="A3721">
        <v>20151204</v>
      </c>
      <c r="B3721" t="str">
        <f>"061303"</f>
        <v>061303</v>
      </c>
      <c r="C3721" t="str">
        <f>"34226"</f>
        <v>34226</v>
      </c>
      <c r="D3721" t="s">
        <v>1976</v>
      </c>
      <c r="E3721" s="3">
        <v>212.06</v>
      </c>
      <c r="F3721">
        <v>20151203</v>
      </c>
      <c r="G3721" t="s">
        <v>3233</v>
      </c>
      <c r="H3721" t="s">
        <v>3235</v>
      </c>
      <c r="I3721">
        <v>0</v>
      </c>
      <c r="J3721" t="s">
        <v>1709</v>
      </c>
      <c r="K3721" t="s">
        <v>290</v>
      </c>
      <c r="L3721" t="s">
        <v>285</v>
      </c>
      <c r="M3721" t="str">
        <f t="shared" si="252"/>
        <v>12</v>
      </c>
      <c r="N3721" t="s">
        <v>12</v>
      </c>
    </row>
    <row r="3722" spans="1:14" x14ac:dyDescent="0.25">
      <c r="A3722">
        <v>20151204</v>
      </c>
      <c r="B3722" t="str">
        <f>"061304"</f>
        <v>061304</v>
      </c>
      <c r="C3722" t="str">
        <f>"34680"</f>
        <v>34680</v>
      </c>
      <c r="D3722" t="s">
        <v>1683</v>
      </c>
      <c r="E3722" s="3">
        <v>48</v>
      </c>
      <c r="F3722">
        <v>20151203</v>
      </c>
      <c r="G3722" t="s">
        <v>2230</v>
      </c>
      <c r="H3722" t="s">
        <v>3236</v>
      </c>
      <c r="I3722">
        <v>0</v>
      </c>
      <c r="J3722" t="s">
        <v>1709</v>
      </c>
      <c r="K3722" t="s">
        <v>1643</v>
      </c>
      <c r="L3722" t="s">
        <v>285</v>
      </c>
      <c r="M3722" t="str">
        <f t="shared" si="252"/>
        <v>12</v>
      </c>
      <c r="N3722" t="s">
        <v>12</v>
      </c>
    </row>
    <row r="3723" spans="1:14" x14ac:dyDescent="0.25">
      <c r="A3723">
        <v>20151204</v>
      </c>
      <c r="B3723" t="str">
        <f>"061311"</f>
        <v>061311</v>
      </c>
      <c r="C3723" t="str">
        <f>"43552"</f>
        <v>43552</v>
      </c>
      <c r="D3723" t="s">
        <v>3237</v>
      </c>
      <c r="E3723" s="3">
        <v>160</v>
      </c>
      <c r="F3723">
        <v>20151203</v>
      </c>
      <c r="G3723" t="s">
        <v>3238</v>
      </c>
      <c r="H3723" t="s">
        <v>3239</v>
      </c>
      <c r="I3723">
        <v>0</v>
      </c>
      <c r="J3723" t="s">
        <v>1709</v>
      </c>
      <c r="K3723" t="s">
        <v>1893</v>
      </c>
      <c r="L3723" t="s">
        <v>285</v>
      </c>
      <c r="M3723" t="str">
        <f t="shared" si="252"/>
        <v>12</v>
      </c>
      <c r="N3723" t="s">
        <v>12</v>
      </c>
    </row>
    <row r="3724" spans="1:14" x14ac:dyDescent="0.25">
      <c r="A3724">
        <v>20151204</v>
      </c>
      <c r="B3724" t="str">
        <f>"061312"</f>
        <v>061312</v>
      </c>
      <c r="C3724" t="str">
        <f>"45093"</f>
        <v>45093</v>
      </c>
      <c r="D3724" t="s">
        <v>538</v>
      </c>
      <c r="E3724" s="3">
        <v>62.49</v>
      </c>
      <c r="F3724">
        <v>20151203</v>
      </c>
      <c r="G3724" t="s">
        <v>2626</v>
      </c>
      <c r="H3724" t="s">
        <v>3240</v>
      </c>
      <c r="I3724">
        <v>0</v>
      </c>
      <c r="J3724" t="s">
        <v>1709</v>
      </c>
      <c r="K3724" t="s">
        <v>290</v>
      </c>
      <c r="L3724" t="s">
        <v>285</v>
      </c>
      <c r="M3724" t="str">
        <f t="shared" si="252"/>
        <v>12</v>
      </c>
      <c r="N3724" t="s">
        <v>12</v>
      </c>
    </row>
    <row r="3725" spans="1:14" x14ac:dyDescent="0.25">
      <c r="A3725">
        <v>20151204</v>
      </c>
      <c r="B3725" t="str">
        <f>"061313"</f>
        <v>061313</v>
      </c>
      <c r="C3725" t="str">
        <f>"45492"</f>
        <v>45492</v>
      </c>
      <c r="D3725" t="s">
        <v>3241</v>
      </c>
      <c r="E3725" s="3">
        <v>72.39</v>
      </c>
      <c r="F3725">
        <v>20151203</v>
      </c>
      <c r="G3725" t="s">
        <v>1859</v>
      </c>
      <c r="H3725" t="s">
        <v>3242</v>
      </c>
      <c r="I3725">
        <v>0</v>
      </c>
      <c r="J3725" t="s">
        <v>1709</v>
      </c>
      <c r="K3725" t="s">
        <v>1861</v>
      </c>
      <c r="L3725" t="s">
        <v>285</v>
      </c>
      <c r="M3725" t="str">
        <f t="shared" si="252"/>
        <v>12</v>
      </c>
      <c r="N3725" t="s">
        <v>12</v>
      </c>
    </row>
    <row r="3726" spans="1:14" x14ac:dyDescent="0.25">
      <c r="A3726">
        <v>20151204</v>
      </c>
      <c r="B3726" t="str">
        <f>"061313"</f>
        <v>061313</v>
      </c>
      <c r="C3726" t="str">
        <f>"45492"</f>
        <v>45492</v>
      </c>
      <c r="D3726" t="s">
        <v>3241</v>
      </c>
      <c r="E3726" s="3">
        <v>82.95</v>
      </c>
      <c r="F3726">
        <v>20151203</v>
      </c>
      <c r="G3726" t="s">
        <v>1859</v>
      </c>
      <c r="H3726" t="s">
        <v>3243</v>
      </c>
      <c r="I3726">
        <v>0</v>
      </c>
      <c r="J3726" t="s">
        <v>1709</v>
      </c>
      <c r="K3726" t="s">
        <v>1861</v>
      </c>
      <c r="L3726" t="s">
        <v>285</v>
      </c>
      <c r="M3726" t="str">
        <f t="shared" si="252"/>
        <v>12</v>
      </c>
      <c r="N3726" t="s">
        <v>12</v>
      </c>
    </row>
    <row r="3727" spans="1:14" x14ac:dyDescent="0.25">
      <c r="A3727">
        <v>20151204</v>
      </c>
      <c r="B3727" t="str">
        <f>"061313"</f>
        <v>061313</v>
      </c>
      <c r="C3727" t="str">
        <f>"45492"</f>
        <v>45492</v>
      </c>
      <c r="D3727" t="s">
        <v>3241</v>
      </c>
      <c r="E3727" s="3">
        <v>633.35</v>
      </c>
      <c r="F3727">
        <v>20151203</v>
      </c>
      <c r="G3727" t="s">
        <v>1859</v>
      </c>
      <c r="H3727" t="s">
        <v>2295</v>
      </c>
      <c r="I3727">
        <v>0</v>
      </c>
      <c r="J3727" t="s">
        <v>1709</v>
      </c>
      <c r="K3727" t="s">
        <v>1861</v>
      </c>
      <c r="L3727" t="s">
        <v>285</v>
      </c>
      <c r="M3727" t="str">
        <f t="shared" si="252"/>
        <v>12</v>
      </c>
      <c r="N3727" t="s">
        <v>12</v>
      </c>
    </row>
    <row r="3728" spans="1:14" x14ac:dyDescent="0.25">
      <c r="A3728">
        <v>20151204</v>
      </c>
      <c r="B3728" t="str">
        <f>"061313"</f>
        <v>061313</v>
      </c>
      <c r="C3728" t="str">
        <f>"45492"</f>
        <v>45492</v>
      </c>
      <c r="D3728" t="s">
        <v>3241</v>
      </c>
      <c r="E3728" s="3">
        <v>47.36</v>
      </c>
      <c r="F3728">
        <v>20151203</v>
      </c>
      <c r="G3728" t="s">
        <v>1859</v>
      </c>
      <c r="H3728" t="s">
        <v>3244</v>
      </c>
      <c r="I3728">
        <v>0</v>
      </c>
      <c r="J3728" t="s">
        <v>1709</v>
      </c>
      <c r="K3728" t="s">
        <v>1861</v>
      </c>
      <c r="L3728" t="s">
        <v>285</v>
      </c>
      <c r="M3728" t="str">
        <f t="shared" si="252"/>
        <v>12</v>
      </c>
      <c r="N3728" t="s">
        <v>12</v>
      </c>
    </row>
    <row r="3729" spans="1:14" x14ac:dyDescent="0.25">
      <c r="A3729">
        <v>20151204</v>
      </c>
      <c r="B3729" t="str">
        <f>"061313"</f>
        <v>061313</v>
      </c>
      <c r="C3729" t="str">
        <f>"45492"</f>
        <v>45492</v>
      </c>
      <c r="D3729" t="s">
        <v>3241</v>
      </c>
      <c r="E3729" s="3">
        <v>46.07</v>
      </c>
      <c r="F3729">
        <v>20151203</v>
      </c>
      <c r="G3729" t="s">
        <v>1859</v>
      </c>
      <c r="H3729" t="s">
        <v>3245</v>
      </c>
      <c r="I3729">
        <v>0</v>
      </c>
      <c r="J3729" t="s">
        <v>1709</v>
      </c>
      <c r="K3729" t="s">
        <v>1861</v>
      </c>
      <c r="L3729" t="s">
        <v>285</v>
      </c>
      <c r="M3729" t="str">
        <f t="shared" si="252"/>
        <v>12</v>
      </c>
      <c r="N3729" t="s">
        <v>12</v>
      </c>
    </row>
    <row r="3730" spans="1:14" x14ac:dyDescent="0.25">
      <c r="A3730">
        <v>20151204</v>
      </c>
      <c r="B3730" t="str">
        <f>"061314"</f>
        <v>061314</v>
      </c>
      <c r="C3730" t="str">
        <f>"45496"</f>
        <v>45496</v>
      </c>
      <c r="D3730" t="s">
        <v>2327</v>
      </c>
      <c r="E3730" s="3">
        <v>905.54</v>
      </c>
      <c r="F3730">
        <v>20151203</v>
      </c>
      <c r="G3730" t="s">
        <v>2941</v>
      </c>
      <c r="H3730" t="s">
        <v>595</v>
      </c>
      <c r="I3730">
        <v>0</v>
      </c>
      <c r="J3730" t="s">
        <v>1709</v>
      </c>
      <c r="K3730" t="s">
        <v>95</v>
      </c>
      <c r="L3730" t="s">
        <v>285</v>
      </c>
      <c r="M3730" t="str">
        <f t="shared" si="252"/>
        <v>12</v>
      </c>
      <c r="N3730" t="s">
        <v>12</v>
      </c>
    </row>
    <row r="3731" spans="1:14" x14ac:dyDescent="0.25">
      <c r="A3731">
        <v>20151204</v>
      </c>
      <c r="B3731" t="str">
        <f>"061314"</f>
        <v>061314</v>
      </c>
      <c r="C3731" t="str">
        <f>"45496"</f>
        <v>45496</v>
      </c>
      <c r="D3731" t="s">
        <v>2327</v>
      </c>
      <c r="E3731" s="3">
        <v>177.04</v>
      </c>
      <c r="F3731">
        <v>20151203</v>
      </c>
      <c r="G3731" t="s">
        <v>3246</v>
      </c>
      <c r="H3731" t="s">
        <v>595</v>
      </c>
      <c r="I3731">
        <v>0</v>
      </c>
      <c r="J3731" t="s">
        <v>1709</v>
      </c>
      <c r="K3731" t="s">
        <v>95</v>
      </c>
      <c r="L3731" t="s">
        <v>285</v>
      </c>
      <c r="M3731" t="str">
        <f t="shared" si="252"/>
        <v>12</v>
      </c>
      <c r="N3731" t="s">
        <v>12</v>
      </c>
    </row>
    <row r="3732" spans="1:14" x14ac:dyDescent="0.25">
      <c r="A3732">
        <v>20151204</v>
      </c>
      <c r="B3732" t="str">
        <f t="shared" ref="B3732:B3741" si="253">"061315"</f>
        <v>061315</v>
      </c>
      <c r="C3732" t="str">
        <f t="shared" ref="C3732:C3741" si="254">"57791"</f>
        <v>57791</v>
      </c>
      <c r="D3732" t="s">
        <v>1878</v>
      </c>
      <c r="E3732" s="3">
        <v>276.75</v>
      </c>
      <c r="F3732">
        <v>20151203</v>
      </c>
      <c r="G3732" t="s">
        <v>2124</v>
      </c>
      <c r="H3732" t="s">
        <v>3247</v>
      </c>
      <c r="I3732">
        <v>0</v>
      </c>
      <c r="J3732" t="s">
        <v>1709</v>
      </c>
      <c r="K3732" t="s">
        <v>290</v>
      </c>
      <c r="L3732" t="s">
        <v>285</v>
      </c>
      <c r="M3732" t="str">
        <f t="shared" si="252"/>
        <v>12</v>
      </c>
      <c r="N3732" t="s">
        <v>12</v>
      </c>
    </row>
    <row r="3733" spans="1:14" x14ac:dyDescent="0.25">
      <c r="A3733">
        <v>20151204</v>
      </c>
      <c r="B3733" t="str">
        <f t="shared" si="253"/>
        <v>061315</v>
      </c>
      <c r="C3733" t="str">
        <f t="shared" si="254"/>
        <v>57791</v>
      </c>
      <c r="D3733" t="s">
        <v>1878</v>
      </c>
      <c r="E3733" s="3">
        <v>76.5</v>
      </c>
      <c r="F3733">
        <v>20151203</v>
      </c>
      <c r="G3733" t="s">
        <v>2124</v>
      </c>
      <c r="H3733" t="s">
        <v>3248</v>
      </c>
      <c r="I3733">
        <v>0</v>
      </c>
      <c r="J3733" t="s">
        <v>1709</v>
      </c>
      <c r="K3733" t="s">
        <v>290</v>
      </c>
      <c r="L3733" t="s">
        <v>285</v>
      </c>
      <c r="M3733" t="str">
        <f t="shared" si="252"/>
        <v>12</v>
      </c>
      <c r="N3733" t="s">
        <v>12</v>
      </c>
    </row>
    <row r="3734" spans="1:14" x14ac:dyDescent="0.25">
      <c r="A3734">
        <v>20151204</v>
      </c>
      <c r="B3734" t="str">
        <f t="shared" si="253"/>
        <v>061315</v>
      </c>
      <c r="C3734" t="str">
        <f t="shared" si="254"/>
        <v>57791</v>
      </c>
      <c r="D3734" t="s">
        <v>1878</v>
      </c>
      <c r="E3734" s="3">
        <v>48.75</v>
      </c>
      <c r="F3734">
        <v>20151203</v>
      </c>
      <c r="G3734" t="s">
        <v>2124</v>
      </c>
      <c r="H3734" t="s">
        <v>3249</v>
      </c>
      <c r="I3734">
        <v>0</v>
      </c>
      <c r="J3734" t="s">
        <v>1709</v>
      </c>
      <c r="K3734" t="s">
        <v>290</v>
      </c>
      <c r="L3734" t="s">
        <v>285</v>
      </c>
      <c r="M3734" t="str">
        <f t="shared" si="252"/>
        <v>12</v>
      </c>
      <c r="N3734" t="s">
        <v>12</v>
      </c>
    </row>
    <row r="3735" spans="1:14" x14ac:dyDescent="0.25">
      <c r="A3735">
        <v>20151204</v>
      </c>
      <c r="B3735" t="str">
        <f t="shared" si="253"/>
        <v>061315</v>
      </c>
      <c r="C3735" t="str">
        <f t="shared" si="254"/>
        <v>57791</v>
      </c>
      <c r="D3735" t="s">
        <v>1878</v>
      </c>
      <c r="E3735" s="3">
        <v>2.25</v>
      </c>
      <c r="F3735">
        <v>20151203</v>
      </c>
      <c r="G3735" t="s">
        <v>2124</v>
      </c>
      <c r="H3735" t="s">
        <v>3248</v>
      </c>
      <c r="I3735">
        <v>0</v>
      </c>
      <c r="J3735" t="s">
        <v>1709</v>
      </c>
      <c r="K3735" t="s">
        <v>290</v>
      </c>
      <c r="L3735" t="s">
        <v>285</v>
      </c>
      <c r="M3735" t="str">
        <f t="shared" si="252"/>
        <v>12</v>
      </c>
      <c r="N3735" t="s">
        <v>12</v>
      </c>
    </row>
    <row r="3736" spans="1:14" x14ac:dyDescent="0.25">
      <c r="A3736">
        <v>20151204</v>
      </c>
      <c r="B3736" t="str">
        <f t="shared" si="253"/>
        <v>061315</v>
      </c>
      <c r="C3736" t="str">
        <f t="shared" si="254"/>
        <v>57791</v>
      </c>
      <c r="D3736" t="s">
        <v>1878</v>
      </c>
      <c r="E3736" s="3">
        <v>502.69</v>
      </c>
      <c r="F3736">
        <v>20151203</v>
      </c>
      <c r="G3736" t="s">
        <v>2785</v>
      </c>
      <c r="H3736" t="s">
        <v>2125</v>
      </c>
      <c r="I3736">
        <v>0</v>
      </c>
      <c r="J3736" t="s">
        <v>1709</v>
      </c>
      <c r="K3736" t="s">
        <v>95</v>
      </c>
      <c r="L3736" t="s">
        <v>285</v>
      </c>
      <c r="M3736" t="str">
        <f t="shared" si="252"/>
        <v>12</v>
      </c>
      <c r="N3736" t="s">
        <v>12</v>
      </c>
    </row>
    <row r="3737" spans="1:14" x14ac:dyDescent="0.25">
      <c r="A3737">
        <v>20151204</v>
      </c>
      <c r="B3737" t="str">
        <f t="shared" si="253"/>
        <v>061315</v>
      </c>
      <c r="C3737" t="str">
        <f t="shared" si="254"/>
        <v>57791</v>
      </c>
      <c r="D3737" t="s">
        <v>1878</v>
      </c>
      <c r="E3737" s="3">
        <v>2.25</v>
      </c>
      <c r="F3737">
        <v>20151203</v>
      </c>
      <c r="G3737" t="s">
        <v>2785</v>
      </c>
      <c r="H3737" t="s">
        <v>3250</v>
      </c>
      <c r="I3737">
        <v>0</v>
      </c>
      <c r="J3737" t="s">
        <v>1709</v>
      </c>
      <c r="K3737" t="s">
        <v>95</v>
      </c>
      <c r="L3737" t="s">
        <v>285</v>
      </c>
      <c r="M3737" t="str">
        <f t="shared" si="252"/>
        <v>12</v>
      </c>
      <c r="N3737" t="s">
        <v>12</v>
      </c>
    </row>
    <row r="3738" spans="1:14" x14ac:dyDescent="0.25">
      <c r="A3738">
        <v>20151204</v>
      </c>
      <c r="B3738" t="str">
        <f t="shared" si="253"/>
        <v>061315</v>
      </c>
      <c r="C3738" t="str">
        <f t="shared" si="254"/>
        <v>57791</v>
      </c>
      <c r="D3738" t="s">
        <v>1878</v>
      </c>
      <c r="E3738" s="3">
        <v>47.25</v>
      </c>
      <c r="F3738">
        <v>20151203</v>
      </c>
      <c r="G3738" t="s">
        <v>2785</v>
      </c>
      <c r="H3738" t="s">
        <v>3251</v>
      </c>
      <c r="I3738">
        <v>0</v>
      </c>
      <c r="J3738" t="s">
        <v>1709</v>
      </c>
      <c r="K3738" t="s">
        <v>95</v>
      </c>
      <c r="L3738" t="s">
        <v>285</v>
      </c>
      <c r="M3738" t="str">
        <f t="shared" si="252"/>
        <v>12</v>
      </c>
      <c r="N3738" t="s">
        <v>12</v>
      </c>
    </row>
    <row r="3739" spans="1:14" x14ac:dyDescent="0.25">
      <c r="A3739">
        <v>20151204</v>
      </c>
      <c r="B3739" t="str">
        <f t="shared" si="253"/>
        <v>061315</v>
      </c>
      <c r="C3739" t="str">
        <f t="shared" si="254"/>
        <v>57791</v>
      </c>
      <c r="D3739" t="s">
        <v>1878</v>
      </c>
      <c r="E3739" s="3">
        <v>100.5</v>
      </c>
      <c r="F3739">
        <v>20151203</v>
      </c>
      <c r="G3739" t="s">
        <v>2785</v>
      </c>
      <c r="H3739" t="s">
        <v>3252</v>
      </c>
      <c r="I3739">
        <v>0</v>
      </c>
      <c r="J3739" t="s">
        <v>1709</v>
      </c>
      <c r="K3739" t="s">
        <v>95</v>
      </c>
      <c r="L3739" t="s">
        <v>285</v>
      </c>
      <c r="M3739" t="str">
        <f t="shared" si="252"/>
        <v>12</v>
      </c>
      <c r="N3739" t="s">
        <v>12</v>
      </c>
    </row>
    <row r="3740" spans="1:14" x14ac:dyDescent="0.25">
      <c r="A3740">
        <v>20151204</v>
      </c>
      <c r="B3740" t="str">
        <f t="shared" si="253"/>
        <v>061315</v>
      </c>
      <c r="C3740" t="str">
        <f t="shared" si="254"/>
        <v>57791</v>
      </c>
      <c r="D3740" t="s">
        <v>1878</v>
      </c>
      <c r="E3740" s="3">
        <v>47.99</v>
      </c>
      <c r="F3740">
        <v>20151203</v>
      </c>
      <c r="G3740" t="s">
        <v>2785</v>
      </c>
      <c r="H3740" t="s">
        <v>3253</v>
      </c>
      <c r="I3740">
        <v>0</v>
      </c>
      <c r="J3740" t="s">
        <v>1709</v>
      </c>
      <c r="K3740" t="s">
        <v>95</v>
      </c>
      <c r="L3740" t="s">
        <v>285</v>
      </c>
      <c r="M3740" t="str">
        <f t="shared" si="252"/>
        <v>12</v>
      </c>
      <c r="N3740" t="s">
        <v>12</v>
      </c>
    </row>
    <row r="3741" spans="1:14" x14ac:dyDescent="0.25">
      <c r="A3741">
        <v>20151204</v>
      </c>
      <c r="B3741" t="str">
        <f t="shared" si="253"/>
        <v>061315</v>
      </c>
      <c r="C3741" t="str">
        <f t="shared" si="254"/>
        <v>57791</v>
      </c>
      <c r="D3741" t="s">
        <v>1878</v>
      </c>
      <c r="E3741" s="3">
        <v>36.979999999999997</v>
      </c>
      <c r="F3741">
        <v>20151203</v>
      </c>
      <c r="G3741" t="s">
        <v>2785</v>
      </c>
      <c r="H3741" t="s">
        <v>3254</v>
      </c>
      <c r="I3741">
        <v>0</v>
      </c>
      <c r="J3741" t="s">
        <v>1709</v>
      </c>
      <c r="K3741" t="s">
        <v>95</v>
      </c>
      <c r="L3741" t="s">
        <v>285</v>
      </c>
      <c r="M3741" t="str">
        <f t="shared" si="252"/>
        <v>12</v>
      </c>
      <c r="N3741" t="s">
        <v>12</v>
      </c>
    </row>
    <row r="3742" spans="1:14" x14ac:dyDescent="0.25">
      <c r="A3742">
        <v>20151204</v>
      </c>
      <c r="B3742" t="str">
        <f>"061316"</f>
        <v>061316</v>
      </c>
      <c r="C3742" t="str">
        <f>"45710"</f>
        <v>45710</v>
      </c>
      <c r="D3742" t="s">
        <v>3255</v>
      </c>
      <c r="E3742" s="3">
        <v>275</v>
      </c>
      <c r="F3742">
        <v>20151203</v>
      </c>
      <c r="G3742" t="s">
        <v>3256</v>
      </c>
      <c r="H3742" t="s">
        <v>3257</v>
      </c>
      <c r="I3742">
        <v>0</v>
      </c>
      <c r="J3742" t="s">
        <v>1709</v>
      </c>
      <c r="K3742" t="s">
        <v>290</v>
      </c>
      <c r="L3742" t="s">
        <v>285</v>
      </c>
      <c r="M3742" t="str">
        <f t="shared" si="252"/>
        <v>12</v>
      </c>
      <c r="N3742" t="s">
        <v>12</v>
      </c>
    </row>
    <row r="3743" spans="1:14" x14ac:dyDescent="0.25">
      <c r="A3743">
        <v>20151204</v>
      </c>
      <c r="B3743" t="str">
        <f>"061317"</f>
        <v>061317</v>
      </c>
      <c r="C3743" t="str">
        <f>"46850"</f>
        <v>46850</v>
      </c>
      <c r="D3743" t="s">
        <v>2677</v>
      </c>
      <c r="E3743" s="3">
        <v>298.51</v>
      </c>
      <c r="F3743">
        <v>20151203</v>
      </c>
      <c r="G3743" t="s">
        <v>3130</v>
      </c>
      <c r="H3743" t="s">
        <v>2169</v>
      </c>
      <c r="I3743">
        <v>0</v>
      </c>
      <c r="J3743" t="s">
        <v>1709</v>
      </c>
      <c r="K3743" t="s">
        <v>1643</v>
      </c>
      <c r="L3743" t="s">
        <v>285</v>
      </c>
      <c r="M3743" t="str">
        <f t="shared" si="252"/>
        <v>12</v>
      </c>
      <c r="N3743" t="s">
        <v>12</v>
      </c>
    </row>
    <row r="3744" spans="1:14" x14ac:dyDescent="0.25">
      <c r="A3744">
        <v>20151204</v>
      </c>
      <c r="B3744" t="str">
        <f>"061318"</f>
        <v>061318</v>
      </c>
      <c r="C3744" t="str">
        <f>"48470"</f>
        <v>48470</v>
      </c>
      <c r="D3744" t="s">
        <v>2335</v>
      </c>
      <c r="E3744" s="3">
        <v>102.93</v>
      </c>
      <c r="F3744">
        <v>20151203</v>
      </c>
      <c r="G3744" t="s">
        <v>2333</v>
      </c>
      <c r="H3744" t="s">
        <v>3258</v>
      </c>
      <c r="I3744">
        <v>0</v>
      </c>
      <c r="J3744" t="s">
        <v>1709</v>
      </c>
      <c r="K3744" t="s">
        <v>290</v>
      </c>
      <c r="L3744" t="s">
        <v>285</v>
      </c>
      <c r="M3744" t="str">
        <f t="shared" si="252"/>
        <v>12</v>
      </c>
      <c r="N3744" t="s">
        <v>12</v>
      </c>
    </row>
    <row r="3745" spans="1:14" x14ac:dyDescent="0.25">
      <c r="A3745">
        <v>20151204</v>
      </c>
      <c r="B3745" t="str">
        <f>"061321"</f>
        <v>061321</v>
      </c>
      <c r="C3745" t="str">
        <f>"49898"</f>
        <v>49898</v>
      </c>
      <c r="D3745" t="s">
        <v>2342</v>
      </c>
      <c r="E3745" s="3">
        <v>550.76</v>
      </c>
      <c r="F3745">
        <v>20151203</v>
      </c>
      <c r="G3745" t="s">
        <v>1859</v>
      </c>
      <c r="H3745" t="s">
        <v>3259</v>
      </c>
      <c r="I3745">
        <v>0</v>
      </c>
      <c r="J3745" t="s">
        <v>1709</v>
      </c>
      <c r="K3745" t="s">
        <v>1861</v>
      </c>
      <c r="L3745" t="s">
        <v>285</v>
      </c>
      <c r="M3745" t="str">
        <f t="shared" si="252"/>
        <v>12</v>
      </c>
      <c r="N3745" t="s">
        <v>12</v>
      </c>
    </row>
    <row r="3746" spans="1:14" x14ac:dyDescent="0.25">
      <c r="A3746">
        <v>20151204</v>
      </c>
      <c r="B3746" t="str">
        <f>"061321"</f>
        <v>061321</v>
      </c>
      <c r="C3746" t="str">
        <f>"49898"</f>
        <v>49898</v>
      </c>
      <c r="D3746" t="s">
        <v>2342</v>
      </c>
      <c r="E3746" s="3">
        <v>245.38</v>
      </c>
      <c r="F3746">
        <v>20151203</v>
      </c>
      <c r="G3746" t="s">
        <v>1859</v>
      </c>
      <c r="H3746" t="s">
        <v>3260</v>
      </c>
      <c r="I3746">
        <v>0</v>
      </c>
      <c r="J3746" t="s">
        <v>1709</v>
      </c>
      <c r="K3746" t="s">
        <v>1861</v>
      </c>
      <c r="L3746" t="s">
        <v>285</v>
      </c>
      <c r="M3746" t="str">
        <f t="shared" si="252"/>
        <v>12</v>
      </c>
      <c r="N3746" t="s">
        <v>12</v>
      </c>
    </row>
    <row r="3747" spans="1:14" x14ac:dyDescent="0.25">
      <c r="A3747">
        <v>20151204</v>
      </c>
      <c r="B3747" t="str">
        <f>"061323"</f>
        <v>061323</v>
      </c>
      <c r="C3747" t="str">
        <f>"49959"</f>
        <v>49959</v>
      </c>
      <c r="D3747" t="s">
        <v>361</v>
      </c>
      <c r="E3747" s="3">
        <v>300</v>
      </c>
      <c r="F3747">
        <v>20151203</v>
      </c>
      <c r="G3747" t="s">
        <v>1788</v>
      </c>
      <c r="H3747" t="s">
        <v>3261</v>
      </c>
      <c r="I3747">
        <v>0</v>
      </c>
      <c r="J3747" t="s">
        <v>1709</v>
      </c>
      <c r="K3747" t="s">
        <v>1643</v>
      </c>
      <c r="L3747" t="s">
        <v>285</v>
      </c>
      <c r="M3747" t="str">
        <f t="shared" si="252"/>
        <v>12</v>
      </c>
      <c r="N3747" t="s">
        <v>12</v>
      </c>
    </row>
    <row r="3748" spans="1:14" x14ac:dyDescent="0.25">
      <c r="A3748">
        <v>20151204</v>
      </c>
      <c r="B3748" t="str">
        <f>"061324"</f>
        <v>061324</v>
      </c>
      <c r="C3748" t="str">
        <f>"51475"</f>
        <v>51475</v>
      </c>
      <c r="D3748" t="s">
        <v>2352</v>
      </c>
      <c r="E3748" s="3">
        <v>47.5</v>
      </c>
      <c r="F3748">
        <v>20151203</v>
      </c>
      <c r="G3748" t="s">
        <v>2525</v>
      </c>
      <c r="H3748" t="s">
        <v>3262</v>
      </c>
      <c r="I3748">
        <v>0</v>
      </c>
      <c r="J3748" t="s">
        <v>1709</v>
      </c>
      <c r="K3748" t="s">
        <v>2194</v>
      </c>
      <c r="L3748" t="s">
        <v>285</v>
      </c>
      <c r="M3748" t="str">
        <f t="shared" si="252"/>
        <v>12</v>
      </c>
      <c r="N3748" t="s">
        <v>12</v>
      </c>
    </row>
    <row r="3749" spans="1:14" x14ac:dyDescent="0.25">
      <c r="A3749">
        <v>20151204</v>
      </c>
      <c r="B3749" t="str">
        <f>"061324"</f>
        <v>061324</v>
      </c>
      <c r="C3749" t="str">
        <f>"51475"</f>
        <v>51475</v>
      </c>
      <c r="D3749" t="s">
        <v>2352</v>
      </c>
      <c r="E3749" s="3">
        <v>104.17</v>
      </c>
      <c r="F3749">
        <v>20151203</v>
      </c>
      <c r="G3749" t="s">
        <v>2525</v>
      </c>
      <c r="H3749" t="s">
        <v>3263</v>
      </c>
      <c r="I3749">
        <v>0</v>
      </c>
      <c r="J3749" t="s">
        <v>1709</v>
      </c>
      <c r="K3749" t="s">
        <v>2194</v>
      </c>
      <c r="L3749" t="s">
        <v>285</v>
      </c>
      <c r="M3749" t="str">
        <f t="shared" si="252"/>
        <v>12</v>
      </c>
      <c r="N3749" t="s">
        <v>12</v>
      </c>
    </row>
    <row r="3750" spans="1:14" x14ac:dyDescent="0.25">
      <c r="A3750">
        <v>20151204</v>
      </c>
      <c r="B3750" t="str">
        <f>"061324"</f>
        <v>061324</v>
      </c>
      <c r="C3750" t="str">
        <f>"51475"</f>
        <v>51475</v>
      </c>
      <c r="D3750" t="s">
        <v>2352</v>
      </c>
      <c r="E3750" s="3">
        <v>105.81</v>
      </c>
      <c r="F3750">
        <v>20151203</v>
      </c>
      <c r="G3750" t="s">
        <v>2525</v>
      </c>
      <c r="H3750" t="s">
        <v>3264</v>
      </c>
      <c r="I3750">
        <v>0</v>
      </c>
      <c r="J3750" t="s">
        <v>1709</v>
      </c>
      <c r="K3750" t="s">
        <v>2194</v>
      </c>
      <c r="L3750" t="s">
        <v>285</v>
      </c>
      <c r="M3750" t="str">
        <f t="shared" si="252"/>
        <v>12</v>
      </c>
      <c r="N3750" t="s">
        <v>12</v>
      </c>
    </row>
    <row r="3751" spans="1:14" x14ac:dyDescent="0.25">
      <c r="A3751">
        <v>20151204</v>
      </c>
      <c r="B3751" t="str">
        <f>"061325"</f>
        <v>061325</v>
      </c>
      <c r="C3751" t="str">
        <f>"53006"</f>
        <v>53006</v>
      </c>
      <c r="D3751" t="s">
        <v>2909</v>
      </c>
      <c r="E3751" s="3">
        <v>112.77</v>
      </c>
      <c r="F3751">
        <v>20151203</v>
      </c>
      <c r="G3751" t="s">
        <v>2910</v>
      </c>
      <c r="H3751" t="s">
        <v>3265</v>
      </c>
      <c r="I3751">
        <v>0</v>
      </c>
      <c r="J3751" t="s">
        <v>1709</v>
      </c>
      <c r="K3751" t="s">
        <v>33</v>
      </c>
      <c r="L3751" t="s">
        <v>285</v>
      </c>
      <c r="M3751" t="str">
        <f t="shared" si="252"/>
        <v>12</v>
      </c>
      <c r="N3751" t="s">
        <v>12</v>
      </c>
    </row>
    <row r="3752" spans="1:14" x14ac:dyDescent="0.25">
      <c r="A3752">
        <v>20151204</v>
      </c>
      <c r="B3752" t="str">
        <f>"061328"</f>
        <v>061328</v>
      </c>
      <c r="C3752" t="str">
        <f>"00019"</f>
        <v>00019</v>
      </c>
      <c r="D3752" t="s">
        <v>3266</v>
      </c>
      <c r="E3752" s="3">
        <v>300</v>
      </c>
      <c r="F3752">
        <v>20151203</v>
      </c>
      <c r="G3752" t="s">
        <v>3267</v>
      </c>
      <c r="H3752" t="s">
        <v>3268</v>
      </c>
      <c r="I3752">
        <v>0</v>
      </c>
      <c r="J3752" t="s">
        <v>1709</v>
      </c>
      <c r="K3752" t="s">
        <v>1984</v>
      </c>
      <c r="L3752" t="s">
        <v>285</v>
      </c>
      <c r="M3752" t="str">
        <f t="shared" si="252"/>
        <v>12</v>
      </c>
      <c r="N3752" t="s">
        <v>12</v>
      </c>
    </row>
    <row r="3753" spans="1:14" x14ac:dyDescent="0.25">
      <c r="A3753">
        <v>20151204</v>
      </c>
      <c r="B3753" t="str">
        <f>"061330"</f>
        <v>061330</v>
      </c>
      <c r="C3753" t="str">
        <f>"61166"</f>
        <v>61166</v>
      </c>
      <c r="D3753" t="s">
        <v>3269</v>
      </c>
      <c r="E3753" s="3">
        <v>2282.08</v>
      </c>
      <c r="F3753">
        <v>20151203</v>
      </c>
      <c r="G3753" t="s">
        <v>3270</v>
      </c>
      <c r="H3753" t="s">
        <v>3271</v>
      </c>
      <c r="I3753">
        <v>0</v>
      </c>
      <c r="J3753" t="s">
        <v>1709</v>
      </c>
      <c r="K3753" t="s">
        <v>1750</v>
      </c>
      <c r="L3753" t="s">
        <v>285</v>
      </c>
      <c r="M3753" t="str">
        <f t="shared" si="252"/>
        <v>12</v>
      </c>
      <c r="N3753" t="s">
        <v>12</v>
      </c>
    </row>
    <row r="3754" spans="1:14" x14ac:dyDescent="0.25">
      <c r="A3754">
        <v>20151204</v>
      </c>
      <c r="B3754" t="str">
        <f>"061331"</f>
        <v>061331</v>
      </c>
      <c r="C3754" t="str">
        <f>"56013"</f>
        <v>56013</v>
      </c>
      <c r="D3754" t="s">
        <v>2355</v>
      </c>
      <c r="E3754" s="3">
        <v>320</v>
      </c>
      <c r="F3754">
        <v>20151203</v>
      </c>
      <c r="G3754" t="s">
        <v>2356</v>
      </c>
      <c r="H3754" t="s">
        <v>3272</v>
      </c>
      <c r="I3754">
        <v>0</v>
      </c>
      <c r="J3754" t="s">
        <v>1709</v>
      </c>
      <c r="K3754" t="s">
        <v>1861</v>
      </c>
      <c r="L3754" t="s">
        <v>285</v>
      </c>
      <c r="M3754" t="str">
        <f t="shared" si="252"/>
        <v>12</v>
      </c>
      <c r="N3754" t="s">
        <v>12</v>
      </c>
    </row>
    <row r="3755" spans="1:14" x14ac:dyDescent="0.25">
      <c r="A3755">
        <v>20151204</v>
      </c>
      <c r="B3755" t="str">
        <f>"061332"</f>
        <v>061332</v>
      </c>
      <c r="C3755" t="str">
        <f>"56564"</f>
        <v>56564</v>
      </c>
      <c r="D3755" t="s">
        <v>1578</v>
      </c>
      <c r="E3755" s="3">
        <v>42.73</v>
      </c>
      <c r="F3755">
        <v>20151203</v>
      </c>
      <c r="G3755" t="s">
        <v>2565</v>
      </c>
      <c r="H3755" t="s">
        <v>3273</v>
      </c>
      <c r="I3755">
        <v>0</v>
      </c>
      <c r="J3755" t="s">
        <v>1709</v>
      </c>
      <c r="K3755" t="s">
        <v>1558</v>
      </c>
      <c r="L3755" t="s">
        <v>285</v>
      </c>
      <c r="M3755" t="str">
        <f t="shared" si="252"/>
        <v>12</v>
      </c>
      <c r="N3755" t="s">
        <v>12</v>
      </c>
    </row>
    <row r="3756" spans="1:14" x14ac:dyDescent="0.25">
      <c r="A3756">
        <v>20151204</v>
      </c>
      <c r="B3756" t="str">
        <f>"061334"</f>
        <v>061334</v>
      </c>
      <c r="C3756" t="str">
        <f>"57662"</f>
        <v>57662</v>
      </c>
      <c r="D3756" t="s">
        <v>2364</v>
      </c>
      <c r="E3756" s="3">
        <v>223.5</v>
      </c>
      <c r="F3756">
        <v>20151204</v>
      </c>
      <c r="G3756" t="s">
        <v>2365</v>
      </c>
      <c r="H3756" t="s">
        <v>2366</v>
      </c>
      <c r="I3756">
        <v>0</v>
      </c>
      <c r="J3756" t="s">
        <v>1709</v>
      </c>
      <c r="K3756" t="s">
        <v>290</v>
      </c>
      <c r="L3756" t="s">
        <v>285</v>
      </c>
      <c r="M3756" t="str">
        <f t="shared" si="252"/>
        <v>12</v>
      </c>
      <c r="N3756" t="s">
        <v>12</v>
      </c>
    </row>
    <row r="3757" spans="1:14" x14ac:dyDescent="0.25">
      <c r="A3757">
        <v>20151204</v>
      </c>
      <c r="B3757" t="str">
        <f>"061335"</f>
        <v>061335</v>
      </c>
      <c r="C3757" t="str">
        <f>"57697"</f>
        <v>57697</v>
      </c>
      <c r="D3757" t="s">
        <v>1897</v>
      </c>
      <c r="E3757" s="3">
        <v>131.16999999999999</v>
      </c>
      <c r="F3757">
        <v>20151204</v>
      </c>
      <c r="G3757" t="s">
        <v>2004</v>
      </c>
      <c r="H3757" t="s">
        <v>3274</v>
      </c>
      <c r="I3757">
        <v>0</v>
      </c>
      <c r="J3757" t="s">
        <v>1709</v>
      </c>
      <c r="K3757" t="s">
        <v>290</v>
      </c>
      <c r="L3757" t="s">
        <v>285</v>
      </c>
      <c r="M3757" t="str">
        <f t="shared" si="252"/>
        <v>12</v>
      </c>
      <c r="N3757" t="s">
        <v>12</v>
      </c>
    </row>
    <row r="3758" spans="1:14" x14ac:dyDescent="0.25">
      <c r="A3758">
        <v>20151204</v>
      </c>
      <c r="B3758" t="str">
        <f>"061338"</f>
        <v>061338</v>
      </c>
      <c r="C3758" t="str">
        <f>"58936"</f>
        <v>58936</v>
      </c>
      <c r="D3758" t="s">
        <v>1751</v>
      </c>
      <c r="E3758" s="3">
        <v>180</v>
      </c>
      <c r="F3758">
        <v>20151204</v>
      </c>
      <c r="G3758" t="s">
        <v>1752</v>
      </c>
      <c r="H3758" t="s">
        <v>3275</v>
      </c>
      <c r="I3758">
        <v>0</v>
      </c>
      <c r="J3758" t="s">
        <v>1709</v>
      </c>
      <c r="K3758" t="s">
        <v>1754</v>
      </c>
      <c r="L3758" t="s">
        <v>285</v>
      </c>
      <c r="M3758" t="str">
        <f t="shared" si="252"/>
        <v>12</v>
      </c>
      <c r="N3758" t="s">
        <v>12</v>
      </c>
    </row>
    <row r="3759" spans="1:14" x14ac:dyDescent="0.25">
      <c r="A3759">
        <v>20151204</v>
      </c>
      <c r="B3759" t="str">
        <f>"061340"</f>
        <v>061340</v>
      </c>
      <c r="C3759" t="str">
        <f>"60835"</f>
        <v>60835</v>
      </c>
      <c r="D3759" t="s">
        <v>1904</v>
      </c>
      <c r="E3759" s="3">
        <v>670</v>
      </c>
      <c r="F3759">
        <v>20151204</v>
      </c>
      <c r="G3759" t="s">
        <v>3276</v>
      </c>
      <c r="H3759" t="s">
        <v>3277</v>
      </c>
      <c r="I3759">
        <v>0</v>
      </c>
      <c r="J3759" t="s">
        <v>1709</v>
      </c>
      <c r="K3759" t="s">
        <v>1643</v>
      </c>
      <c r="L3759" t="s">
        <v>285</v>
      </c>
      <c r="M3759" t="str">
        <f t="shared" si="252"/>
        <v>12</v>
      </c>
      <c r="N3759" t="s">
        <v>12</v>
      </c>
    </row>
    <row r="3760" spans="1:14" x14ac:dyDescent="0.25">
      <c r="A3760">
        <v>20151204</v>
      </c>
      <c r="B3760" t="str">
        <f>"061340"</f>
        <v>061340</v>
      </c>
      <c r="C3760" t="str">
        <f>"60835"</f>
        <v>60835</v>
      </c>
      <c r="D3760" t="s">
        <v>1904</v>
      </c>
      <c r="E3760" s="3">
        <v>450</v>
      </c>
      <c r="F3760">
        <v>20151204</v>
      </c>
      <c r="G3760" t="s">
        <v>1854</v>
      </c>
      <c r="H3760" t="s">
        <v>3278</v>
      </c>
      <c r="I3760">
        <v>0</v>
      </c>
      <c r="J3760" t="s">
        <v>1709</v>
      </c>
      <c r="K3760" t="s">
        <v>1856</v>
      </c>
      <c r="L3760" t="s">
        <v>285</v>
      </c>
      <c r="M3760" t="str">
        <f t="shared" si="252"/>
        <v>12</v>
      </c>
      <c r="N3760" t="s">
        <v>12</v>
      </c>
    </row>
    <row r="3761" spans="1:14" x14ac:dyDescent="0.25">
      <c r="A3761">
        <v>20151204</v>
      </c>
      <c r="B3761" t="str">
        <f>"061342"</f>
        <v>061342</v>
      </c>
      <c r="C3761" t="str">
        <f>"63053"</f>
        <v>63053</v>
      </c>
      <c r="D3761" t="s">
        <v>2012</v>
      </c>
      <c r="E3761" s="3">
        <v>101.57</v>
      </c>
      <c r="F3761">
        <v>20151204</v>
      </c>
      <c r="G3761" t="s">
        <v>3133</v>
      </c>
      <c r="H3761" t="s">
        <v>3279</v>
      </c>
      <c r="I3761">
        <v>0</v>
      </c>
      <c r="J3761" t="s">
        <v>1709</v>
      </c>
      <c r="K3761" t="s">
        <v>290</v>
      </c>
      <c r="L3761" t="s">
        <v>285</v>
      </c>
      <c r="M3761" t="str">
        <f t="shared" si="252"/>
        <v>12</v>
      </c>
      <c r="N3761" t="s">
        <v>12</v>
      </c>
    </row>
    <row r="3762" spans="1:14" x14ac:dyDescent="0.25">
      <c r="A3762">
        <v>20151204</v>
      </c>
      <c r="B3762" t="str">
        <f>"061342"</f>
        <v>061342</v>
      </c>
      <c r="C3762" t="str">
        <f>"63053"</f>
        <v>63053</v>
      </c>
      <c r="D3762" t="s">
        <v>2012</v>
      </c>
      <c r="E3762" s="3">
        <v>444.3</v>
      </c>
      <c r="F3762">
        <v>20151204</v>
      </c>
      <c r="G3762" t="s">
        <v>2124</v>
      </c>
      <c r="H3762" t="s">
        <v>2378</v>
      </c>
      <c r="I3762">
        <v>0</v>
      </c>
      <c r="J3762" t="s">
        <v>1709</v>
      </c>
      <c r="K3762" t="s">
        <v>290</v>
      </c>
      <c r="L3762" t="s">
        <v>285</v>
      </c>
      <c r="M3762" t="str">
        <f t="shared" si="252"/>
        <v>12</v>
      </c>
      <c r="N3762" t="s">
        <v>12</v>
      </c>
    </row>
    <row r="3763" spans="1:14" x14ac:dyDescent="0.25">
      <c r="A3763">
        <v>20151204</v>
      </c>
      <c r="B3763" t="str">
        <f>"061342"</f>
        <v>061342</v>
      </c>
      <c r="C3763" t="str">
        <f>"63053"</f>
        <v>63053</v>
      </c>
      <c r="D3763" t="s">
        <v>2012</v>
      </c>
      <c r="E3763" s="3">
        <v>250</v>
      </c>
      <c r="F3763">
        <v>20151204</v>
      </c>
      <c r="G3763" t="s">
        <v>3280</v>
      </c>
      <c r="H3763" t="s">
        <v>3281</v>
      </c>
      <c r="I3763">
        <v>0</v>
      </c>
      <c r="J3763" t="s">
        <v>1709</v>
      </c>
      <c r="K3763" t="s">
        <v>290</v>
      </c>
      <c r="L3763" t="s">
        <v>285</v>
      </c>
      <c r="M3763" t="str">
        <f t="shared" si="252"/>
        <v>12</v>
      </c>
      <c r="N3763" t="s">
        <v>12</v>
      </c>
    </row>
    <row r="3764" spans="1:14" x14ac:dyDescent="0.25">
      <c r="A3764">
        <v>20151204</v>
      </c>
      <c r="B3764" t="str">
        <f>"061344"</f>
        <v>061344</v>
      </c>
      <c r="C3764" t="str">
        <f>"65212"</f>
        <v>65212</v>
      </c>
      <c r="D3764" t="s">
        <v>2017</v>
      </c>
      <c r="E3764" s="3">
        <v>9628.7000000000007</v>
      </c>
      <c r="F3764">
        <v>20151204</v>
      </c>
      <c r="G3764" t="s">
        <v>2018</v>
      </c>
      <c r="H3764" t="s">
        <v>3282</v>
      </c>
      <c r="I3764">
        <v>0</v>
      </c>
      <c r="J3764" t="s">
        <v>1709</v>
      </c>
      <c r="K3764" t="s">
        <v>1856</v>
      </c>
      <c r="L3764" t="s">
        <v>285</v>
      </c>
      <c r="M3764" t="str">
        <f t="shared" si="252"/>
        <v>12</v>
      </c>
      <c r="N3764" t="s">
        <v>12</v>
      </c>
    </row>
    <row r="3765" spans="1:14" x14ac:dyDescent="0.25">
      <c r="A3765">
        <v>20151204</v>
      </c>
      <c r="B3765" t="str">
        <f>"061345"</f>
        <v>061345</v>
      </c>
      <c r="C3765" t="str">
        <f>"65760"</f>
        <v>65760</v>
      </c>
      <c r="D3765" t="s">
        <v>3283</v>
      </c>
      <c r="E3765" s="3">
        <v>4151.3999999999996</v>
      </c>
      <c r="F3765">
        <v>20151204</v>
      </c>
      <c r="G3765" t="s">
        <v>2588</v>
      </c>
      <c r="H3765" t="s">
        <v>3284</v>
      </c>
      <c r="I3765">
        <v>0</v>
      </c>
      <c r="J3765" t="s">
        <v>1709</v>
      </c>
      <c r="K3765" t="s">
        <v>1861</v>
      </c>
      <c r="L3765" t="s">
        <v>285</v>
      </c>
      <c r="M3765" t="str">
        <f t="shared" si="252"/>
        <v>12</v>
      </c>
      <c r="N3765" t="s">
        <v>12</v>
      </c>
    </row>
    <row r="3766" spans="1:14" x14ac:dyDescent="0.25">
      <c r="A3766">
        <v>20151204</v>
      </c>
      <c r="B3766" t="str">
        <f>"061349"</f>
        <v>061349</v>
      </c>
      <c r="C3766" t="str">
        <f>"70058"</f>
        <v>70058</v>
      </c>
      <c r="D3766" t="s">
        <v>3285</v>
      </c>
      <c r="E3766" s="3">
        <v>106.25</v>
      </c>
      <c r="F3766">
        <v>20151204</v>
      </c>
      <c r="G3766" t="s">
        <v>2083</v>
      </c>
      <c r="H3766" t="s">
        <v>3286</v>
      </c>
      <c r="I3766">
        <v>0</v>
      </c>
      <c r="J3766" t="s">
        <v>1709</v>
      </c>
      <c r="K3766" t="s">
        <v>290</v>
      </c>
      <c r="L3766" t="s">
        <v>285</v>
      </c>
      <c r="M3766" t="str">
        <f t="shared" si="252"/>
        <v>12</v>
      </c>
      <c r="N3766" t="s">
        <v>12</v>
      </c>
    </row>
    <row r="3767" spans="1:14" x14ac:dyDescent="0.25">
      <c r="A3767">
        <v>20151204</v>
      </c>
      <c r="B3767" t="str">
        <f>"061349"</f>
        <v>061349</v>
      </c>
      <c r="C3767" t="str">
        <f>"70058"</f>
        <v>70058</v>
      </c>
      <c r="D3767" t="s">
        <v>3285</v>
      </c>
      <c r="E3767" s="3">
        <v>106.25</v>
      </c>
      <c r="F3767">
        <v>20151204</v>
      </c>
      <c r="G3767" t="s">
        <v>2086</v>
      </c>
      <c r="H3767" t="s">
        <v>3286</v>
      </c>
      <c r="I3767">
        <v>0</v>
      </c>
      <c r="J3767" t="s">
        <v>1709</v>
      </c>
      <c r="K3767" t="s">
        <v>95</v>
      </c>
      <c r="L3767" t="s">
        <v>285</v>
      </c>
      <c r="M3767" t="str">
        <f t="shared" si="252"/>
        <v>12</v>
      </c>
      <c r="N3767" t="s">
        <v>12</v>
      </c>
    </row>
    <row r="3768" spans="1:14" x14ac:dyDescent="0.25">
      <c r="A3768">
        <v>20151204</v>
      </c>
      <c r="B3768" t="str">
        <f>"061349"</f>
        <v>061349</v>
      </c>
      <c r="C3768" t="str">
        <f>"70058"</f>
        <v>70058</v>
      </c>
      <c r="D3768" t="s">
        <v>3285</v>
      </c>
      <c r="E3768" s="3">
        <v>106.25</v>
      </c>
      <c r="F3768">
        <v>20151204</v>
      </c>
      <c r="G3768" t="s">
        <v>2087</v>
      </c>
      <c r="H3768" t="s">
        <v>3286</v>
      </c>
      <c r="I3768">
        <v>0</v>
      </c>
      <c r="J3768" t="s">
        <v>1709</v>
      </c>
      <c r="K3768" t="s">
        <v>1643</v>
      </c>
      <c r="L3768" t="s">
        <v>285</v>
      </c>
      <c r="M3768" t="str">
        <f t="shared" si="252"/>
        <v>12</v>
      </c>
      <c r="N3768" t="s">
        <v>12</v>
      </c>
    </row>
    <row r="3769" spans="1:14" x14ac:dyDescent="0.25">
      <c r="A3769">
        <v>20151204</v>
      </c>
      <c r="B3769" t="str">
        <f>"061349"</f>
        <v>061349</v>
      </c>
      <c r="C3769" t="str">
        <f>"70058"</f>
        <v>70058</v>
      </c>
      <c r="D3769" t="s">
        <v>3285</v>
      </c>
      <c r="E3769" s="3">
        <v>106.25</v>
      </c>
      <c r="F3769">
        <v>20151204</v>
      </c>
      <c r="G3769" t="s">
        <v>2088</v>
      </c>
      <c r="H3769" t="s">
        <v>3286</v>
      </c>
      <c r="I3769">
        <v>0</v>
      </c>
      <c r="J3769" t="s">
        <v>1709</v>
      </c>
      <c r="K3769" t="s">
        <v>33</v>
      </c>
      <c r="L3769" t="s">
        <v>285</v>
      </c>
      <c r="M3769" t="str">
        <f t="shared" si="252"/>
        <v>12</v>
      </c>
      <c r="N3769" t="s">
        <v>12</v>
      </c>
    </row>
    <row r="3770" spans="1:14" x14ac:dyDescent="0.25">
      <c r="A3770">
        <v>20151204</v>
      </c>
      <c r="B3770" t="str">
        <f>"061354"</f>
        <v>061354</v>
      </c>
      <c r="C3770" t="str">
        <f>"77400"</f>
        <v>77400</v>
      </c>
      <c r="D3770" t="s">
        <v>1665</v>
      </c>
      <c r="E3770" s="3">
        <v>1075.19</v>
      </c>
      <c r="F3770">
        <v>20151204</v>
      </c>
      <c r="G3770" t="s">
        <v>2817</v>
      </c>
      <c r="H3770" t="s">
        <v>3287</v>
      </c>
      <c r="I3770">
        <v>0</v>
      </c>
      <c r="J3770" t="s">
        <v>1709</v>
      </c>
      <c r="K3770" t="s">
        <v>290</v>
      </c>
      <c r="L3770" t="s">
        <v>285</v>
      </c>
      <c r="M3770" t="str">
        <f t="shared" si="252"/>
        <v>12</v>
      </c>
      <c r="N3770" t="s">
        <v>12</v>
      </c>
    </row>
    <row r="3771" spans="1:14" x14ac:dyDescent="0.25">
      <c r="A3771">
        <v>20151204</v>
      </c>
      <c r="B3771" t="str">
        <f>"061356"</f>
        <v>061356</v>
      </c>
      <c r="C3771" t="str">
        <f>"78436"</f>
        <v>78436</v>
      </c>
      <c r="D3771" t="s">
        <v>3288</v>
      </c>
      <c r="E3771" s="3">
        <v>175</v>
      </c>
      <c r="F3771">
        <v>20151204</v>
      </c>
      <c r="G3771" t="s">
        <v>1723</v>
      </c>
      <c r="H3771" t="s">
        <v>3289</v>
      </c>
      <c r="I3771">
        <v>0</v>
      </c>
      <c r="J3771" t="s">
        <v>1709</v>
      </c>
      <c r="K3771" t="s">
        <v>290</v>
      </c>
      <c r="L3771" t="s">
        <v>285</v>
      </c>
      <c r="M3771" t="str">
        <f t="shared" si="252"/>
        <v>12</v>
      </c>
      <c r="N3771" t="s">
        <v>12</v>
      </c>
    </row>
    <row r="3772" spans="1:14" x14ac:dyDescent="0.25">
      <c r="A3772">
        <v>20151204</v>
      </c>
      <c r="B3772" t="str">
        <f>"061358"</f>
        <v>061358</v>
      </c>
      <c r="C3772" t="str">
        <f>"78726"</f>
        <v>78726</v>
      </c>
      <c r="D3772" t="s">
        <v>2772</v>
      </c>
      <c r="E3772" s="3">
        <v>8075.9</v>
      </c>
      <c r="F3772">
        <v>20151204</v>
      </c>
      <c r="G3772" t="s">
        <v>2773</v>
      </c>
      <c r="H3772" t="s">
        <v>3290</v>
      </c>
      <c r="I3772">
        <v>0</v>
      </c>
      <c r="J3772" t="s">
        <v>1709</v>
      </c>
      <c r="K3772" t="s">
        <v>2252</v>
      </c>
      <c r="L3772" t="s">
        <v>285</v>
      </c>
      <c r="M3772" t="str">
        <f t="shared" si="252"/>
        <v>12</v>
      </c>
      <c r="N3772" t="s">
        <v>12</v>
      </c>
    </row>
    <row r="3773" spans="1:14" x14ac:dyDescent="0.25">
      <c r="A3773">
        <v>20151204</v>
      </c>
      <c r="B3773" t="str">
        <f t="shared" ref="B3773:B3802" si="255">"061364"</f>
        <v>061364</v>
      </c>
      <c r="C3773" t="str">
        <f t="shared" ref="C3773:C3802" si="256">"83022"</f>
        <v>83022</v>
      </c>
      <c r="D3773" t="s">
        <v>394</v>
      </c>
      <c r="E3773" s="3">
        <v>68.5</v>
      </c>
      <c r="F3773">
        <v>20151204</v>
      </c>
      <c r="G3773" t="s">
        <v>2168</v>
      </c>
      <c r="H3773" t="s">
        <v>2778</v>
      </c>
      <c r="I3773">
        <v>0</v>
      </c>
      <c r="J3773" t="s">
        <v>1709</v>
      </c>
      <c r="K3773" t="s">
        <v>33</v>
      </c>
      <c r="L3773" t="s">
        <v>285</v>
      </c>
      <c r="M3773" t="str">
        <f t="shared" si="252"/>
        <v>12</v>
      </c>
      <c r="N3773" t="s">
        <v>12</v>
      </c>
    </row>
    <row r="3774" spans="1:14" x14ac:dyDescent="0.25">
      <c r="A3774">
        <v>20151204</v>
      </c>
      <c r="B3774" t="str">
        <f t="shared" si="255"/>
        <v>061364</v>
      </c>
      <c r="C3774" t="str">
        <f t="shared" si="256"/>
        <v>83022</v>
      </c>
      <c r="D3774" t="s">
        <v>394</v>
      </c>
      <c r="E3774" s="3">
        <v>48.62</v>
      </c>
      <c r="F3774">
        <v>20151204</v>
      </c>
      <c r="G3774" t="s">
        <v>2226</v>
      </c>
      <c r="H3774" t="s">
        <v>3291</v>
      </c>
      <c r="I3774">
        <v>0</v>
      </c>
      <c r="J3774" t="s">
        <v>1709</v>
      </c>
      <c r="K3774" t="s">
        <v>33</v>
      </c>
      <c r="L3774" t="s">
        <v>285</v>
      </c>
      <c r="M3774" t="str">
        <f t="shared" si="252"/>
        <v>12</v>
      </c>
      <c r="N3774" t="s">
        <v>12</v>
      </c>
    </row>
    <row r="3775" spans="1:14" x14ac:dyDescent="0.25">
      <c r="A3775">
        <v>20151204</v>
      </c>
      <c r="B3775" t="str">
        <f t="shared" si="255"/>
        <v>061364</v>
      </c>
      <c r="C3775" t="str">
        <f t="shared" si="256"/>
        <v>83022</v>
      </c>
      <c r="D3775" t="s">
        <v>394</v>
      </c>
      <c r="E3775" s="3">
        <v>12.48</v>
      </c>
      <c r="F3775">
        <v>20151204</v>
      </c>
      <c r="G3775" t="s">
        <v>2226</v>
      </c>
      <c r="H3775" t="s">
        <v>3291</v>
      </c>
      <c r="I3775">
        <v>0</v>
      </c>
      <c r="J3775" t="s">
        <v>1709</v>
      </c>
      <c r="K3775" t="s">
        <v>33</v>
      </c>
      <c r="L3775" t="s">
        <v>285</v>
      </c>
      <c r="M3775" t="str">
        <f t="shared" ref="M3775:M3838" si="257">"12"</f>
        <v>12</v>
      </c>
      <c r="N3775" t="s">
        <v>12</v>
      </c>
    </row>
    <row r="3776" spans="1:14" x14ac:dyDescent="0.25">
      <c r="A3776">
        <v>20151204</v>
      </c>
      <c r="B3776" t="str">
        <f t="shared" si="255"/>
        <v>061364</v>
      </c>
      <c r="C3776" t="str">
        <f t="shared" si="256"/>
        <v>83022</v>
      </c>
      <c r="D3776" t="s">
        <v>394</v>
      </c>
      <c r="E3776" s="3">
        <v>56.16</v>
      </c>
      <c r="F3776">
        <v>20151204</v>
      </c>
      <c r="G3776" t="s">
        <v>2100</v>
      </c>
      <c r="H3776" t="s">
        <v>2682</v>
      </c>
      <c r="I3776">
        <v>0</v>
      </c>
      <c r="J3776" t="s">
        <v>1709</v>
      </c>
      <c r="K3776" t="s">
        <v>33</v>
      </c>
      <c r="L3776" t="s">
        <v>285</v>
      </c>
      <c r="M3776" t="str">
        <f t="shared" si="257"/>
        <v>12</v>
      </c>
      <c r="N3776" t="s">
        <v>12</v>
      </c>
    </row>
    <row r="3777" spans="1:14" x14ac:dyDescent="0.25">
      <c r="A3777">
        <v>20151204</v>
      </c>
      <c r="B3777" t="str">
        <f t="shared" si="255"/>
        <v>061364</v>
      </c>
      <c r="C3777" t="str">
        <f t="shared" si="256"/>
        <v>83022</v>
      </c>
      <c r="D3777" t="s">
        <v>394</v>
      </c>
      <c r="E3777" s="3">
        <v>28.46</v>
      </c>
      <c r="F3777">
        <v>20151204</v>
      </c>
      <c r="G3777" t="s">
        <v>2100</v>
      </c>
      <c r="H3777" t="s">
        <v>2682</v>
      </c>
      <c r="I3777">
        <v>0</v>
      </c>
      <c r="J3777" t="s">
        <v>1709</v>
      </c>
      <c r="K3777" t="s">
        <v>33</v>
      </c>
      <c r="L3777" t="s">
        <v>285</v>
      </c>
      <c r="M3777" t="str">
        <f t="shared" si="257"/>
        <v>12</v>
      </c>
      <c r="N3777" t="s">
        <v>12</v>
      </c>
    </row>
    <row r="3778" spans="1:14" x14ac:dyDescent="0.25">
      <c r="A3778">
        <v>20151204</v>
      </c>
      <c r="B3778" t="str">
        <f t="shared" si="255"/>
        <v>061364</v>
      </c>
      <c r="C3778" t="str">
        <f t="shared" si="256"/>
        <v>83022</v>
      </c>
      <c r="D3778" t="s">
        <v>394</v>
      </c>
      <c r="E3778" s="3">
        <v>36.36</v>
      </c>
      <c r="F3778">
        <v>20151204</v>
      </c>
      <c r="G3778" t="s">
        <v>2275</v>
      </c>
      <c r="H3778" t="s">
        <v>3003</v>
      </c>
      <c r="I3778">
        <v>0</v>
      </c>
      <c r="J3778" t="s">
        <v>1709</v>
      </c>
      <c r="K3778" t="s">
        <v>95</v>
      </c>
      <c r="L3778" t="s">
        <v>285</v>
      </c>
      <c r="M3778" t="str">
        <f t="shared" si="257"/>
        <v>12</v>
      </c>
      <c r="N3778" t="s">
        <v>12</v>
      </c>
    </row>
    <row r="3779" spans="1:14" x14ac:dyDescent="0.25">
      <c r="A3779">
        <v>20151204</v>
      </c>
      <c r="B3779" t="str">
        <f t="shared" si="255"/>
        <v>061364</v>
      </c>
      <c r="C3779" t="str">
        <f t="shared" si="256"/>
        <v>83022</v>
      </c>
      <c r="D3779" t="s">
        <v>394</v>
      </c>
      <c r="E3779" s="3">
        <v>21.9</v>
      </c>
      <c r="F3779">
        <v>20151204</v>
      </c>
      <c r="G3779" t="s">
        <v>2275</v>
      </c>
      <c r="H3779" t="s">
        <v>595</v>
      </c>
      <c r="I3779">
        <v>0</v>
      </c>
      <c r="J3779" t="s">
        <v>1709</v>
      </c>
      <c r="K3779" t="s">
        <v>95</v>
      </c>
      <c r="L3779" t="s">
        <v>285</v>
      </c>
      <c r="M3779" t="str">
        <f t="shared" si="257"/>
        <v>12</v>
      </c>
      <c r="N3779" t="s">
        <v>12</v>
      </c>
    </row>
    <row r="3780" spans="1:14" x14ac:dyDescent="0.25">
      <c r="A3780">
        <v>20151204</v>
      </c>
      <c r="B3780" t="str">
        <f t="shared" si="255"/>
        <v>061364</v>
      </c>
      <c r="C3780" t="str">
        <f t="shared" si="256"/>
        <v>83022</v>
      </c>
      <c r="D3780" t="s">
        <v>394</v>
      </c>
      <c r="E3780" s="3">
        <v>43.05</v>
      </c>
      <c r="F3780">
        <v>20151204</v>
      </c>
      <c r="G3780" t="s">
        <v>2714</v>
      </c>
      <c r="H3780" t="s">
        <v>3292</v>
      </c>
      <c r="I3780">
        <v>0</v>
      </c>
      <c r="J3780" t="s">
        <v>1709</v>
      </c>
      <c r="K3780" t="s">
        <v>33</v>
      </c>
      <c r="L3780" t="s">
        <v>285</v>
      </c>
      <c r="M3780" t="str">
        <f t="shared" si="257"/>
        <v>12</v>
      </c>
      <c r="N3780" t="s">
        <v>12</v>
      </c>
    </row>
    <row r="3781" spans="1:14" x14ac:dyDescent="0.25">
      <c r="A3781">
        <v>20151204</v>
      </c>
      <c r="B3781" t="str">
        <f t="shared" si="255"/>
        <v>061364</v>
      </c>
      <c r="C3781" t="str">
        <f t="shared" si="256"/>
        <v>83022</v>
      </c>
      <c r="D3781" t="s">
        <v>394</v>
      </c>
      <c r="E3781" s="3">
        <v>4.7699999999999996</v>
      </c>
      <c r="F3781">
        <v>20151204</v>
      </c>
      <c r="G3781" t="s">
        <v>2714</v>
      </c>
      <c r="H3781" t="s">
        <v>595</v>
      </c>
      <c r="I3781">
        <v>0</v>
      </c>
      <c r="J3781" t="s">
        <v>1709</v>
      </c>
      <c r="K3781" t="s">
        <v>33</v>
      </c>
      <c r="L3781" t="s">
        <v>285</v>
      </c>
      <c r="M3781" t="str">
        <f t="shared" si="257"/>
        <v>12</v>
      </c>
      <c r="N3781" t="s">
        <v>12</v>
      </c>
    </row>
    <row r="3782" spans="1:14" x14ac:dyDescent="0.25">
      <c r="A3782">
        <v>20151204</v>
      </c>
      <c r="B3782" t="str">
        <f t="shared" si="255"/>
        <v>061364</v>
      </c>
      <c r="C3782" t="str">
        <f t="shared" si="256"/>
        <v>83022</v>
      </c>
      <c r="D3782" t="s">
        <v>394</v>
      </c>
      <c r="E3782" s="3">
        <v>41.06</v>
      </c>
      <c r="F3782">
        <v>20151204</v>
      </c>
      <c r="G3782" t="s">
        <v>3293</v>
      </c>
      <c r="H3782" t="s">
        <v>3294</v>
      </c>
      <c r="I3782">
        <v>0</v>
      </c>
      <c r="J3782" t="s">
        <v>1709</v>
      </c>
      <c r="K3782" t="s">
        <v>95</v>
      </c>
      <c r="L3782" t="s">
        <v>285</v>
      </c>
      <c r="M3782" t="str">
        <f t="shared" si="257"/>
        <v>12</v>
      </c>
      <c r="N3782" t="s">
        <v>12</v>
      </c>
    </row>
    <row r="3783" spans="1:14" x14ac:dyDescent="0.25">
      <c r="A3783">
        <v>20151204</v>
      </c>
      <c r="B3783" t="str">
        <f t="shared" si="255"/>
        <v>061364</v>
      </c>
      <c r="C3783" t="str">
        <f t="shared" si="256"/>
        <v>83022</v>
      </c>
      <c r="D3783" t="s">
        <v>394</v>
      </c>
      <c r="E3783" s="3">
        <v>98.44</v>
      </c>
      <c r="F3783">
        <v>20151204</v>
      </c>
      <c r="G3783" t="s">
        <v>3031</v>
      </c>
      <c r="H3783" t="s">
        <v>1618</v>
      </c>
      <c r="I3783">
        <v>0</v>
      </c>
      <c r="J3783" t="s">
        <v>1709</v>
      </c>
      <c r="K3783" t="s">
        <v>290</v>
      </c>
      <c r="L3783" t="s">
        <v>285</v>
      </c>
      <c r="M3783" t="str">
        <f t="shared" si="257"/>
        <v>12</v>
      </c>
      <c r="N3783" t="s">
        <v>12</v>
      </c>
    </row>
    <row r="3784" spans="1:14" x14ac:dyDescent="0.25">
      <c r="A3784">
        <v>20151204</v>
      </c>
      <c r="B3784" t="str">
        <f t="shared" si="255"/>
        <v>061364</v>
      </c>
      <c r="C3784" t="str">
        <f t="shared" si="256"/>
        <v>83022</v>
      </c>
      <c r="D3784" t="s">
        <v>394</v>
      </c>
      <c r="E3784" s="3">
        <v>104.7</v>
      </c>
      <c r="F3784">
        <v>20151204</v>
      </c>
      <c r="G3784" t="s">
        <v>2115</v>
      </c>
      <c r="H3784" t="s">
        <v>3295</v>
      </c>
      <c r="I3784">
        <v>0</v>
      </c>
      <c r="J3784" t="s">
        <v>1709</v>
      </c>
      <c r="K3784" t="s">
        <v>290</v>
      </c>
      <c r="L3784" t="s">
        <v>285</v>
      </c>
      <c r="M3784" t="str">
        <f t="shared" si="257"/>
        <v>12</v>
      </c>
      <c r="N3784" t="s">
        <v>12</v>
      </c>
    </row>
    <row r="3785" spans="1:14" x14ac:dyDescent="0.25">
      <c r="A3785">
        <v>20151204</v>
      </c>
      <c r="B3785" t="str">
        <f t="shared" si="255"/>
        <v>061364</v>
      </c>
      <c r="C3785" t="str">
        <f t="shared" si="256"/>
        <v>83022</v>
      </c>
      <c r="D3785" t="s">
        <v>394</v>
      </c>
      <c r="E3785" s="3">
        <v>-69.97</v>
      </c>
      <c r="F3785">
        <v>20151022</v>
      </c>
      <c r="G3785" t="s">
        <v>2115</v>
      </c>
      <c r="H3785" t="s">
        <v>3296</v>
      </c>
      <c r="I3785">
        <v>0</v>
      </c>
      <c r="J3785" t="s">
        <v>1709</v>
      </c>
      <c r="K3785" t="s">
        <v>290</v>
      </c>
      <c r="L3785" t="s">
        <v>1385</v>
      </c>
      <c r="M3785" t="str">
        <f t="shared" si="257"/>
        <v>12</v>
      </c>
      <c r="N3785" t="s">
        <v>12</v>
      </c>
    </row>
    <row r="3786" spans="1:14" x14ac:dyDescent="0.25">
      <c r="A3786">
        <v>20151204</v>
      </c>
      <c r="B3786" t="str">
        <f t="shared" si="255"/>
        <v>061364</v>
      </c>
      <c r="C3786" t="str">
        <f t="shared" si="256"/>
        <v>83022</v>
      </c>
      <c r="D3786" t="s">
        <v>394</v>
      </c>
      <c r="E3786" s="3">
        <v>203.41</v>
      </c>
      <c r="F3786">
        <v>20151204</v>
      </c>
      <c r="G3786" t="s">
        <v>2317</v>
      </c>
      <c r="H3786" t="s">
        <v>2509</v>
      </c>
      <c r="I3786">
        <v>0</v>
      </c>
      <c r="J3786" t="s">
        <v>1709</v>
      </c>
      <c r="K3786" t="s">
        <v>290</v>
      </c>
      <c r="L3786" t="s">
        <v>285</v>
      </c>
      <c r="M3786" t="str">
        <f t="shared" si="257"/>
        <v>12</v>
      </c>
      <c r="N3786" t="s">
        <v>12</v>
      </c>
    </row>
    <row r="3787" spans="1:14" x14ac:dyDescent="0.25">
      <c r="A3787">
        <v>20151204</v>
      </c>
      <c r="B3787" t="str">
        <f t="shared" si="255"/>
        <v>061364</v>
      </c>
      <c r="C3787" t="str">
        <f t="shared" si="256"/>
        <v>83022</v>
      </c>
      <c r="D3787" t="s">
        <v>394</v>
      </c>
      <c r="E3787" s="3">
        <v>342.32</v>
      </c>
      <c r="F3787">
        <v>20151204</v>
      </c>
      <c r="G3787" t="s">
        <v>2317</v>
      </c>
      <c r="H3787" t="s">
        <v>2509</v>
      </c>
      <c r="I3787">
        <v>0</v>
      </c>
      <c r="J3787" t="s">
        <v>1709</v>
      </c>
      <c r="K3787" t="s">
        <v>290</v>
      </c>
      <c r="L3787" t="s">
        <v>285</v>
      </c>
      <c r="M3787" t="str">
        <f t="shared" si="257"/>
        <v>12</v>
      </c>
      <c r="N3787" t="s">
        <v>12</v>
      </c>
    </row>
    <row r="3788" spans="1:14" x14ac:dyDescent="0.25">
      <c r="A3788">
        <v>20151204</v>
      </c>
      <c r="B3788" t="str">
        <f t="shared" si="255"/>
        <v>061364</v>
      </c>
      <c r="C3788" t="str">
        <f t="shared" si="256"/>
        <v>83022</v>
      </c>
      <c r="D3788" t="s">
        <v>394</v>
      </c>
      <c r="E3788" s="3">
        <v>82.69</v>
      </c>
      <c r="F3788">
        <v>20151204</v>
      </c>
      <c r="G3788" t="s">
        <v>2317</v>
      </c>
      <c r="H3788" t="s">
        <v>2509</v>
      </c>
      <c r="I3788">
        <v>0</v>
      </c>
      <c r="J3788" t="s">
        <v>1709</v>
      </c>
      <c r="K3788" t="s">
        <v>290</v>
      </c>
      <c r="L3788" t="s">
        <v>285</v>
      </c>
      <c r="M3788" t="str">
        <f t="shared" si="257"/>
        <v>12</v>
      </c>
      <c r="N3788" t="s">
        <v>12</v>
      </c>
    </row>
    <row r="3789" spans="1:14" x14ac:dyDescent="0.25">
      <c r="A3789">
        <v>20151204</v>
      </c>
      <c r="B3789" t="str">
        <f t="shared" si="255"/>
        <v>061364</v>
      </c>
      <c r="C3789" t="str">
        <f t="shared" si="256"/>
        <v>83022</v>
      </c>
      <c r="D3789" t="s">
        <v>394</v>
      </c>
      <c r="E3789" s="3">
        <v>41.17</v>
      </c>
      <c r="F3789">
        <v>20151204</v>
      </c>
      <c r="G3789" t="s">
        <v>3297</v>
      </c>
      <c r="H3789" t="s">
        <v>3298</v>
      </c>
      <c r="I3789">
        <v>0</v>
      </c>
      <c r="J3789" t="s">
        <v>1709</v>
      </c>
      <c r="K3789" t="s">
        <v>290</v>
      </c>
      <c r="L3789" t="s">
        <v>285</v>
      </c>
      <c r="M3789" t="str">
        <f t="shared" si="257"/>
        <v>12</v>
      </c>
      <c r="N3789" t="s">
        <v>12</v>
      </c>
    </row>
    <row r="3790" spans="1:14" x14ac:dyDescent="0.25">
      <c r="A3790">
        <v>20151204</v>
      </c>
      <c r="B3790" t="str">
        <f t="shared" si="255"/>
        <v>061364</v>
      </c>
      <c r="C3790" t="str">
        <f t="shared" si="256"/>
        <v>83022</v>
      </c>
      <c r="D3790" t="s">
        <v>394</v>
      </c>
      <c r="E3790" s="3">
        <v>36.54</v>
      </c>
      <c r="F3790">
        <v>20151204</v>
      </c>
      <c r="G3790" t="s">
        <v>3297</v>
      </c>
      <c r="H3790" t="s">
        <v>3298</v>
      </c>
      <c r="I3790">
        <v>0</v>
      </c>
      <c r="J3790" t="s">
        <v>1709</v>
      </c>
      <c r="K3790" t="s">
        <v>290</v>
      </c>
      <c r="L3790" t="s">
        <v>285</v>
      </c>
      <c r="M3790" t="str">
        <f t="shared" si="257"/>
        <v>12</v>
      </c>
      <c r="N3790" t="s">
        <v>12</v>
      </c>
    </row>
    <row r="3791" spans="1:14" x14ac:dyDescent="0.25">
      <c r="A3791">
        <v>20151204</v>
      </c>
      <c r="B3791" t="str">
        <f t="shared" si="255"/>
        <v>061364</v>
      </c>
      <c r="C3791" t="str">
        <f t="shared" si="256"/>
        <v>83022</v>
      </c>
      <c r="D3791" t="s">
        <v>394</v>
      </c>
      <c r="E3791" s="3">
        <v>13.68</v>
      </c>
      <c r="F3791">
        <v>20151204</v>
      </c>
      <c r="G3791" t="s">
        <v>1977</v>
      </c>
      <c r="H3791" t="s">
        <v>3299</v>
      </c>
      <c r="I3791">
        <v>0</v>
      </c>
      <c r="J3791" t="s">
        <v>1709</v>
      </c>
      <c r="K3791" t="s">
        <v>290</v>
      </c>
      <c r="L3791" t="s">
        <v>285</v>
      </c>
      <c r="M3791" t="str">
        <f t="shared" si="257"/>
        <v>12</v>
      </c>
      <c r="N3791" t="s">
        <v>12</v>
      </c>
    </row>
    <row r="3792" spans="1:14" x14ac:dyDescent="0.25">
      <c r="A3792">
        <v>20151204</v>
      </c>
      <c r="B3792" t="str">
        <f t="shared" si="255"/>
        <v>061364</v>
      </c>
      <c r="C3792" t="str">
        <f t="shared" si="256"/>
        <v>83022</v>
      </c>
      <c r="D3792" t="s">
        <v>394</v>
      </c>
      <c r="E3792" s="3">
        <v>9.23</v>
      </c>
      <c r="F3792">
        <v>20151204</v>
      </c>
      <c r="G3792" t="s">
        <v>1977</v>
      </c>
      <c r="H3792" t="s">
        <v>3299</v>
      </c>
      <c r="I3792">
        <v>0</v>
      </c>
      <c r="J3792" t="s">
        <v>1709</v>
      </c>
      <c r="K3792" t="s">
        <v>290</v>
      </c>
      <c r="L3792" t="s">
        <v>285</v>
      </c>
      <c r="M3792" t="str">
        <f t="shared" si="257"/>
        <v>12</v>
      </c>
      <c r="N3792" t="s">
        <v>12</v>
      </c>
    </row>
    <row r="3793" spans="1:14" x14ac:dyDescent="0.25">
      <c r="A3793">
        <v>20151204</v>
      </c>
      <c r="B3793" t="str">
        <f t="shared" si="255"/>
        <v>061364</v>
      </c>
      <c r="C3793" t="str">
        <f t="shared" si="256"/>
        <v>83022</v>
      </c>
      <c r="D3793" t="s">
        <v>394</v>
      </c>
      <c r="E3793" s="3">
        <v>5.64</v>
      </c>
      <c r="F3793">
        <v>20151204</v>
      </c>
      <c r="G3793" t="s">
        <v>2153</v>
      </c>
      <c r="H3793" t="s">
        <v>3300</v>
      </c>
      <c r="I3793">
        <v>0</v>
      </c>
      <c r="J3793" t="s">
        <v>1709</v>
      </c>
      <c r="K3793" t="s">
        <v>290</v>
      </c>
      <c r="L3793" t="s">
        <v>285</v>
      </c>
      <c r="M3793" t="str">
        <f t="shared" si="257"/>
        <v>12</v>
      </c>
      <c r="N3793" t="s">
        <v>12</v>
      </c>
    </row>
    <row r="3794" spans="1:14" x14ac:dyDescent="0.25">
      <c r="A3794">
        <v>20151204</v>
      </c>
      <c r="B3794" t="str">
        <f t="shared" si="255"/>
        <v>061364</v>
      </c>
      <c r="C3794" t="str">
        <f t="shared" si="256"/>
        <v>83022</v>
      </c>
      <c r="D3794" t="s">
        <v>394</v>
      </c>
      <c r="E3794" s="3">
        <v>125.52</v>
      </c>
      <c r="F3794">
        <v>20151204</v>
      </c>
      <c r="G3794" t="s">
        <v>2789</v>
      </c>
      <c r="H3794" t="s">
        <v>3301</v>
      </c>
      <c r="I3794">
        <v>0</v>
      </c>
      <c r="J3794" t="s">
        <v>1709</v>
      </c>
      <c r="K3794" t="s">
        <v>290</v>
      </c>
      <c r="L3794" t="s">
        <v>285</v>
      </c>
      <c r="M3794" t="str">
        <f t="shared" si="257"/>
        <v>12</v>
      </c>
      <c r="N3794" t="s">
        <v>12</v>
      </c>
    </row>
    <row r="3795" spans="1:14" x14ac:dyDescent="0.25">
      <c r="A3795">
        <v>20151204</v>
      </c>
      <c r="B3795" t="str">
        <f t="shared" si="255"/>
        <v>061364</v>
      </c>
      <c r="C3795" t="str">
        <f t="shared" si="256"/>
        <v>83022</v>
      </c>
      <c r="D3795" t="s">
        <v>394</v>
      </c>
      <c r="E3795" s="3">
        <v>285.77999999999997</v>
      </c>
      <c r="F3795">
        <v>20151204</v>
      </c>
      <c r="G3795" t="s">
        <v>2789</v>
      </c>
      <c r="H3795" t="s">
        <v>3302</v>
      </c>
      <c r="I3795">
        <v>0</v>
      </c>
      <c r="J3795" t="s">
        <v>1709</v>
      </c>
      <c r="K3795" t="s">
        <v>290</v>
      </c>
      <c r="L3795" t="s">
        <v>285</v>
      </c>
      <c r="M3795" t="str">
        <f t="shared" si="257"/>
        <v>12</v>
      </c>
      <c r="N3795" t="s">
        <v>12</v>
      </c>
    </row>
    <row r="3796" spans="1:14" x14ac:dyDescent="0.25">
      <c r="A3796">
        <v>20151204</v>
      </c>
      <c r="B3796" t="str">
        <f t="shared" si="255"/>
        <v>061364</v>
      </c>
      <c r="C3796" t="str">
        <f t="shared" si="256"/>
        <v>83022</v>
      </c>
      <c r="D3796" t="s">
        <v>394</v>
      </c>
      <c r="E3796" s="3">
        <v>99.69</v>
      </c>
      <c r="F3796">
        <v>20151204</v>
      </c>
      <c r="G3796" t="s">
        <v>2232</v>
      </c>
      <c r="H3796" t="s">
        <v>3298</v>
      </c>
      <c r="I3796">
        <v>0</v>
      </c>
      <c r="J3796" t="s">
        <v>1709</v>
      </c>
      <c r="K3796" t="s">
        <v>290</v>
      </c>
      <c r="L3796" t="s">
        <v>285</v>
      </c>
      <c r="M3796" t="str">
        <f t="shared" si="257"/>
        <v>12</v>
      </c>
      <c r="N3796" t="s">
        <v>12</v>
      </c>
    </row>
    <row r="3797" spans="1:14" x14ac:dyDescent="0.25">
      <c r="A3797">
        <v>20151204</v>
      </c>
      <c r="B3797" t="str">
        <f t="shared" si="255"/>
        <v>061364</v>
      </c>
      <c r="C3797" t="str">
        <f t="shared" si="256"/>
        <v>83022</v>
      </c>
      <c r="D3797" t="s">
        <v>394</v>
      </c>
      <c r="E3797" s="3">
        <v>142.74</v>
      </c>
      <c r="F3797">
        <v>20151204</v>
      </c>
      <c r="G3797" t="s">
        <v>3303</v>
      </c>
      <c r="H3797" t="s">
        <v>3304</v>
      </c>
      <c r="I3797">
        <v>0</v>
      </c>
      <c r="J3797" t="s">
        <v>1709</v>
      </c>
      <c r="K3797" t="s">
        <v>1558</v>
      </c>
      <c r="L3797" t="s">
        <v>285</v>
      </c>
      <c r="M3797" t="str">
        <f t="shared" si="257"/>
        <v>12</v>
      </c>
      <c r="N3797" t="s">
        <v>12</v>
      </c>
    </row>
    <row r="3798" spans="1:14" x14ac:dyDescent="0.25">
      <c r="A3798">
        <v>20151204</v>
      </c>
      <c r="B3798" t="str">
        <f t="shared" si="255"/>
        <v>061364</v>
      </c>
      <c r="C3798" t="str">
        <f t="shared" si="256"/>
        <v>83022</v>
      </c>
      <c r="D3798" t="s">
        <v>394</v>
      </c>
      <c r="E3798" s="3">
        <v>80</v>
      </c>
      <c r="F3798">
        <v>20151204</v>
      </c>
      <c r="G3798" t="s">
        <v>1886</v>
      </c>
      <c r="H3798" t="s">
        <v>3305</v>
      </c>
      <c r="I3798">
        <v>0</v>
      </c>
      <c r="J3798" t="s">
        <v>1709</v>
      </c>
      <c r="K3798" t="s">
        <v>290</v>
      </c>
      <c r="L3798" t="s">
        <v>285</v>
      </c>
      <c r="M3798" t="str">
        <f t="shared" si="257"/>
        <v>12</v>
      </c>
      <c r="N3798" t="s">
        <v>12</v>
      </c>
    </row>
    <row r="3799" spans="1:14" x14ac:dyDescent="0.25">
      <c r="A3799">
        <v>20151204</v>
      </c>
      <c r="B3799" t="str">
        <f t="shared" si="255"/>
        <v>061364</v>
      </c>
      <c r="C3799" t="str">
        <f t="shared" si="256"/>
        <v>83022</v>
      </c>
      <c r="D3799" t="s">
        <v>394</v>
      </c>
      <c r="E3799" s="3">
        <v>34.82</v>
      </c>
      <c r="F3799">
        <v>20151204</v>
      </c>
      <c r="G3799" t="s">
        <v>2795</v>
      </c>
      <c r="H3799" t="s">
        <v>595</v>
      </c>
      <c r="I3799">
        <v>0</v>
      </c>
      <c r="J3799" t="s">
        <v>1709</v>
      </c>
      <c r="K3799" t="s">
        <v>95</v>
      </c>
      <c r="L3799" t="s">
        <v>285</v>
      </c>
      <c r="M3799" t="str">
        <f t="shared" si="257"/>
        <v>12</v>
      </c>
      <c r="N3799" t="s">
        <v>12</v>
      </c>
    </row>
    <row r="3800" spans="1:14" x14ac:dyDescent="0.25">
      <c r="A3800">
        <v>20151204</v>
      </c>
      <c r="B3800" t="str">
        <f t="shared" si="255"/>
        <v>061364</v>
      </c>
      <c r="C3800" t="str">
        <f t="shared" si="256"/>
        <v>83022</v>
      </c>
      <c r="D3800" t="s">
        <v>394</v>
      </c>
      <c r="E3800" s="3">
        <v>205.85</v>
      </c>
      <c r="F3800">
        <v>20151204</v>
      </c>
      <c r="G3800" t="s">
        <v>2162</v>
      </c>
      <c r="H3800" t="s">
        <v>595</v>
      </c>
      <c r="I3800">
        <v>0</v>
      </c>
      <c r="J3800" t="s">
        <v>1709</v>
      </c>
      <c r="K3800" t="s">
        <v>1643</v>
      </c>
      <c r="L3800" t="s">
        <v>285</v>
      </c>
      <c r="M3800" t="str">
        <f t="shared" si="257"/>
        <v>12</v>
      </c>
      <c r="N3800" t="s">
        <v>12</v>
      </c>
    </row>
    <row r="3801" spans="1:14" x14ac:dyDescent="0.25">
      <c r="A3801">
        <v>20151204</v>
      </c>
      <c r="B3801" t="str">
        <f t="shared" si="255"/>
        <v>061364</v>
      </c>
      <c r="C3801" t="str">
        <f t="shared" si="256"/>
        <v>83022</v>
      </c>
      <c r="D3801" t="s">
        <v>394</v>
      </c>
      <c r="E3801" s="3">
        <v>24.12</v>
      </c>
      <c r="F3801">
        <v>20151204</v>
      </c>
      <c r="G3801" t="s">
        <v>3114</v>
      </c>
      <c r="H3801" t="s">
        <v>595</v>
      </c>
      <c r="I3801">
        <v>0</v>
      </c>
      <c r="J3801" t="s">
        <v>1709</v>
      </c>
      <c r="K3801" t="s">
        <v>33</v>
      </c>
      <c r="L3801" t="s">
        <v>285</v>
      </c>
      <c r="M3801" t="str">
        <f t="shared" si="257"/>
        <v>12</v>
      </c>
      <c r="N3801" t="s">
        <v>12</v>
      </c>
    </row>
    <row r="3802" spans="1:14" x14ac:dyDescent="0.25">
      <c r="A3802">
        <v>20151204</v>
      </c>
      <c r="B3802" t="str">
        <f t="shared" si="255"/>
        <v>061364</v>
      </c>
      <c r="C3802" t="str">
        <f t="shared" si="256"/>
        <v>83022</v>
      </c>
      <c r="D3802" t="s">
        <v>394</v>
      </c>
      <c r="E3802" s="3">
        <v>101.76</v>
      </c>
      <c r="F3802">
        <v>20151204</v>
      </c>
      <c r="G3802" t="s">
        <v>2172</v>
      </c>
      <c r="H3802" t="s">
        <v>2173</v>
      </c>
      <c r="I3802">
        <v>0</v>
      </c>
      <c r="J3802" t="s">
        <v>1709</v>
      </c>
      <c r="K3802" t="s">
        <v>95</v>
      </c>
      <c r="L3802" t="s">
        <v>285</v>
      </c>
      <c r="M3802" t="str">
        <f t="shared" si="257"/>
        <v>12</v>
      </c>
      <c r="N3802" t="s">
        <v>12</v>
      </c>
    </row>
    <row r="3803" spans="1:14" x14ac:dyDescent="0.25">
      <c r="A3803">
        <v>20151211</v>
      </c>
      <c r="B3803" t="str">
        <f>"061369"</f>
        <v>061369</v>
      </c>
      <c r="C3803" t="str">
        <f>"01196"</f>
        <v>01196</v>
      </c>
      <c r="D3803" t="s">
        <v>2421</v>
      </c>
      <c r="E3803" s="3">
        <v>5.08</v>
      </c>
      <c r="F3803">
        <v>20151210</v>
      </c>
      <c r="G3803" t="s">
        <v>2333</v>
      </c>
      <c r="H3803" t="s">
        <v>3306</v>
      </c>
      <c r="I3803">
        <v>0</v>
      </c>
      <c r="J3803" t="s">
        <v>1709</v>
      </c>
      <c r="K3803" t="s">
        <v>290</v>
      </c>
      <c r="L3803" t="s">
        <v>285</v>
      </c>
      <c r="M3803" t="str">
        <f t="shared" si="257"/>
        <v>12</v>
      </c>
      <c r="N3803" t="s">
        <v>12</v>
      </c>
    </row>
    <row r="3804" spans="1:14" x14ac:dyDescent="0.25">
      <c r="A3804">
        <v>20151211</v>
      </c>
      <c r="B3804" t="str">
        <f>"061369"</f>
        <v>061369</v>
      </c>
      <c r="C3804" t="str">
        <f>"01196"</f>
        <v>01196</v>
      </c>
      <c r="D3804" t="s">
        <v>2421</v>
      </c>
      <c r="E3804" s="3">
        <v>93.49</v>
      </c>
      <c r="F3804">
        <v>20151210</v>
      </c>
      <c r="G3804" t="s">
        <v>3013</v>
      </c>
      <c r="H3804" t="s">
        <v>3307</v>
      </c>
      <c r="I3804">
        <v>0</v>
      </c>
      <c r="J3804" t="s">
        <v>1709</v>
      </c>
      <c r="K3804" t="s">
        <v>1984</v>
      </c>
      <c r="L3804" t="s">
        <v>285</v>
      </c>
      <c r="M3804" t="str">
        <f t="shared" si="257"/>
        <v>12</v>
      </c>
      <c r="N3804" t="s">
        <v>12</v>
      </c>
    </row>
    <row r="3805" spans="1:14" x14ac:dyDescent="0.25">
      <c r="A3805">
        <v>20151211</v>
      </c>
      <c r="B3805" t="str">
        <f>"061372"</f>
        <v>061372</v>
      </c>
      <c r="C3805" t="str">
        <f>"04240"</f>
        <v>04240</v>
      </c>
      <c r="D3805" t="s">
        <v>2432</v>
      </c>
      <c r="E3805" s="3">
        <v>9.98</v>
      </c>
      <c r="F3805">
        <v>20151210</v>
      </c>
      <c r="G3805" t="s">
        <v>2228</v>
      </c>
      <c r="H3805" t="s">
        <v>3308</v>
      </c>
      <c r="I3805">
        <v>0</v>
      </c>
      <c r="J3805" t="s">
        <v>1709</v>
      </c>
      <c r="K3805" t="s">
        <v>290</v>
      </c>
      <c r="L3805" t="s">
        <v>285</v>
      </c>
      <c r="M3805" t="str">
        <f t="shared" si="257"/>
        <v>12</v>
      </c>
      <c r="N3805" t="s">
        <v>12</v>
      </c>
    </row>
    <row r="3806" spans="1:14" x14ac:dyDescent="0.25">
      <c r="A3806">
        <v>20151211</v>
      </c>
      <c r="B3806" t="str">
        <f>"061372"</f>
        <v>061372</v>
      </c>
      <c r="C3806" t="str">
        <f>"04240"</f>
        <v>04240</v>
      </c>
      <c r="D3806" t="s">
        <v>2432</v>
      </c>
      <c r="E3806" s="3">
        <v>49.95</v>
      </c>
      <c r="F3806">
        <v>20151210</v>
      </c>
      <c r="G3806" t="s">
        <v>2228</v>
      </c>
      <c r="H3806" t="s">
        <v>3309</v>
      </c>
      <c r="I3806">
        <v>0</v>
      </c>
      <c r="J3806" t="s">
        <v>1709</v>
      </c>
      <c r="K3806" t="s">
        <v>290</v>
      </c>
      <c r="L3806" t="s">
        <v>285</v>
      </c>
      <c r="M3806" t="str">
        <f t="shared" si="257"/>
        <v>12</v>
      </c>
      <c r="N3806" t="s">
        <v>12</v>
      </c>
    </row>
    <row r="3807" spans="1:14" x14ac:dyDescent="0.25">
      <c r="A3807">
        <v>20151211</v>
      </c>
      <c r="B3807" t="str">
        <f>"061372"</f>
        <v>061372</v>
      </c>
      <c r="C3807" t="str">
        <f>"04240"</f>
        <v>04240</v>
      </c>
      <c r="D3807" t="s">
        <v>2432</v>
      </c>
      <c r="E3807" s="3">
        <v>773.67</v>
      </c>
      <c r="F3807">
        <v>20151210</v>
      </c>
      <c r="G3807" t="s">
        <v>2433</v>
      </c>
      <c r="H3807" t="s">
        <v>2434</v>
      </c>
      <c r="I3807">
        <v>0</v>
      </c>
      <c r="J3807" t="s">
        <v>1709</v>
      </c>
      <c r="K3807" t="s">
        <v>290</v>
      </c>
      <c r="L3807" t="s">
        <v>285</v>
      </c>
      <c r="M3807" t="str">
        <f t="shared" si="257"/>
        <v>12</v>
      </c>
      <c r="N3807" t="s">
        <v>12</v>
      </c>
    </row>
    <row r="3808" spans="1:14" x14ac:dyDescent="0.25">
      <c r="A3808">
        <v>20151211</v>
      </c>
      <c r="B3808" t="str">
        <f>"061376"</f>
        <v>061376</v>
      </c>
      <c r="C3808" t="str">
        <f>"08196"</f>
        <v>08196</v>
      </c>
      <c r="D3808" t="s">
        <v>2438</v>
      </c>
      <c r="E3808" s="3">
        <v>138.15</v>
      </c>
      <c r="F3808">
        <v>20151210</v>
      </c>
      <c r="G3808" t="s">
        <v>2422</v>
      </c>
      <c r="H3808" t="s">
        <v>3027</v>
      </c>
      <c r="I3808">
        <v>0</v>
      </c>
      <c r="J3808" t="s">
        <v>1709</v>
      </c>
      <c r="K3808" t="s">
        <v>290</v>
      </c>
      <c r="L3808" t="s">
        <v>285</v>
      </c>
      <c r="M3808" t="str">
        <f t="shared" si="257"/>
        <v>12</v>
      </c>
      <c r="N3808" t="s">
        <v>12</v>
      </c>
    </row>
    <row r="3809" spans="1:14" x14ac:dyDescent="0.25">
      <c r="A3809">
        <v>20151211</v>
      </c>
      <c r="B3809" t="str">
        <f>"061379"</f>
        <v>061379</v>
      </c>
      <c r="C3809" t="str">
        <f>"09090"</f>
        <v>09090</v>
      </c>
      <c r="D3809" t="s">
        <v>3310</v>
      </c>
      <c r="E3809" s="3">
        <v>190.62</v>
      </c>
      <c r="F3809">
        <v>20151210</v>
      </c>
      <c r="G3809" t="s">
        <v>3311</v>
      </c>
      <c r="H3809" t="s">
        <v>3312</v>
      </c>
      <c r="I3809">
        <v>0</v>
      </c>
      <c r="J3809" t="s">
        <v>1709</v>
      </c>
      <c r="K3809" t="s">
        <v>290</v>
      </c>
      <c r="L3809" t="s">
        <v>285</v>
      </c>
      <c r="M3809" t="str">
        <f t="shared" si="257"/>
        <v>12</v>
      </c>
      <c r="N3809" t="s">
        <v>12</v>
      </c>
    </row>
    <row r="3810" spans="1:14" x14ac:dyDescent="0.25">
      <c r="A3810">
        <v>20151211</v>
      </c>
      <c r="B3810" t="str">
        <f>"061379"</f>
        <v>061379</v>
      </c>
      <c r="C3810" t="str">
        <f>"09090"</f>
        <v>09090</v>
      </c>
      <c r="D3810" t="s">
        <v>3310</v>
      </c>
      <c r="E3810" s="3">
        <v>1224.05</v>
      </c>
      <c r="F3810">
        <v>20151210</v>
      </c>
      <c r="G3810" t="s">
        <v>3311</v>
      </c>
      <c r="H3810" t="s">
        <v>3313</v>
      </c>
      <c r="I3810">
        <v>0</v>
      </c>
      <c r="J3810" t="s">
        <v>1709</v>
      </c>
      <c r="K3810" t="s">
        <v>290</v>
      </c>
      <c r="L3810" t="s">
        <v>285</v>
      </c>
      <c r="M3810" t="str">
        <f t="shared" si="257"/>
        <v>12</v>
      </c>
      <c r="N3810" t="s">
        <v>12</v>
      </c>
    </row>
    <row r="3811" spans="1:14" x14ac:dyDescent="0.25">
      <c r="A3811">
        <v>20151211</v>
      </c>
      <c r="B3811" t="str">
        <f>"061381"</f>
        <v>061381</v>
      </c>
      <c r="C3811" t="str">
        <f>"10040"</f>
        <v>10040</v>
      </c>
      <c r="D3811" t="s">
        <v>2082</v>
      </c>
      <c r="E3811" s="3">
        <v>12.5</v>
      </c>
      <c r="F3811">
        <v>20151210</v>
      </c>
      <c r="G3811" t="s">
        <v>2083</v>
      </c>
      <c r="H3811" t="s">
        <v>3314</v>
      </c>
      <c r="I3811">
        <v>0</v>
      </c>
      <c r="J3811" t="s">
        <v>1709</v>
      </c>
      <c r="K3811" t="s">
        <v>290</v>
      </c>
      <c r="L3811" t="s">
        <v>285</v>
      </c>
      <c r="M3811" t="str">
        <f t="shared" si="257"/>
        <v>12</v>
      </c>
      <c r="N3811" t="s">
        <v>12</v>
      </c>
    </row>
    <row r="3812" spans="1:14" x14ac:dyDescent="0.25">
      <c r="A3812">
        <v>20151211</v>
      </c>
      <c r="B3812" t="str">
        <f>"061381"</f>
        <v>061381</v>
      </c>
      <c r="C3812" t="str">
        <f>"10040"</f>
        <v>10040</v>
      </c>
      <c r="D3812" t="s">
        <v>2082</v>
      </c>
      <c r="E3812" s="3">
        <v>12.5</v>
      </c>
      <c r="F3812">
        <v>20151210</v>
      </c>
      <c r="G3812" t="s">
        <v>2086</v>
      </c>
      <c r="H3812" t="s">
        <v>3314</v>
      </c>
      <c r="I3812">
        <v>0</v>
      </c>
      <c r="J3812" t="s">
        <v>1709</v>
      </c>
      <c r="K3812" t="s">
        <v>95</v>
      </c>
      <c r="L3812" t="s">
        <v>285</v>
      </c>
      <c r="M3812" t="str">
        <f t="shared" si="257"/>
        <v>12</v>
      </c>
      <c r="N3812" t="s">
        <v>12</v>
      </c>
    </row>
    <row r="3813" spans="1:14" x14ac:dyDescent="0.25">
      <c r="A3813">
        <v>20151211</v>
      </c>
      <c r="B3813" t="str">
        <f>"061381"</f>
        <v>061381</v>
      </c>
      <c r="C3813" t="str">
        <f>"10040"</f>
        <v>10040</v>
      </c>
      <c r="D3813" t="s">
        <v>2082</v>
      </c>
      <c r="E3813" s="3">
        <v>12.5</v>
      </c>
      <c r="F3813">
        <v>20151210</v>
      </c>
      <c r="G3813" t="s">
        <v>2087</v>
      </c>
      <c r="H3813" t="s">
        <v>3314</v>
      </c>
      <c r="I3813">
        <v>0</v>
      </c>
      <c r="J3813" t="s">
        <v>1709</v>
      </c>
      <c r="K3813" t="s">
        <v>1643</v>
      </c>
      <c r="L3813" t="s">
        <v>285</v>
      </c>
      <c r="M3813" t="str">
        <f t="shared" si="257"/>
        <v>12</v>
      </c>
      <c r="N3813" t="s">
        <v>12</v>
      </c>
    </row>
    <row r="3814" spans="1:14" x14ac:dyDescent="0.25">
      <c r="A3814">
        <v>20151211</v>
      </c>
      <c r="B3814" t="str">
        <f>"061381"</f>
        <v>061381</v>
      </c>
      <c r="C3814" t="str">
        <f>"10040"</f>
        <v>10040</v>
      </c>
      <c r="D3814" t="s">
        <v>2082</v>
      </c>
      <c r="E3814" s="3">
        <v>12.5</v>
      </c>
      <c r="F3814">
        <v>20151210</v>
      </c>
      <c r="G3814" t="s">
        <v>2088</v>
      </c>
      <c r="H3814" t="s">
        <v>3314</v>
      </c>
      <c r="I3814">
        <v>0</v>
      </c>
      <c r="J3814" t="s">
        <v>1709</v>
      </c>
      <c r="K3814" t="s">
        <v>33</v>
      </c>
      <c r="L3814" t="s">
        <v>285</v>
      </c>
      <c r="M3814" t="str">
        <f t="shared" si="257"/>
        <v>12</v>
      </c>
      <c r="N3814" t="s">
        <v>12</v>
      </c>
    </row>
    <row r="3815" spans="1:14" x14ac:dyDescent="0.25">
      <c r="A3815">
        <v>20151211</v>
      </c>
      <c r="B3815" t="str">
        <f>"061383"</f>
        <v>061383</v>
      </c>
      <c r="C3815" t="str">
        <f>"11140"</f>
        <v>11140</v>
      </c>
      <c r="D3815" t="s">
        <v>1817</v>
      </c>
      <c r="E3815" s="3">
        <v>68.099999999999994</v>
      </c>
      <c r="F3815">
        <v>20151210</v>
      </c>
      <c r="G3815" t="s">
        <v>1794</v>
      </c>
      <c r="H3815" t="s">
        <v>636</v>
      </c>
      <c r="I3815">
        <v>0</v>
      </c>
      <c r="J3815" t="s">
        <v>1709</v>
      </c>
      <c r="K3815" t="s">
        <v>290</v>
      </c>
      <c r="L3815" t="s">
        <v>285</v>
      </c>
      <c r="M3815" t="str">
        <f t="shared" si="257"/>
        <v>12</v>
      </c>
      <c r="N3815" t="s">
        <v>12</v>
      </c>
    </row>
    <row r="3816" spans="1:14" x14ac:dyDescent="0.25">
      <c r="A3816">
        <v>20151211</v>
      </c>
      <c r="B3816" t="str">
        <f>"061383"</f>
        <v>061383</v>
      </c>
      <c r="C3816" t="str">
        <f>"11140"</f>
        <v>11140</v>
      </c>
      <c r="D3816" t="s">
        <v>1817</v>
      </c>
      <c r="E3816" s="3">
        <v>140.44</v>
      </c>
      <c r="F3816">
        <v>20151210</v>
      </c>
      <c r="G3816" t="s">
        <v>1794</v>
      </c>
      <c r="H3816" t="s">
        <v>694</v>
      </c>
      <c r="I3816">
        <v>0</v>
      </c>
      <c r="J3816" t="s">
        <v>1709</v>
      </c>
      <c r="K3816" t="s">
        <v>290</v>
      </c>
      <c r="L3816" t="s">
        <v>285</v>
      </c>
      <c r="M3816" t="str">
        <f t="shared" si="257"/>
        <v>12</v>
      </c>
      <c r="N3816" t="s">
        <v>12</v>
      </c>
    </row>
    <row r="3817" spans="1:14" x14ac:dyDescent="0.25">
      <c r="A3817">
        <v>20151211</v>
      </c>
      <c r="B3817" t="str">
        <f>"061386"</f>
        <v>061386</v>
      </c>
      <c r="C3817" t="str">
        <f>"14821"</f>
        <v>14821</v>
      </c>
      <c r="D3817" t="s">
        <v>2461</v>
      </c>
      <c r="E3817" s="3">
        <v>16173.48</v>
      </c>
      <c r="F3817">
        <v>20151210</v>
      </c>
      <c r="G3817" t="s">
        <v>2303</v>
      </c>
      <c r="H3817" t="s">
        <v>3036</v>
      </c>
      <c r="I3817">
        <v>0</v>
      </c>
      <c r="J3817" t="s">
        <v>1709</v>
      </c>
      <c r="K3817" t="s">
        <v>235</v>
      </c>
      <c r="L3817" t="s">
        <v>285</v>
      </c>
      <c r="M3817" t="str">
        <f t="shared" si="257"/>
        <v>12</v>
      </c>
      <c r="N3817" t="s">
        <v>12</v>
      </c>
    </row>
    <row r="3818" spans="1:14" x14ac:dyDescent="0.25">
      <c r="A3818">
        <v>20151211</v>
      </c>
      <c r="B3818" t="str">
        <f>"061386"</f>
        <v>061386</v>
      </c>
      <c r="C3818" t="str">
        <f>"14821"</f>
        <v>14821</v>
      </c>
      <c r="D3818" t="s">
        <v>2461</v>
      </c>
      <c r="E3818" s="3">
        <v>79.06</v>
      </c>
      <c r="F3818">
        <v>20151210</v>
      </c>
      <c r="G3818" t="s">
        <v>2303</v>
      </c>
      <c r="H3818" t="s">
        <v>3315</v>
      </c>
      <c r="I3818">
        <v>0</v>
      </c>
      <c r="J3818" t="s">
        <v>1709</v>
      </c>
      <c r="K3818" t="s">
        <v>235</v>
      </c>
      <c r="L3818" t="s">
        <v>285</v>
      </c>
      <c r="M3818" t="str">
        <f t="shared" si="257"/>
        <v>12</v>
      </c>
      <c r="N3818" t="s">
        <v>12</v>
      </c>
    </row>
    <row r="3819" spans="1:14" x14ac:dyDescent="0.25">
      <c r="A3819">
        <v>20151211</v>
      </c>
      <c r="B3819" t="str">
        <f>"061386"</f>
        <v>061386</v>
      </c>
      <c r="C3819" t="str">
        <f>"14821"</f>
        <v>14821</v>
      </c>
      <c r="D3819" t="s">
        <v>2461</v>
      </c>
      <c r="E3819" s="3">
        <v>550</v>
      </c>
      <c r="F3819">
        <v>20151210</v>
      </c>
      <c r="G3819" t="s">
        <v>2303</v>
      </c>
      <c r="H3819" t="s">
        <v>3316</v>
      </c>
      <c r="I3819">
        <v>0</v>
      </c>
      <c r="J3819" t="s">
        <v>1709</v>
      </c>
      <c r="K3819" t="s">
        <v>235</v>
      </c>
      <c r="L3819" t="s">
        <v>285</v>
      </c>
      <c r="M3819" t="str">
        <f t="shared" si="257"/>
        <v>12</v>
      </c>
      <c r="N3819" t="s">
        <v>12</v>
      </c>
    </row>
    <row r="3820" spans="1:14" x14ac:dyDescent="0.25">
      <c r="A3820">
        <v>20151211</v>
      </c>
      <c r="B3820" t="str">
        <f>"061386"</f>
        <v>061386</v>
      </c>
      <c r="C3820" t="str">
        <f>"14821"</f>
        <v>14821</v>
      </c>
      <c r="D3820" t="s">
        <v>2461</v>
      </c>
      <c r="E3820" s="3">
        <v>26.6</v>
      </c>
      <c r="F3820">
        <v>20151210</v>
      </c>
      <c r="G3820" t="s">
        <v>2303</v>
      </c>
      <c r="H3820" t="s">
        <v>3317</v>
      </c>
      <c r="I3820">
        <v>0</v>
      </c>
      <c r="J3820" t="s">
        <v>1709</v>
      </c>
      <c r="K3820" t="s">
        <v>235</v>
      </c>
      <c r="L3820" t="s">
        <v>285</v>
      </c>
      <c r="M3820" t="str">
        <f t="shared" si="257"/>
        <v>12</v>
      </c>
      <c r="N3820" t="s">
        <v>12</v>
      </c>
    </row>
    <row r="3821" spans="1:14" x14ac:dyDescent="0.25">
      <c r="A3821">
        <v>20151211</v>
      </c>
      <c r="B3821" t="str">
        <f>"061387"</f>
        <v>061387</v>
      </c>
      <c r="C3821" t="str">
        <f>"46281"</f>
        <v>46281</v>
      </c>
      <c r="D3821" t="s">
        <v>2468</v>
      </c>
      <c r="E3821" s="3">
        <v>2750</v>
      </c>
      <c r="F3821">
        <v>20151210</v>
      </c>
      <c r="G3821" t="s">
        <v>2317</v>
      </c>
      <c r="H3821" t="s">
        <v>2509</v>
      </c>
      <c r="I3821">
        <v>0</v>
      </c>
      <c r="J3821" t="s">
        <v>1709</v>
      </c>
      <c r="K3821" t="s">
        <v>290</v>
      </c>
      <c r="L3821" t="s">
        <v>285</v>
      </c>
      <c r="M3821" t="str">
        <f t="shared" si="257"/>
        <v>12</v>
      </c>
      <c r="N3821" t="s">
        <v>12</v>
      </c>
    </row>
    <row r="3822" spans="1:14" x14ac:dyDescent="0.25">
      <c r="A3822">
        <v>20151211</v>
      </c>
      <c r="B3822" t="str">
        <f t="shared" ref="B3822:B3829" si="258">"061389"</f>
        <v>061389</v>
      </c>
      <c r="C3822" t="str">
        <f t="shared" ref="C3822:C3829" si="259">"20683"</f>
        <v>20683</v>
      </c>
      <c r="D3822" t="s">
        <v>1818</v>
      </c>
      <c r="E3822" s="3">
        <v>69.819999999999993</v>
      </c>
      <c r="F3822">
        <v>20151210</v>
      </c>
      <c r="G3822" t="s">
        <v>2469</v>
      </c>
      <c r="H3822" t="s">
        <v>3318</v>
      </c>
      <c r="I3822">
        <v>0</v>
      </c>
      <c r="J3822" t="s">
        <v>1709</v>
      </c>
      <c r="K3822" t="s">
        <v>290</v>
      </c>
      <c r="L3822" t="s">
        <v>285</v>
      </c>
      <c r="M3822" t="str">
        <f t="shared" si="257"/>
        <v>12</v>
      </c>
      <c r="N3822" t="s">
        <v>12</v>
      </c>
    </row>
    <row r="3823" spans="1:14" x14ac:dyDescent="0.25">
      <c r="A3823">
        <v>20151211</v>
      </c>
      <c r="B3823" t="str">
        <f t="shared" si="258"/>
        <v>061389</v>
      </c>
      <c r="C3823" t="str">
        <f t="shared" si="259"/>
        <v>20683</v>
      </c>
      <c r="D3823" t="s">
        <v>1818</v>
      </c>
      <c r="E3823" s="3">
        <v>48.36</v>
      </c>
      <c r="F3823">
        <v>20151210</v>
      </c>
      <c r="G3823" t="s">
        <v>2469</v>
      </c>
      <c r="H3823" t="s">
        <v>3319</v>
      </c>
      <c r="I3823">
        <v>0</v>
      </c>
      <c r="J3823" t="s">
        <v>1709</v>
      </c>
      <c r="K3823" t="s">
        <v>290</v>
      </c>
      <c r="L3823" t="s">
        <v>285</v>
      </c>
      <c r="M3823" t="str">
        <f t="shared" si="257"/>
        <v>12</v>
      </c>
      <c r="N3823" t="s">
        <v>12</v>
      </c>
    </row>
    <row r="3824" spans="1:14" x14ac:dyDescent="0.25">
      <c r="A3824">
        <v>20151211</v>
      </c>
      <c r="B3824" t="str">
        <f t="shared" si="258"/>
        <v>061389</v>
      </c>
      <c r="C3824" t="str">
        <f t="shared" si="259"/>
        <v>20683</v>
      </c>
      <c r="D3824" t="s">
        <v>1818</v>
      </c>
      <c r="E3824" s="3">
        <v>48.02</v>
      </c>
      <c r="F3824">
        <v>20151210</v>
      </c>
      <c r="G3824" t="s">
        <v>2469</v>
      </c>
      <c r="H3824" t="s">
        <v>3320</v>
      </c>
      <c r="I3824">
        <v>0</v>
      </c>
      <c r="J3824" t="s">
        <v>1709</v>
      </c>
      <c r="K3824" t="s">
        <v>290</v>
      </c>
      <c r="L3824" t="s">
        <v>285</v>
      </c>
      <c r="M3824" t="str">
        <f t="shared" si="257"/>
        <v>12</v>
      </c>
      <c r="N3824" t="s">
        <v>12</v>
      </c>
    </row>
    <row r="3825" spans="1:14" x14ac:dyDescent="0.25">
      <c r="A3825">
        <v>20151211</v>
      </c>
      <c r="B3825" t="str">
        <f t="shared" si="258"/>
        <v>061389</v>
      </c>
      <c r="C3825" t="str">
        <f t="shared" si="259"/>
        <v>20683</v>
      </c>
      <c r="D3825" t="s">
        <v>1818</v>
      </c>
      <c r="E3825" s="3">
        <v>48.03</v>
      </c>
      <c r="F3825">
        <v>20151210</v>
      </c>
      <c r="G3825" t="s">
        <v>2469</v>
      </c>
      <c r="H3825" t="s">
        <v>3321</v>
      </c>
      <c r="I3825">
        <v>0</v>
      </c>
      <c r="J3825" t="s">
        <v>1709</v>
      </c>
      <c r="K3825" t="s">
        <v>290</v>
      </c>
      <c r="L3825" t="s">
        <v>285</v>
      </c>
      <c r="M3825" t="str">
        <f t="shared" si="257"/>
        <v>12</v>
      </c>
      <c r="N3825" t="s">
        <v>12</v>
      </c>
    </row>
    <row r="3826" spans="1:14" x14ac:dyDescent="0.25">
      <c r="A3826">
        <v>20151211</v>
      </c>
      <c r="B3826" t="str">
        <f t="shared" si="258"/>
        <v>061389</v>
      </c>
      <c r="C3826" t="str">
        <f t="shared" si="259"/>
        <v>20683</v>
      </c>
      <c r="D3826" t="s">
        <v>1818</v>
      </c>
      <c r="E3826" s="3">
        <v>33.770000000000003</v>
      </c>
      <c r="F3826">
        <v>20151210</v>
      </c>
      <c r="G3826" t="s">
        <v>2333</v>
      </c>
      <c r="H3826" t="s">
        <v>3318</v>
      </c>
      <c r="I3826">
        <v>0</v>
      </c>
      <c r="J3826" t="s">
        <v>1709</v>
      </c>
      <c r="K3826" t="s">
        <v>290</v>
      </c>
      <c r="L3826" t="s">
        <v>285</v>
      </c>
      <c r="M3826" t="str">
        <f t="shared" si="257"/>
        <v>12</v>
      </c>
      <c r="N3826" t="s">
        <v>12</v>
      </c>
    </row>
    <row r="3827" spans="1:14" x14ac:dyDescent="0.25">
      <c r="A3827">
        <v>20151211</v>
      </c>
      <c r="B3827" t="str">
        <f t="shared" si="258"/>
        <v>061389</v>
      </c>
      <c r="C3827" t="str">
        <f t="shared" si="259"/>
        <v>20683</v>
      </c>
      <c r="D3827" t="s">
        <v>1818</v>
      </c>
      <c r="E3827" s="3">
        <v>12.31</v>
      </c>
      <c r="F3827">
        <v>20151210</v>
      </c>
      <c r="G3827" t="s">
        <v>2333</v>
      </c>
      <c r="H3827" t="s">
        <v>3319</v>
      </c>
      <c r="I3827">
        <v>0</v>
      </c>
      <c r="J3827" t="s">
        <v>1709</v>
      </c>
      <c r="K3827" t="s">
        <v>290</v>
      </c>
      <c r="L3827" t="s">
        <v>285</v>
      </c>
      <c r="M3827" t="str">
        <f t="shared" si="257"/>
        <v>12</v>
      </c>
      <c r="N3827" t="s">
        <v>12</v>
      </c>
    </row>
    <row r="3828" spans="1:14" x14ac:dyDescent="0.25">
      <c r="A3828">
        <v>20151211</v>
      </c>
      <c r="B3828" t="str">
        <f t="shared" si="258"/>
        <v>061389</v>
      </c>
      <c r="C3828" t="str">
        <f t="shared" si="259"/>
        <v>20683</v>
      </c>
      <c r="D3828" t="s">
        <v>1818</v>
      </c>
      <c r="E3828" s="3">
        <v>13.33</v>
      </c>
      <c r="F3828">
        <v>20151210</v>
      </c>
      <c r="G3828" t="s">
        <v>2333</v>
      </c>
      <c r="H3828" t="s">
        <v>3320</v>
      </c>
      <c r="I3828">
        <v>0</v>
      </c>
      <c r="J3828" t="s">
        <v>1709</v>
      </c>
      <c r="K3828" t="s">
        <v>290</v>
      </c>
      <c r="L3828" t="s">
        <v>285</v>
      </c>
      <c r="M3828" t="str">
        <f t="shared" si="257"/>
        <v>12</v>
      </c>
      <c r="N3828" t="s">
        <v>12</v>
      </c>
    </row>
    <row r="3829" spans="1:14" x14ac:dyDescent="0.25">
      <c r="A3829">
        <v>20151211</v>
      </c>
      <c r="B3829" t="str">
        <f t="shared" si="258"/>
        <v>061389</v>
      </c>
      <c r="C3829" t="str">
        <f t="shared" si="259"/>
        <v>20683</v>
      </c>
      <c r="D3829" t="s">
        <v>1818</v>
      </c>
      <c r="E3829" s="3">
        <v>14.69</v>
      </c>
      <c r="F3829">
        <v>20151210</v>
      </c>
      <c r="G3829" t="s">
        <v>2333</v>
      </c>
      <c r="H3829" t="s">
        <v>3321</v>
      </c>
      <c r="I3829">
        <v>0</v>
      </c>
      <c r="J3829" t="s">
        <v>1709</v>
      </c>
      <c r="K3829" t="s">
        <v>290</v>
      </c>
      <c r="L3829" t="s">
        <v>285</v>
      </c>
      <c r="M3829" t="str">
        <f t="shared" si="257"/>
        <v>12</v>
      </c>
      <c r="N3829" t="s">
        <v>12</v>
      </c>
    </row>
    <row r="3830" spans="1:14" x14ac:dyDescent="0.25">
      <c r="A3830">
        <v>20151211</v>
      </c>
      <c r="B3830" t="str">
        <f t="shared" ref="B3830:B3841" si="260">"061390"</f>
        <v>061390</v>
      </c>
      <c r="C3830" t="str">
        <f t="shared" ref="C3830:C3841" si="261">"20706"</f>
        <v>20706</v>
      </c>
      <c r="D3830" t="s">
        <v>1823</v>
      </c>
      <c r="E3830" s="3">
        <v>9353.4699999999993</v>
      </c>
      <c r="F3830">
        <v>20151210</v>
      </c>
      <c r="G3830" t="s">
        <v>2235</v>
      </c>
      <c r="H3830" t="s">
        <v>3322</v>
      </c>
      <c r="I3830">
        <v>0</v>
      </c>
      <c r="J3830" t="s">
        <v>1709</v>
      </c>
      <c r="K3830" t="s">
        <v>290</v>
      </c>
      <c r="L3830" t="s">
        <v>285</v>
      </c>
      <c r="M3830" t="str">
        <f t="shared" si="257"/>
        <v>12</v>
      </c>
      <c r="N3830" t="s">
        <v>12</v>
      </c>
    </row>
    <row r="3831" spans="1:14" x14ac:dyDescent="0.25">
      <c r="A3831">
        <v>20151211</v>
      </c>
      <c r="B3831" t="str">
        <f t="shared" si="260"/>
        <v>061390</v>
      </c>
      <c r="C3831" t="str">
        <f t="shared" si="261"/>
        <v>20706</v>
      </c>
      <c r="D3831" t="s">
        <v>1823</v>
      </c>
      <c r="E3831" s="3">
        <v>49.33</v>
      </c>
      <c r="F3831">
        <v>20151210</v>
      </c>
      <c r="G3831" t="s">
        <v>2237</v>
      </c>
      <c r="H3831" t="s">
        <v>3323</v>
      </c>
      <c r="I3831">
        <v>0</v>
      </c>
      <c r="J3831" t="s">
        <v>1709</v>
      </c>
      <c r="K3831" t="s">
        <v>1558</v>
      </c>
      <c r="L3831" t="s">
        <v>285</v>
      </c>
      <c r="M3831" t="str">
        <f t="shared" si="257"/>
        <v>12</v>
      </c>
      <c r="N3831" t="s">
        <v>12</v>
      </c>
    </row>
    <row r="3832" spans="1:14" x14ac:dyDescent="0.25">
      <c r="A3832">
        <v>20151211</v>
      </c>
      <c r="B3832" t="str">
        <f t="shared" si="260"/>
        <v>061390</v>
      </c>
      <c r="C3832" t="str">
        <f t="shared" si="261"/>
        <v>20706</v>
      </c>
      <c r="D3832" t="s">
        <v>1823</v>
      </c>
      <c r="E3832" s="3">
        <v>619.13</v>
      </c>
      <c r="F3832">
        <v>20151210</v>
      </c>
      <c r="G3832" t="s">
        <v>2239</v>
      </c>
      <c r="H3832" t="s">
        <v>3324</v>
      </c>
      <c r="I3832">
        <v>0</v>
      </c>
      <c r="J3832" t="s">
        <v>1709</v>
      </c>
      <c r="K3832" t="s">
        <v>95</v>
      </c>
      <c r="L3832" t="s">
        <v>285</v>
      </c>
      <c r="M3832" t="str">
        <f t="shared" si="257"/>
        <v>12</v>
      </c>
      <c r="N3832" t="s">
        <v>12</v>
      </c>
    </row>
    <row r="3833" spans="1:14" x14ac:dyDescent="0.25">
      <c r="A3833">
        <v>20151211</v>
      </c>
      <c r="B3833" t="str">
        <f t="shared" si="260"/>
        <v>061390</v>
      </c>
      <c r="C3833" t="str">
        <f t="shared" si="261"/>
        <v>20706</v>
      </c>
      <c r="D3833" t="s">
        <v>1823</v>
      </c>
      <c r="E3833" s="3">
        <v>3190.04</v>
      </c>
      <c r="F3833">
        <v>20151210</v>
      </c>
      <c r="G3833" t="s">
        <v>2241</v>
      </c>
      <c r="H3833" t="s">
        <v>3325</v>
      </c>
      <c r="I3833">
        <v>0</v>
      </c>
      <c r="J3833" t="s">
        <v>1709</v>
      </c>
      <c r="K3833" t="s">
        <v>1643</v>
      </c>
      <c r="L3833" t="s">
        <v>285</v>
      </c>
      <c r="M3833" t="str">
        <f t="shared" si="257"/>
        <v>12</v>
      </c>
      <c r="N3833" t="s">
        <v>12</v>
      </c>
    </row>
    <row r="3834" spans="1:14" x14ac:dyDescent="0.25">
      <c r="A3834">
        <v>20151211</v>
      </c>
      <c r="B3834" t="str">
        <f t="shared" si="260"/>
        <v>061390</v>
      </c>
      <c r="C3834" t="str">
        <f t="shared" si="261"/>
        <v>20706</v>
      </c>
      <c r="D3834" t="s">
        <v>1823</v>
      </c>
      <c r="E3834" s="3">
        <v>1310.72</v>
      </c>
      <c r="F3834">
        <v>20151210</v>
      </c>
      <c r="G3834" t="s">
        <v>2243</v>
      </c>
      <c r="H3834" t="s">
        <v>3326</v>
      </c>
      <c r="I3834">
        <v>0</v>
      </c>
      <c r="J3834" t="s">
        <v>1709</v>
      </c>
      <c r="K3834" t="s">
        <v>33</v>
      </c>
      <c r="L3834" t="s">
        <v>285</v>
      </c>
      <c r="M3834" t="str">
        <f t="shared" si="257"/>
        <v>12</v>
      </c>
      <c r="N3834" t="s">
        <v>12</v>
      </c>
    </row>
    <row r="3835" spans="1:14" x14ac:dyDescent="0.25">
      <c r="A3835">
        <v>20151211</v>
      </c>
      <c r="B3835" t="str">
        <f t="shared" si="260"/>
        <v>061390</v>
      </c>
      <c r="C3835" t="str">
        <f t="shared" si="261"/>
        <v>20706</v>
      </c>
      <c r="D3835" t="s">
        <v>1823</v>
      </c>
      <c r="E3835" s="3">
        <v>467.2</v>
      </c>
      <c r="F3835">
        <v>20151210</v>
      </c>
      <c r="G3835" t="s">
        <v>2245</v>
      </c>
      <c r="H3835" t="s">
        <v>3327</v>
      </c>
      <c r="I3835">
        <v>0</v>
      </c>
      <c r="J3835" t="s">
        <v>1709</v>
      </c>
      <c r="K3835" t="s">
        <v>2247</v>
      </c>
      <c r="L3835" t="s">
        <v>285</v>
      </c>
      <c r="M3835" t="str">
        <f t="shared" si="257"/>
        <v>12</v>
      </c>
      <c r="N3835" t="s">
        <v>12</v>
      </c>
    </row>
    <row r="3836" spans="1:14" x14ac:dyDescent="0.25">
      <c r="A3836">
        <v>20151211</v>
      </c>
      <c r="B3836" t="str">
        <f t="shared" si="260"/>
        <v>061390</v>
      </c>
      <c r="C3836" t="str">
        <f t="shared" si="261"/>
        <v>20706</v>
      </c>
      <c r="D3836" t="s">
        <v>1823</v>
      </c>
      <c r="E3836" s="3">
        <v>136.99</v>
      </c>
      <c r="F3836">
        <v>20151210</v>
      </c>
      <c r="G3836" t="s">
        <v>2248</v>
      </c>
      <c r="H3836" t="s">
        <v>3328</v>
      </c>
      <c r="I3836">
        <v>0</v>
      </c>
      <c r="J3836" t="s">
        <v>1709</v>
      </c>
      <c r="K3836" t="s">
        <v>1861</v>
      </c>
      <c r="L3836" t="s">
        <v>285</v>
      </c>
      <c r="M3836" t="str">
        <f t="shared" si="257"/>
        <v>12</v>
      </c>
      <c r="N3836" t="s">
        <v>12</v>
      </c>
    </row>
    <row r="3837" spans="1:14" x14ac:dyDescent="0.25">
      <c r="A3837">
        <v>20151211</v>
      </c>
      <c r="B3837" t="str">
        <f t="shared" si="260"/>
        <v>061390</v>
      </c>
      <c r="C3837" t="str">
        <f t="shared" si="261"/>
        <v>20706</v>
      </c>
      <c r="D3837" t="s">
        <v>1823</v>
      </c>
      <c r="E3837" s="3">
        <v>3980.45</v>
      </c>
      <c r="F3837">
        <v>20151210</v>
      </c>
      <c r="G3837" t="s">
        <v>2250</v>
      </c>
      <c r="H3837" t="s">
        <v>3329</v>
      </c>
      <c r="I3837">
        <v>0</v>
      </c>
      <c r="J3837" t="s">
        <v>1709</v>
      </c>
      <c r="K3837" t="s">
        <v>2252</v>
      </c>
      <c r="L3837" t="s">
        <v>285</v>
      </c>
      <c r="M3837" t="str">
        <f t="shared" si="257"/>
        <v>12</v>
      </c>
      <c r="N3837" t="s">
        <v>12</v>
      </c>
    </row>
    <row r="3838" spans="1:14" x14ac:dyDescent="0.25">
      <c r="A3838">
        <v>20151211</v>
      </c>
      <c r="B3838" t="str">
        <f t="shared" si="260"/>
        <v>061390</v>
      </c>
      <c r="C3838" t="str">
        <f t="shared" si="261"/>
        <v>20706</v>
      </c>
      <c r="D3838" t="s">
        <v>1823</v>
      </c>
      <c r="E3838" s="3">
        <v>1401.99</v>
      </c>
      <c r="F3838">
        <v>20151210</v>
      </c>
      <c r="G3838" t="s">
        <v>2253</v>
      </c>
      <c r="H3838" t="s">
        <v>3322</v>
      </c>
      <c r="I3838">
        <v>0</v>
      </c>
      <c r="J3838" t="s">
        <v>1709</v>
      </c>
      <c r="K3838" t="s">
        <v>290</v>
      </c>
      <c r="L3838" t="s">
        <v>285</v>
      </c>
      <c r="M3838" t="str">
        <f t="shared" si="257"/>
        <v>12</v>
      </c>
      <c r="N3838" t="s">
        <v>12</v>
      </c>
    </row>
    <row r="3839" spans="1:14" x14ac:dyDescent="0.25">
      <c r="A3839">
        <v>20151211</v>
      </c>
      <c r="B3839" t="str">
        <f t="shared" si="260"/>
        <v>061390</v>
      </c>
      <c r="C3839" t="str">
        <f t="shared" si="261"/>
        <v>20706</v>
      </c>
      <c r="D3839" t="s">
        <v>1823</v>
      </c>
      <c r="E3839" s="3">
        <v>429.23</v>
      </c>
      <c r="F3839">
        <v>20151210</v>
      </c>
      <c r="G3839" t="s">
        <v>2255</v>
      </c>
      <c r="H3839" t="s">
        <v>3330</v>
      </c>
      <c r="I3839">
        <v>0</v>
      </c>
      <c r="J3839" t="s">
        <v>1709</v>
      </c>
      <c r="K3839" t="s">
        <v>95</v>
      </c>
      <c r="L3839" t="s">
        <v>285</v>
      </c>
      <c r="M3839" t="str">
        <f t="shared" ref="M3839:M3902" si="262">"12"</f>
        <v>12</v>
      </c>
      <c r="N3839" t="s">
        <v>12</v>
      </c>
    </row>
    <row r="3840" spans="1:14" x14ac:dyDescent="0.25">
      <c r="A3840">
        <v>20151211</v>
      </c>
      <c r="B3840" t="str">
        <f t="shared" si="260"/>
        <v>061390</v>
      </c>
      <c r="C3840" t="str">
        <f t="shared" si="261"/>
        <v>20706</v>
      </c>
      <c r="D3840" t="s">
        <v>1823</v>
      </c>
      <c r="E3840" s="3">
        <v>271.91000000000003</v>
      </c>
      <c r="F3840">
        <v>20151210</v>
      </c>
      <c r="G3840" t="s">
        <v>2257</v>
      </c>
      <c r="H3840" t="s">
        <v>3331</v>
      </c>
      <c r="I3840">
        <v>0</v>
      </c>
      <c r="J3840" t="s">
        <v>1709</v>
      </c>
      <c r="K3840" t="s">
        <v>1643</v>
      </c>
      <c r="L3840" t="s">
        <v>285</v>
      </c>
      <c r="M3840" t="str">
        <f t="shared" si="262"/>
        <v>12</v>
      </c>
      <c r="N3840" t="s">
        <v>12</v>
      </c>
    </row>
    <row r="3841" spans="1:14" x14ac:dyDescent="0.25">
      <c r="A3841">
        <v>20151211</v>
      </c>
      <c r="B3841" t="str">
        <f t="shared" si="260"/>
        <v>061390</v>
      </c>
      <c r="C3841" t="str">
        <f t="shared" si="261"/>
        <v>20706</v>
      </c>
      <c r="D3841" t="s">
        <v>1823</v>
      </c>
      <c r="E3841" s="3">
        <v>139.43</v>
      </c>
      <c r="F3841">
        <v>20151210</v>
      </c>
      <c r="G3841" t="s">
        <v>2259</v>
      </c>
      <c r="H3841" t="s">
        <v>3332</v>
      </c>
      <c r="I3841">
        <v>0</v>
      </c>
      <c r="J3841" t="s">
        <v>1709</v>
      </c>
      <c r="K3841" t="s">
        <v>33</v>
      </c>
      <c r="L3841" t="s">
        <v>285</v>
      </c>
      <c r="M3841" t="str">
        <f t="shared" si="262"/>
        <v>12</v>
      </c>
      <c r="N3841" t="s">
        <v>12</v>
      </c>
    </row>
    <row r="3842" spans="1:14" x14ac:dyDescent="0.25">
      <c r="A3842">
        <v>20151211</v>
      </c>
      <c r="B3842" t="str">
        <f>"061391"</f>
        <v>061391</v>
      </c>
      <c r="C3842" t="str">
        <f>"21861"</f>
        <v>21861</v>
      </c>
      <c r="D3842" t="s">
        <v>3333</v>
      </c>
      <c r="E3842" s="3">
        <v>173</v>
      </c>
      <c r="F3842">
        <v>20151210</v>
      </c>
      <c r="G3842" t="s">
        <v>3334</v>
      </c>
      <c r="H3842" t="s">
        <v>3335</v>
      </c>
      <c r="I3842">
        <v>0</v>
      </c>
      <c r="J3842" t="s">
        <v>1709</v>
      </c>
      <c r="K3842" t="s">
        <v>290</v>
      </c>
      <c r="L3842" t="s">
        <v>285</v>
      </c>
      <c r="M3842" t="str">
        <f t="shared" si="262"/>
        <v>12</v>
      </c>
      <c r="N3842" t="s">
        <v>12</v>
      </c>
    </row>
    <row r="3843" spans="1:14" x14ac:dyDescent="0.25">
      <c r="A3843">
        <v>20151211</v>
      </c>
      <c r="B3843" t="str">
        <f>"061395"</f>
        <v>061395</v>
      </c>
      <c r="C3843" t="str">
        <f>"24960"</f>
        <v>24960</v>
      </c>
      <c r="D3843" t="s">
        <v>39</v>
      </c>
      <c r="E3843" s="3">
        <v>555.45000000000005</v>
      </c>
      <c r="F3843">
        <v>20151210</v>
      </c>
      <c r="G3843" t="s">
        <v>1841</v>
      </c>
      <c r="H3843" t="s">
        <v>3336</v>
      </c>
      <c r="I3843">
        <v>0</v>
      </c>
      <c r="J3843" t="s">
        <v>1709</v>
      </c>
      <c r="K3843" t="s">
        <v>1775</v>
      </c>
      <c r="L3843" t="s">
        <v>285</v>
      </c>
      <c r="M3843" t="str">
        <f t="shared" si="262"/>
        <v>12</v>
      </c>
      <c r="N3843" t="s">
        <v>12</v>
      </c>
    </row>
    <row r="3844" spans="1:14" x14ac:dyDescent="0.25">
      <c r="A3844">
        <v>20151211</v>
      </c>
      <c r="B3844" t="str">
        <f>"061400"</f>
        <v>061400</v>
      </c>
      <c r="C3844" t="str">
        <f>"27136"</f>
        <v>27136</v>
      </c>
      <c r="D3844" t="s">
        <v>3337</v>
      </c>
      <c r="E3844" s="3">
        <v>473.49</v>
      </c>
      <c r="F3844">
        <v>20151211</v>
      </c>
      <c r="G3844" t="s">
        <v>2652</v>
      </c>
      <c r="H3844" t="s">
        <v>3338</v>
      </c>
      <c r="I3844">
        <v>0</v>
      </c>
      <c r="J3844" t="s">
        <v>1709</v>
      </c>
      <c r="K3844" t="s">
        <v>1861</v>
      </c>
      <c r="L3844" t="s">
        <v>285</v>
      </c>
      <c r="M3844" t="str">
        <f t="shared" si="262"/>
        <v>12</v>
      </c>
      <c r="N3844" t="s">
        <v>12</v>
      </c>
    </row>
    <row r="3845" spans="1:14" x14ac:dyDescent="0.25">
      <c r="A3845">
        <v>20151211</v>
      </c>
      <c r="B3845" t="str">
        <f>"061401"</f>
        <v>061401</v>
      </c>
      <c r="C3845" t="str">
        <f>"27900"</f>
        <v>27900</v>
      </c>
      <c r="D3845" t="s">
        <v>1596</v>
      </c>
      <c r="E3845" s="3">
        <v>220</v>
      </c>
      <c r="F3845">
        <v>20151210</v>
      </c>
      <c r="G3845" t="s">
        <v>2490</v>
      </c>
      <c r="H3845" t="s">
        <v>3339</v>
      </c>
      <c r="I3845">
        <v>0</v>
      </c>
      <c r="J3845" t="s">
        <v>1709</v>
      </c>
      <c r="K3845" t="s">
        <v>1856</v>
      </c>
      <c r="L3845" t="s">
        <v>285</v>
      </c>
      <c r="M3845" t="str">
        <f t="shared" si="262"/>
        <v>12</v>
      </c>
      <c r="N3845" t="s">
        <v>12</v>
      </c>
    </row>
    <row r="3846" spans="1:14" x14ac:dyDescent="0.25">
      <c r="A3846">
        <v>20151211</v>
      </c>
      <c r="B3846" t="str">
        <f>"061401"</f>
        <v>061401</v>
      </c>
      <c r="C3846" t="str">
        <f>"27900"</f>
        <v>27900</v>
      </c>
      <c r="D3846" t="s">
        <v>1596</v>
      </c>
      <c r="E3846" s="3">
        <v>7495</v>
      </c>
      <c r="F3846">
        <v>20151210</v>
      </c>
      <c r="G3846" t="s">
        <v>3340</v>
      </c>
      <c r="H3846" t="s">
        <v>3341</v>
      </c>
      <c r="I3846">
        <v>0</v>
      </c>
      <c r="J3846" t="s">
        <v>1709</v>
      </c>
      <c r="K3846" t="s">
        <v>1782</v>
      </c>
      <c r="L3846" t="s">
        <v>285</v>
      </c>
      <c r="M3846" t="str">
        <f t="shared" si="262"/>
        <v>12</v>
      </c>
      <c r="N3846" t="s">
        <v>12</v>
      </c>
    </row>
    <row r="3847" spans="1:14" x14ac:dyDescent="0.25">
      <c r="A3847">
        <v>20151211</v>
      </c>
      <c r="B3847" t="str">
        <f>"061403"</f>
        <v>061403</v>
      </c>
      <c r="C3847" t="str">
        <f>"31771"</f>
        <v>31771</v>
      </c>
      <c r="D3847" t="s">
        <v>2289</v>
      </c>
      <c r="E3847" s="3">
        <v>11000</v>
      </c>
      <c r="F3847">
        <v>20151210</v>
      </c>
      <c r="G3847" t="s">
        <v>2290</v>
      </c>
      <c r="H3847" t="s">
        <v>2291</v>
      </c>
      <c r="I3847">
        <v>0</v>
      </c>
      <c r="J3847" t="s">
        <v>1709</v>
      </c>
      <c r="K3847" t="s">
        <v>1882</v>
      </c>
      <c r="L3847" t="s">
        <v>285</v>
      </c>
      <c r="M3847" t="str">
        <f t="shared" si="262"/>
        <v>12</v>
      </c>
      <c r="N3847" t="s">
        <v>12</v>
      </c>
    </row>
    <row r="3848" spans="1:14" x14ac:dyDescent="0.25">
      <c r="A3848">
        <v>20151211</v>
      </c>
      <c r="B3848" t="str">
        <f>"061405"</f>
        <v>061405</v>
      </c>
      <c r="C3848" t="str">
        <f>"29548"</f>
        <v>29548</v>
      </c>
      <c r="D3848" t="s">
        <v>1862</v>
      </c>
      <c r="E3848" s="3">
        <v>1128</v>
      </c>
      <c r="F3848">
        <v>20151210</v>
      </c>
      <c r="G3848" t="s">
        <v>1859</v>
      </c>
      <c r="H3848" t="s">
        <v>3342</v>
      </c>
      <c r="I3848">
        <v>0</v>
      </c>
      <c r="J3848" t="s">
        <v>1709</v>
      </c>
      <c r="K3848" t="s">
        <v>1861</v>
      </c>
      <c r="L3848" t="s">
        <v>285</v>
      </c>
      <c r="M3848" t="str">
        <f t="shared" si="262"/>
        <v>12</v>
      </c>
      <c r="N3848" t="s">
        <v>12</v>
      </c>
    </row>
    <row r="3849" spans="1:14" x14ac:dyDescent="0.25">
      <c r="A3849">
        <v>20151211</v>
      </c>
      <c r="B3849" t="str">
        <f>"061408"</f>
        <v>061408</v>
      </c>
      <c r="C3849" t="str">
        <f>"06470"</f>
        <v>06470</v>
      </c>
      <c r="D3849" t="s">
        <v>2654</v>
      </c>
      <c r="E3849" s="3">
        <v>5933.12</v>
      </c>
      <c r="F3849">
        <v>20151210</v>
      </c>
      <c r="G3849" t="s">
        <v>2164</v>
      </c>
      <c r="H3849" t="s">
        <v>3343</v>
      </c>
      <c r="I3849">
        <v>0</v>
      </c>
      <c r="J3849" t="s">
        <v>1709</v>
      </c>
      <c r="K3849" t="s">
        <v>1861</v>
      </c>
      <c r="L3849" t="s">
        <v>285</v>
      </c>
      <c r="M3849" t="str">
        <f t="shared" si="262"/>
        <v>12</v>
      </c>
      <c r="N3849" t="s">
        <v>12</v>
      </c>
    </row>
    <row r="3850" spans="1:14" x14ac:dyDescent="0.25">
      <c r="A3850">
        <v>20151211</v>
      </c>
      <c r="B3850" t="str">
        <f>"061408"</f>
        <v>061408</v>
      </c>
      <c r="C3850" t="str">
        <f>"06470"</f>
        <v>06470</v>
      </c>
      <c r="D3850" t="s">
        <v>2654</v>
      </c>
      <c r="E3850" s="3">
        <v>540.20000000000005</v>
      </c>
      <c r="F3850">
        <v>20151210</v>
      </c>
      <c r="G3850" t="s">
        <v>2164</v>
      </c>
      <c r="H3850" t="s">
        <v>3344</v>
      </c>
      <c r="I3850">
        <v>0</v>
      </c>
      <c r="J3850" t="s">
        <v>1709</v>
      </c>
      <c r="K3850" t="s">
        <v>1861</v>
      </c>
      <c r="L3850" t="s">
        <v>285</v>
      </c>
      <c r="M3850" t="str">
        <f t="shared" si="262"/>
        <v>12</v>
      </c>
      <c r="N3850" t="s">
        <v>12</v>
      </c>
    </row>
    <row r="3851" spans="1:14" x14ac:dyDescent="0.25">
      <c r="A3851">
        <v>20151211</v>
      </c>
      <c r="B3851" t="str">
        <f>"061408"</f>
        <v>061408</v>
      </c>
      <c r="C3851" t="str">
        <f>"06470"</f>
        <v>06470</v>
      </c>
      <c r="D3851" t="s">
        <v>2654</v>
      </c>
      <c r="E3851" s="3">
        <v>304.69</v>
      </c>
      <c r="F3851">
        <v>20151210</v>
      </c>
      <c r="G3851" t="s">
        <v>2164</v>
      </c>
      <c r="H3851" t="s">
        <v>3345</v>
      </c>
      <c r="I3851">
        <v>0</v>
      </c>
      <c r="J3851" t="s">
        <v>1709</v>
      </c>
      <c r="K3851" t="s">
        <v>1861</v>
      </c>
      <c r="L3851" t="s">
        <v>285</v>
      </c>
      <c r="M3851" t="str">
        <f t="shared" si="262"/>
        <v>12</v>
      </c>
      <c r="N3851" t="s">
        <v>12</v>
      </c>
    </row>
    <row r="3852" spans="1:14" x14ac:dyDescent="0.25">
      <c r="A3852">
        <v>20151211</v>
      </c>
      <c r="B3852" t="str">
        <f>"061408"</f>
        <v>061408</v>
      </c>
      <c r="C3852" t="str">
        <f>"06470"</f>
        <v>06470</v>
      </c>
      <c r="D3852" t="s">
        <v>2654</v>
      </c>
      <c r="E3852" s="3">
        <v>1416.8</v>
      </c>
      <c r="F3852">
        <v>20151210</v>
      </c>
      <c r="G3852" t="s">
        <v>2164</v>
      </c>
      <c r="H3852" t="s">
        <v>3346</v>
      </c>
      <c r="I3852">
        <v>0</v>
      </c>
      <c r="J3852" t="s">
        <v>1709</v>
      </c>
      <c r="K3852" t="s">
        <v>1861</v>
      </c>
      <c r="L3852" t="s">
        <v>285</v>
      </c>
      <c r="M3852" t="str">
        <f t="shared" si="262"/>
        <v>12</v>
      </c>
      <c r="N3852" t="s">
        <v>12</v>
      </c>
    </row>
    <row r="3853" spans="1:14" x14ac:dyDescent="0.25">
      <c r="A3853">
        <v>20151211</v>
      </c>
      <c r="B3853" t="str">
        <f>"061410"</f>
        <v>061410</v>
      </c>
      <c r="C3853" t="str">
        <f>"30390"</f>
        <v>30390</v>
      </c>
      <c r="D3853" t="s">
        <v>3087</v>
      </c>
      <c r="E3853" s="3">
        <v>3172.32</v>
      </c>
      <c r="F3853">
        <v>20151210</v>
      </c>
      <c r="G3853" t="s">
        <v>2121</v>
      </c>
      <c r="H3853" t="s">
        <v>2091</v>
      </c>
      <c r="I3853">
        <v>0</v>
      </c>
      <c r="J3853" t="s">
        <v>1709</v>
      </c>
      <c r="K3853" t="s">
        <v>290</v>
      </c>
      <c r="L3853" t="s">
        <v>285</v>
      </c>
      <c r="M3853" t="str">
        <f t="shared" si="262"/>
        <v>12</v>
      </c>
      <c r="N3853" t="s">
        <v>12</v>
      </c>
    </row>
    <row r="3854" spans="1:14" x14ac:dyDescent="0.25">
      <c r="A3854">
        <v>20151211</v>
      </c>
      <c r="B3854" t="str">
        <f>"061414"</f>
        <v>061414</v>
      </c>
      <c r="C3854" t="str">
        <f>"31501"</f>
        <v>31501</v>
      </c>
      <c r="D3854" t="s">
        <v>3347</v>
      </c>
      <c r="E3854" s="3">
        <v>87.7</v>
      </c>
      <c r="F3854">
        <v>20151211</v>
      </c>
      <c r="G3854" t="s">
        <v>1961</v>
      </c>
      <c r="H3854" t="s">
        <v>3348</v>
      </c>
      <c r="I3854">
        <v>0</v>
      </c>
      <c r="J3854" t="s">
        <v>1709</v>
      </c>
      <c r="K3854" t="s">
        <v>290</v>
      </c>
      <c r="L3854" t="s">
        <v>285</v>
      </c>
      <c r="M3854" t="str">
        <f t="shared" si="262"/>
        <v>12</v>
      </c>
      <c r="N3854" t="s">
        <v>12</v>
      </c>
    </row>
    <row r="3855" spans="1:14" x14ac:dyDescent="0.25">
      <c r="A3855">
        <v>20151211</v>
      </c>
      <c r="B3855" t="str">
        <f>"061415"</f>
        <v>061415</v>
      </c>
      <c r="C3855" t="str">
        <f>"30922"</f>
        <v>30922</v>
      </c>
      <c r="D3855" t="s">
        <v>3349</v>
      </c>
      <c r="E3855" s="3">
        <v>230</v>
      </c>
      <c r="F3855">
        <v>20151210</v>
      </c>
      <c r="G3855" t="s">
        <v>2164</v>
      </c>
      <c r="H3855" t="s">
        <v>3350</v>
      </c>
      <c r="I3855">
        <v>0</v>
      </c>
      <c r="J3855" t="s">
        <v>1709</v>
      </c>
      <c r="K3855" t="s">
        <v>1861</v>
      </c>
      <c r="L3855" t="s">
        <v>285</v>
      </c>
      <c r="M3855" t="str">
        <f t="shared" si="262"/>
        <v>12</v>
      </c>
      <c r="N3855" t="s">
        <v>12</v>
      </c>
    </row>
    <row r="3856" spans="1:14" x14ac:dyDescent="0.25">
      <c r="A3856">
        <v>20151211</v>
      </c>
      <c r="B3856" t="str">
        <f>"061418"</f>
        <v>061418</v>
      </c>
      <c r="C3856" t="str">
        <f>"34888"</f>
        <v>34888</v>
      </c>
      <c r="D3856" t="s">
        <v>3351</v>
      </c>
      <c r="E3856" s="3">
        <v>3690.65</v>
      </c>
      <c r="F3856">
        <v>20151210</v>
      </c>
      <c r="G3856" t="s">
        <v>1854</v>
      </c>
      <c r="H3856" t="s">
        <v>3352</v>
      </c>
      <c r="I3856">
        <v>0</v>
      </c>
      <c r="J3856" t="s">
        <v>1709</v>
      </c>
      <c r="K3856" t="s">
        <v>1856</v>
      </c>
      <c r="L3856" t="s">
        <v>285</v>
      </c>
      <c r="M3856" t="str">
        <f t="shared" si="262"/>
        <v>12</v>
      </c>
      <c r="N3856" t="s">
        <v>12</v>
      </c>
    </row>
    <row r="3857" spans="1:14" x14ac:dyDescent="0.25">
      <c r="A3857">
        <v>20151211</v>
      </c>
      <c r="B3857" t="str">
        <f t="shared" ref="B3857:B3866" si="263">"061422"</f>
        <v>061422</v>
      </c>
      <c r="C3857" t="str">
        <f t="shared" ref="C3857:C3866" si="264">"37500"</f>
        <v>37500</v>
      </c>
      <c r="D3857" t="s">
        <v>1652</v>
      </c>
      <c r="E3857" s="3">
        <v>83.35</v>
      </c>
      <c r="F3857">
        <v>20151210</v>
      </c>
      <c r="G3857" t="s">
        <v>2980</v>
      </c>
      <c r="H3857" t="s">
        <v>3353</v>
      </c>
      <c r="I3857">
        <v>0</v>
      </c>
      <c r="J3857" t="s">
        <v>1709</v>
      </c>
      <c r="K3857" t="s">
        <v>95</v>
      </c>
      <c r="L3857" t="s">
        <v>285</v>
      </c>
      <c r="M3857" t="str">
        <f t="shared" si="262"/>
        <v>12</v>
      </c>
      <c r="N3857" t="s">
        <v>12</v>
      </c>
    </row>
    <row r="3858" spans="1:14" x14ac:dyDescent="0.25">
      <c r="A3858">
        <v>20151211</v>
      </c>
      <c r="B3858" t="str">
        <f t="shared" si="263"/>
        <v>061422</v>
      </c>
      <c r="C3858" t="str">
        <f t="shared" si="264"/>
        <v>37500</v>
      </c>
      <c r="D3858" t="s">
        <v>1652</v>
      </c>
      <c r="E3858" s="3">
        <v>117.38</v>
      </c>
      <c r="F3858">
        <v>20151210</v>
      </c>
      <c r="G3858" t="s">
        <v>2791</v>
      </c>
      <c r="H3858" t="s">
        <v>2310</v>
      </c>
      <c r="I3858">
        <v>0</v>
      </c>
      <c r="J3858" t="s">
        <v>1709</v>
      </c>
      <c r="K3858" t="s">
        <v>290</v>
      </c>
      <c r="L3858" t="s">
        <v>285</v>
      </c>
      <c r="M3858" t="str">
        <f t="shared" si="262"/>
        <v>12</v>
      </c>
      <c r="N3858" t="s">
        <v>12</v>
      </c>
    </row>
    <row r="3859" spans="1:14" x14ac:dyDescent="0.25">
      <c r="A3859">
        <v>20151211</v>
      </c>
      <c r="B3859" t="str">
        <f t="shared" si="263"/>
        <v>061422</v>
      </c>
      <c r="C3859" t="str">
        <f t="shared" si="264"/>
        <v>37500</v>
      </c>
      <c r="D3859" t="s">
        <v>1652</v>
      </c>
      <c r="E3859" s="3">
        <v>231.26</v>
      </c>
      <c r="F3859">
        <v>20151210</v>
      </c>
      <c r="G3859" t="s">
        <v>2791</v>
      </c>
      <c r="H3859" t="s">
        <v>2310</v>
      </c>
      <c r="I3859">
        <v>0</v>
      </c>
      <c r="J3859" t="s">
        <v>1709</v>
      </c>
      <c r="K3859" t="s">
        <v>290</v>
      </c>
      <c r="L3859" t="s">
        <v>285</v>
      </c>
      <c r="M3859" t="str">
        <f t="shared" si="262"/>
        <v>12</v>
      </c>
      <c r="N3859" t="s">
        <v>12</v>
      </c>
    </row>
    <row r="3860" spans="1:14" x14ac:dyDescent="0.25">
      <c r="A3860">
        <v>20151211</v>
      </c>
      <c r="B3860" t="str">
        <f t="shared" si="263"/>
        <v>061422</v>
      </c>
      <c r="C3860" t="str">
        <f t="shared" si="264"/>
        <v>37500</v>
      </c>
      <c r="D3860" t="s">
        <v>1652</v>
      </c>
      <c r="E3860" s="3">
        <v>86.27</v>
      </c>
      <c r="F3860">
        <v>20151210</v>
      </c>
      <c r="G3860" t="s">
        <v>2791</v>
      </c>
      <c r="H3860" t="s">
        <v>2310</v>
      </c>
      <c r="I3860">
        <v>0</v>
      </c>
      <c r="J3860" t="s">
        <v>1709</v>
      </c>
      <c r="K3860" t="s">
        <v>290</v>
      </c>
      <c r="L3860" t="s">
        <v>285</v>
      </c>
      <c r="M3860" t="str">
        <f t="shared" si="262"/>
        <v>12</v>
      </c>
      <c r="N3860" t="s">
        <v>12</v>
      </c>
    </row>
    <row r="3861" spans="1:14" x14ac:dyDescent="0.25">
      <c r="A3861">
        <v>20151211</v>
      </c>
      <c r="B3861" t="str">
        <f t="shared" si="263"/>
        <v>061422</v>
      </c>
      <c r="C3861" t="str">
        <f t="shared" si="264"/>
        <v>37500</v>
      </c>
      <c r="D3861" t="s">
        <v>1652</v>
      </c>
      <c r="E3861" s="3">
        <v>246.93</v>
      </c>
      <c r="F3861">
        <v>20151210</v>
      </c>
      <c r="G3861" t="s">
        <v>2791</v>
      </c>
      <c r="H3861" t="s">
        <v>2310</v>
      </c>
      <c r="I3861">
        <v>0</v>
      </c>
      <c r="J3861" t="s">
        <v>1709</v>
      </c>
      <c r="K3861" t="s">
        <v>290</v>
      </c>
      <c r="L3861" t="s">
        <v>285</v>
      </c>
      <c r="M3861" t="str">
        <f t="shared" si="262"/>
        <v>12</v>
      </c>
      <c r="N3861" t="s">
        <v>12</v>
      </c>
    </row>
    <row r="3862" spans="1:14" x14ac:dyDescent="0.25">
      <c r="A3862">
        <v>20151211</v>
      </c>
      <c r="B3862" t="str">
        <f t="shared" si="263"/>
        <v>061422</v>
      </c>
      <c r="C3862" t="str">
        <f t="shared" si="264"/>
        <v>37500</v>
      </c>
      <c r="D3862" t="s">
        <v>1652</v>
      </c>
      <c r="E3862" s="3">
        <v>10.210000000000001</v>
      </c>
      <c r="F3862">
        <v>20151210</v>
      </c>
      <c r="G3862" t="s">
        <v>2795</v>
      </c>
      <c r="H3862" t="s">
        <v>3354</v>
      </c>
      <c r="I3862">
        <v>0</v>
      </c>
      <c r="J3862" t="s">
        <v>1709</v>
      </c>
      <c r="K3862" t="s">
        <v>95</v>
      </c>
      <c r="L3862" t="s">
        <v>285</v>
      </c>
      <c r="M3862" t="str">
        <f t="shared" si="262"/>
        <v>12</v>
      </c>
      <c r="N3862" t="s">
        <v>12</v>
      </c>
    </row>
    <row r="3863" spans="1:14" x14ac:dyDescent="0.25">
      <c r="A3863">
        <v>20151211</v>
      </c>
      <c r="B3863" t="str">
        <f t="shared" si="263"/>
        <v>061422</v>
      </c>
      <c r="C3863" t="str">
        <f t="shared" si="264"/>
        <v>37500</v>
      </c>
      <c r="D3863" t="s">
        <v>1652</v>
      </c>
      <c r="E3863" s="3">
        <v>12.97</v>
      </c>
      <c r="F3863">
        <v>20151210</v>
      </c>
      <c r="G3863" t="s">
        <v>2162</v>
      </c>
      <c r="H3863" t="s">
        <v>2173</v>
      </c>
      <c r="I3863">
        <v>0</v>
      </c>
      <c r="J3863" t="s">
        <v>1709</v>
      </c>
      <c r="K3863" t="s">
        <v>1643</v>
      </c>
      <c r="L3863" t="s">
        <v>285</v>
      </c>
      <c r="M3863" t="str">
        <f t="shared" si="262"/>
        <v>12</v>
      </c>
      <c r="N3863" t="s">
        <v>12</v>
      </c>
    </row>
    <row r="3864" spans="1:14" x14ac:dyDescent="0.25">
      <c r="A3864">
        <v>20151211</v>
      </c>
      <c r="B3864" t="str">
        <f t="shared" si="263"/>
        <v>061422</v>
      </c>
      <c r="C3864" t="str">
        <f t="shared" si="264"/>
        <v>37500</v>
      </c>
      <c r="D3864" t="s">
        <v>1652</v>
      </c>
      <c r="E3864" s="3">
        <v>21.53</v>
      </c>
      <c r="F3864">
        <v>20151210</v>
      </c>
      <c r="G3864" t="s">
        <v>3114</v>
      </c>
      <c r="H3864" t="s">
        <v>2173</v>
      </c>
      <c r="I3864">
        <v>0</v>
      </c>
      <c r="J3864" t="s">
        <v>1709</v>
      </c>
      <c r="K3864" t="s">
        <v>33</v>
      </c>
      <c r="L3864" t="s">
        <v>285</v>
      </c>
      <c r="M3864" t="str">
        <f t="shared" si="262"/>
        <v>12</v>
      </c>
      <c r="N3864" t="s">
        <v>12</v>
      </c>
    </row>
    <row r="3865" spans="1:14" x14ac:dyDescent="0.25">
      <c r="A3865">
        <v>20151211</v>
      </c>
      <c r="B3865" t="str">
        <f t="shared" si="263"/>
        <v>061422</v>
      </c>
      <c r="C3865" t="str">
        <f t="shared" si="264"/>
        <v>37500</v>
      </c>
      <c r="D3865" t="s">
        <v>1652</v>
      </c>
      <c r="E3865" s="3">
        <v>70</v>
      </c>
      <c r="F3865">
        <v>20151210</v>
      </c>
      <c r="G3865" t="s">
        <v>2990</v>
      </c>
      <c r="H3865" t="s">
        <v>3355</v>
      </c>
      <c r="I3865">
        <v>0</v>
      </c>
      <c r="J3865" t="s">
        <v>1709</v>
      </c>
      <c r="K3865" t="s">
        <v>1779</v>
      </c>
      <c r="L3865" t="s">
        <v>285</v>
      </c>
      <c r="M3865" t="str">
        <f t="shared" si="262"/>
        <v>12</v>
      </c>
      <c r="N3865" t="s">
        <v>12</v>
      </c>
    </row>
    <row r="3866" spans="1:14" x14ac:dyDescent="0.25">
      <c r="A3866">
        <v>20151211</v>
      </c>
      <c r="B3866" t="str">
        <f t="shared" si="263"/>
        <v>061422</v>
      </c>
      <c r="C3866" t="str">
        <f t="shared" si="264"/>
        <v>37500</v>
      </c>
      <c r="D3866" t="s">
        <v>1652</v>
      </c>
      <c r="E3866" s="3">
        <v>159.36000000000001</v>
      </c>
      <c r="F3866">
        <v>20151210</v>
      </c>
      <c r="G3866" t="s">
        <v>2799</v>
      </c>
      <c r="H3866" t="s">
        <v>3356</v>
      </c>
      <c r="I3866">
        <v>0</v>
      </c>
      <c r="J3866" t="s">
        <v>1709</v>
      </c>
      <c r="K3866" t="s">
        <v>1861</v>
      </c>
      <c r="L3866" t="s">
        <v>285</v>
      </c>
      <c r="M3866" t="str">
        <f t="shared" si="262"/>
        <v>12</v>
      </c>
      <c r="N3866" t="s">
        <v>12</v>
      </c>
    </row>
    <row r="3867" spans="1:14" x14ac:dyDescent="0.25">
      <c r="A3867">
        <v>20151211</v>
      </c>
      <c r="B3867" t="str">
        <f>"061426"</f>
        <v>061426</v>
      </c>
      <c r="C3867" t="str">
        <f>"42194"</f>
        <v>42194</v>
      </c>
      <c r="D3867" t="s">
        <v>1874</v>
      </c>
      <c r="E3867" s="3">
        <v>37171.300000000003</v>
      </c>
      <c r="F3867">
        <v>20151210</v>
      </c>
      <c r="G3867" t="s">
        <v>2890</v>
      </c>
      <c r="H3867" t="s">
        <v>3357</v>
      </c>
      <c r="I3867">
        <v>0</v>
      </c>
      <c r="J3867" t="s">
        <v>1709</v>
      </c>
      <c r="K3867" t="s">
        <v>1861</v>
      </c>
      <c r="L3867" t="s">
        <v>285</v>
      </c>
      <c r="M3867" t="str">
        <f t="shared" si="262"/>
        <v>12</v>
      </c>
      <c r="N3867" t="s">
        <v>12</v>
      </c>
    </row>
    <row r="3868" spans="1:14" x14ac:dyDescent="0.25">
      <c r="A3868">
        <v>20151211</v>
      </c>
      <c r="B3868" t="str">
        <f>"061427"</f>
        <v>061427</v>
      </c>
      <c r="C3868" t="str">
        <f>"42212"</f>
        <v>42212</v>
      </c>
      <c r="D3868" t="s">
        <v>2513</v>
      </c>
      <c r="E3868" s="3">
        <v>73.67</v>
      </c>
      <c r="F3868">
        <v>20151210</v>
      </c>
      <c r="G3868" t="s">
        <v>3358</v>
      </c>
      <c r="H3868" t="s">
        <v>2641</v>
      </c>
      <c r="I3868">
        <v>0</v>
      </c>
      <c r="J3868" t="s">
        <v>1709</v>
      </c>
      <c r="K3868" t="s">
        <v>290</v>
      </c>
      <c r="L3868" t="s">
        <v>285</v>
      </c>
      <c r="M3868" t="str">
        <f t="shared" si="262"/>
        <v>12</v>
      </c>
      <c r="N3868" t="s">
        <v>12</v>
      </c>
    </row>
    <row r="3869" spans="1:14" x14ac:dyDescent="0.25">
      <c r="A3869">
        <v>20151211</v>
      </c>
      <c r="B3869" t="str">
        <f>"061429"</f>
        <v>061429</v>
      </c>
      <c r="C3869" t="str">
        <f>"45496"</f>
        <v>45496</v>
      </c>
      <c r="D3869" t="s">
        <v>2327</v>
      </c>
      <c r="E3869" s="3">
        <v>9.2799999999999994</v>
      </c>
      <c r="F3869">
        <v>20151210</v>
      </c>
      <c r="G3869" t="s">
        <v>2275</v>
      </c>
      <c r="H3869" t="s">
        <v>3359</v>
      </c>
      <c r="I3869">
        <v>0</v>
      </c>
      <c r="J3869" t="s">
        <v>1709</v>
      </c>
      <c r="K3869" t="s">
        <v>95</v>
      </c>
      <c r="L3869" t="s">
        <v>285</v>
      </c>
      <c r="M3869" t="str">
        <f t="shared" si="262"/>
        <v>12</v>
      </c>
      <c r="N3869" t="s">
        <v>12</v>
      </c>
    </row>
    <row r="3870" spans="1:14" x14ac:dyDescent="0.25">
      <c r="A3870">
        <v>20151211</v>
      </c>
      <c r="B3870" t="str">
        <f>"061429"</f>
        <v>061429</v>
      </c>
      <c r="C3870" t="str">
        <f>"45496"</f>
        <v>45496</v>
      </c>
      <c r="D3870" t="s">
        <v>2327</v>
      </c>
      <c r="E3870" s="3">
        <v>78.91</v>
      </c>
      <c r="F3870">
        <v>20151210</v>
      </c>
      <c r="G3870" t="s">
        <v>2795</v>
      </c>
      <c r="H3870" t="s">
        <v>595</v>
      </c>
      <c r="I3870">
        <v>0</v>
      </c>
      <c r="J3870" t="s">
        <v>1709</v>
      </c>
      <c r="K3870" t="s">
        <v>95</v>
      </c>
      <c r="L3870" t="s">
        <v>285</v>
      </c>
      <c r="M3870" t="str">
        <f t="shared" si="262"/>
        <v>12</v>
      </c>
      <c r="N3870" t="s">
        <v>12</v>
      </c>
    </row>
    <row r="3871" spans="1:14" x14ac:dyDescent="0.25">
      <c r="A3871">
        <v>20151211</v>
      </c>
      <c r="B3871" t="str">
        <f>"061429"</f>
        <v>061429</v>
      </c>
      <c r="C3871" t="str">
        <f>"45496"</f>
        <v>45496</v>
      </c>
      <c r="D3871" t="s">
        <v>2327</v>
      </c>
      <c r="E3871" s="3">
        <v>189.52</v>
      </c>
      <c r="F3871">
        <v>20151210</v>
      </c>
      <c r="G3871" t="s">
        <v>3246</v>
      </c>
      <c r="H3871" t="s">
        <v>595</v>
      </c>
      <c r="I3871">
        <v>0</v>
      </c>
      <c r="J3871" t="s">
        <v>1709</v>
      </c>
      <c r="K3871" t="s">
        <v>95</v>
      </c>
      <c r="L3871" t="s">
        <v>285</v>
      </c>
      <c r="M3871" t="str">
        <f t="shared" si="262"/>
        <v>12</v>
      </c>
      <c r="N3871" t="s">
        <v>12</v>
      </c>
    </row>
    <row r="3872" spans="1:14" x14ac:dyDescent="0.25">
      <c r="A3872">
        <v>20151211</v>
      </c>
      <c r="B3872" t="str">
        <f>"061429"</f>
        <v>061429</v>
      </c>
      <c r="C3872" t="str">
        <f>"45496"</f>
        <v>45496</v>
      </c>
      <c r="D3872" t="s">
        <v>2327</v>
      </c>
      <c r="E3872" s="3">
        <v>88.08</v>
      </c>
      <c r="F3872">
        <v>20151210</v>
      </c>
      <c r="G3872" t="s">
        <v>2047</v>
      </c>
      <c r="H3872" t="s">
        <v>2807</v>
      </c>
      <c r="I3872">
        <v>0</v>
      </c>
      <c r="J3872" t="s">
        <v>1709</v>
      </c>
      <c r="K3872" t="s">
        <v>1882</v>
      </c>
      <c r="L3872" t="s">
        <v>285</v>
      </c>
      <c r="M3872" t="str">
        <f t="shared" si="262"/>
        <v>12</v>
      </c>
      <c r="N3872" t="s">
        <v>12</v>
      </c>
    </row>
    <row r="3873" spans="1:14" x14ac:dyDescent="0.25">
      <c r="A3873">
        <v>20151211</v>
      </c>
      <c r="B3873" t="str">
        <f>"061435"</f>
        <v>061435</v>
      </c>
      <c r="C3873" t="str">
        <f>"49748"</f>
        <v>49748</v>
      </c>
      <c r="D3873" t="s">
        <v>1885</v>
      </c>
      <c r="E3873" s="3">
        <v>326.87</v>
      </c>
      <c r="F3873">
        <v>20151211</v>
      </c>
      <c r="G3873" t="s">
        <v>1961</v>
      </c>
      <c r="H3873" t="s">
        <v>3360</v>
      </c>
      <c r="I3873">
        <v>0</v>
      </c>
      <c r="J3873" t="s">
        <v>1709</v>
      </c>
      <c r="K3873" t="s">
        <v>290</v>
      </c>
      <c r="L3873" t="s">
        <v>285</v>
      </c>
      <c r="M3873" t="str">
        <f t="shared" si="262"/>
        <v>12</v>
      </c>
      <c r="N3873" t="s">
        <v>12</v>
      </c>
    </row>
    <row r="3874" spans="1:14" x14ac:dyDescent="0.25">
      <c r="A3874">
        <v>20151211</v>
      </c>
      <c r="B3874" t="str">
        <f>"061436"</f>
        <v>061436</v>
      </c>
      <c r="C3874" t="str">
        <f>"49959"</f>
        <v>49959</v>
      </c>
      <c r="D3874" t="s">
        <v>361</v>
      </c>
      <c r="E3874" s="3">
        <v>300</v>
      </c>
      <c r="F3874">
        <v>20151210</v>
      </c>
      <c r="G3874" t="s">
        <v>1788</v>
      </c>
      <c r="H3874" t="s">
        <v>3361</v>
      </c>
      <c r="I3874">
        <v>0</v>
      </c>
      <c r="J3874" t="s">
        <v>1709</v>
      </c>
      <c r="K3874" t="s">
        <v>1643</v>
      </c>
      <c r="L3874" t="s">
        <v>285</v>
      </c>
      <c r="M3874" t="str">
        <f t="shared" si="262"/>
        <v>12</v>
      </c>
      <c r="N3874" t="s">
        <v>12</v>
      </c>
    </row>
    <row r="3875" spans="1:14" x14ac:dyDescent="0.25">
      <c r="A3875">
        <v>20151211</v>
      </c>
      <c r="B3875" t="str">
        <f>"061437"</f>
        <v>061437</v>
      </c>
      <c r="C3875" t="str">
        <f>"53280"</f>
        <v>53280</v>
      </c>
      <c r="D3875" t="s">
        <v>3000</v>
      </c>
      <c r="E3875" s="3">
        <v>307.74</v>
      </c>
      <c r="F3875">
        <v>20151210</v>
      </c>
      <c r="G3875" t="s">
        <v>2785</v>
      </c>
      <c r="H3875" t="s">
        <v>3362</v>
      </c>
      <c r="I3875">
        <v>0</v>
      </c>
      <c r="J3875" t="s">
        <v>1709</v>
      </c>
      <c r="K3875" t="s">
        <v>95</v>
      </c>
      <c r="L3875" t="s">
        <v>285</v>
      </c>
      <c r="M3875" t="str">
        <f t="shared" si="262"/>
        <v>12</v>
      </c>
      <c r="N3875" t="s">
        <v>12</v>
      </c>
    </row>
    <row r="3876" spans="1:14" x14ac:dyDescent="0.25">
      <c r="A3876">
        <v>20151211</v>
      </c>
      <c r="B3876" t="str">
        <f>"061439"</f>
        <v>061439</v>
      </c>
      <c r="C3876" t="str">
        <f>"53483"</f>
        <v>53483</v>
      </c>
      <c r="D3876" t="s">
        <v>2132</v>
      </c>
      <c r="E3876" s="3">
        <v>228.75</v>
      </c>
      <c r="F3876">
        <v>20151210</v>
      </c>
      <c r="G3876" t="s">
        <v>2424</v>
      </c>
      <c r="H3876" t="s">
        <v>1843</v>
      </c>
      <c r="I3876">
        <v>0</v>
      </c>
      <c r="J3876" t="s">
        <v>1709</v>
      </c>
      <c r="K3876" t="s">
        <v>1775</v>
      </c>
      <c r="L3876" t="s">
        <v>285</v>
      </c>
      <c r="M3876" t="str">
        <f t="shared" si="262"/>
        <v>12</v>
      </c>
      <c r="N3876" t="s">
        <v>12</v>
      </c>
    </row>
    <row r="3877" spans="1:14" x14ac:dyDescent="0.25">
      <c r="A3877">
        <v>20151211</v>
      </c>
      <c r="B3877" t="str">
        <f>"061441"</f>
        <v>061441</v>
      </c>
      <c r="C3877" t="str">
        <f>"00019"</f>
        <v>00019</v>
      </c>
      <c r="D3877" t="s">
        <v>3266</v>
      </c>
      <c r="E3877" s="3">
        <v>240</v>
      </c>
      <c r="F3877">
        <v>20151210</v>
      </c>
      <c r="G3877" t="s">
        <v>3363</v>
      </c>
      <c r="H3877" t="s">
        <v>3364</v>
      </c>
      <c r="I3877">
        <v>0</v>
      </c>
      <c r="J3877" t="s">
        <v>1709</v>
      </c>
      <c r="K3877" t="s">
        <v>1558</v>
      </c>
      <c r="L3877" t="s">
        <v>285</v>
      </c>
      <c r="M3877" t="str">
        <f t="shared" si="262"/>
        <v>12</v>
      </c>
      <c r="N3877" t="s">
        <v>12</v>
      </c>
    </row>
    <row r="3878" spans="1:14" x14ac:dyDescent="0.25">
      <c r="A3878">
        <v>20151211</v>
      </c>
      <c r="B3878" t="str">
        <f>"061442"</f>
        <v>061442</v>
      </c>
      <c r="C3878" t="str">
        <f>"56002"</f>
        <v>56002</v>
      </c>
      <c r="D3878" t="s">
        <v>1747</v>
      </c>
      <c r="E3878" s="3">
        <v>90083</v>
      </c>
      <c r="F3878">
        <v>20151210</v>
      </c>
      <c r="G3878" t="s">
        <v>1748</v>
      </c>
      <c r="H3878" t="s">
        <v>3365</v>
      </c>
      <c r="I3878">
        <v>0</v>
      </c>
      <c r="J3878" t="s">
        <v>1709</v>
      </c>
      <c r="K3878" t="s">
        <v>1750</v>
      </c>
      <c r="L3878" t="s">
        <v>285</v>
      </c>
      <c r="M3878" t="str">
        <f t="shared" si="262"/>
        <v>12</v>
      </c>
      <c r="N3878" t="s">
        <v>12</v>
      </c>
    </row>
    <row r="3879" spans="1:14" x14ac:dyDescent="0.25">
      <c r="A3879">
        <v>20151211</v>
      </c>
      <c r="B3879" t="str">
        <f>"061443"</f>
        <v>061443</v>
      </c>
      <c r="C3879" t="str">
        <f>"56183"</f>
        <v>56183</v>
      </c>
      <c r="D3879" t="s">
        <v>2359</v>
      </c>
      <c r="E3879" s="3">
        <v>111.29</v>
      </c>
      <c r="F3879">
        <v>20151210</v>
      </c>
      <c r="G3879" t="s">
        <v>2360</v>
      </c>
      <c r="H3879" t="s">
        <v>3366</v>
      </c>
      <c r="I3879">
        <v>0</v>
      </c>
      <c r="J3879" t="s">
        <v>1709</v>
      </c>
      <c r="K3879" t="s">
        <v>1856</v>
      </c>
      <c r="L3879" t="s">
        <v>285</v>
      </c>
      <c r="M3879" t="str">
        <f t="shared" si="262"/>
        <v>12</v>
      </c>
      <c r="N3879" t="s">
        <v>12</v>
      </c>
    </row>
    <row r="3880" spans="1:14" x14ac:dyDescent="0.25">
      <c r="A3880">
        <v>20151211</v>
      </c>
      <c r="B3880" t="str">
        <f>"061443"</f>
        <v>061443</v>
      </c>
      <c r="C3880" t="str">
        <f>"56183"</f>
        <v>56183</v>
      </c>
      <c r="D3880" t="s">
        <v>2359</v>
      </c>
      <c r="E3880" s="3">
        <v>23.18</v>
      </c>
      <c r="F3880">
        <v>20151210</v>
      </c>
      <c r="G3880" t="s">
        <v>2360</v>
      </c>
      <c r="H3880" t="s">
        <v>3367</v>
      </c>
      <c r="I3880">
        <v>0</v>
      </c>
      <c r="J3880" t="s">
        <v>1709</v>
      </c>
      <c r="K3880" t="s">
        <v>1856</v>
      </c>
      <c r="L3880" t="s">
        <v>285</v>
      </c>
      <c r="M3880" t="str">
        <f t="shared" si="262"/>
        <v>12</v>
      </c>
      <c r="N3880" t="s">
        <v>12</v>
      </c>
    </row>
    <row r="3881" spans="1:14" x14ac:dyDescent="0.25">
      <c r="A3881">
        <v>20151211</v>
      </c>
      <c r="B3881" t="str">
        <f>"061447"</f>
        <v>061447</v>
      </c>
      <c r="C3881" t="str">
        <f>"58173"</f>
        <v>58173</v>
      </c>
      <c r="D3881" t="s">
        <v>2544</v>
      </c>
      <c r="E3881" s="3">
        <v>487.5</v>
      </c>
      <c r="F3881">
        <v>20151210</v>
      </c>
      <c r="G3881" t="s">
        <v>2545</v>
      </c>
      <c r="H3881" t="s">
        <v>2480</v>
      </c>
      <c r="I3881">
        <v>0</v>
      </c>
      <c r="J3881" t="s">
        <v>1709</v>
      </c>
      <c r="K3881" t="s">
        <v>1861</v>
      </c>
      <c r="L3881" t="s">
        <v>285</v>
      </c>
      <c r="M3881" t="str">
        <f t="shared" si="262"/>
        <v>12</v>
      </c>
      <c r="N3881" t="s">
        <v>12</v>
      </c>
    </row>
    <row r="3882" spans="1:14" x14ac:dyDescent="0.25">
      <c r="A3882">
        <v>20151211</v>
      </c>
      <c r="B3882" t="str">
        <f>"061448"</f>
        <v>061448</v>
      </c>
      <c r="C3882" t="str">
        <f>"58204"</f>
        <v>58204</v>
      </c>
      <c r="D3882" t="s">
        <v>1816</v>
      </c>
      <c r="E3882" s="3">
        <v>4.97</v>
      </c>
      <c r="F3882">
        <v>20151210</v>
      </c>
      <c r="G3882" t="s">
        <v>1886</v>
      </c>
      <c r="H3882" t="s">
        <v>3368</v>
      </c>
      <c r="I3882">
        <v>0</v>
      </c>
      <c r="J3882" t="s">
        <v>1709</v>
      </c>
      <c r="K3882" t="s">
        <v>290</v>
      </c>
      <c r="L3882" t="s">
        <v>285</v>
      </c>
      <c r="M3882" t="str">
        <f t="shared" si="262"/>
        <v>12</v>
      </c>
      <c r="N3882" t="s">
        <v>12</v>
      </c>
    </row>
    <row r="3883" spans="1:14" x14ac:dyDescent="0.25">
      <c r="A3883">
        <v>20151211</v>
      </c>
      <c r="B3883" t="str">
        <f>"061448"</f>
        <v>061448</v>
      </c>
      <c r="C3883" t="str">
        <f>"58204"</f>
        <v>58204</v>
      </c>
      <c r="D3883" t="s">
        <v>1816</v>
      </c>
      <c r="E3883" s="3">
        <v>40</v>
      </c>
      <c r="F3883">
        <v>20151210</v>
      </c>
      <c r="G3883" t="s">
        <v>1961</v>
      </c>
      <c r="H3883" t="s">
        <v>3369</v>
      </c>
      <c r="I3883">
        <v>0</v>
      </c>
      <c r="J3883" t="s">
        <v>1709</v>
      </c>
      <c r="K3883" t="s">
        <v>290</v>
      </c>
      <c r="L3883" t="s">
        <v>285</v>
      </c>
      <c r="M3883" t="str">
        <f t="shared" si="262"/>
        <v>12</v>
      </c>
      <c r="N3883" t="s">
        <v>12</v>
      </c>
    </row>
    <row r="3884" spans="1:14" x14ac:dyDescent="0.25">
      <c r="A3884">
        <v>20151211</v>
      </c>
      <c r="B3884" t="str">
        <f>"061448"</f>
        <v>061448</v>
      </c>
      <c r="C3884" t="str">
        <f>"58204"</f>
        <v>58204</v>
      </c>
      <c r="D3884" t="s">
        <v>1816</v>
      </c>
      <c r="E3884" s="3">
        <v>15</v>
      </c>
      <c r="F3884">
        <v>20151210</v>
      </c>
      <c r="G3884" t="s">
        <v>2693</v>
      </c>
      <c r="H3884" t="s">
        <v>767</v>
      </c>
      <c r="I3884">
        <v>0</v>
      </c>
      <c r="J3884" t="s">
        <v>1709</v>
      </c>
      <c r="K3884" t="s">
        <v>290</v>
      </c>
      <c r="L3884" t="s">
        <v>285</v>
      </c>
      <c r="M3884" t="str">
        <f t="shared" si="262"/>
        <v>12</v>
      </c>
      <c r="N3884" t="s">
        <v>12</v>
      </c>
    </row>
    <row r="3885" spans="1:14" x14ac:dyDescent="0.25">
      <c r="A3885">
        <v>20151211</v>
      </c>
      <c r="B3885" t="str">
        <f>"061450"</f>
        <v>061450</v>
      </c>
      <c r="C3885" t="str">
        <f>"59097"</f>
        <v>59097</v>
      </c>
      <c r="D3885" t="s">
        <v>1755</v>
      </c>
      <c r="E3885" s="3">
        <v>411.94</v>
      </c>
      <c r="F3885">
        <v>20151210</v>
      </c>
      <c r="G3885" t="s">
        <v>2317</v>
      </c>
      <c r="H3885" t="s">
        <v>2509</v>
      </c>
      <c r="I3885">
        <v>0</v>
      </c>
      <c r="J3885" t="s">
        <v>1709</v>
      </c>
      <c r="K3885" t="s">
        <v>290</v>
      </c>
      <c r="L3885" t="s">
        <v>285</v>
      </c>
      <c r="M3885" t="str">
        <f t="shared" si="262"/>
        <v>12</v>
      </c>
      <c r="N3885" t="s">
        <v>12</v>
      </c>
    </row>
    <row r="3886" spans="1:14" x14ac:dyDescent="0.25">
      <c r="A3886">
        <v>20151211</v>
      </c>
      <c r="B3886" t="str">
        <f>"061451"</f>
        <v>061451</v>
      </c>
      <c r="C3886" t="str">
        <f>"60603"</f>
        <v>60603</v>
      </c>
      <c r="D3886" t="s">
        <v>2702</v>
      </c>
      <c r="E3886" s="3">
        <v>94.49</v>
      </c>
      <c r="F3886">
        <v>20151210</v>
      </c>
      <c r="G3886" t="s">
        <v>2570</v>
      </c>
      <c r="H3886" t="s">
        <v>3370</v>
      </c>
      <c r="I3886">
        <v>0</v>
      </c>
      <c r="J3886" t="s">
        <v>1709</v>
      </c>
      <c r="K3886" t="s">
        <v>95</v>
      </c>
      <c r="L3886" t="s">
        <v>285</v>
      </c>
      <c r="M3886" t="str">
        <f t="shared" si="262"/>
        <v>12</v>
      </c>
      <c r="N3886" t="s">
        <v>12</v>
      </c>
    </row>
    <row r="3887" spans="1:14" x14ac:dyDescent="0.25">
      <c r="A3887">
        <v>20151211</v>
      </c>
      <c r="B3887" t="str">
        <f>"061451"</f>
        <v>061451</v>
      </c>
      <c r="C3887" t="str">
        <f>"60603"</f>
        <v>60603</v>
      </c>
      <c r="D3887" t="s">
        <v>2702</v>
      </c>
      <c r="E3887" s="3">
        <v>29.34</v>
      </c>
      <c r="F3887">
        <v>20151210</v>
      </c>
      <c r="G3887" t="s">
        <v>2570</v>
      </c>
      <c r="H3887" t="s">
        <v>3371</v>
      </c>
      <c r="I3887">
        <v>0</v>
      </c>
      <c r="J3887" t="s">
        <v>1709</v>
      </c>
      <c r="K3887" t="s">
        <v>95</v>
      </c>
      <c r="L3887" t="s">
        <v>285</v>
      </c>
      <c r="M3887" t="str">
        <f t="shared" si="262"/>
        <v>12</v>
      </c>
      <c r="N3887" t="s">
        <v>12</v>
      </c>
    </row>
    <row r="3888" spans="1:14" x14ac:dyDescent="0.25">
      <c r="A3888">
        <v>20151211</v>
      </c>
      <c r="B3888" t="str">
        <f>"061455"</f>
        <v>061455</v>
      </c>
      <c r="C3888" t="str">
        <f>"62340"</f>
        <v>62340</v>
      </c>
      <c r="D3888" t="s">
        <v>1911</v>
      </c>
      <c r="E3888" s="3">
        <v>4135.32</v>
      </c>
      <c r="F3888">
        <v>20151210</v>
      </c>
      <c r="G3888" t="s">
        <v>1912</v>
      </c>
      <c r="H3888" t="s">
        <v>2868</v>
      </c>
      <c r="I3888">
        <v>0</v>
      </c>
      <c r="J3888" t="s">
        <v>1709</v>
      </c>
      <c r="K3888" t="s">
        <v>1861</v>
      </c>
      <c r="L3888" t="s">
        <v>285</v>
      </c>
      <c r="M3888" t="str">
        <f t="shared" si="262"/>
        <v>12</v>
      </c>
      <c r="N3888" t="s">
        <v>12</v>
      </c>
    </row>
    <row r="3889" spans="1:14" x14ac:dyDescent="0.25">
      <c r="A3889">
        <v>20151211</v>
      </c>
      <c r="B3889" t="str">
        <f>"061456"</f>
        <v>061456</v>
      </c>
      <c r="C3889" t="str">
        <f>"60832"</f>
        <v>60832</v>
      </c>
      <c r="D3889" t="s">
        <v>1913</v>
      </c>
      <c r="E3889" s="3">
        <v>300</v>
      </c>
      <c r="F3889">
        <v>20151210</v>
      </c>
      <c r="G3889" t="s">
        <v>2588</v>
      </c>
      <c r="H3889" t="s">
        <v>3372</v>
      </c>
      <c r="I3889">
        <v>0</v>
      </c>
      <c r="J3889" t="s">
        <v>1709</v>
      </c>
      <c r="K3889" t="s">
        <v>1861</v>
      </c>
      <c r="L3889" t="s">
        <v>285</v>
      </c>
      <c r="M3889" t="str">
        <f t="shared" si="262"/>
        <v>12</v>
      </c>
      <c r="N3889" t="s">
        <v>12</v>
      </c>
    </row>
    <row r="3890" spans="1:14" x14ac:dyDescent="0.25">
      <c r="A3890">
        <v>20151211</v>
      </c>
      <c r="B3890" t="str">
        <f>"061457"</f>
        <v>061457</v>
      </c>
      <c r="C3890" t="str">
        <f>"62686"</f>
        <v>62686</v>
      </c>
      <c r="D3890" t="s">
        <v>1468</v>
      </c>
      <c r="E3890" s="3">
        <v>148.49</v>
      </c>
      <c r="F3890">
        <v>20151211</v>
      </c>
      <c r="G3890" t="s">
        <v>2742</v>
      </c>
      <c r="H3890" t="s">
        <v>3373</v>
      </c>
      <c r="I3890">
        <v>0</v>
      </c>
      <c r="J3890" t="s">
        <v>1709</v>
      </c>
      <c r="K3890" t="s">
        <v>1558</v>
      </c>
      <c r="L3890" t="s">
        <v>285</v>
      </c>
      <c r="M3890" t="str">
        <f t="shared" si="262"/>
        <v>12</v>
      </c>
      <c r="N3890" t="s">
        <v>12</v>
      </c>
    </row>
    <row r="3891" spans="1:14" x14ac:dyDescent="0.25">
      <c r="A3891">
        <v>20151211</v>
      </c>
      <c r="B3891" t="str">
        <f>"061463"</f>
        <v>061463</v>
      </c>
      <c r="C3891" t="str">
        <f>"64610"</f>
        <v>64610</v>
      </c>
      <c r="D3891" t="s">
        <v>678</v>
      </c>
      <c r="E3891" s="3">
        <v>137</v>
      </c>
      <c r="F3891">
        <v>20151210</v>
      </c>
      <c r="G3891" t="s">
        <v>2172</v>
      </c>
      <c r="H3891" t="s">
        <v>3374</v>
      </c>
      <c r="I3891">
        <v>0</v>
      </c>
      <c r="J3891" t="s">
        <v>1709</v>
      </c>
      <c r="K3891" t="s">
        <v>95</v>
      </c>
      <c r="L3891" t="s">
        <v>285</v>
      </c>
      <c r="M3891" t="str">
        <f t="shared" si="262"/>
        <v>12</v>
      </c>
      <c r="N3891" t="s">
        <v>12</v>
      </c>
    </row>
    <row r="3892" spans="1:14" x14ac:dyDescent="0.25">
      <c r="A3892">
        <v>20151211</v>
      </c>
      <c r="B3892" t="str">
        <f>"061463"</f>
        <v>061463</v>
      </c>
      <c r="C3892" t="str">
        <f>"64610"</f>
        <v>64610</v>
      </c>
      <c r="D3892" t="s">
        <v>678</v>
      </c>
      <c r="E3892" s="3">
        <v>39.1</v>
      </c>
      <c r="F3892">
        <v>20151210</v>
      </c>
      <c r="G3892" t="s">
        <v>1916</v>
      </c>
      <c r="H3892" t="s">
        <v>3375</v>
      </c>
      <c r="I3892">
        <v>0</v>
      </c>
      <c r="J3892" t="s">
        <v>1709</v>
      </c>
      <c r="K3892" t="s">
        <v>1782</v>
      </c>
      <c r="L3892" t="s">
        <v>285</v>
      </c>
      <c r="M3892" t="str">
        <f t="shared" si="262"/>
        <v>12</v>
      </c>
      <c r="N3892" t="s">
        <v>12</v>
      </c>
    </row>
    <row r="3893" spans="1:14" x14ac:dyDescent="0.25">
      <c r="A3893">
        <v>20151211</v>
      </c>
      <c r="B3893" t="str">
        <f>"061469"</f>
        <v>061469</v>
      </c>
      <c r="C3893" t="str">
        <f>"52207"</f>
        <v>52207</v>
      </c>
      <c r="D3893" t="s">
        <v>3376</v>
      </c>
      <c r="E3893" s="3">
        <v>607.1</v>
      </c>
      <c r="F3893">
        <v>20151210</v>
      </c>
      <c r="G3893" t="s">
        <v>3377</v>
      </c>
      <c r="H3893" t="s">
        <v>3378</v>
      </c>
      <c r="I3893">
        <v>0</v>
      </c>
      <c r="J3893" t="s">
        <v>1709</v>
      </c>
      <c r="K3893" t="s">
        <v>95</v>
      </c>
      <c r="L3893" t="s">
        <v>285</v>
      </c>
      <c r="M3893" t="str">
        <f t="shared" si="262"/>
        <v>12</v>
      </c>
      <c r="N3893" t="s">
        <v>12</v>
      </c>
    </row>
    <row r="3894" spans="1:14" x14ac:dyDescent="0.25">
      <c r="A3894">
        <v>20151211</v>
      </c>
      <c r="B3894" t="str">
        <f>"061470"</f>
        <v>061470</v>
      </c>
      <c r="C3894" t="str">
        <f>"70650"</f>
        <v>70650</v>
      </c>
      <c r="D3894" t="s">
        <v>3379</v>
      </c>
      <c r="E3894" s="3">
        <v>175</v>
      </c>
      <c r="F3894">
        <v>20151210</v>
      </c>
      <c r="G3894" t="s">
        <v>3380</v>
      </c>
      <c r="H3894" t="s">
        <v>3381</v>
      </c>
      <c r="I3894">
        <v>0</v>
      </c>
      <c r="J3894" t="s">
        <v>1709</v>
      </c>
      <c r="K3894" t="s">
        <v>95</v>
      </c>
      <c r="L3894" t="s">
        <v>285</v>
      </c>
      <c r="M3894" t="str">
        <f t="shared" si="262"/>
        <v>12</v>
      </c>
      <c r="N3894" t="s">
        <v>12</v>
      </c>
    </row>
    <row r="3895" spans="1:14" x14ac:dyDescent="0.25">
      <c r="A3895">
        <v>20151211</v>
      </c>
      <c r="B3895" t="str">
        <f>"061470"</f>
        <v>061470</v>
      </c>
      <c r="C3895" t="str">
        <f>"70650"</f>
        <v>70650</v>
      </c>
      <c r="D3895" t="s">
        <v>3379</v>
      </c>
      <c r="E3895" s="3">
        <v>116</v>
      </c>
      <c r="F3895">
        <v>20151210</v>
      </c>
      <c r="G3895" t="s">
        <v>3380</v>
      </c>
      <c r="H3895" t="s">
        <v>3382</v>
      </c>
      <c r="I3895">
        <v>0</v>
      </c>
      <c r="J3895" t="s">
        <v>1709</v>
      </c>
      <c r="K3895" t="s">
        <v>95</v>
      </c>
      <c r="L3895" t="s">
        <v>285</v>
      </c>
      <c r="M3895" t="str">
        <f t="shared" si="262"/>
        <v>12</v>
      </c>
      <c r="N3895" t="s">
        <v>12</v>
      </c>
    </row>
    <row r="3896" spans="1:14" x14ac:dyDescent="0.25">
      <c r="A3896">
        <v>20151211</v>
      </c>
      <c r="B3896" t="str">
        <f t="shared" ref="B3896:B3901" si="265">"061471"</f>
        <v>061471</v>
      </c>
      <c r="C3896" t="str">
        <f t="shared" ref="C3896:C3901" si="266">"71225"</f>
        <v>71225</v>
      </c>
      <c r="D3896" t="s">
        <v>1920</v>
      </c>
      <c r="E3896" s="3">
        <v>947.72</v>
      </c>
      <c r="F3896">
        <v>20151211</v>
      </c>
      <c r="G3896" t="s">
        <v>1854</v>
      </c>
      <c r="H3896" t="s">
        <v>3383</v>
      </c>
      <c r="I3896">
        <v>0</v>
      </c>
      <c r="J3896" t="s">
        <v>1709</v>
      </c>
      <c r="K3896" t="s">
        <v>1856</v>
      </c>
      <c r="L3896" t="s">
        <v>285</v>
      </c>
      <c r="M3896" t="str">
        <f t="shared" si="262"/>
        <v>12</v>
      </c>
      <c r="N3896" t="s">
        <v>12</v>
      </c>
    </row>
    <row r="3897" spans="1:14" x14ac:dyDescent="0.25">
      <c r="A3897">
        <v>20151211</v>
      </c>
      <c r="B3897" t="str">
        <f t="shared" si="265"/>
        <v>061471</v>
      </c>
      <c r="C3897" t="str">
        <f t="shared" si="266"/>
        <v>71225</v>
      </c>
      <c r="D3897" t="s">
        <v>1920</v>
      </c>
      <c r="E3897" s="3">
        <v>30</v>
      </c>
      <c r="F3897">
        <v>20151211</v>
      </c>
      <c r="G3897" t="s">
        <v>1854</v>
      </c>
      <c r="H3897" t="s">
        <v>3384</v>
      </c>
      <c r="I3897">
        <v>0</v>
      </c>
      <c r="J3897" t="s">
        <v>1709</v>
      </c>
      <c r="K3897" t="s">
        <v>1856</v>
      </c>
      <c r="L3897" t="s">
        <v>285</v>
      </c>
      <c r="M3897" t="str">
        <f t="shared" si="262"/>
        <v>12</v>
      </c>
      <c r="N3897" t="s">
        <v>12</v>
      </c>
    </row>
    <row r="3898" spans="1:14" x14ac:dyDescent="0.25">
      <c r="A3898">
        <v>20151211</v>
      </c>
      <c r="B3898" t="str">
        <f t="shared" si="265"/>
        <v>061471</v>
      </c>
      <c r="C3898" t="str">
        <f t="shared" si="266"/>
        <v>71225</v>
      </c>
      <c r="D3898" t="s">
        <v>1920</v>
      </c>
      <c r="E3898" s="3">
        <v>449.65</v>
      </c>
      <c r="F3898">
        <v>20151211</v>
      </c>
      <c r="G3898" t="s">
        <v>1854</v>
      </c>
      <c r="H3898" t="s">
        <v>3385</v>
      </c>
      <c r="I3898">
        <v>0</v>
      </c>
      <c r="J3898" t="s">
        <v>1709</v>
      </c>
      <c r="K3898" t="s">
        <v>1856</v>
      </c>
      <c r="L3898" t="s">
        <v>285</v>
      </c>
      <c r="M3898" t="str">
        <f t="shared" si="262"/>
        <v>12</v>
      </c>
      <c r="N3898" t="s">
        <v>12</v>
      </c>
    </row>
    <row r="3899" spans="1:14" x14ac:dyDescent="0.25">
      <c r="A3899">
        <v>20151211</v>
      </c>
      <c r="B3899" t="str">
        <f t="shared" si="265"/>
        <v>061471</v>
      </c>
      <c r="C3899" t="str">
        <f t="shared" si="266"/>
        <v>71225</v>
      </c>
      <c r="D3899" t="s">
        <v>1920</v>
      </c>
      <c r="E3899" s="3">
        <v>30</v>
      </c>
      <c r="F3899">
        <v>20151211</v>
      </c>
      <c r="G3899" t="s">
        <v>1854</v>
      </c>
      <c r="H3899" t="s">
        <v>1922</v>
      </c>
      <c r="I3899">
        <v>0</v>
      </c>
      <c r="J3899" t="s">
        <v>1709</v>
      </c>
      <c r="K3899" t="s">
        <v>1856</v>
      </c>
      <c r="L3899" t="s">
        <v>285</v>
      </c>
      <c r="M3899" t="str">
        <f t="shared" si="262"/>
        <v>12</v>
      </c>
      <c r="N3899" t="s">
        <v>12</v>
      </c>
    </row>
    <row r="3900" spans="1:14" x14ac:dyDescent="0.25">
      <c r="A3900">
        <v>20151211</v>
      </c>
      <c r="B3900" t="str">
        <f t="shared" si="265"/>
        <v>061471</v>
      </c>
      <c r="C3900" t="str">
        <f t="shared" si="266"/>
        <v>71225</v>
      </c>
      <c r="D3900" t="s">
        <v>1920</v>
      </c>
      <c r="E3900" s="3">
        <v>523.53</v>
      </c>
      <c r="F3900">
        <v>20151211</v>
      </c>
      <c r="G3900" t="s">
        <v>2164</v>
      </c>
      <c r="H3900" t="s">
        <v>3386</v>
      </c>
      <c r="I3900">
        <v>0</v>
      </c>
      <c r="J3900" t="s">
        <v>1709</v>
      </c>
      <c r="K3900" t="s">
        <v>1861</v>
      </c>
      <c r="L3900" t="s">
        <v>285</v>
      </c>
      <c r="M3900" t="str">
        <f t="shared" si="262"/>
        <v>12</v>
      </c>
      <c r="N3900" t="s">
        <v>12</v>
      </c>
    </row>
    <row r="3901" spans="1:14" x14ac:dyDescent="0.25">
      <c r="A3901">
        <v>20151211</v>
      </c>
      <c r="B3901" t="str">
        <f t="shared" si="265"/>
        <v>061471</v>
      </c>
      <c r="C3901" t="str">
        <f t="shared" si="266"/>
        <v>71225</v>
      </c>
      <c r="D3901" t="s">
        <v>1920</v>
      </c>
      <c r="E3901" s="3">
        <v>112.75</v>
      </c>
      <c r="F3901">
        <v>20151211</v>
      </c>
      <c r="G3901" t="s">
        <v>2164</v>
      </c>
      <c r="H3901" t="s">
        <v>3387</v>
      </c>
      <c r="I3901">
        <v>0</v>
      </c>
      <c r="J3901" t="s">
        <v>1709</v>
      </c>
      <c r="K3901" t="s">
        <v>1861</v>
      </c>
      <c r="L3901" t="s">
        <v>285</v>
      </c>
      <c r="M3901" t="str">
        <f t="shared" si="262"/>
        <v>12</v>
      </c>
      <c r="N3901" t="s">
        <v>12</v>
      </c>
    </row>
    <row r="3902" spans="1:14" x14ac:dyDescent="0.25">
      <c r="A3902">
        <v>20151211</v>
      </c>
      <c r="B3902" t="str">
        <f>"061472"</f>
        <v>061472</v>
      </c>
      <c r="C3902" t="str">
        <f>"73610"</f>
        <v>73610</v>
      </c>
      <c r="D3902" t="s">
        <v>2578</v>
      </c>
      <c r="E3902" s="3">
        <v>64.75</v>
      </c>
      <c r="F3902">
        <v>20151211</v>
      </c>
      <c r="G3902" t="s">
        <v>1859</v>
      </c>
      <c r="H3902" t="s">
        <v>2667</v>
      </c>
      <c r="I3902">
        <v>0</v>
      </c>
      <c r="J3902" t="s">
        <v>1709</v>
      </c>
      <c r="K3902" t="s">
        <v>1861</v>
      </c>
      <c r="L3902" t="s">
        <v>285</v>
      </c>
      <c r="M3902" t="str">
        <f t="shared" si="262"/>
        <v>12</v>
      </c>
      <c r="N3902" t="s">
        <v>12</v>
      </c>
    </row>
    <row r="3903" spans="1:14" x14ac:dyDescent="0.25">
      <c r="A3903">
        <v>20151211</v>
      </c>
      <c r="B3903" t="str">
        <f>"061472"</f>
        <v>061472</v>
      </c>
      <c r="C3903" t="str">
        <f>"73610"</f>
        <v>73610</v>
      </c>
      <c r="D3903" t="s">
        <v>2578</v>
      </c>
      <c r="E3903" s="3">
        <v>106.36</v>
      </c>
      <c r="F3903">
        <v>20151211</v>
      </c>
      <c r="G3903" t="s">
        <v>1859</v>
      </c>
      <c r="H3903" t="s">
        <v>3388</v>
      </c>
      <c r="I3903">
        <v>0</v>
      </c>
      <c r="J3903" t="s">
        <v>1709</v>
      </c>
      <c r="K3903" t="s">
        <v>1861</v>
      </c>
      <c r="L3903" t="s">
        <v>285</v>
      </c>
      <c r="M3903" t="str">
        <f t="shared" ref="M3903:M3966" si="267">"12"</f>
        <v>12</v>
      </c>
      <c r="N3903" t="s">
        <v>12</v>
      </c>
    </row>
    <row r="3904" spans="1:14" x14ac:dyDescent="0.25">
      <c r="A3904">
        <v>20151211</v>
      </c>
      <c r="B3904" t="str">
        <f>"061479"</f>
        <v>061479</v>
      </c>
      <c r="C3904" t="str">
        <f>"80611"</f>
        <v>80611</v>
      </c>
      <c r="D3904" t="s">
        <v>1796</v>
      </c>
      <c r="E3904" s="3">
        <v>2208.33</v>
      </c>
      <c r="F3904">
        <v>20151211</v>
      </c>
      <c r="G3904" t="s">
        <v>2414</v>
      </c>
      <c r="H3904" t="s">
        <v>2480</v>
      </c>
      <c r="I3904">
        <v>0</v>
      </c>
      <c r="J3904" t="s">
        <v>1709</v>
      </c>
      <c r="K3904" t="s">
        <v>133</v>
      </c>
      <c r="L3904" t="s">
        <v>285</v>
      </c>
      <c r="M3904" t="str">
        <f t="shared" si="267"/>
        <v>12</v>
      </c>
      <c r="N3904" t="s">
        <v>12</v>
      </c>
    </row>
    <row r="3905" spans="1:14" x14ac:dyDescent="0.25">
      <c r="A3905">
        <v>20151211</v>
      </c>
      <c r="B3905" t="str">
        <f>"061481"</f>
        <v>061481</v>
      </c>
      <c r="C3905" t="str">
        <f>"80753"</f>
        <v>80753</v>
      </c>
      <c r="D3905" t="s">
        <v>3389</v>
      </c>
      <c r="E3905" s="3">
        <v>175</v>
      </c>
      <c r="F3905">
        <v>20151211</v>
      </c>
      <c r="G3905" t="s">
        <v>3390</v>
      </c>
      <c r="H3905" t="s">
        <v>3391</v>
      </c>
      <c r="I3905">
        <v>0</v>
      </c>
      <c r="J3905" t="s">
        <v>1709</v>
      </c>
      <c r="K3905" t="s">
        <v>133</v>
      </c>
      <c r="L3905" t="s">
        <v>285</v>
      </c>
      <c r="M3905" t="str">
        <f t="shared" si="267"/>
        <v>12</v>
      </c>
      <c r="N3905" t="s">
        <v>12</v>
      </c>
    </row>
    <row r="3906" spans="1:14" x14ac:dyDescent="0.25">
      <c r="A3906">
        <v>20151211</v>
      </c>
      <c r="B3906" t="str">
        <f>"061484"</f>
        <v>061484</v>
      </c>
      <c r="C3906" t="str">
        <f>"65426"</f>
        <v>65426</v>
      </c>
      <c r="D3906" t="s">
        <v>3392</v>
      </c>
      <c r="E3906" s="3">
        <v>1779.25</v>
      </c>
      <c r="F3906">
        <v>20151211</v>
      </c>
      <c r="G3906" t="s">
        <v>3393</v>
      </c>
      <c r="H3906" t="s">
        <v>3394</v>
      </c>
      <c r="I3906">
        <v>0</v>
      </c>
      <c r="J3906" t="s">
        <v>1709</v>
      </c>
      <c r="K3906" t="s">
        <v>290</v>
      </c>
      <c r="L3906" t="s">
        <v>285</v>
      </c>
      <c r="M3906" t="str">
        <f t="shared" si="267"/>
        <v>12</v>
      </c>
      <c r="N3906" t="s">
        <v>12</v>
      </c>
    </row>
    <row r="3907" spans="1:14" x14ac:dyDescent="0.25">
      <c r="A3907">
        <v>20151211</v>
      </c>
      <c r="B3907" t="str">
        <f>"061484"</f>
        <v>061484</v>
      </c>
      <c r="C3907" t="str">
        <f>"65426"</f>
        <v>65426</v>
      </c>
      <c r="D3907" t="s">
        <v>3392</v>
      </c>
      <c r="E3907" s="3">
        <v>35.11</v>
      </c>
      <c r="F3907">
        <v>20151211</v>
      </c>
      <c r="G3907" t="s">
        <v>3393</v>
      </c>
      <c r="H3907" t="s">
        <v>3395</v>
      </c>
      <c r="I3907">
        <v>0</v>
      </c>
      <c r="J3907" t="s">
        <v>1709</v>
      </c>
      <c r="K3907" t="s">
        <v>290</v>
      </c>
      <c r="L3907" t="s">
        <v>285</v>
      </c>
      <c r="M3907" t="str">
        <f t="shared" si="267"/>
        <v>12</v>
      </c>
      <c r="N3907" t="s">
        <v>12</v>
      </c>
    </row>
    <row r="3908" spans="1:14" x14ac:dyDescent="0.25">
      <c r="A3908">
        <v>20151211</v>
      </c>
      <c r="B3908" t="str">
        <f>"061484"</f>
        <v>061484</v>
      </c>
      <c r="C3908" t="str">
        <f>"65426"</f>
        <v>65426</v>
      </c>
      <c r="D3908" t="s">
        <v>3392</v>
      </c>
      <c r="E3908" s="3">
        <v>69.3</v>
      </c>
      <c r="F3908">
        <v>20151211</v>
      </c>
      <c r="G3908" t="s">
        <v>3393</v>
      </c>
      <c r="H3908" t="s">
        <v>3396</v>
      </c>
      <c r="I3908">
        <v>0</v>
      </c>
      <c r="J3908" t="s">
        <v>1709</v>
      </c>
      <c r="K3908" t="s">
        <v>290</v>
      </c>
      <c r="L3908" t="s">
        <v>285</v>
      </c>
      <c r="M3908" t="str">
        <f t="shared" si="267"/>
        <v>12</v>
      </c>
      <c r="N3908" t="s">
        <v>12</v>
      </c>
    </row>
    <row r="3909" spans="1:14" x14ac:dyDescent="0.25">
      <c r="A3909">
        <v>20151211</v>
      </c>
      <c r="B3909" t="str">
        <f>"061485"</f>
        <v>061485</v>
      </c>
      <c r="C3909" t="str">
        <f>"83011"</f>
        <v>83011</v>
      </c>
      <c r="D3909" t="s">
        <v>3397</v>
      </c>
      <c r="E3909" s="3">
        <v>31.6</v>
      </c>
      <c r="F3909">
        <v>20151211</v>
      </c>
      <c r="G3909" t="s">
        <v>1961</v>
      </c>
      <c r="H3909" t="s">
        <v>3398</v>
      </c>
      <c r="I3909">
        <v>0</v>
      </c>
      <c r="J3909" t="s">
        <v>1709</v>
      </c>
      <c r="K3909" t="s">
        <v>290</v>
      </c>
      <c r="L3909" t="s">
        <v>285</v>
      </c>
      <c r="M3909" t="str">
        <f t="shared" si="267"/>
        <v>12</v>
      </c>
      <c r="N3909" t="s">
        <v>12</v>
      </c>
    </row>
    <row r="3910" spans="1:14" x14ac:dyDescent="0.25">
      <c r="A3910">
        <v>20151211</v>
      </c>
      <c r="B3910" t="str">
        <f>"061486"</f>
        <v>061486</v>
      </c>
      <c r="C3910" t="str">
        <f>"84323"</f>
        <v>84323</v>
      </c>
      <c r="D3910" t="s">
        <v>3399</v>
      </c>
      <c r="E3910" s="3">
        <v>85</v>
      </c>
      <c r="F3910">
        <v>20151211</v>
      </c>
      <c r="G3910" t="s">
        <v>3400</v>
      </c>
      <c r="H3910" t="s">
        <v>3401</v>
      </c>
      <c r="I3910">
        <v>0</v>
      </c>
      <c r="J3910" t="s">
        <v>1709</v>
      </c>
      <c r="K3910" t="s">
        <v>33</v>
      </c>
      <c r="L3910" t="s">
        <v>285</v>
      </c>
      <c r="M3910" t="str">
        <f t="shared" si="267"/>
        <v>12</v>
      </c>
      <c r="N3910" t="s">
        <v>12</v>
      </c>
    </row>
    <row r="3911" spans="1:14" x14ac:dyDescent="0.25">
      <c r="A3911">
        <v>20151211</v>
      </c>
      <c r="B3911" t="str">
        <f>"061487"</f>
        <v>061487</v>
      </c>
      <c r="C3911" t="str">
        <f>"83410"</f>
        <v>83410</v>
      </c>
      <c r="D3911" t="s">
        <v>2601</v>
      </c>
      <c r="E3911" s="3">
        <v>200</v>
      </c>
      <c r="F3911">
        <v>20151211</v>
      </c>
      <c r="G3911" t="s">
        <v>3402</v>
      </c>
      <c r="H3911" t="s">
        <v>3403</v>
      </c>
      <c r="I3911">
        <v>0</v>
      </c>
      <c r="J3911" t="s">
        <v>1709</v>
      </c>
      <c r="K3911" t="s">
        <v>2207</v>
      </c>
      <c r="L3911" t="s">
        <v>285</v>
      </c>
      <c r="M3911" t="str">
        <f t="shared" si="267"/>
        <v>12</v>
      </c>
      <c r="N3911" t="s">
        <v>12</v>
      </c>
    </row>
    <row r="3912" spans="1:14" x14ac:dyDescent="0.25">
      <c r="A3912">
        <v>20151211</v>
      </c>
      <c r="B3912" t="str">
        <f>"061494"</f>
        <v>061494</v>
      </c>
      <c r="C3912" t="str">
        <f>"86230"</f>
        <v>86230</v>
      </c>
      <c r="D3912" t="s">
        <v>3404</v>
      </c>
      <c r="E3912" s="3">
        <v>833.31</v>
      </c>
      <c r="F3912">
        <v>20151211</v>
      </c>
      <c r="G3912" t="s">
        <v>3405</v>
      </c>
      <c r="H3912" t="s">
        <v>3406</v>
      </c>
      <c r="I3912">
        <v>0</v>
      </c>
      <c r="J3912" t="s">
        <v>1709</v>
      </c>
      <c r="K3912" t="s">
        <v>235</v>
      </c>
      <c r="L3912" t="s">
        <v>285</v>
      </c>
      <c r="M3912" t="str">
        <f t="shared" si="267"/>
        <v>12</v>
      </c>
      <c r="N3912" t="s">
        <v>12</v>
      </c>
    </row>
    <row r="3913" spans="1:14" x14ac:dyDescent="0.25">
      <c r="A3913">
        <v>20151211</v>
      </c>
      <c r="B3913" t="str">
        <f>"061494"</f>
        <v>061494</v>
      </c>
      <c r="C3913" t="str">
        <f>"86230"</f>
        <v>86230</v>
      </c>
      <c r="D3913" t="s">
        <v>3404</v>
      </c>
      <c r="E3913" s="3">
        <v>3166.69</v>
      </c>
      <c r="F3913">
        <v>20151211</v>
      </c>
      <c r="G3913" t="s">
        <v>1718</v>
      </c>
      <c r="H3913" t="s">
        <v>3407</v>
      </c>
      <c r="I3913">
        <v>0</v>
      </c>
      <c r="J3913" t="s">
        <v>1709</v>
      </c>
      <c r="K3913" t="s">
        <v>235</v>
      </c>
      <c r="L3913" t="s">
        <v>285</v>
      </c>
      <c r="M3913" t="str">
        <f t="shared" si="267"/>
        <v>12</v>
      </c>
      <c r="N3913" t="s">
        <v>12</v>
      </c>
    </row>
    <row r="3914" spans="1:14" x14ac:dyDescent="0.25">
      <c r="A3914">
        <v>20151211</v>
      </c>
      <c r="B3914" t="str">
        <f>"061494"</f>
        <v>061494</v>
      </c>
      <c r="C3914" t="str">
        <f>"86230"</f>
        <v>86230</v>
      </c>
      <c r="D3914" t="s">
        <v>3404</v>
      </c>
      <c r="E3914" s="3">
        <v>2000</v>
      </c>
      <c r="F3914">
        <v>20151211</v>
      </c>
      <c r="G3914" t="s">
        <v>3408</v>
      </c>
      <c r="H3914" t="s">
        <v>3407</v>
      </c>
      <c r="I3914">
        <v>0</v>
      </c>
      <c r="J3914" t="s">
        <v>1709</v>
      </c>
      <c r="K3914" t="s">
        <v>2923</v>
      </c>
      <c r="L3914" t="s">
        <v>285</v>
      </c>
      <c r="M3914" t="str">
        <f t="shared" si="267"/>
        <v>12</v>
      </c>
      <c r="N3914" t="s">
        <v>12</v>
      </c>
    </row>
    <row r="3915" spans="1:14" x14ac:dyDescent="0.25">
      <c r="A3915">
        <v>20151218</v>
      </c>
      <c r="B3915" t="str">
        <f>"061495"</f>
        <v>061495</v>
      </c>
      <c r="C3915" t="str">
        <f>"03710"</f>
        <v>03710</v>
      </c>
      <c r="D3915" t="s">
        <v>1553</v>
      </c>
      <c r="E3915" s="3">
        <v>127.8</v>
      </c>
      <c r="F3915">
        <v>20151216</v>
      </c>
      <c r="G3915" t="s">
        <v>2303</v>
      </c>
      <c r="H3915" t="s">
        <v>3409</v>
      </c>
      <c r="I3915">
        <v>0</v>
      </c>
      <c r="J3915" t="s">
        <v>1709</v>
      </c>
      <c r="K3915" t="s">
        <v>235</v>
      </c>
      <c r="L3915" t="s">
        <v>285</v>
      </c>
      <c r="M3915" t="str">
        <f t="shared" si="267"/>
        <v>12</v>
      </c>
      <c r="N3915" t="s">
        <v>12</v>
      </c>
    </row>
    <row r="3916" spans="1:14" x14ac:dyDescent="0.25">
      <c r="A3916">
        <v>20151218</v>
      </c>
      <c r="B3916" t="str">
        <f>"061495"</f>
        <v>061495</v>
      </c>
      <c r="C3916" t="str">
        <f>"03710"</f>
        <v>03710</v>
      </c>
      <c r="D3916" t="s">
        <v>1553</v>
      </c>
      <c r="E3916" s="3">
        <v>141.13999999999999</v>
      </c>
      <c r="F3916">
        <v>20151216</v>
      </c>
      <c r="G3916" t="s">
        <v>2762</v>
      </c>
      <c r="H3916" t="s">
        <v>3410</v>
      </c>
      <c r="I3916">
        <v>0</v>
      </c>
      <c r="J3916" t="s">
        <v>1709</v>
      </c>
      <c r="K3916" t="s">
        <v>2764</v>
      </c>
      <c r="L3916" t="s">
        <v>285</v>
      </c>
      <c r="M3916" t="str">
        <f t="shared" si="267"/>
        <v>12</v>
      </c>
      <c r="N3916" t="s">
        <v>12</v>
      </c>
    </row>
    <row r="3917" spans="1:14" x14ac:dyDescent="0.25">
      <c r="A3917">
        <v>20151218</v>
      </c>
      <c r="B3917" t="str">
        <f>"061497"</f>
        <v>061497</v>
      </c>
      <c r="C3917" t="str">
        <f>"01530"</f>
        <v>01530</v>
      </c>
      <c r="D3917" t="s">
        <v>1943</v>
      </c>
      <c r="E3917" s="3">
        <v>39</v>
      </c>
      <c r="F3917">
        <v>20151216</v>
      </c>
      <c r="G3917" t="s">
        <v>2424</v>
      </c>
      <c r="H3917" t="s">
        <v>2480</v>
      </c>
      <c r="I3917">
        <v>0</v>
      </c>
      <c r="J3917" t="s">
        <v>1709</v>
      </c>
      <c r="K3917" t="s">
        <v>1775</v>
      </c>
      <c r="L3917" t="s">
        <v>285</v>
      </c>
      <c r="M3917" t="str">
        <f t="shared" si="267"/>
        <v>12</v>
      </c>
      <c r="N3917" t="s">
        <v>12</v>
      </c>
    </row>
    <row r="3918" spans="1:14" x14ac:dyDescent="0.25">
      <c r="A3918">
        <v>20151218</v>
      </c>
      <c r="B3918" t="str">
        <f>"061498"</f>
        <v>061498</v>
      </c>
      <c r="C3918" t="str">
        <f>"02230"</f>
        <v>02230</v>
      </c>
      <c r="D3918" t="s">
        <v>1945</v>
      </c>
      <c r="E3918" s="3">
        <v>122</v>
      </c>
      <c r="F3918">
        <v>20151216</v>
      </c>
      <c r="G3918" t="s">
        <v>2333</v>
      </c>
      <c r="H3918" t="s">
        <v>2480</v>
      </c>
      <c r="I3918">
        <v>0</v>
      </c>
      <c r="J3918" t="s">
        <v>1709</v>
      </c>
      <c r="K3918" t="s">
        <v>290</v>
      </c>
      <c r="L3918" t="s">
        <v>285</v>
      </c>
      <c r="M3918" t="str">
        <f t="shared" si="267"/>
        <v>12</v>
      </c>
      <c r="N3918" t="s">
        <v>12</v>
      </c>
    </row>
    <row r="3919" spans="1:14" x14ac:dyDescent="0.25">
      <c r="A3919">
        <v>20151218</v>
      </c>
      <c r="B3919" t="str">
        <f>"061498"</f>
        <v>061498</v>
      </c>
      <c r="C3919" t="str">
        <f>"02230"</f>
        <v>02230</v>
      </c>
      <c r="D3919" t="s">
        <v>1945</v>
      </c>
      <c r="E3919" s="3">
        <v>-55.75</v>
      </c>
      <c r="F3919">
        <v>20151103</v>
      </c>
      <c r="G3919" t="s">
        <v>2333</v>
      </c>
      <c r="H3919" t="s">
        <v>3411</v>
      </c>
      <c r="I3919">
        <v>0</v>
      </c>
      <c r="J3919" t="s">
        <v>1709</v>
      </c>
      <c r="K3919" t="s">
        <v>290</v>
      </c>
      <c r="L3919" t="s">
        <v>1385</v>
      </c>
      <c r="M3919" t="str">
        <f t="shared" si="267"/>
        <v>12</v>
      </c>
      <c r="N3919" t="s">
        <v>12</v>
      </c>
    </row>
    <row r="3920" spans="1:14" x14ac:dyDescent="0.25">
      <c r="A3920">
        <v>20151218</v>
      </c>
      <c r="B3920" t="str">
        <f>"061499"</f>
        <v>061499</v>
      </c>
      <c r="C3920" t="str">
        <f>"29779"</f>
        <v>29779</v>
      </c>
      <c r="D3920" t="s">
        <v>1806</v>
      </c>
      <c r="E3920" s="3">
        <v>1120</v>
      </c>
      <c r="F3920">
        <v>20151216</v>
      </c>
      <c r="G3920" t="s">
        <v>2192</v>
      </c>
      <c r="H3920" t="s">
        <v>3412</v>
      </c>
      <c r="I3920">
        <v>0</v>
      </c>
      <c r="J3920" t="s">
        <v>1709</v>
      </c>
      <c r="K3920" t="s">
        <v>2194</v>
      </c>
      <c r="L3920" t="s">
        <v>285</v>
      </c>
      <c r="M3920" t="str">
        <f t="shared" si="267"/>
        <v>12</v>
      </c>
      <c r="N3920" t="s">
        <v>12</v>
      </c>
    </row>
    <row r="3921" spans="1:14" x14ac:dyDescent="0.25">
      <c r="A3921">
        <v>20151218</v>
      </c>
      <c r="B3921" t="str">
        <f>"061499"</f>
        <v>061499</v>
      </c>
      <c r="C3921" t="str">
        <f>"29779"</f>
        <v>29779</v>
      </c>
      <c r="D3921" t="s">
        <v>1806</v>
      </c>
      <c r="E3921" s="3">
        <v>1343.74</v>
      </c>
      <c r="F3921">
        <v>20151216</v>
      </c>
      <c r="G3921" t="s">
        <v>2192</v>
      </c>
      <c r="H3921" t="s">
        <v>2051</v>
      </c>
      <c r="I3921">
        <v>0</v>
      </c>
      <c r="J3921" t="s">
        <v>1709</v>
      </c>
      <c r="K3921" t="s">
        <v>2194</v>
      </c>
      <c r="L3921" t="s">
        <v>285</v>
      </c>
      <c r="M3921" t="str">
        <f t="shared" si="267"/>
        <v>12</v>
      </c>
      <c r="N3921" t="s">
        <v>12</v>
      </c>
    </row>
    <row r="3922" spans="1:14" x14ac:dyDescent="0.25">
      <c r="A3922">
        <v>20151218</v>
      </c>
      <c r="B3922" t="str">
        <f>"061501"</f>
        <v>061501</v>
      </c>
      <c r="C3922" t="str">
        <f>"07685"</f>
        <v>07685</v>
      </c>
      <c r="D3922" t="s">
        <v>1813</v>
      </c>
      <c r="E3922" s="3">
        <v>3090.8</v>
      </c>
      <c r="F3922">
        <v>20151216</v>
      </c>
      <c r="G3922" t="s">
        <v>2818</v>
      </c>
      <c r="H3922" t="s">
        <v>3413</v>
      </c>
      <c r="I3922">
        <v>0</v>
      </c>
      <c r="J3922" t="s">
        <v>1709</v>
      </c>
      <c r="K3922" t="s">
        <v>2820</v>
      </c>
      <c r="L3922" t="s">
        <v>285</v>
      </c>
      <c r="M3922" t="str">
        <f t="shared" si="267"/>
        <v>12</v>
      </c>
      <c r="N3922" t="s">
        <v>12</v>
      </c>
    </row>
    <row r="3923" spans="1:14" x14ac:dyDescent="0.25">
      <c r="A3923">
        <v>20151218</v>
      </c>
      <c r="B3923" t="str">
        <f>"061501"</f>
        <v>061501</v>
      </c>
      <c r="C3923" t="str">
        <f>"07685"</f>
        <v>07685</v>
      </c>
      <c r="D3923" t="s">
        <v>1813</v>
      </c>
      <c r="E3923" s="3">
        <v>300</v>
      </c>
      <c r="F3923">
        <v>20151216</v>
      </c>
      <c r="G3923" t="s">
        <v>2818</v>
      </c>
      <c r="H3923" t="s">
        <v>3414</v>
      </c>
      <c r="I3923">
        <v>0</v>
      </c>
      <c r="J3923" t="s">
        <v>1709</v>
      </c>
      <c r="K3923" t="s">
        <v>2820</v>
      </c>
      <c r="L3923" t="s">
        <v>285</v>
      </c>
      <c r="M3923" t="str">
        <f t="shared" si="267"/>
        <v>12</v>
      </c>
      <c r="N3923" t="s">
        <v>12</v>
      </c>
    </row>
    <row r="3924" spans="1:14" x14ac:dyDescent="0.25">
      <c r="A3924">
        <v>20151218</v>
      </c>
      <c r="B3924" t="str">
        <f>"061501"</f>
        <v>061501</v>
      </c>
      <c r="C3924" t="str">
        <f>"07685"</f>
        <v>07685</v>
      </c>
      <c r="D3924" t="s">
        <v>1813</v>
      </c>
      <c r="E3924" s="3">
        <v>353.07</v>
      </c>
      <c r="F3924">
        <v>20151216</v>
      </c>
      <c r="G3924" t="s">
        <v>2818</v>
      </c>
      <c r="H3924" t="s">
        <v>3414</v>
      </c>
      <c r="I3924">
        <v>0</v>
      </c>
      <c r="J3924" t="s">
        <v>1709</v>
      </c>
      <c r="K3924" t="s">
        <v>2820</v>
      </c>
      <c r="L3924" t="s">
        <v>285</v>
      </c>
      <c r="M3924" t="str">
        <f t="shared" si="267"/>
        <v>12</v>
      </c>
      <c r="N3924" t="s">
        <v>12</v>
      </c>
    </row>
    <row r="3925" spans="1:14" x14ac:dyDescent="0.25">
      <c r="A3925">
        <v>20151218</v>
      </c>
      <c r="B3925" t="str">
        <f>"061507"</f>
        <v>061507</v>
      </c>
      <c r="C3925" t="str">
        <f>"10033"</f>
        <v>10033</v>
      </c>
      <c r="D3925" t="s">
        <v>1611</v>
      </c>
      <c r="E3925" s="3">
        <v>75.8</v>
      </c>
      <c r="F3925">
        <v>20151216</v>
      </c>
      <c r="G3925" t="s">
        <v>2529</v>
      </c>
      <c r="H3925" t="s">
        <v>3415</v>
      </c>
      <c r="I3925">
        <v>0</v>
      </c>
      <c r="J3925" t="s">
        <v>1709</v>
      </c>
      <c r="K3925" t="s">
        <v>95</v>
      </c>
      <c r="L3925" t="s">
        <v>285</v>
      </c>
      <c r="M3925" t="str">
        <f t="shared" si="267"/>
        <v>12</v>
      </c>
      <c r="N3925" t="s">
        <v>12</v>
      </c>
    </row>
    <row r="3926" spans="1:14" x14ac:dyDescent="0.25">
      <c r="A3926">
        <v>20151218</v>
      </c>
      <c r="B3926" t="str">
        <f>"061512"</f>
        <v>061512</v>
      </c>
      <c r="C3926" t="str">
        <f>"11140"</f>
        <v>11140</v>
      </c>
      <c r="D3926" t="s">
        <v>1817</v>
      </c>
      <c r="E3926" s="3">
        <v>82.8</v>
      </c>
      <c r="F3926">
        <v>20151216</v>
      </c>
      <c r="G3926" t="s">
        <v>1961</v>
      </c>
      <c r="H3926" t="s">
        <v>3416</v>
      </c>
      <c r="I3926">
        <v>0</v>
      </c>
      <c r="J3926" t="s">
        <v>1709</v>
      </c>
      <c r="K3926" t="s">
        <v>290</v>
      </c>
      <c r="L3926" t="s">
        <v>285</v>
      </c>
      <c r="M3926" t="str">
        <f t="shared" si="267"/>
        <v>12</v>
      </c>
      <c r="N3926" t="s">
        <v>12</v>
      </c>
    </row>
    <row r="3927" spans="1:14" x14ac:dyDescent="0.25">
      <c r="A3927">
        <v>20151218</v>
      </c>
      <c r="B3927" t="str">
        <f>"061513"</f>
        <v>061513</v>
      </c>
      <c r="C3927" t="str">
        <f>"11210"</f>
        <v>11210</v>
      </c>
      <c r="D3927" t="s">
        <v>3030</v>
      </c>
      <c r="E3927" s="3">
        <v>1199.47</v>
      </c>
      <c r="F3927">
        <v>20151216</v>
      </c>
      <c r="G3927" t="s">
        <v>3032</v>
      </c>
      <c r="H3927" t="s">
        <v>1618</v>
      </c>
      <c r="I3927">
        <v>0</v>
      </c>
      <c r="J3927" t="s">
        <v>1709</v>
      </c>
      <c r="K3927" t="s">
        <v>95</v>
      </c>
      <c r="L3927" t="s">
        <v>285</v>
      </c>
      <c r="M3927" t="str">
        <f t="shared" si="267"/>
        <v>12</v>
      </c>
      <c r="N3927" t="s">
        <v>12</v>
      </c>
    </row>
    <row r="3928" spans="1:14" x14ac:dyDescent="0.25">
      <c r="A3928">
        <v>20151218</v>
      </c>
      <c r="B3928" t="str">
        <f>"061513"</f>
        <v>061513</v>
      </c>
      <c r="C3928" t="str">
        <f>"11210"</f>
        <v>11210</v>
      </c>
      <c r="D3928" t="s">
        <v>3030</v>
      </c>
      <c r="E3928" s="3">
        <v>167.7</v>
      </c>
      <c r="F3928">
        <v>20151216</v>
      </c>
      <c r="G3928" t="s">
        <v>3032</v>
      </c>
      <c r="H3928" t="s">
        <v>3417</v>
      </c>
      <c r="I3928">
        <v>0</v>
      </c>
      <c r="J3928" t="s">
        <v>1709</v>
      </c>
      <c r="K3928" t="s">
        <v>95</v>
      </c>
      <c r="L3928" t="s">
        <v>285</v>
      </c>
      <c r="M3928" t="str">
        <f t="shared" si="267"/>
        <v>12</v>
      </c>
      <c r="N3928" t="s">
        <v>12</v>
      </c>
    </row>
    <row r="3929" spans="1:14" x14ac:dyDescent="0.25">
      <c r="A3929">
        <v>20151218</v>
      </c>
      <c r="B3929" t="str">
        <f>"061515"</f>
        <v>061515</v>
      </c>
      <c r="C3929" t="str">
        <f>"11772"</f>
        <v>11772</v>
      </c>
      <c r="D3929" t="s">
        <v>3418</v>
      </c>
      <c r="E3929" s="3">
        <v>18.600000000000001</v>
      </c>
      <c r="F3929">
        <v>20151216</v>
      </c>
      <c r="G3929" t="s">
        <v>1961</v>
      </c>
      <c r="H3929" t="s">
        <v>3419</v>
      </c>
      <c r="I3929">
        <v>0</v>
      </c>
      <c r="J3929" t="s">
        <v>1709</v>
      </c>
      <c r="K3929" t="s">
        <v>290</v>
      </c>
      <c r="L3929" t="s">
        <v>285</v>
      </c>
      <c r="M3929" t="str">
        <f t="shared" si="267"/>
        <v>12</v>
      </c>
      <c r="N3929" t="s">
        <v>12</v>
      </c>
    </row>
    <row r="3930" spans="1:14" x14ac:dyDescent="0.25">
      <c r="A3930">
        <v>20151218</v>
      </c>
      <c r="B3930" t="str">
        <f>"061521"</f>
        <v>061521</v>
      </c>
      <c r="C3930" t="str">
        <f>"13268"</f>
        <v>13268</v>
      </c>
      <c r="D3930" t="s">
        <v>2450</v>
      </c>
      <c r="E3930" s="3">
        <v>2142.02</v>
      </c>
      <c r="F3930">
        <v>20151216</v>
      </c>
      <c r="G3930" t="s">
        <v>2303</v>
      </c>
      <c r="H3930" t="s">
        <v>3420</v>
      </c>
      <c r="I3930">
        <v>0</v>
      </c>
      <c r="J3930" t="s">
        <v>1709</v>
      </c>
      <c r="K3930" t="s">
        <v>235</v>
      </c>
      <c r="L3930" t="s">
        <v>285</v>
      </c>
      <c r="M3930" t="str">
        <f t="shared" si="267"/>
        <v>12</v>
      </c>
      <c r="N3930" t="s">
        <v>12</v>
      </c>
    </row>
    <row r="3931" spans="1:14" x14ac:dyDescent="0.25">
      <c r="A3931">
        <v>20151218</v>
      </c>
      <c r="B3931" t="str">
        <f>"061521"</f>
        <v>061521</v>
      </c>
      <c r="C3931" t="str">
        <f>"13268"</f>
        <v>13268</v>
      </c>
      <c r="D3931" t="s">
        <v>2450</v>
      </c>
      <c r="E3931" s="3">
        <v>306</v>
      </c>
      <c r="F3931">
        <v>20151216</v>
      </c>
      <c r="G3931" t="s">
        <v>2303</v>
      </c>
      <c r="H3931" t="s">
        <v>3421</v>
      </c>
      <c r="I3931">
        <v>0</v>
      </c>
      <c r="J3931" t="s">
        <v>1709</v>
      </c>
      <c r="K3931" t="s">
        <v>235</v>
      </c>
      <c r="L3931" t="s">
        <v>285</v>
      </c>
      <c r="M3931" t="str">
        <f t="shared" si="267"/>
        <v>12</v>
      </c>
      <c r="N3931" t="s">
        <v>12</v>
      </c>
    </row>
    <row r="3932" spans="1:14" x14ac:dyDescent="0.25">
      <c r="A3932">
        <v>20151218</v>
      </c>
      <c r="B3932" t="str">
        <f>"061525"</f>
        <v>061525</v>
      </c>
      <c r="C3932" t="str">
        <f>"19043"</f>
        <v>19043</v>
      </c>
      <c r="D3932" t="s">
        <v>2629</v>
      </c>
      <c r="E3932" s="3">
        <v>75.2</v>
      </c>
      <c r="F3932">
        <v>20151216</v>
      </c>
      <c r="G3932" t="s">
        <v>1961</v>
      </c>
      <c r="H3932" t="s">
        <v>3422</v>
      </c>
      <c r="I3932">
        <v>0</v>
      </c>
      <c r="J3932" t="s">
        <v>1709</v>
      </c>
      <c r="K3932" t="s">
        <v>290</v>
      </c>
      <c r="L3932" t="s">
        <v>285</v>
      </c>
      <c r="M3932" t="str">
        <f t="shared" si="267"/>
        <v>12</v>
      </c>
      <c r="N3932" t="s">
        <v>12</v>
      </c>
    </row>
    <row r="3933" spans="1:14" x14ac:dyDescent="0.25">
      <c r="A3933">
        <v>20151218</v>
      </c>
      <c r="B3933" t="str">
        <f>"061526"</f>
        <v>061526</v>
      </c>
      <c r="C3933" t="str">
        <f>"19134"</f>
        <v>19134</v>
      </c>
      <c r="D3933" t="s">
        <v>2741</v>
      </c>
      <c r="E3933" s="3">
        <v>57.48</v>
      </c>
      <c r="F3933">
        <v>20151216</v>
      </c>
      <c r="G3933" t="s">
        <v>2742</v>
      </c>
      <c r="H3933" t="s">
        <v>3423</v>
      </c>
      <c r="I3933">
        <v>0</v>
      </c>
      <c r="J3933" t="s">
        <v>1709</v>
      </c>
      <c r="K3933" t="s">
        <v>1558</v>
      </c>
      <c r="L3933" t="s">
        <v>285</v>
      </c>
      <c r="M3933" t="str">
        <f t="shared" si="267"/>
        <v>12</v>
      </c>
      <c r="N3933" t="s">
        <v>12</v>
      </c>
    </row>
    <row r="3934" spans="1:14" x14ac:dyDescent="0.25">
      <c r="A3934">
        <v>20151218</v>
      </c>
      <c r="B3934" t="str">
        <f>"061527"</f>
        <v>061527</v>
      </c>
      <c r="C3934" t="str">
        <f>"14821"</f>
        <v>14821</v>
      </c>
      <c r="D3934" t="s">
        <v>2461</v>
      </c>
      <c r="E3934" s="3">
        <v>22.5</v>
      </c>
      <c r="F3934">
        <v>20151216</v>
      </c>
      <c r="G3934" t="s">
        <v>2303</v>
      </c>
      <c r="H3934" t="s">
        <v>3424</v>
      </c>
      <c r="I3934">
        <v>0</v>
      </c>
      <c r="J3934" t="s">
        <v>1709</v>
      </c>
      <c r="K3934" t="s">
        <v>235</v>
      </c>
      <c r="L3934" t="s">
        <v>285</v>
      </c>
      <c r="M3934" t="str">
        <f t="shared" si="267"/>
        <v>12</v>
      </c>
      <c r="N3934" t="s">
        <v>12</v>
      </c>
    </row>
    <row r="3935" spans="1:14" x14ac:dyDescent="0.25">
      <c r="A3935">
        <v>20151218</v>
      </c>
      <c r="B3935" t="str">
        <f>"061527"</f>
        <v>061527</v>
      </c>
      <c r="C3935" t="str">
        <f>"14821"</f>
        <v>14821</v>
      </c>
      <c r="D3935" t="s">
        <v>2461</v>
      </c>
      <c r="E3935" s="3">
        <v>7847.27</v>
      </c>
      <c r="F3935">
        <v>20151216</v>
      </c>
      <c r="G3935" t="s">
        <v>2303</v>
      </c>
      <c r="H3935" t="s">
        <v>3420</v>
      </c>
      <c r="I3935">
        <v>0</v>
      </c>
      <c r="J3935" t="s">
        <v>1709</v>
      </c>
      <c r="K3935" t="s">
        <v>235</v>
      </c>
      <c r="L3935" t="s">
        <v>285</v>
      </c>
      <c r="M3935" t="str">
        <f t="shared" si="267"/>
        <v>12</v>
      </c>
      <c r="N3935" t="s">
        <v>12</v>
      </c>
    </row>
    <row r="3936" spans="1:14" x14ac:dyDescent="0.25">
      <c r="A3936">
        <v>20151218</v>
      </c>
      <c r="B3936" t="str">
        <f>"061529"</f>
        <v>061529</v>
      </c>
      <c r="C3936" t="str">
        <f>"16807"</f>
        <v>16807</v>
      </c>
      <c r="D3936" t="s">
        <v>1560</v>
      </c>
      <c r="E3936" s="3">
        <v>385.45</v>
      </c>
      <c r="F3936">
        <v>20151216</v>
      </c>
      <c r="G3936" t="s">
        <v>2228</v>
      </c>
      <c r="H3936" t="s">
        <v>3425</v>
      </c>
      <c r="I3936">
        <v>0</v>
      </c>
      <c r="J3936" t="s">
        <v>1709</v>
      </c>
      <c r="K3936" t="s">
        <v>290</v>
      </c>
      <c r="L3936" t="s">
        <v>285</v>
      </c>
      <c r="M3936" t="str">
        <f t="shared" si="267"/>
        <v>12</v>
      </c>
      <c r="N3936" t="s">
        <v>12</v>
      </c>
    </row>
    <row r="3937" spans="1:14" x14ac:dyDescent="0.25">
      <c r="A3937">
        <v>20151218</v>
      </c>
      <c r="B3937" t="str">
        <f>"061529"</f>
        <v>061529</v>
      </c>
      <c r="C3937" t="str">
        <f>"16807"</f>
        <v>16807</v>
      </c>
      <c r="D3937" t="s">
        <v>1560</v>
      </c>
      <c r="E3937" s="3">
        <v>115.85</v>
      </c>
      <c r="F3937">
        <v>20151216</v>
      </c>
      <c r="G3937" t="s">
        <v>2230</v>
      </c>
      <c r="H3937" t="s">
        <v>3426</v>
      </c>
      <c r="I3937">
        <v>0</v>
      </c>
      <c r="J3937" t="s">
        <v>1709</v>
      </c>
      <c r="K3937" t="s">
        <v>1643</v>
      </c>
      <c r="L3937" t="s">
        <v>285</v>
      </c>
      <c r="M3937" t="str">
        <f t="shared" si="267"/>
        <v>12</v>
      </c>
      <c r="N3937" t="s">
        <v>12</v>
      </c>
    </row>
    <row r="3938" spans="1:14" x14ac:dyDescent="0.25">
      <c r="A3938">
        <v>20151218</v>
      </c>
      <c r="B3938" t="str">
        <f>"061529"</f>
        <v>061529</v>
      </c>
      <c r="C3938" t="str">
        <f>"16807"</f>
        <v>16807</v>
      </c>
      <c r="D3938" t="s">
        <v>1560</v>
      </c>
      <c r="E3938" s="3">
        <v>57.23</v>
      </c>
      <c r="F3938">
        <v>20151216</v>
      </c>
      <c r="G3938" t="s">
        <v>3427</v>
      </c>
      <c r="H3938" t="s">
        <v>3428</v>
      </c>
      <c r="I3938">
        <v>0</v>
      </c>
      <c r="J3938" t="s">
        <v>1709</v>
      </c>
      <c r="K3938" t="s">
        <v>33</v>
      </c>
      <c r="L3938" t="s">
        <v>285</v>
      </c>
      <c r="M3938" t="str">
        <f t="shared" si="267"/>
        <v>12</v>
      </c>
      <c r="N3938" t="s">
        <v>12</v>
      </c>
    </row>
    <row r="3939" spans="1:14" x14ac:dyDescent="0.25">
      <c r="A3939">
        <v>20151218</v>
      </c>
      <c r="B3939" t="str">
        <f>"061529"</f>
        <v>061529</v>
      </c>
      <c r="C3939" t="str">
        <f>"16807"</f>
        <v>16807</v>
      </c>
      <c r="D3939" t="s">
        <v>1560</v>
      </c>
      <c r="E3939" s="3">
        <v>662.78</v>
      </c>
      <c r="F3939">
        <v>20151216</v>
      </c>
      <c r="G3939" t="s">
        <v>3013</v>
      </c>
      <c r="H3939" t="s">
        <v>3429</v>
      </c>
      <c r="I3939">
        <v>0</v>
      </c>
      <c r="J3939" t="s">
        <v>1709</v>
      </c>
      <c r="K3939" t="s">
        <v>1984</v>
      </c>
      <c r="L3939" t="s">
        <v>285</v>
      </c>
      <c r="M3939" t="str">
        <f t="shared" si="267"/>
        <v>12</v>
      </c>
      <c r="N3939" t="s">
        <v>12</v>
      </c>
    </row>
    <row r="3940" spans="1:14" x14ac:dyDescent="0.25">
      <c r="A3940">
        <v>20151218</v>
      </c>
      <c r="B3940" t="str">
        <f>"061530"</f>
        <v>061530</v>
      </c>
      <c r="C3940" t="str">
        <f>"74150"</f>
        <v>74150</v>
      </c>
      <c r="D3940" t="s">
        <v>3047</v>
      </c>
      <c r="E3940" s="3">
        <v>800</v>
      </c>
      <c r="F3940">
        <v>20151216</v>
      </c>
      <c r="G3940" t="s">
        <v>2192</v>
      </c>
      <c r="H3940" t="s">
        <v>3430</v>
      </c>
      <c r="I3940">
        <v>0</v>
      </c>
      <c r="J3940" t="s">
        <v>1709</v>
      </c>
      <c r="K3940" t="s">
        <v>2194</v>
      </c>
      <c r="L3940" t="s">
        <v>285</v>
      </c>
      <c r="M3940" t="str">
        <f t="shared" si="267"/>
        <v>12</v>
      </c>
      <c r="N3940" t="s">
        <v>12</v>
      </c>
    </row>
    <row r="3941" spans="1:14" x14ac:dyDescent="0.25">
      <c r="A3941">
        <v>20151218</v>
      </c>
      <c r="B3941" t="str">
        <f>"061531"</f>
        <v>061531</v>
      </c>
      <c r="C3941" t="str">
        <f>"19425"</f>
        <v>19425</v>
      </c>
      <c r="D3941" t="s">
        <v>2631</v>
      </c>
      <c r="E3941" s="3">
        <v>504.08</v>
      </c>
      <c r="F3941">
        <v>20151217</v>
      </c>
      <c r="G3941" t="s">
        <v>2360</v>
      </c>
      <c r="H3941" t="s">
        <v>2632</v>
      </c>
      <c r="I3941">
        <v>0</v>
      </c>
      <c r="J3941" t="s">
        <v>1709</v>
      </c>
      <c r="K3941" t="s">
        <v>1856</v>
      </c>
      <c r="L3941" t="s">
        <v>285</v>
      </c>
      <c r="M3941" t="str">
        <f t="shared" si="267"/>
        <v>12</v>
      </c>
      <c r="N3941" t="s">
        <v>12</v>
      </c>
    </row>
    <row r="3942" spans="1:14" x14ac:dyDescent="0.25">
      <c r="A3942">
        <v>20151218</v>
      </c>
      <c r="B3942" t="str">
        <f>"061534"</f>
        <v>061534</v>
      </c>
      <c r="C3942" t="str">
        <f>"20704"</f>
        <v>20704</v>
      </c>
      <c r="D3942" t="s">
        <v>1823</v>
      </c>
      <c r="E3942" s="3">
        <v>50</v>
      </c>
      <c r="F3942">
        <v>20151216</v>
      </c>
      <c r="G3942" t="s">
        <v>3217</v>
      </c>
      <c r="H3942" t="s">
        <v>3431</v>
      </c>
      <c r="I3942">
        <v>0</v>
      </c>
      <c r="J3942" t="s">
        <v>1709</v>
      </c>
      <c r="K3942" t="s">
        <v>1558</v>
      </c>
      <c r="L3942" t="s">
        <v>285</v>
      </c>
      <c r="M3942" t="str">
        <f t="shared" si="267"/>
        <v>12</v>
      </c>
      <c r="N3942" t="s">
        <v>12</v>
      </c>
    </row>
    <row r="3943" spans="1:14" x14ac:dyDescent="0.25">
      <c r="A3943">
        <v>20151218</v>
      </c>
      <c r="B3943" t="str">
        <f>"061535"</f>
        <v>061535</v>
      </c>
      <c r="C3943" t="str">
        <f>"21091"</f>
        <v>21091</v>
      </c>
      <c r="D3943" t="s">
        <v>2855</v>
      </c>
      <c r="E3943" s="3">
        <v>345.4</v>
      </c>
      <c r="F3943">
        <v>20151216</v>
      </c>
      <c r="G3943" t="s">
        <v>1854</v>
      </c>
      <c r="H3943" t="s">
        <v>3432</v>
      </c>
      <c r="I3943">
        <v>0</v>
      </c>
      <c r="J3943" t="s">
        <v>1709</v>
      </c>
      <c r="K3943" t="s">
        <v>1856</v>
      </c>
      <c r="L3943" t="s">
        <v>285</v>
      </c>
      <c r="M3943" t="str">
        <f t="shared" si="267"/>
        <v>12</v>
      </c>
      <c r="N3943" t="s">
        <v>12</v>
      </c>
    </row>
    <row r="3944" spans="1:14" x14ac:dyDescent="0.25">
      <c r="A3944">
        <v>20151218</v>
      </c>
      <c r="B3944" t="str">
        <f>"061535"</f>
        <v>061535</v>
      </c>
      <c r="C3944" t="str">
        <f>"21091"</f>
        <v>21091</v>
      </c>
      <c r="D3944" t="s">
        <v>2855</v>
      </c>
      <c r="E3944" s="3">
        <v>974.65</v>
      </c>
      <c r="F3944">
        <v>20151216</v>
      </c>
      <c r="G3944" t="s">
        <v>1854</v>
      </c>
      <c r="H3944" t="s">
        <v>3433</v>
      </c>
      <c r="I3944">
        <v>0</v>
      </c>
      <c r="J3944" t="s">
        <v>1709</v>
      </c>
      <c r="K3944" t="s">
        <v>1856</v>
      </c>
      <c r="L3944" t="s">
        <v>285</v>
      </c>
      <c r="M3944" t="str">
        <f t="shared" si="267"/>
        <v>12</v>
      </c>
      <c r="N3944" t="s">
        <v>12</v>
      </c>
    </row>
    <row r="3945" spans="1:14" x14ac:dyDescent="0.25">
      <c r="A3945">
        <v>20151218</v>
      </c>
      <c r="B3945" t="str">
        <f>"061538"</f>
        <v>061538</v>
      </c>
      <c r="C3945" t="str">
        <f>"21514"</f>
        <v>21514</v>
      </c>
      <c r="D3945" t="s">
        <v>3434</v>
      </c>
      <c r="E3945" s="3">
        <v>488.75</v>
      </c>
      <c r="F3945">
        <v>20151216</v>
      </c>
      <c r="G3945" t="s">
        <v>2172</v>
      </c>
      <c r="H3945" t="s">
        <v>3435</v>
      </c>
      <c r="I3945">
        <v>0</v>
      </c>
      <c r="J3945" t="s">
        <v>1709</v>
      </c>
      <c r="K3945" t="s">
        <v>95</v>
      </c>
      <c r="L3945" t="s">
        <v>285</v>
      </c>
      <c r="M3945" t="str">
        <f t="shared" si="267"/>
        <v>12</v>
      </c>
      <c r="N3945" t="s">
        <v>12</v>
      </c>
    </row>
    <row r="3946" spans="1:14" x14ac:dyDescent="0.25">
      <c r="A3946">
        <v>20151218</v>
      </c>
      <c r="B3946" t="str">
        <f>"061539"</f>
        <v>061539</v>
      </c>
      <c r="C3946" t="str">
        <f>"21769"</f>
        <v>21769</v>
      </c>
      <c r="D3946" t="s">
        <v>1836</v>
      </c>
      <c r="E3946" s="3">
        <v>530</v>
      </c>
      <c r="F3946">
        <v>20151216</v>
      </c>
      <c r="G3946" t="s">
        <v>2192</v>
      </c>
      <c r="H3946" t="s">
        <v>3436</v>
      </c>
      <c r="I3946">
        <v>0</v>
      </c>
      <c r="J3946" t="s">
        <v>1709</v>
      </c>
      <c r="K3946" t="s">
        <v>2194</v>
      </c>
      <c r="L3946" t="s">
        <v>285</v>
      </c>
      <c r="M3946" t="str">
        <f t="shared" si="267"/>
        <v>12</v>
      </c>
      <c r="N3946" t="s">
        <v>12</v>
      </c>
    </row>
    <row r="3947" spans="1:14" x14ac:dyDescent="0.25">
      <c r="A3947">
        <v>20151218</v>
      </c>
      <c r="B3947" t="str">
        <f>"061546"</f>
        <v>061546</v>
      </c>
      <c r="C3947" t="str">
        <f>"25144"</f>
        <v>25144</v>
      </c>
      <c r="D3947" t="s">
        <v>3437</v>
      </c>
      <c r="E3947" s="3">
        <v>1307.21</v>
      </c>
      <c r="F3947">
        <v>20151216</v>
      </c>
      <c r="G3947" t="s">
        <v>2635</v>
      </c>
      <c r="H3947" t="s">
        <v>3438</v>
      </c>
      <c r="I3947">
        <v>0</v>
      </c>
      <c r="J3947" t="s">
        <v>1709</v>
      </c>
      <c r="K3947" t="s">
        <v>290</v>
      </c>
      <c r="L3947" t="s">
        <v>285</v>
      </c>
      <c r="M3947" t="str">
        <f t="shared" si="267"/>
        <v>12</v>
      </c>
      <c r="N3947" t="s">
        <v>12</v>
      </c>
    </row>
    <row r="3948" spans="1:14" x14ac:dyDescent="0.25">
      <c r="A3948">
        <v>20151218</v>
      </c>
      <c r="B3948" t="str">
        <f>"061546"</f>
        <v>061546</v>
      </c>
      <c r="C3948" t="str">
        <f>"25144"</f>
        <v>25144</v>
      </c>
      <c r="D3948" t="s">
        <v>3437</v>
      </c>
      <c r="E3948" s="3">
        <v>2747.73</v>
      </c>
      <c r="F3948">
        <v>20151216</v>
      </c>
      <c r="G3948" t="s">
        <v>2635</v>
      </c>
      <c r="H3948" t="s">
        <v>3438</v>
      </c>
      <c r="I3948">
        <v>0</v>
      </c>
      <c r="J3948" t="s">
        <v>1709</v>
      </c>
      <c r="K3948" t="s">
        <v>290</v>
      </c>
      <c r="L3948" t="s">
        <v>285</v>
      </c>
      <c r="M3948" t="str">
        <f t="shared" si="267"/>
        <v>12</v>
      </c>
      <c r="N3948" t="s">
        <v>12</v>
      </c>
    </row>
    <row r="3949" spans="1:14" x14ac:dyDescent="0.25">
      <c r="A3949">
        <v>20151218</v>
      </c>
      <c r="B3949" t="str">
        <f>"061548"</f>
        <v>061548</v>
      </c>
      <c r="C3949" t="str">
        <f>"26876"</f>
        <v>26876</v>
      </c>
      <c r="D3949" t="s">
        <v>3439</v>
      </c>
      <c r="E3949" s="3">
        <v>64.2</v>
      </c>
      <c r="F3949">
        <v>20151217</v>
      </c>
      <c r="G3949" t="s">
        <v>2317</v>
      </c>
      <c r="H3949" t="s">
        <v>3440</v>
      </c>
      <c r="I3949">
        <v>0</v>
      </c>
      <c r="J3949" t="s">
        <v>1709</v>
      </c>
      <c r="K3949" t="s">
        <v>290</v>
      </c>
      <c r="L3949" t="s">
        <v>285</v>
      </c>
      <c r="M3949" t="str">
        <f t="shared" si="267"/>
        <v>12</v>
      </c>
      <c r="N3949" t="s">
        <v>12</v>
      </c>
    </row>
    <row r="3950" spans="1:14" x14ac:dyDescent="0.25">
      <c r="A3950">
        <v>20151218</v>
      </c>
      <c r="B3950" t="str">
        <f>"061549"</f>
        <v>061549</v>
      </c>
      <c r="C3950" t="str">
        <f>"27896"</f>
        <v>27896</v>
      </c>
      <c r="D3950" t="s">
        <v>1596</v>
      </c>
      <c r="E3950" s="3">
        <v>49652.32</v>
      </c>
      <c r="F3950">
        <v>20151216</v>
      </c>
      <c r="G3950" t="s">
        <v>3441</v>
      </c>
      <c r="H3950" t="s">
        <v>3442</v>
      </c>
      <c r="I3950">
        <v>0</v>
      </c>
      <c r="J3950" t="s">
        <v>1709</v>
      </c>
      <c r="K3950" t="s">
        <v>235</v>
      </c>
      <c r="L3950" t="s">
        <v>285</v>
      </c>
      <c r="M3950" t="str">
        <f t="shared" si="267"/>
        <v>12</v>
      </c>
      <c r="N3950" t="s">
        <v>12</v>
      </c>
    </row>
    <row r="3951" spans="1:14" x14ac:dyDescent="0.25">
      <c r="A3951">
        <v>20151218</v>
      </c>
      <c r="B3951" t="str">
        <f>"061552"</f>
        <v>061552</v>
      </c>
      <c r="C3951" t="str">
        <f>"29500"</f>
        <v>29500</v>
      </c>
      <c r="D3951" t="s">
        <v>1698</v>
      </c>
      <c r="E3951" s="3">
        <v>164</v>
      </c>
      <c r="F3951">
        <v>20151216</v>
      </c>
      <c r="G3951" t="s">
        <v>1859</v>
      </c>
      <c r="H3951" t="s">
        <v>3443</v>
      </c>
      <c r="I3951">
        <v>0</v>
      </c>
      <c r="J3951" t="s">
        <v>1709</v>
      </c>
      <c r="K3951" t="s">
        <v>1861</v>
      </c>
      <c r="L3951" t="s">
        <v>285</v>
      </c>
      <c r="M3951" t="str">
        <f t="shared" si="267"/>
        <v>12</v>
      </c>
      <c r="N3951" t="s">
        <v>12</v>
      </c>
    </row>
    <row r="3952" spans="1:14" x14ac:dyDescent="0.25">
      <c r="A3952">
        <v>20151218</v>
      </c>
      <c r="B3952" t="str">
        <f>"061552"</f>
        <v>061552</v>
      </c>
      <c r="C3952" t="str">
        <f>"29500"</f>
        <v>29500</v>
      </c>
      <c r="D3952" t="s">
        <v>1698</v>
      </c>
      <c r="E3952" s="3">
        <v>65.17</v>
      </c>
      <c r="F3952">
        <v>20151216</v>
      </c>
      <c r="G3952" t="s">
        <v>1859</v>
      </c>
      <c r="H3952" t="s">
        <v>3444</v>
      </c>
      <c r="I3952">
        <v>0</v>
      </c>
      <c r="J3952" t="s">
        <v>1709</v>
      </c>
      <c r="K3952" t="s">
        <v>1861</v>
      </c>
      <c r="L3952" t="s">
        <v>285</v>
      </c>
      <c r="M3952" t="str">
        <f t="shared" si="267"/>
        <v>12</v>
      </c>
      <c r="N3952" t="s">
        <v>12</v>
      </c>
    </row>
    <row r="3953" spans="1:14" x14ac:dyDescent="0.25">
      <c r="A3953">
        <v>20151218</v>
      </c>
      <c r="B3953" t="str">
        <f>"061554"</f>
        <v>061554</v>
      </c>
      <c r="C3953" t="str">
        <f>"29610"</f>
        <v>29610</v>
      </c>
      <c r="D3953" t="s">
        <v>1867</v>
      </c>
      <c r="E3953" s="3">
        <v>62.98</v>
      </c>
      <c r="F3953">
        <v>20151216</v>
      </c>
      <c r="G3953" t="s">
        <v>2495</v>
      </c>
      <c r="H3953" t="s">
        <v>3445</v>
      </c>
      <c r="I3953">
        <v>0</v>
      </c>
      <c r="J3953" t="s">
        <v>1709</v>
      </c>
      <c r="K3953" t="s">
        <v>235</v>
      </c>
      <c r="L3953" t="s">
        <v>285</v>
      </c>
      <c r="M3953" t="str">
        <f t="shared" si="267"/>
        <v>12</v>
      </c>
      <c r="N3953" t="s">
        <v>12</v>
      </c>
    </row>
    <row r="3954" spans="1:14" x14ac:dyDescent="0.25">
      <c r="A3954">
        <v>20151218</v>
      </c>
      <c r="B3954" t="str">
        <f>"061554"</f>
        <v>061554</v>
      </c>
      <c r="C3954" t="str">
        <f>"29610"</f>
        <v>29610</v>
      </c>
      <c r="D3954" t="s">
        <v>1867</v>
      </c>
      <c r="E3954" s="3">
        <v>104.29</v>
      </c>
      <c r="F3954">
        <v>20151216</v>
      </c>
      <c r="G3954" t="s">
        <v>2495</v>
      </c>
      <c r="H3954" t="s">
        <v>3446</v>
      </c>
      <c r="I3954">
        <v>0</v>
      </c>
      <c r="J3954" t="s">
        <v>1709</v>
      </c>
      <c r="K3954" t="s">
        <v>235</v>
      </c>
      <c r="L3954" t="s">
        <v>285</v>
      </c>
      <c r="M3954" t="str">
        <f t="shared" si="267"/>
        <v>12</v>
      </c>
      <c r="N3954" t="s">
        <v>12</v>
      </c>
    </row>
    <row r="3955" spans="1:14" x14ac:dyDescent="0.25">
      <c r="A3955">
        <v>20151218</v>
      </c>
      <c r="B3955" t="str">
        <f>"061554"</f>
        <v>061554</v>
      </c>
      <c r="C3955" t="str">
        <f>"29610"</f>
        <v>29610</v>
      </c>
      <c r="D3955" t="s">
        <v>1867</v>
      </c>
      <c r="E3955" s="3">
        <v>57.13</v>
      </c>
      <c r="F3955">
        <v>20151216</v>
      </c>
      <c r="G3955" t="s">
        <v>2495</v>
      </c>
      <c r="H3955" t="s">
        <v>3447</v>
      </c>
      <c r="I3955">
        <v>0</v>
      </c>
      <c r="J3955" t="s">
        <v>1709</v>
      </c>
      <c r="K3955" t="s">
        <v>235</v>
      </c>
      <c r="L3955" t="s">
        <v>285</v>
      </c>
      <c r="M3955" t="str">
        <f t="shared" si="267"/>
        <v>12</v>
      </c>
      <c r="N3955" t="s">
        <v>12</v>
      </c>
    </row>
    <row r="3956" spans="1:14" x14ac:dyDescent="0.25">
      <c r="A3956">
        <v>20151218</v>
      </c>
      <c r="B3956" t="str">
        <f>"061555"</f>
        <v>061555</v>
      </c>
      <c r="C3956" t="str">
        <f>"29570"</f>
        <v>29570</v>
      </c>
      <c r="D3956" t="s">
        <v>3228</v>
      </c>
      <c r="E3956" s="3">
        <v>267</v>
      </c>
      <c r="F3956">
        <v>20151216</v>
      </c>
      <c r="G3956" t="s">
        <v>2537</v>
      </c>
      <c r="H3956" t="s">
        <v>3448</v>
      </c>
      <c r="I3956">
        <v>0</v>
      </c>
      <c r="J3956" t="s">
        <v>1709</v>
      </c>
      <c r="K3956" t="s">
        <v>290</v>
      </c>
      <c r="L3956" t="s">
        <v>285</v>
      </c>
      <c r="M3956" t="str">
        <f t="shared" si="267"/>
        <v>12</v>
      </c>
      <c r="N3956" t="s">
        <v>12</v>
      </c>
    </row>
    <row r="3957" spans="1:14" x14ac:dyDescent="0.25">
      <c r="A3957">
        <v>20151218</v>
      </c>
      <c r="B3957" t="str">
        <f>"061555"</f>
        <v>061555</v>
      </c>
      <c r="C3957" t="str">
        <f>"29570"</f>
        <v>29570</v>
      </c>
      <c r="D3957" t="s">
        <v>3228</v>
      </c>
      <c r="E3957" s="3">
        <v>17</v>
      </c>
      <c r="F3957">
        <v>20151216</v>
      </c>
      <c r="G3957" t="s">
        <v>3449</v>
      </c>
      <c r="H3957" t="s">
        <v>3448</v>
      </c>
      <c r="I3957">
        <v>0</v>
      </c>
      <c r="J3957" t="s">
        <v>1709</v>
      </c>
      <c r="K3957" t="s">
        <v>290</v>
      </c>
      <c r="L3957" t="s">
        <v>285</v>
      </c>
      <c r="M3957" t="str">
        <f t="shared" si="267"/>
        <v>12</v>
      </c>
      <c r="N3957" t="s">
        <v>12</v>
      </c>
    </row>
    <row r="3958" spans="1:14" x14ac:dyDescent="0.25">
      <c r="A3958">
        <v>20151218</v>
      </c>
      <c r="B3958" t="str">
        <f>"061556"</f>
        <v>061556</v>
      </c>
      <c r="C3958" t="str">
        <f>"30130"</f>
        <v>30130</v>
      </c>
      <c r="D3958" t="s">
        <v>3082</v>
      </c>
      <c r="E3958" s="3">
        <v>194.9</v>
      </c>
      <c r="F3958">
        <v>20151216</v>
      </c>
      <c r="G3958" t="s">
        <v>1854</v>
      </c>
      <c r="H3958" t="s">
        <v>3450</v>
      </c>
      <c r="I3958">
        <v>0</v>
      </c>
      <c r="J3958" t="s">
        <v>1709</v>
      </c>
      <c r="K3958" t="s">
        <v>1856</v>
      </c>
      <c r="L3958" t="s">
        <v>285</v>
      </c>
      <c r="M3958" t="str">
        <f t="shared" si="267"/>
        <v>12</v>
      </c>
      <c r="N3958" t="s">
        <v>12</v>
      </c>
    </row>
    <row r="3959" spans="1:14" x14ac:dyDescent="0.25">
      <c r="A3959">
        <v>20151218</v>
      </c>
      <c r="B3959" t="str">
        <f>"061556"</f>
        <v>061556</v>
      </c>
      <c r="C3959" t="str">
        <f>"30130"</f>
        <v>30130</v>
      </c>
      <c r="D3959" t="s">
        <v>3082</v>
      </c>
      <c r="E3959" s="3">
        <v>424.99</v>
      </c>
      <c r="F3959">
        <v>20151216</v>
      </c>
      <c r="G3959" t="s">
        <v>1854</v>
      </c>
      <c r="H3959" t="s">
        <v>3451</v>
      </c>
      <c r="I3959">
        <v>0</v>
      </c>
      <c r="J3959" t="s">
        <v>1709</v>
      </c>
      <c r="K3959" t="s">
        <v>1856</v>
      </c>
      <c r="L3959" t="s">
        <v>285</v>
      </c>
      <c r="M3959" t="str">
        <f t="shared" si="267"/>
        <v>12</v>
      </c>
      <c r="N3959" t="s">
        <v>12</v>
      </c>
    </row>
    <row r="3960" spans="1:14" x14ac:dyDescent="0.25">
      <c r="A3960">
        <v>20151218</v>
      </c>
      <c r="B3960" t="str">
        <f>"061556"</f>
        <v>061556</v>
      </c>
      <c r="C3960" t="str">
        <f>"30130"</f>
        <v>30130</v>
      </c>
      <c r="D3960" t="s">
        <v>3082</v>
      </c>
      <c r="E3960" s="3">
        <v>234.89</v>
      </c>
      <c r="F3960">
        <v>20151216</v>
      </c>
      <c r="G3960" t="s">
        <v>1854</v>
      </c>
      <c r="H3960" t="s">
        <v>3452</v>
      </c>
      <c r="I3960">
        <v>0</v>
      </c>
      <c r="J3960" t="s">
        <v>1709</v>
      </c>
      <c r="K3960" t="s">
        <v>1856</v>
      </c>
      <c r="L3960" t="s">
        <v>285</v>
      </c>
      <c r="M3960" t="str">
        <f t="shared" si="267"/>
        <v>12</v>
      </c>
      <c r="N3960" t="s">
        <v>12</v>
      </c>
    </row>
    <row r="3961" spans="1:14" x14ac:dyDescent="0.25">
      <c r="A3961">
        <v>20151218</v>
      </c>
      <c r="B3961" t="str">
        <f>"061556"</f>
        <v>061556</v>
      </c>
      <c r="C3961" t="str">
        <f>"30130"</f>
        <v>30130</v>
      </c>
      <c r="D3961" t="s">
        <v>3082</v>
      </c>
      <c r="E3961" s="3">
        <v>245.95</v>
      </c>
      <c r="F3961">
        <v>20151216</v>
      </c>
      <c r="G3961" t="s">
        <v>1854</v>
      </c>
      <c r="H3961" t="s">
        <v>3453</v>
      </c>
      <c r="I3961">
        <v>0</v>
      </c>
      <c r="J3961" t="s">
        <v>1709</v>
      </c>
      <c r="K3961" t="s">
        <v>1856</v>
      </c>
      <c r="L3961" t="s">
        <v>285</v>
      </c>
      <c r="M3961" t="str">
        <f t="shared" si="267"/>
        <v>12</v>
      </c>
      <c r="N3961" t="s">
        <v>12</v>
      </c>
    </row>
    <row r="3962" spans="1:14" x14ac:dyDescent="0.25">
      <c r="A3962">
        <v>20151218</v>
      </c>
      <c r="B3962" t="str">
        <f>"061557"</f>
        <v>061557</v>
      </c>
      <c r="C3962" t="str">
        <f>"30479"</f>
        <v>30479</v>
      </c>
      <c r="D3962" t="s">
        <v>2663</v>
      </c>
      <c r="E3962" s="3">
        <v>1080</v>
      </c>
      <c r="F3962">
        <v>20151217</v>
      </c>
      <c r="G3962" t="s">
        <v>2664</v>
      </c>
      <c r="H3962" t="s">
        <v>2480</v>
      </c>
      <c r="I3962">
        <v>0</v>
      </c>
      <c r="J3962" t="s">
        <v>1709</v>
      </c>
      <c r="K3962" t="s">
        <v>1744</v>
      </c>
      <c r="L3962" t="s">
        <v>285</v>
      </c>
      <c r="M3962" t="str">
        <f t="shared" si="267"/>
        <v>12</v>
      </c>
      <c r="N3962" t="s">
        <v>12</v>
      </c>
    </row>
    <row r="3963" spans="1:14" x14ac:dyDescent="0.25">
      <c r="A3963">
        <v>20151218</v>
      </c>
      <c r="B3963" t="str">
        <f>"061557"</f>
        <v>061557</v>
      </c>
      <c r="C3963" t="str">
        <f>"30479"</f>
        <v>30479</v>
      </c>
      <c r="D3963" t="s">
        <v>2663</v>
      </c>
      <c r="E3963" s="3">
        <v>204</v>
      </c>
      <c r="F3963">
        <v>20151217</v>
      </c>
      <c r="G3963" t="s">
        <v>3454</v>
      </c>
      <c r="H3963" t="s">
        <v>2480</v>
      </c>
      <c r="I3963">
        <v>0</v>
      </c>
      <c r="J3963" t="s">
        <v>1709</v>
      </c>
      <c r="K3963" t="s">
        <v>1882</v>
      </c>
      <c r="L3963" t="s">
        <v>285</v>
      </c>
      <c r="M3963" t="str">
        <f t="shared" si="267"/>
        <v>12</v>
      </c>
      <c r="N3963" t="s">
        <v>12</v>
      </c>
    </row>
    <row r="3964" spans="1:14" x14ac:dyDescent="0.25">
      <c r="A3964">
        <v>20151218</v>
      </c>
      <c r="B3964" t="str">
        <f>"061557"</f>
        <v>061557</v>
      </c>
      <c r="C3964" t="str">
        <f>"30479"</f>
        <v>30479</v>
      </c>
      <c r="D3964" t="s">
        <v>2663</v>
      </c>
      <c r="E3964" s="3">
        <v>668</v>
      </c>
      <c r="F3964">
        <v>20151216</v>
      </c>
      <c r="G3964" t="s">
        <v>2850</v>
      </c>
      <c r="H3964" t="s">
        <v>1843</v>
      </c>
      <c r="I3964">
        <v>0</v>
      </c>
      <c r="J3964" t="s">
        <v>1709</v>
      </c>
      <c r="K3964" t="s">
        <v>1775</v>
      </c>
      <c r="L3964" t="s">
        <v>285</v>
      </c>
      <c r="M3964" t="str">
        <f t="shared" si="267"/>
        <v>12</v>
      </c>
      <c r="N3964" t="s">
        <v>12</v>
      </c>
    </row>
    <row r="3965" spans="1:14" x14ac:dyDescent="0.25">
      <c r="A3965">
        <v>20151218</v>
      </c>
      <c r="B3965" t="str">
        <f>"061557"</f>
        <v>061557</v>
      </c>
      <c r="C3965" t="str">
        <f>"30479"</f>
        <v>30479</v>
      </c>
      <c r="D3965" t="s">
        <v>2663</v>
      </c>
      <c r="E3965" s="3">
        <v>9.5</v>
      </c>
      <c r="F3965">
        <v>20151217</v>
      </c>
      <c r="G3965" t="s">
        <v>2850</v>
      </c>
      <c r="H3965" t="s">
        <v>2480</v>
      </c>
      <c r="I3965">
        <v>0</v>
      </c>
      <c r="J3965" t="s">
        <v>1709</v>
      </c>
      <c r="K3965" t="s">
        <v>1775</v>
      </c>
      <c r="L3965" t="s">
        <v>285</v>
      </c>
      <c r="M3965" t="str">
        <f t="shared" si="267"/>
        <v>12</v>
      </c>
      <c r="N3965" t="s">
        <v>12</v>
      </c>
    </row>
    <row r="3966" spans="1:14" x14ac:dyDescent="0.25">
      <c r="A3966">
        <v>20151218</v>
      </c>
      <c r="B3966" t="str">
        <f>"061557"</f>
        <v>061557</v>
      </c>
      <c r="C3966" t="str">
        <f>"30479"</f>
        <v>30479</v>
      </c>
      <c r="D3966" t="s">
        <v>2663</v>
      </c>
      <c r="E3966" s="3">
        <v>725.5</v>
      </c>
      <c r="F3966">
        <v>20151217</v>
      </c>
      <c r="G3966" t="s">
        <v>2850</v>
      </c>
      <c r="H3966" t="s">
        <v>2480</v>
      </c>
      <c r="I3966">
        <v>0</v>
      </c>
      <c r="J3966" t="s">
        <v>1709</v>
      </c>
      <c r="K3966" t="s">
        <v>1775</v>
      </c>
      <c r="L3966" t="s">
        <v>285</v>
      </c>
      <c r="M3966" t="str">
        <f t="shared" si="267"/>
        <v>12</v>
      </c>
      <c r="N3966" t="s">
        <v>12</v>
      </c>
    </row>
    <row r="3967" spans="1:14" x14ac:dyDescent="0.25">
      <c r="A3967">
        <v>20151218</v>
      </c>
      <c r="B3967" t="str">
        <f>"061563"</f>
        <v>061563</v>
      </c>
      <c r="C3967" t="str">
        <f>"31500"</f>
        <v>31500</v>
      </c>
      <c r="D3967" t="s">
        <v>1872</v>
      </c>
      <c r="E3967" s="3">
        <v>698.52</v>
      </c>
      <c r="F3967">
        <v>20151216</v>
      </c>
      <c r="G3967" t="s">
        <v>2074</v>
      </c>
      <c r="H3967" t="s">
        <v>3455</v>
      </c>
      <c r="I3967">
        <v>0</v>
      </c>
      <c r="J3967" t="s">
        <v>1709</v>
      </c>
      <c r="K3967" t="s">
        <v>1861</v>
      </c>
      <c r="L3967" t="s">
        <v>285</v>
      </c>
      <c r="M3967" t="str">
        <f t="shared" ref="M3967:M4030" si="268">"12"</f>
        <v>12</v>
      </c>
      <c r="N3967" t="s">
        <v>12</v>
      </c>
    </row>
    <row r="3968" spans="1:14" x14ac:dyDescent="0.25">
      <c r="A3968">
        <v>20151218</v>
      </c>
      <c r="B3968" t="str">
        <f>"061567"</f>
        <v>061567</v>
      </c>
      <c r="C3968" t="str">
        <f>"37260"</f>
        <v>37260</v>
      </c>
      <c r="D3968" t="s">
        <v>2507</v>
      </c>
      <c r="E3968" s="3">
        <v>300</v>
      </c>
      <c r="F3968">
        <v>20151216</v>
      </c>
      <c r="G3968" t="s">
        <v>2449</v>
      </c>
      <c r="H3968" t="s">
        <v>3456</v>
      </c>
      <c r="I3968">
        <v>0</v>
      </c>
      <c r="J3968" t="s">
        <v>1709</v>
      </c>
      <c r="K3968" t="s">
        <v>290</v>
      </c>
      <c r="L3968" t="s">
        <v>285</v>
      </c>
      <c r="M3968" t="str">
        <f t="shared" si="268"/>
        <v>12</v>
      </c>
      <c r="N3968" t="s">
        <v>12</v>
      </c>
    </row>
    <row r="3969" spans="1:14" x14ac:dyDescent="0.25">
      <c r="A3969">
        <v>20151218</v>
      </c>
      <c r="B3969" t="str">
        <f>"061574"</f>
        <v>061574</v>
      </c>
      <c r="C3969" t="str">
        <f>"39572"</f>
        <v>39572</v>
      </c>
      <c r="D3969" t="s">
        <v>2112</v>
      </c>
      <c r="E3969" s="3">
        <v>115</v>
      </c>
      <c r="F3969">
        <v>20151216</v>
      </c>
      <c r="G3969" t="s">
        <v>2113</v>
      </c>
      <c r="H3969" t="s">
        <v>3457</v>
      </c>
      <c r="I3969">
        <v>0</v>
      </c>
      <c r="J3969" t="s">
        <v>1709</v>
      </c>
      <c r="K3969" t="s">
        <v>290</v>
      </c>
      <c r="L3969" t="s">
        <v>285</v>
      </c>
      <c r="M3969" t="str">
        <f t="shared" si="268"/>
        <v>12</v>
      </c>
      <c r="N3969" t="s">
        <v>12</v>
      </c>
    </row>
    <row r="3970" spans="1:14" x14ac:dyDescent="0.25">
      <c r="A3970">
        <v>20151218</v>
      </c>
      <c r="B3970" t="str">
        <f>"061574"</f>
        <v>061574</v>
      </c>
      <c r="C3970" t="str">
        <f>"39572"</f>
        <v>39572</v>
      </c>
      <c r="D3970" t="s">
        <v>2112</v>
      </c>
      <c r="E3970" s="3">
        <v>85</v>
      </c>
      <c r="F3970">
        <v>20151216</v>
      </c>
      <c r="G3970" t="s">
        <v>2113</v>
      </c>
      <c r="H3970" t="s">
        <v>3458</v>
      </c>
      <c r="I3970">
        <v>0</v>
      </c>
      <c r="J3970" t="s">
        <v>1709</v>
      </c>
      <c r="K3970" t="s">
        <v>290</v>
      </c>
      <c r="L3970" t="s">
        <v>285</v>
      </c>
      <c r="M3970" t="str">
        <f t="shared" si="268"/>
        <v>12</v>
      </c>
      <c r="N3970" t="s">
        <v>12</v>
      </c>
    </row>
    <row r="3971" spans="1:14" x14ac:dyDescent="0.25">
      <c r="A3971">
        <v>20151218</v>
      </c>
      <c r="B3971" t="str">
        <f>"061574"</f>
        <v>061574</v>
      </c>
      <c r="C3971" t="str">
        <f>"39572"</f>
        <v>39572</v>
      </c>
      <c r="D3971" t="s">
        <v>2112</v>
      </c>
      <c r="E3971" s="3">
        <v>85</v>
      </c>
      <c r="F3971">
        <v>20151216</v>
      </c>
      <c r="G3971" t="s">
        <v>2113</v>
      </c>
      <c r="H3971" t="s">
        <v>3459</v>
      </c>
      <c r="I3971">
        <v>0</v>
      </c>
      <c r="J3971" t="s">
        <v>1709</v>
      </c>
      <c r="K3971" t="s">
        <v>290</v>
      </c>
      <c r="L3971" t="s">
        <v>285</v>
      </c>
      <c r="M3971" t="str">
        <f t="shared" si="268"/>
        <v>12</v>
      </c>
      <c r="N3971" t="s">
        <v>12</v>
      </c>
    </row>
    <row r="3972" spans="1:14" x14ac:dyDescent="0.25">
      <c r="A3972">
        <v>20151218</v>
      </c>
      <c r="B3972" t="str">
        <f>"061574"</f>
        <v>061574</v>
      </c>
      <c r="C3972" t="str">
        <f>"39572"</f>
        <v>39572</v>
      </c>
      <c r="D3972" t="s">
        <v>2112</v>
      </c>
      <c r="E3972" s="3">
        <v>85</v>
      </c>
      <c r="F3972">
        <v>20151216</v>
      </c>
      <c r="G3972" t="s">
        <v>2113</v>
      </c>
      <c r="H3972" t="s">
        <v>3457</v>
      </c>
      <c r="I3972">
        <v>0</v>
      </c>
      <c r="J3972" t="s">
        <v>1709</v>
      </c>
      <c r="K3972" t="s">
        <v>290</v>
      </c>
      <c r="L3972" t="s">
        <v>285</v>
      </c>
      <c r="M3972" t="str">
        <f t="shared" si="268"/>
        <v>12</v>
      </c>
      <c r="N3972" t="s">
        <v>12</v>
      </c>
    </row>
    <row r="3973" spans="1:14" x14ac:dyDescent="0.25">
      <c r="A3973">
        <v>20151218</v>
      </c>
      <c r="B3973" t="str">
        <f>"061574"</f>
        <v>061574</v>
      </c>
      <c r="C3973" t="str">
        <f>"39572"</f>
        <v>39572</v>
      </c>
      <c r="D3973" t="s">
        <v>2112</v>
      </c>
      <c r="E3973" s="3">
        <v>55</v>
      </c>
      <c r="F3973">
        <v>20151216</v>
      </c>
      <c r="G3973" t="s">
        <v>2113</v>
      </c>
      <c r="H3973" t="s">
        <v>3460</v>
      </c>
      <c r="I3973">
        <v>0</v>
      </c>
      <c r="J3973" t="s">
        <v>1709</v>
      </c>
      <c r="K3973" t="s">
        <v>290</v>
      </c>
      <c r="L3973" t="s">
        <v>285</v>
      </c>
      <c r="M3973" t="str">
        <f t="shared" si="268"/>
        <v>12</v>
      </c>
      <c r="N3973" t="s">
        <v>12</v>
      </c>
    </row>
    <row r="3974" spans="1:14" x14ac:dyDescent="0.25">
      <c r="A3974">
        <v>20151218</v>
      </c>
      <c r="B3974" t="str">
        <f>"061577"</f>
        <v>061577</v>
      </c>
      <c r="C3974" t="str">
        <f>"43532"</f>
        <v>43532</v>
      </c>
      <c r="D3974" t="s">
        <v>1979</v>
      </c>
      <c r="E3974" s="3">
        <v>2200</v>
      </c>
      <c r="F3974">
        <v>20151216</v>
      </c>
      <c r="G3974" t="s">
        <v>3461</v>
      </c>
      <c r="H3974" t="s">
        <v>3462</v>
      </c>
      <c r="I3974">
        <v>0</v>
      </c>
      <c r="J3974" t="s">
        <v>1709</v>
      </c>
      <c r="K3974" t="s">
        <v>290</v>
      </c>
      <c r="L3974" t="s">
        <v>285</v>
      </c>
      <c r="M3974" t="str">
        <f t="shared" si="268"/>
        <v>12</v>
      </c>
      <c r="N3974" t="s">
        <v>12</v>
      </c>
    </row>
    <row r="3975" spans="1:14" x14ac:dyDescent="0.25">
      <c r="A3975">
        <v>20151218</v>
      </c>
      <c r="B3975" t="str">
        <f>"061577"</f>
        <v>061577</v>
      </c>
      <c r="C3975" t="str">
        <f>"43532"</f>
        <v>43532</v>
      </c>
      <c r="D3975" t="s">
        <v>1979</v>
      </c>
      <c r="E3975" s="3">
        <v>2900</v>
      </c>
      <c r="F3975">
        <v>20151216</v>
      </c>
      <c r="G3975" t="s">
        <v>3463</v>
      </c>
      <c r="H3975" t="s">
        <v>3462</v>
      </c>
      <c r="I3975">
        <v>0</v>
      </c>
      <c r="J3975" t="s">
        <v>1709</v>
      </c>
      <c r="K3975" t="s">
        <v>95</v>
      </c>
      <c r="L3975" t="s">
        <v>285</v>
      </c>
      <c r="M3975" t="str">
        <f t="shared" si="268"/>
        <v>12</v>
      </c>
      <c r="N3975" t="s">
        <v>12</v>
      </c>
    </row>
    <row r="3976" spans="1:14" x14ac:dyDescent="0.25">
      <c r="A3976">
        <v>20151218</v>
      </c>
      <c r="B3976" t="str">
        <f>"061577"</f>
        <v>061577</v>
      </c>
      <c r="C3976" t="str">
        <f>"43532"</f>
        <v>43532</v>
      </c>
      <c r="D3976" t="s">
        <v>1979</v>
      </c>
      <c r="E3976" s="3">
        <v>1624.75</v>
      </c>
      <c r="F3976">
        <v>20151216</v>
      </c>
      <c r="G3976" t="s">
        <v>3464</v>
      </c>
      <c r="H3976" t="s">
        <v>3462</v>
      </c>
      <c r="I3976">
        <v>0</v>
      </c>
      <c r="J3976" t="s">
        <v>1709</v>
      </c>
      <c r="K3976" t="s">
        <v>1643</v>
      </c>
      <c r="L3976" t="s">
        <v>285</v>
      </c>
      <c r="M3976" t="str">
        <f t="shared" si="268"/>
        <v>12</v>
      </c>
      <c r="N3976" t="s">
        <v>12</v>
      </c>
    </row>
    <row r="3977" spans="1:14" x14ac:dyDescent="0.25">
      <c r="A3977">
        <v>20151218</v>
      </c>
      <c r="B3977" t="str">
        <f>"061577"</f>
        <v>061577</v>
      </c>
      <c r="C3977" t="str">
        <f>"43532"</f>
        <v>43532</v>
      </c>
      <c r="D3977" t="s">
        <v>1979</v>
      </c>
      <c r="E3977" s="3">
        <v>2200</v>
      </c>
      <c r="F3977">
        <v>20151216</v>
      </c>
      <c r="G3977" t="s">
        <v>3465</v>
      </c>
      <c r="H3977" t="s">
        <v>3462</v>
      </c>
      <c r="I3977">
        <v>0</v>
      </c>
      <c r="J3977" t="s">
        <v>1709</v>
      </c>
      <c r="K3977" t="s">
        <v>33</v>
      </c>
      <c r="L3977" t="s">
        <v>285</v>
      </c>
      <c r="M3977" t="str">
        <f t="shared" si="268"/>
        <v>12</v>
      </c>
      <c r="N3977" t="s">
        <v>12</v>
      </c>
    </row>
    <row r="3978" spans="1:14" x14ac:dyDescent="0.25">
      <c r="A3978">
        <v>20151218</v>
      </c>
      <c r="B3978" t="str">
        <f>"061577"</f>
        <v>061577</v>
      </c>
      <c r="C3978" t="str">
        <f>"43532"</f>
        <v>43532</v>
      </c>
      <c r="D3978" t="s">
        <v>1979</v>
      </c>
      <c r="E3978" s="3">
        <v>824.45</v>
      </c>
      <c r="F3978">
        <v>20151216</v>
      </c>
      <c r="G3978" t="s">
        <v>3466</v>
      </c>
      <c r="H3978" t="s">
        <v>3467</v>
      </c>
      <c r="I3978">
        <v>0</v>
      </c>
      <c r="J3978" t="s">
        <v>1709</v>
      </c>
      <c r="K3978" t="s">
        <v>1519</v>
      </c>
      <c r="L3978" t="s">
        <v>285</v>
      </c>
      <c r="M3978" t="str">
        <f t="shared" si="268"/>
        <v>12</v>
      </c>
      <c r="N3978" t="s">
        <v>12</v>
      </c>
    </row>
    <row r="3979" spans="1:14" x14ac:dyDescent="0.25">
      <c r="A3979">
        <v>20151218</v>
      </c>
      <c r="B3979" t="str">
        <f>"061578"</f>
        <v>061578</v>
      </c>
      <c r="C3979" t="str">
        <f>"44450"</f>
        <v>44450</v>
      </c>
      <c r="D3979" t="s">
        <v>1989</v>
      </c>
      <c r="E3979" s="3">
        <v>450</v>
      </c>
      <c r="F3979">
        <v>20151216</v>
      </c>
      <c r="G3979" t="s">
        <v>2894</v>
      </c>
      <c r="H3979" t="s">
        <v>3468</v>
      </c>
      <c r="I3979">
        <v>0</v>
      </c>
      <c r="J3979" t="s">
        <v>1709</v>
      </c>
      <c r="K3979" t="s">
        <v>290</v>
      </c>
      <c r="L3979" t="s">
        <v>285</v>
      </c>
      <c r="M3979" t="str">
        <f t="shared" si="268"/>
        <v>12</v>
      </c>
      <c r="N3979" t="s">
        <v>12</v>
      </c>
    </row>
    <row r="3980" spans="1:14" x14ac:dyDescent="0.25">
      <c r="A3980">
        <v>20151218</v>
      </c>
      <c r="B3980" t="str">
        <f>"061580"</f>
        <v>061580</v>
      </c>
      <c r="C3980" t="str">
        <f>"45179"</f>
        <v>45179</v>
      </c>
      <c r="D3980" t="s">
        <v>262</v>
      </c>
      <c r="E3980" s="3">
        <v>55.2</v>
      </c>
      <c r="F3980">
        <v>20151216</v>
      </c>
      <c r="G3980" t="s">
        <v>3469</v>
      </c>
      <c r="H3980" t="s">
        <v>3470</v>
      </c>
      <c r="I3980">
        <v>0</v>
      </c>
      <c r="J3980" t="s">
        <v>1709</v>
      </c>
      <c r="K3980" t="s">
        <v>95</v>
      </c>
      <c r="L3980" t="s">
        <v>285</v>
      </c>
      <c r="M3980" t="str">
        <f t="shared" si="268"/>
        <v>12</v>
      </c>
      <c r="N3980" t="s">
        <v>12</v>
      </c>
    </row>
    <row r="3981" spans="1:14" x14ac:dyDescent="0.25">
      <c r="A3981">
        <v>20151218</v>
      </c>
      <c r="B3981" t="str">
        <f>"061581"</f>
        <v>061581</v>
      </c>
      <c r="C3981" t="str">
        <f>"45698"</f>
        <v>45698</v>
      </c>
      <c r="D3981" t="s">
        <v>2898</v>
      </c>
      <c r="E3981" s="3">
        <v>436.26</v>
      </c>
      <c r="F3981">
        <v>20151216</v>
      </c>
      <c r="G3981" t="s">
        <v>2899</v>
      </c>
      <c r="H3981" t="s">
        <v>3471</v>
      </c>
      <c r="I3981">
        <v>0</v>
      </c>
      <c r="J3981" t="s">
        <v>1709</v>
      </c>
      <c r="K3981" t="s">
        <v>1861</v>
      </c>
      <c r="L3981" t="s">
        <v>285</v>
      </c>
      <c r="M3981" t="str">
        <f t="shared" si="268"/>
        <v>12</v>
      </c>
      <c r="N3981" t="s">
        <v>12</v>
      </c>
    </row>
    <row r="3982" spans="1:14" x14ac:dyDescent="0.25">
      <c r="A3982">
        <v>20151218</v>
      </c>
      <c r="B3982" t="str">
        <f>"061583"</f>
        <v>061583</v>
      </c>
      <c r="C3982" t="str">
        <f>"46369"</f>
        <v>46369</v>
      </c>
      <c r="D3982" t="s">
        <v>1991</v>
      </c>
      <c r="E3982" s="3">
        <v>245</v>
      </c>
      <c r="F3982">
        <v>20151216</v>
      </c>
      <c r="G3982" t="s">
        <v>1992</v>
      </c>
      <c r="H3982" t="s">
        <v>3472</v>
      </c>
      <c r="I3982">
        <v>0</v>
      </c>
      <c r="J3982" t="s">
        <v>1709</v>
      </c>
      <c r="K3982" t="s">
        <v>1861</v>
      </c>
      <c r="L3982" t="s">
        <v>285</v>
      </c>
      <c r="M3982" t="str">
        <f t="shared" si="268"/>
        <v>12</v>
      </c>
      <c r="N3982" t="s">
        <v>12</v>
      </c>
    </row>
    <row r="3983" spans="1:14" x14ac:dyDescent="0.25">
      <c r="A3983">
        <v>20151218</v>
      </c>
      <c r="B3983" t="str">
        <f>"061583"</f>
        <v>061583</v>
      </c>
      <c r="C3983" t="str">
        <f>"46369"</f>
        <v>46369</v>
      </c>
      <c r="D3983" t="s">
        <v>1991</v>
      </c>
      <c r="E3983" s="3">
        <v>245</v>
      </c>
      <c r="F3983">
        <v>20151216</v>
      </c>
      <c r="G3983" t="s">
        <v>1992</v>
      </c>
      <c r="H3983" t="s">
        <v>3098</v>
      </c>
      <c r="I3983">
        <v>0</v>
      </c>
      <c r="J3983" t="s">
        <v>1709</v>
      </c>
      <c r="K3983" t="s">
        <v>1861</v>
      </c>
      <c r="L3983" t="s">
        <v>285</v>
      </c>
      <c r="M3983" t="str">
        <f t="shared" si="268"/>
        <v>12</v>
      </c>
      <c r="N3983" t="s">
        <v>12</v>
      </c>
    </row>
    <row r="3984" spans="1:14" x14ac:dyDescent="0.25">
      <c r="A3984">
        <v>20151218</v>
      </c>
      <c r="B3984" t="str">
        <f>"061584"</f>
        <v>061584</v>
      </c>
      <c r="C3984" t="str">
        <f>"46398"</f>
        <v>46398</v>
      </c>
      <c r="D3984" t="s">
        <v>1994</v>
      </c>
      <c r="E3984" s="3">
        <v>8732.6</v>
      </c>
      <c r="F3984">
        <v>20151216</v>
      </c>
      <c r="G3984" t="s">
        <v>1995</v>
      </c>
      <c r="H3984" t="s">
        <v>3473</v>
      </c>
      <c r="I3984">
        <v>0</v>
      </c>
      <c r="J3984" t="s">
        <v>1709</v>
      </c>
      <c r="K3984" t="s">
        <v>235</v>
      </c>
      <c r="L3984" t="s">
        <v>285</v>
      </c>
      <c r="M3984" t="str">
        <f t="shared" si="268"/>
        <v>12</v>
      </c>
      <c r="N3984" t="s">
        <v>12</v>
      </c>
    </row>
    <row r="3985" spans="1:14" x14ac:dyDescent="0.25">
      <c r="A3985">
        <v>20151218</v>
      </c>
      <c r="B3985" t="str">
        <f>"061584"</f>
        <v>061584</v>
      </c>
      <c r="C3985" t="str">
        <f>"46398"</f>
        <v>46398</v>
      </c>
      <c r="D3985" t="s">
        <v>1994</v>
      </c>
      <c r="E3985" s="3">
        <v>1820</v>
      </c>
      <c r="F3985">
        <v>20151216</v>
      </c>
      <c r="G3985" t="s">
        <v>1995</v>
      </c>
      <c r="H3985" t="s">
        <v>3474</v>
      </c>
      <c r="I3985">
        <v>0</v>
      </c>
      <c r="J3985" t="s">
        <v>1709</v>
      </c>
      <c r="K3985" t="s">
        <v>235</v>
      </c>
      <c r="L3985" t="s">
        <v>285</v>
      </c>
      <c r="M3985" t="str">
        <f t="shared" si="268"/>
        <v>12</v>
      </c>
      <c r="N3985" t="s">
        <v>12</v>
      </c>
    </row>
    <row r="3986" spans="1:14" x14ac:dyDescent="0.25">
      <c r="A3986">
        <v>20151218</v>
      </c>
      <c r="B3986" t="str">
        <f>"061584"</f>
        <v>061584</v>
      </c>
      <c r="C3986" t="str">
        <f>"46398"</f>
        <v>46398</v>
      </c>
      <c r="D3986" t="s">
        <v>1994</v>
      </c>
      <c r="E3986" s="3">
        <v>3153.95</v>
      </c>
      <c r="F3986">
        <v>20151216</v>
      </c>
      <c r="G3986" t="s">
        <v>1998</v>
      </c>
      <c r="H3986" t="s">
        <v>3473</v>
      </c>
      <c r="I3986">
        <v>0</v>
      </c>
      <c r="J3986" t="s">
        <v>1709</v>
      </c>
      <c r="K3986" t="s">
        <v>1942</v>
      </c>
      <c r="L3986" t="s">
        <v>285</v>
      </c>
      <c r="M3986" t="str">
        <f t="shared" si="268"/>
        <v>12</v>
      </c>
      <c r="N3986" t="s">
        <v>12</v>
      </c>
    </row>
    <row r="3987" spans="1:14" x14ac:dyDescent="0.25">
      <c r="A3987">
        <v>20151218</v>
      </c>
      <c r="B3987" t="str">
        <f>"061585"</f>
        <v>061585</v>
      </c>
      <c r="C3987" t="str">
        <f>"46351"</f>
        <v>46351</v>
      </c>
      <c r="D3987" t="s">
        <v>2518</v>
      </c>
      <c r="E3987" s="3">
        <v>10288.02</v>
      </c>
      <c r="F3987">
        <v>20151216</v>
      </c>
      <c r="G3987" t="s">
        <v>1995</v>
      </c>
      <c r="H3987" t="s">
        <v>3475</v>
      </c>
      <c r="I3987">
        <v>0</v>
      </c>
      <c r="J3987" t="s">
        <v>1709</v>
      </c>
      <c r="K3987" t="s">
        <v>235</v>
      </c>
      <c r="L3987" t="s">
        <v>285</v>
      </c>
      <c r="M3987" t="str">
        <f t="shared" si="268"/>
        <v>12</v>
      </c>
      <c r="N3987" t="s">
        <v>12</v>
      </c>
    </row>
    <row r="3988" spans="1:14" x14ac:dyDescent="0.25">
      <c r="A3988">
        <v>20151218</v>
      </c>
      <c r="B3988" t="str">
        <f>"061585"</f>
        <v>061585</v>
      </c>
      <c r="C3988" t="str">
        <f>"46351"</f>
        <v>46351</v>
      </c>
      <c r="D3988" t="s">
        <v>2518</v>
      </c>
      <c r="E3988" s="3">
        <v>4248.04</v>
      </c>
      <c r="F3988">
        <v>20151216</v>
      </c>
      <c r="G3988" t="s">
        <v>2523</v>
      </c>
      <c r="H3988" t="s">
        <v>3475</v>
      </c>
      <c r="I3988">
        <v>0</v>
      </c>
      <c r="J3988" t="s">
        <v>1709</v>
      </c>
      <c r="K3988" t="s">
        <v>1942</v>
      </c>
      <c r="L3988" t="s">
        <v>285</v>
      </c>
      <c r="M3988" t="str">
        <f t="shared" si="268"/>
        <v>12</v>
      </c>
      <c r="N3988" t="s">
        <v>12</v>
      </c>
    </row>
    <row r="3989" spans="1:14" x14ac:dyDescent="0.25">
      <c r="A3989">
        <v>20151218</v>
      </c>
      <c r="B3989" t="str">
        <f>"061588"</f>
        <v>061588</v>
      </c>
      <c r="C3989" t="str">
        <f>"80056"</f>
        <v>80056</v>
      </c>
      <c r="D3989" t="s">
        <v>2751</v>
      </c>
      <c r="E3989" s="3">
        <v>495.71</v>
      </c>
      <c r="F3989">
        <v>20151216</v>
      </c>
      <c r="G3989" t="s">
        <v>3476</v>
      </c>
      <c r="H3989" t="s">
        <v>2644</v>
      </c>
      <c r="I3989">
        <v>0</v>
      </c>
      <c r="J3989" t="s">
        <v>1709</v>
      </c>
      <c r="K3989" t="s">
        <v>290</v>
      </c>
      <c r="L3989" t="s">
        <v>285</v>
      </c>
      <c r="M3989" t="str">
        <f t="shared" si="268"/>
        <v>12</v>
      </c>
      <c r="N3989" t="s">
        <v>12</v>
      </c>
    </row>
    <row r="3990" spans="1:14" x14ac:dyDescent="0.25">
      <c r="A3990">
        <v>20151218</v>
      </c>
      <c r="B3990" t="str">
        <f>"061588"</f>
        <v>061588</v>
      </c>
      <c r="C3990" t="str">
        <f>"80056"</f>
        <v>80056</v>
      </c>
      <c r="D3990" t="s">
        <v>2751</v>
      </c>
      <c r="E3990" s="3">
        <v>117.07</v>
      </c>
      <c r="F3990">
        <v>20151216</v>
      </c>
      <c r="G3990" t="s">
        <v>3476</v>
      </c>
      <c r="H3990" t="s">
        <v>2644</v>
      </c>
      <c r="I3990">
        <v>0</v>
      </c>
      <c r="J3990" t="s">
        <v>1709</v>
      </c>
      <c r="K3990" t="s">
        <v>290</v>
      </c>
      <c r="L3990" t="s">
        <v>285</v>
      </c>
      <c r="M3990" t="str">
        <f t="shared" si="268"/>
        <v>12</v>
      </c>
      <c r="N3990" t="s">
        <v>12</v>
      </c>
    </row>
    <row r="3991" spans="1:14" x14ac:dyDescent="0.25">
      <c r="A3991">
        <v>20151218</v>
      </c>
      <c r="B3991" t="str">
        <f>"061592"</f>
        <v>061592</v>
      </c>
      <c r="C3991" t="str">
        <f>"49748"</f>
        <v>49748</v>
      </c>
      <c r="D3991" t="s">
        <v>1885</v>
      </c>
      <c r="E3991" s="3">
        <v>19.98</v>
      </c>
      <c r="F3991">
        <v>20151216</v>
      </c>
      <c r="G3991" t="s">
        <v>1886</v>
      </c>
      <c r="H3991" t="s">
        <v>3477</v>
      </c>
      <c r="I3991">
        <v>0</v>
      </c>
      <c r="J3991" t="s">
        <v>1709</v>
      </c>
      <c r="K3991" t="s">
        <v>290</v>
      </c>
      <c r="L3991" t="s">
        <v>285</v>
      </c>
      <c r="M3991" t="str">
        <f t="shared" si="268"/>
        <v>12</v>
      </c>
      <c r="N3991" t="s">
        <v>12</v>
      </c>
    </row>
    <row r="3992" spans="1:14" x14ac:dyDescent="0.25">
      <c r="A3992">
        <v>20151218</v>
      </c>
      <c r="B3992" t="str">
        <f>"061592"</f>
        <v>061592</v>
      </c>
      <c r="C3992" t="str">
        <f>"49748"</f>
        <v>49748</v>
      </c>
      <c r="D3992" t="s">
        <v>1885</v>
      </c>
      <c r="E3992" s="3">
        <v>129</v>
      </c>
      <c r="F3992">
        <v>20151216</v>
      </c>
      <c r="G3992" t="s">
        <v>3478</v>
      </c>
      <c r="H3992" t="s">
        <v>3479</v>
      </c>
      <c r="I3992">
        <v>0</v>
      </c>
      <c r="J3992" t="s">
        <v>1709</v>
      </c>
      <c r="K3992" t="s">
        <v>290</v>
      </c>
      <c r="L3992" t="s">
        <v>285</v>
      </c>
      <c r="M3992" t="str">
        <f t="shared" si="268"/>
        <v>12</v>
      </c>
      <c r="N3992" t="s">
        <v>12</v>
      </c>
    </row>
    <row r="3993" spans="1:14" x14ac:dyDescent="0.25">
      <c r="A3993">
        <v>20151218</v>
      </c>
      <c r="B3993" t="str">
        <f>"061593"</f>
        <v>061593</v>
      </c>
      <c r="C3993" t="str">
        <f>"49959"</f>
        <v>49959</v>
      </c>
      <c r="D3993" t="s">
        <v>361</v>
      </c>
      <c r="E3993" s="3">
        <v>300</v>
      </c>
      <c r="F3993">
        <v>20151216</v>
      </c>
      <c r="G3993" t="s">
        <v>1788</v>
      </c>
      <c r="H3993" t="s">
        <v>3480</v>
      </c>
      <c r="I3993">
        <v>0</v>
      </c>
      <c r="J3993" t="s">
        <v>1709</v>
      </c>
      <c r="K3993" t="s">
        <v>1643</v>
      </c>
      <c r="L3993" t="s">
        <v>285</v>
      </c>
      <c r="M3993" t="str">
        <f t="shared" si="268"/>
        <v>12</v>
      </c>
      <c r="N3993" t="s">
        <v>12</v>
      </c>
    </row>
    <row r="3994" spans="1:14" x14ac:dyDescent="0.25">
      <c r="A3994">
        <v>20151218</v>
      </c>
      <c r="B3994" t="str">
        <f>"061594"</f>
        <v>061594</v>
      </c>
      <c r="C3994" t="str">
        <f>"50109"</f>
        <v>50109</v>
      </c>
      <c r="D3994" t="s">
        <v>3481</v>
      </c>
      <c r="E3994" s="3">
        <v>537.5</v>
      </c>
      <c r="F3994">
        <v>20151216</v>
      </c>
      <c r="G3994" t="s">
        <v>2056</v>
      </c>
      <c r="H3994" t="s">
        <v>3482</v>
      </c>
      <c r="I3994">
        <v>0</v>
      </c>
      <c r="J3994" t="s">
        <v>1709</v>
      </c>
      <c r="K3994" t="s">
        <v>95</v>
      </c>
      <c r="L3994" t="s">
        <v>285</v>
      </c>
      <c r="M3994" t="str">
        <f t="shared" si="268"/>
        <v>12</v>
      </c>
      <c r="N3994" t="s">
        <v>12</v>
      </c>
    </row>
    <row r="3995" spans="1:14" x14ac:dyDescent="0.25">
      <c r="A3995">
        <v>20151218</v>
      </c>
      <c r="B3995" t="str">
        <f>"061595"</f>
        <v>061595</v>
      </c>
      <c r="C3995" t="str">
        <f>"50453"</f>
        <v>50453</v>
      </c>
      <c r="D3995" t="s">
        <v>1577</v>
      </c>
      <c r="E3995" s="3">
        <v>129.41999999999999</v>
      </c>
      <c r="F3995">
        <v>20151216</v>
      </c>
      <c r="G3995" t="s">
        <v>2349</v>
      </c>
      <c r="H3995" t="s">
        <v>3483</v>
      </c>
      <c r="I3995">
        <v>0</v>
      </c>
      <c r="J3995" t="s">
        <v>1709</v>
      </c>
      <c r="K3995" t="s">
        <v>1558</v>
      </c>
      <c r="L3995" t="s">
        <v>285</v>
      </c>
      <c r="M3995" t="str">
        <f t="shared" si="268"/>
        <v>12</v>
      </c>
      <c r="N3995" t="s">
        <v>12</v>
      </c>
    </row>
    <row r="3996" spans="1:14" x14ac:dyDescent="0.25">
      <c r="A3996">
        <v>20151218</v>
      </c>
      <c r="B3996" t="str">
        <f>"061596"</f>
        <v>061596</v>
      </c>
      <c r="C3996" t="str">
        <f>"51475"</f>
        <v>51475</v>
      </c>
      <c r="D3996" t="s">
        <v>2352</v>
      </c>
      <c r="E3996" s="3">
        <v>1011.89</v>
      </c>
      <c r="F3996">
        <v>20151216</v>
      </c>
      <c r="G3996" t="s">
        <v>2525</v>
      </c>
      <c r="H3996" t="s">
        <v>3484</v>
      </c>
      <c r="I3996">
        <v>0</v>
      </c>
      <c r="J3996" t="s">
        <v>1709</v>
      </c>
      <c r="K3996" t="s">
        <v>2194</v>
      </c>
      <c r="L3996" t="s">
        <v>285</v>
      </c>
      <c r="M3996" t="str">
        <f t="shared" si="268"/>
        <v>12</v>
      </c>
      <c r="N3996" t="s">
        <v>12</v>
      </c>
    </row>
    <row r="3997" spans="1:14" x14ac:dyDescent="0.25">
      <c r="A3997">
        <v>20151218</v>
      </c>
      <c r="B3997" t="str">
        <f>"061600"</f>
        <v>061600</v>
      </c>
      <c r="C3997" t="str">
        <f>"54149"</f>
        <v>54149</v>
      </c>
      <c r="D3997" t="s">
        <v>1617</v>
      </c>
      <c r="E3997" s="3">
        <v>344.62</v>
      </c>
      <c r="F3997">
        <v>20151216</v>
      </c>
      <c r="G3997" t="s">
        <v>3485</v>
      </c>
      <c r="H3997" t="s">
        <v>1618</v>
      </c>
      <c r="I3997">
        <v>0</v>
      </c>
      <c r="J3997" t="s">
        <v>1709</v>
      </c>
      <c r="K3997" t="s">
        <v>1558</v>
      </c>
      <c r="L3997" t="s">
        <v>285</v>
      </c>
      <c r="M3997" t="str">
        <f t="shared" si="268"/>
        <v>12</v>
      </c>
      <c r="N3997" t="s">
        <v>12</v>
      </c>
    </row>
    <row r="3998" spans="1:14" x14ac:dyDescent="0.25">
      <c r="A3998">
        <v>20151218</v>
      </c>
      <c r="B3998" t="str">
        <f>"061602"</f>
        <v>061602</v>
      </c>
      <c r="C3998" t="str">
        <f>"54495"</f>
        <v>54495</v>
      </c>
      <c r="D3998" t="s">
        <v>2756</v>
      </c>
      <c r="E3998" s="3">
        <v>360.49</v>
      </c>
      <c r="F3998">
        <v>20151216</v>
      </c>
      <c r="G3998" t="s">
        <v>3486</v>
      </c>
      <c r="H3998" t="s">
        <v>3487</v>
      </c>
      <c r="I3998">
        <v>0</v>
      </c>
      <c r="J3998" t="s">
        <v>1709</v>
      </c>
      <c r="K3998" t="s">
        <v>290</v>
      </c>
      <c r="L3998" t="s">
        <v>285</v>
      </c>
      <c r="M3998" t="str">
        <f t="shared" si="268"/>
        <v>12</v>
      </c>
      <c r="N3998" t="s">
        <v>12</v>
      </c>
    </row>
    <row r="3999" spans="1:14" x14ac:dyDescent="0.25">
      <c r="A3999">
        <v>20151218</v>
      </c>
      <c r="B3999" t="str">
        <f>"061602"</f>
        <v>061602</v>
      </c>
      <c r="C3999" t="str">
        <f>"54495"</f>
        <v>54495</v>
      </c>
      <c r="D3999" t="s">
        <v>2756</v>
      </c>
      <c r="E3999" s="3">
        <v>360.49</v>
      </c>
      <c r="F3999">
        <v>20151216</v>
      </c>
      <c r="G3999" t="s">
        <v>3488</v>
      </c>
      <c r="H3999" t="s">
        <v>3487</v>
      </c>
      <c r="I3999">
        <v>0</v>
      </c>
      <c r="J3999" t="s">
        <v>1709</v>
      </c>
      <c r="K3999" t="s">
        <v>95</v>
      </c>
      <c r="L3999" t="s">
        <v>285</v>
      </c>
      <c r="M3999" t="str">
        <f t="shared" si="268"/>
        <v>12</v>
      </c>
      <c r="N3999" t="s">
        <v>12</v>
      </c>
    </row>
    <row r="4000" spans="1:14" x14ac:dyDescent="0.25">
      <c r="A4000">
        <v>20151218</v>
      </c>
      <c r="B4000" t="str">
        <f>"061602"</f>
        <v>061602</v>
      </c>
      <c r="C4000" t="str">
        <f>"54495"</f>
        <v>54495</v>
      </c>
      <c r="D4000" t="s">
        <v>2756</v>
      </c>
      <c r="E4000" s="3">
        <v>360.49</v>
      </c>
      <c r="F4000">
        <v>20151216</v>
      </c>
      <c r="G4000" t="s">
        <v>3489</v>
      </c>
      <c r="H4000" t="s">
        <v>3487</v>
      </c>
      <c r="I4000">
        <v>0</v>
      </c>
      <c r="J4000" t="s">
        <v>1709</v>
      </c>
      <c r="K4000" t="s">
        <v>1643</v>
      </c>
      <c r="L4000" t="s">
        <v>285</v>
      </c>
      <c r="M4000" t="str">
        <f t="shared" si="268"/>
        <v>12</v>
      </c>
      <c r="N4000" t="s">
        <v>12</v>
      </c>
    </row>
    <row r="4001" spans="1:14" x14ac:dyDescent="0.25">
      <c r="A4001">
        <v>20151218</v>
      </c>
      <c r="B4001" t="str">
        <f>"061602"</f>
        <v>061602</v>
      </c>
      <c r="C4001" t="str">
        <f>"54495"</f>
        <v>54495</v>
      </c>
      <c r="D4001" t="s">
        <v>2756</v>
      </c>
      <c r="E4001" s="3">
        <v>360.5</v>
      </c>
      <c r="F4001">
        <v>20151216</v>
      </c>
      <c r="G4001" t="s">
        <v>3490</v>
      </c>
      <c r="H4001" t="s">
        <v>3487</v>
      </c>
      <c r="I4001">
        <v>0</v>
      </c>
      <c r="J4001" t="s">
        <v>1709</v>
      </c>
      <c r="K4001" t="s">
        <v>33</v>
      </c>
      <c r="L4001" t="s">
        <v>285</v>
      </c>
      <c r="M4001" t="str">
        <f t="shared" si="268"/>
        <v>12</v>
      </c>
      <c r="N4001" t="s">
        <v>12</v>
      </c>
    </row>
    <row r="4002" spans="1:14" x14ac:dyDescent="0.25">
      <c r="A4002">
        <v>20151218</v>
      </c>
      <c r="B4002" t="str">
        <f>"061606"</f>
        <v>061606</v>
      </c>
      <c r="C4002" t="str">
        <f>"56080"</f>
        <v>56080</v>
      </c>
      <c r="D4002" t="s">
        <v>3491</v>
      </c>
      <c r="E4002" s="3">
        <v>204.59</v>
      </c>
      <c r="F4002">
        <v>20151216</v>
      </c>
      <c r="G4002" t="s">
        <v>2360</v>
      </c>
      <c r="H4002" t="s">
        <v>3492</v>
      </c>
      <c r="I4002">
        <v>0</v>
      </c>
      <c r="J4002" t="s">
        <v>1709</v>
      </c>
      <c r="K4002" t="s">
        <v>1856</v>
      </c>
      <c r="L4002" t="s">
        <v>285</v>
      </c>
      <c r="M4002" t="str">
        <f t="shared" si="268"/>
        <v>12</v>
      </c>
      <c r="N4002" t="s">
        <v>12</v>
      </c>
    </row>
    <row r="4003" spans="1:14" x14ac:dyDescent="0.25">
      <c r="A4003">
        <v>20151218</v>
      </c>
      <c r="B4003" t="str">
        <f>"061608"</f>
        <v>061608</v>
      </c>
      <c r="C4003" t="str">
        <f>"56570"</f>
        <v>56570</v>
      </c>
      <c r="D4003" t="s">
        <v>2687</v>
      </c>
      <c r="E4003" s="3">
        <v>65.05</v>
      </c>
      <c r="F4003">
        <v>20151216</v>
      </c>
      <c r="G4003" t="s">
        <v>2025</v>
      </c>
      <c r="H4003" t="s">
        <v>3493</v>
      </c>
      <c r="I4003">
        <v>0</v>
      </c>
      <c r="J4003" t="s">
        <v>1709</v>
      </c>
      <c r="K4003" t="s">
        <v>1984</v>
      </c>
      <c r="L4003" t="s">
        <v>285</v>
      </c>
      <c r="M4003" t="str">
        <f t="shared" si="268"/>
        <v>12</v>
      </c>
      <c r="N4003" t="s">
        <v>12</v>
      </c>
    </row>
    <row r="4004" spans="1:14" x14ac:dyDescent="0.25">
      <c r="A4004">
        <v>20151218</v>
      </c>
      <c r="B4004" t="str">
        <f>"061609"</f>
        <v>061609</v>
      </c>
      <c r="C4004" t="str">
        <f>"57412"</f>
        <v>57412</v>
      </c>
      <c r="D4004" t="s">
        <v>3494</v>
      </c>
      <c r="E4004" s="3">
        <v>5127</v>
      </c>
      <c r="F4004">
        <v>20151216</v>
      </c>
      <c r="G4004" t="s">
        <v>1859</v>
      </c>
      <c r="H4004" t="s">
        <v>3495</v>
      </c>
      <c r="I4004">
        <v>0</v>
      </c>
      <c r="J4004" t="s">
        <v>1709</v>
      </c>
      <c r="K4004" t="s">
        <v>1861</v>
      </c>
      <c r="L4004" t="s">
        <v>285</v>
      </c>
      <c r="M4004" t="str">
        <f t="shared" si="268"/>
        <v>12</v>
      </c>
      <c r="N4004" t="s">
        <v>12</v>
      </c>
    </row>
    <row r="4005" spans="1:14" x14ac:dyDescent="0.25">
      <c r="A4005">
        <v>20151218</v>
      </c>
      <c r="B4005" t="str">
        <f>"061610"</f>
        <v>061610</v>
      </c>
      <c r="C4005" t="str">
        <f>"57662"</f>
        <v>57662</v>
      </c>
      <c r="D4005" t="s">
        <v>2364</v>
      </c>
      <c r="E4005" s="3">
        <v>206.75</v>
      </c>
      <c r="F4005">
        <v>20151216</v>
      </c>
      <c r="G4005" t="s">
        <v>2365</v>
      </c>
      <c r="H4005" t="s">
        <v>2366</v>
      </c>
      <c r="I4005">
        <v>0</v>
      </c>
      <c r="J4005" t="s">
        <v>1709</v>
      </c>
      <c r="K4005" t="s">
        <v>290</v>
      </c>
      <c r="L4005" t="s">
        <v>285</v>
      </c>
      <c r="M4005" t="str">
        <f t="shared" si="268"/>
        <v>12</v>
      </c>
      <c r="N4005" t="s">
        <v>12</v>
      </c>
    </row>
    <row r="4006" spans="1:14" x14ac:dyDescent="0.25">
      <c r="A4006">
        <v>20151218</v>
      </c>
      <c r="B4006" t="str">
        <f>"061616"</f>
        <v>061616</v>
      </c>
      <c r="C4006" t="str">
        <f>"58204"</f>
        <v>58204</v>
      </c>
      <c r="D4006" t="s">
        <v>1816</v>
      </c>
      <c r="E4006" s="3">
        <v>26.94</v>
      </c>
      <c r="F4006">
        <v>20151216</v>
      </c>
      <c r="G4006" t="s">
        <v>2053</v>
      </c>
      <c r="H4006" t="s">
        <v>3496</v>
      </c>
      <c r="I4006">
        <v>0</v>
      </c>
      <c r="J4006" t="s">
        <v>1709</v>
      </c>
      <c r="K4006" t="s">
        <v>290</v>
      </c>
      <c r="L4006" t="s">
        <v>285</v>
      </c>
      <c r="M4006" t="str">
        <f t="shared" si="268"/>
        <v>12</v>
      </c>
      <c r="N4006" t="s">
        <v>12</v>
      </c>
    </row>
    <row r="4007" spans="1:14" x14ac:dyDescent="0.25">
      <c r="A4007">
        <v>20151218</v>
      </c>
      <c r="B4007" t="str">
        <f>"061616"</f>
        <v>061616</v>
      </c>
      <c r="C4007" t="str">
        <f>"58204"</f>
        <v>58204</v>
      </c>
      <c r="D4007" t="s">
        <v>1816</v>
      </c>
      <c r="E4007" s="3">
        <v>59.87</v>
      </c>
      <c r="F4007">
        <v>20151216</v>
      </c>
      <c r="G4007" t="s">
        <v>1961</v>
      </c>
      <c r="H4007" t="s">
        <v>3497</v>
      </c>
      <c r="I4007">
        <v>0</v>
      </c>
      <c r="J4007" t="s">
        <v>1709</v>
      </c>
      <c r="K4007" t="s">
        <v>290</v>
      </c>
      <c r="L4007" t="s">
        <v>285</v>
      </c>
      <c r="M4007" t="str">
        <f t="shared" si="268"/>
        <v>12</v>
      </c>
      <c r="N4007" t="s">
        <v>12</v>
      </c>
    </row>
    <row r="4008" spans="1:14" x14ac:dyDescent="0.25">
      <c r="A4008">
        <v>20151218</v>
      </c>
      <c r="B4008" t="str">
        <f>"061616"</f>
        <v>061616</v>
      </c>
      <c r="C4008" t="str">
        <f>"58204"</f>
        <v>58204</v>
      </c>
      <c r="D4008" t="s">
        <v>1816</v>
      </c>
      <c r="E4008" s="3">
        <v>55.25</v>
      </c>
      <c r="F4008">
        <v>20151216</v>
      </c>
      <c r="G4008" t="s">
        <v>1786</v>
      </c>
      <c r="H4008" t="s">
        <v>3498</v>
      </c>
      <c r="I4008">
        <v>0</v>
      </c>
      <c r="J4008" t="s">
        <v>1709</v>
      </c>
      <c r="K4008" t="s">
        <v>290</v>
      </c>
      <c r="L4008" t="s">
        <v>285</v>
      </c>
      <c r="M4008" t="str">
        <f t="shared" si="268"/>
        <v>12</v>
      </c>
      <c r="N4008" t="s">
        <v>12</v>
      </c>
    </row>
    <row r="4009" spans="1:14" x14ac:dyDescent="0.25">
      <c r="A4009">
        <v>20151218</v>
      </c>
      <c r="B4009" t="str">
        <f>"061618"</f>
        <v>061618</v>
      </c>
      <c r="C4009" t="str">
        <f>"58927"</f>
        <v>58927</v>
      </c>
      <c r="D4009" t="s">
        <v>1899</v>
      </c>
      <c r="E4009" s="3">
        <v>55</v>
      </c>
      <c r="F4009">
        <v>20151216</v>
      </c>
      <c r="G4009" t="s">
        <v>2699</v>
      </c>
      <c r="H4009" t="s">
        <v>1900</v>
      </c>
      <c r="I4009">
        <v>0</v>
      </c>
      <c r="J4009" t="s">
        <v>1709</v>
      </c>
      <c r="K4009" t="s">
        <v>1856</v>
      </c>
      <c r="L4009" t="s">
        <v>285</v>
      </c>
      <c r="M4009" t="str">
        <f t="shared" si="268"/>
        <v>12</v>
      </c>
      <c r="N4009" t="s">
        <v>12</v>
      </c>
    </row>
    <row r="4010" spans="1:14" x14ac:dyDescent="0.25">
      <c r="A4010">
        <v>20151218</v>
      </c>
      <c r="B4010" t="str">
        <f>"061618"</f>
        <v>061618</v>
      </c>
      <c r="C4010" t="str">
        <f>"58927"</f>
        <v>58927</v>
      </c>
      <c r="D4010" t="s">
        <v>1899</v>
      </c>
      <c r="E4010" s="3">
        <v>150</v>
      </c>
      <c r="F4010">
        <v>20151216</v>
      </c>
      <c r="G4010" t="s">
        <v>2699</v>
      </c>
      <c r="H4010" t="s">
        <v>1901</v>
      </c>
      <c r="I4010">
        <v>0</v>
      </c>
      <c r="J4010" t="s">
        <v>1709</v>
      </c>
      <c r="K4010" t="s">
        <v>1856</v>
      </c>
      <c r="L4010" t="s">
        <v>285</v>
      </c>
      <c r="M4010" t="str">
        <f t="shared" si="268"/>
        <v>12</v>
      </c>
      <c r="N4010" t="s">
        <v>12</v>
      </c>
    </row>
    <row r="4011" spans="1:14" x14ac:dyDescent="0.25">
      <c r="A4011">
        <v>20151218</v>
      </c>
      <c r="B4011" t="str">
        <f>"061623"</f>
        <v>061623</v>
      </c>
      <c r="C4011" t="str">
        <f>"63053"</f>
        <v>63053</v>
      </c>
      <c r="D4011" t="s">
        <v>2012</v>
      </c>
      <c r="E4011" s="3">
        <v>190</v>
      </c>
      <c r="F4011">
        <v>20151216</v>
      </c>
      <c r="G4011" t="s">
        <v>2553</v>
      </c>
      <c r="H4011" t="s">
        <v>2041</v>
      </c>
      <c r="I4011">
        <v>0</v>
      </c>
      <c r="J4011" t="s">
        <v>1709</v>
      </c>
      <c r="K4011" t="s">
        <v>290</v>
      </c>
      <c r="L4011" t="s">
        <v>285</v>
      </c>
      <c r="M4011" t="str">
        <f t="shared" si="268"/>
        <v>12</v>
      </c>
      <c r="N4011" t="s">
        <v>12</v>
      </c>
    </row>
    <row r="4012" spans="1:14" x14ac:dyDescent="0.25">
      <c r="A4012">
        <v>20151218</v>
      </c>
      <c r="B4012" t="str">
        <f>"061623"</f>
        <v>061623</v>
      </c>
      <c r="C4012" t="str">
        <f>"63053"</f>
        <v>63053</v>
      </c>
      <c r="D4012" t="s">
        <v>2012</v>
      </c>
      <c r="E4012" s="3">
        <v>1420</v>
      </c>
      <c r="F4012">
        <v>20151216</v>
      </c>
      <c r="G4012" t="s">
        <v>3280</v>
      </c>
      <c r="H4012" t="s">
        <v>3281</v>
      </c>
      <c r="I4012">
        <v>0</v>
      </c>
      <c r="J4012" t="s">
        <v>1709</v>
      </c>
      <c r="K4012" t="s">
        <v>290</v>
      </c>
      <c r="L4012" t="s">
        <v>285</v>
      </c>
      <c r="M4012" t="str">
        <f t="shared" si="268"/>
        <v>12</v>
      </c>
      <c r="N4012" t="s">
        <v>12</v>
      </c>
    </row>
    <row r="4013" spans="1:14" x14ac:dyDescent="0.25">
      <c r="A4013">
        <v>20151218</v>
      </c>
      <c r="B4013" t="str">
        <f>"061623"</f>
        <v>061623</v>
      </c>
      <c r="C4013" t="str">
        <f>"63053"</f>
        <v>63053</v>
      </c>
      <c r="D4013" t="s">
        <v>2012</v>
      </c>
      <c r="E4013" s="3">
        <v>200</v>
      </c>
      <c r="F4013">
        <v>20151216</v>
      </c>
      <c r="G4013" t="s">
        <v>3280</v>
      </c>
      <c r="H4013" t="s">
        <v>3281</v>
      </c>
      <c r="I4013">
        <v>0</v>
      </c>
      <c r="J4013" t="s">
        <v>1709</v>
      </c>
      <c r="K4013" t="s">
        <v>290</v>
      </c>
      <c r="L4013" t="s">
        <v>285</v>
      </c>
      <c r="M4013" t="str">
        <f t="shared" si="268"/>
        <v>12</v>
      </c>
      <c r="N4013" t="s">
        <v>12</v>
      </c>
    </row>
    <row r="4014" spans="1:14" x14ac:dyDescent="0.25">
      <c r="A4014">
        <v>20151218</v>
      </c>
      <c r="B4014" t="str">
        <f>"061624"</f>
        <v>061624</v>
      </c>
      <c r="C4014" t="str">
        <f>"65106"</f>
        <v>65106</v>
      </c>
      <c r="D4014" t="s">
        <v>1568</v>
      </c>
      <c r="E4014" s="3">
        <v>124.66</v>
      </c>
      <c r="F4014">
        <v>20151216</v>
      </c>
      <c r="G4014" t="s">
        <v>2309</v>
      </c>
      <c r="H4014" t="s">
        <v>3499</v>
      </c>
      <c r="I4014">
        <v>0</v>
      </c>
      <c r="J4014" t="s">
        <v>1709</v>
      </c>
      <c r="K4014" t="s">
        <v>1558</v>
      </c>
      <c r="L4014" t="s">
        <v>285</v>
      </c>
      <c r="M4014" t="str">
        <f t="shared" si="268"/>
        <v>12</v>
      </c>
      <c r="N4014" t="s">
        <v>12</v>
      </c>
    </row>
    <row r="4015" spans="1:14" x14ac:dyDescent="0.25">
      <c r="A4015">
        <v>20151218</v>
      </c>
      <c r="B4015" t="str">
        <f>"061624"</f>
        <v>061624</v>
      </c>
      <c r="C4015" t="str">
        <f>"65106"</f>
        <v>65106</v>
      </c>
      <c r="D4015" t="s">
        <v>1568</v>
      </c>
      <c r="E4015" s="3">
        <v>39.96</v>
      </c>
      <c r="F4015">
        <v>20151216</v>
      </c>
      <c r="G4015" t="s">
        <v>1933</v>
      </c>
      <c r="H4015" t="s">
        <v>595</v>
      </c>
      <c r="I4015">
        <v>0</v>
      </c>
      <c r="J4015" t="s">
        <v>1709</v>
      </c>
      <c r="K4015" t="s">
        <v>1558</v>
      </c>
      <c r="L4015" t="s">
        <v>285</v>
      </c>
      <c r="M4015" t="str">
        <f t="shared" si="268"/>
        <v>12</v>
      </c>
      <c r="N4015" t="s">
        <v>12</v>
      </c>
    </row>
    <row r="4016" spans="1:14" x14ac:dyDescent="0.25">
      <c r="A4016">
        <v>20151218</v>
      </c>
      <c r="B4016" t="str">
        <f>"061624"</f>
        <v>061624</v>
      </c>
      <c r="C4016" t="str">
        <f>"65106"</f>
        <v>65106</v>
      </c>
      <c r="D4016" t="s">
        <v>1568</v>
      </c>
      <c r="E4016" s="3">
        <v>161.03</v>
      </c>
      <c r="F4016">
        <v>20151216</v>
      </c>
      <c r="G4016" t="s">
        <v>2626</v>
      </c>
      <c r="H4016" t="s">
        <v>3500</v>
      </c>
      <c r="I4016">
        <v>0</v>
      </c>
      <c r="J4016" t="s">
        <v>1709</v>
      </c>
      <c r="K4016" t="s">
        <v>290</v>
      </c>
      <c r="L4016" t="s">
        <v>285</v>
      </c>
      <c r="M4016" t="str">
        <f t="shared" si="268"/>
        <v>12</v>
      </c>
      <c r="N4016" t="s">
        <v>12</v>
      </c>
    </row>
    <row r="4017" spans="1:14" x14ac:dyDescent="0.25">
      <c r="A4017">
        <v>20151218</v>
      </c>
      <c r="B4017" t="str">
        <f>"061624"</f>
        <v>061624</v>
      </c>
      <c r="C4017" t="str">
        <f>"65106"</f>
        <v>65106</v>
      </c>
      <c r="D4017" t="s">
        <v>1568</v>
      </c>
      <c r="E4017" s="3">
        <v>31.92</v>
      </c>
      <c r="F4017">
        <v>20151216</v>
      </c>
      <c r="G4017" t="s">
        <v>2565</v>
      </c>
      <c r="H4017" t="s">
        <v>3501</v>
      </c>
      <c r="I4017">
        <v>0</v>
      </c>
      <c r="J4017" t="s">
        <v>1709</v>
      </c>
      <c r="K4017" t="s">
        <v>1558</v>
      </c>
      <c r="L4017" t="s">
        <v>285</v>
      </c>
      <c r="M4017" t="str">
        <f t="shared" si="268"/>
        <v>12</v>
      </c>
      <c r="N4017" t="s">
        <v>12</v>
      </c>
    </row>
    <row r="4018" spans="1:14" x14ac:dyDescent="0.25">
      <c r="A4018">
        <v>20151218</v>
      </c>
      <c r="B4018" t="str">
        <f>"061624"</f>
        <v>061624</v>
      </c>
      <c r="C4018" t="str">
        <f>"65106"</f>
        <v>65106</v>
      </c>
      <c r="D4018" t="s">
        <v>1568</v>
      </c>
      <c r="E4018" s="3">
        <v>239.94</v>
      </c>
      <c r="F4018">
        <v>20151216</v>
      </c>
      <c r="G4018" t="s">
        <v>3006</v>
      </c>
      <c r="H4018" t="s">
        <v>2807</v>
      </c>
      <c r="I4018">
        <v>0</v>
      </c>
      <c r="J4018" t="s">
        <v>1709</v>
      </c>
      <c r="K4018" t="s">
        <v>290</v>
      </c>
      <c r="L4018" t="s">
        <v>285</v>
      </c>
      <c r="M4018" t="str">
        <f t="shared" si="268"/>
        <v>12</v>
      </c>
      <c r="N4018" t="s">
        <v>12</v>
      </c>
    </row>
    <row r="4019" spans="1:14" x14ac:dyDescent="0.25">
      <c r="A4019">
        <v>20151218</v>
      </c>
      <c r="B4019" t="str">
        <f>"061625"</f>
        <v>061625</v>
      </c>
      <c r="C4019" t="str">
        <f>"65826"</f>
        <v>65826</v>
      </c>
      <c r="D4019" t="s">
        <v>2386</v>
      </c>
      <c r="E4019" s="3">
        <v>253.02</v>
      </c>
      <c r="F4019">
        <v>20151216</v>
      </c>
      <c r="G4019" t="s">
        <v>3211</v>
      </c>
      <c r="H4019" t="s">
        <v>3502</v>
      </c>
      <c r="I4019">
        <v>0</v>
      </c>
      <c r="J4019" t="s">
        <v>1709</v>
      </c>
      <c r="K4019" t="s">
        <v>1643</v>
      </c>
      <c r="L4019" t="s">
        <v>285</v>
      </c>
      <c r="M4019" t="str">
        <f t="shared" si="268"/>
        <v>12</v>
      </c>
      <c r="N4019" t="s">
        <v>12</v>
      </c>
    </row>
    <row r="4020" spans="1:14" x14ac:dyDescent="0.25">
      <c r="A4020">
        <v>20151218</v>
      </c>
      <c r="B4020" t="str">
        <f>"061625"</f>
        <v>061625</v>
      </c>
      <c r="C4020" t="str">
        <f>"65826"</f>
        <v>65826</v>
      </c>
      <c r="D4020" t="s">
        <v>2386</v>
      </c>
      <c r="E4020" s="3">
        <v>537.01</v>
      </c>
      <c r="F4020">
        <v>20151216</v>
      </c>
      <c r="G4020" t="s">
        <v>2100</v>
      </c>
      <c r="H4020" t="s">
        <v>595</v>
      </c>
      <c r="I4020">
        <v>0</v>
      </c>
      <c r="J4020" t="s">
        <v>1709</v>
      </c>
      <c r="K4020" t="s">
        <v>33</v>
      </c>
      <c r="L4020" t="s">
        <v>285</v>
      </c>
      <c r="M4020" t="str">
        <f t="shared" si="268"/>
        <v>12</v>
      </c>
      <c r="N4020" t="s">
        <v>12</v>
      </c>
    </row>
    <row r="4021" spans="1:14" x14ac:dyDescent="0.25">
      <c r="A4021">
        <v>20151218</v>
      </c>
      <c r="B4021" t="str">
        <f>"061625"</f>
        <v>061625</v>
      </c>
      <c r="C4021" t="str">
        <f>"65826"</f>
        <v>65826</v>
      </c>
      <c r="D4021" t="s">
        <v>2386</v>
      </c>
      <c r="E4021" s="3">
        <v>399.94</v>
      </c>
      <c r="F4021">
        <v>20151216</v>
      </c>
      <c r="G4021" t="s">
        <v>2570</v>
      </c>
      <c r="H4021" t="s">
        <v>2169</v>
      </c>
      <c r="I4021">
        <v>0</v>
      </c>
      <c r="J4021" t="s">
        <v>1709</v>
      </c>
      <c r="K4021" t="s">
        <v>95</v>
      </c>
      <c r="L4021" t="s">
        <v>285</v>
      </c>
      <c r="M4021" t="str">
        <f t="shared" si="268"/>
        <v>12</v>
      </c>
      <c r="N4021" t="s">
        <v>12</v>
      </c>
    </row>
    <row r="4022" spans="1:14" x14ac:dyDescent="0.25">
      <c r="A4022">
        <v>20151218</v>
      </c>
      <c r="B4022" t="str">
        <f>"061628"</f>
        <v>061628</v>
      </c>
      <c r="C4022" t="str">
        <f>"69016"</f>
        <v>69016</v>
      </c>
      <c r="D4022" t="s">
        <v>3503</v>
      </c>
      <c r="E4022" s="3">
        <v>150</v>
      </c>
      <c r="F4022">
        <v>20151216</v>
      </c>
      <c r="G4022" t="s">
        <v>2449</v>
      </c>
      <c r="H4022" t="s">
        <v>3456</v>
      </c>
      <c r="I4022">
        <v>0</v>
      </c>
      <c r="J4022" t="s">
        <v>1709</v>
      </c>
      <c r="K4022" t="s">
        <v>290</v>
      </c>
      <c r="L4022" t="s">
        <v>285</v>
      </c>
      <c r="M4022" t="str">
        <f t="shared" si="268"/>
        <v>12</v>
      </c>
      <c r="N4022" t="s">
        <v>12</v>
      </c>
    </row>
    <row r="4023" spans="1:14" x14ac:dyDescent="0.25">
      <c r="A4023">
        <v>20151218</v>
      </c>
      <c r="B4023" t="str">
        <f>"061629"</f>
        <v>061629</v>
      </c>
      <c r="C4023" t="str">
        <f>"71250"</f>
        <v>71250</v>
      </c>
      <c r="D4023" t="s">
        <v>2574</v>
      </c>
      <c r="E4023" s="3">
        <v>1269.29</v>
      </c>
      <c r="F4023">
        <v>20151216</v>
      </c>
      <c r="G4023" t="s">
        <v>2333</v>
      </c>
      <c r="H4023" t="s">
        <v>3504</v>
      </c>
      <c r="I4023">
        <v>0</v>
      </c>
      <c r="J4023" t="s">
        <v>1709</v>
      </c>
      <c r="K4023" t="s">
        <v>290</v>
      </c>
      <c r="L4023" t="s">
        <v>285</v>
      </c>
      <c r="M4023" t="str">
        <f t="shared" si="268"/>
        <v>12</v>
      </c>
      <c r="N4023" t="s">
        <v>12</v>
      </c>
    </row>
    <row r="4024" spans="1:14" x14ac:dyDescent="0.25">
      <c r="A4024">
        <v>20151218</v>
      </c>
      <c r="B4024" t="str">
        <f>"061631"</f>
        <v>061631</v>
      </c>
      <c r="C4024" t="str">
        <f>"72340"</f>
        <v>72340</v>
      </c>
      <c r="D4024" t="s">
        <v>1762</v>
      </c>
      <c r="E4024" s="3">
        <v>298.52999999999997</v>
      </c>
      <c r="F4024">
        <v>20151216</v>
      </c>
      <c r="G4024" t="s">
        <v>2768</v>
      </c>
      <c r="H4024" t="s">
        <v>3505</v>
      </c>
      <c r="I4024">
        <v>0</v>
      </c>
      <c r="J4024" t="s">
        <v>1709</v>
      </c>
      <c r="K4024" t="s">
        <v>1861</v>
      </c>
      <c r="L4024" t="s">
        <v>285</v>
      </c>
      <c r="M4024" t="str">
        <f t="shared" si="268"/>
        <v>12</v>
      </c>
      <c r="N4024" t="s">
        <v>12</v>
      </c>
    </row>
    <row r="4025" spans="1:14" x14ac:dyDescent="0.25">
      <c r="A4025">
        <v>20151218</v>
      </c>
      <c r="B4025" t="str">
        <f t="shared" ref="B4025:B4032" si="269">"061632"</f>
        <v>061632</v>
      </c>
      <c r="C4025" t="str">
        <f t="shared" ref="C4025:C4032" si="270">"72730"</f>
        <v>72730</v>
      </c>
      <c r="D4025" t="s">
        <v>1926</v>
      </c>
      <c r="E4025" s="3">
        <v>93.2</v>
      </c>
      <c r="F4025">
        <v>20151216</v>
      </c>
      <c r="G4025" t="s">
        <v>2226</v>
      </c>
      <c r="H4025" t="s">
        <v>3506</v>
      </c>
      <c r="I4025">
        <v>0</v>
      </c>
      <c r="J4025" t="s">
        <v>1709</v>
      </c>
      <c r="K4025" t="s">
        <v>33</v>
      </c>
      <c r="L4025" t="s">
        <v>285</v>
      </c>
      <c r="M4025" t="str">
        <f t="shared" si="268"/>
        <v>12</v>
      </c>
      <c r="N4025" t="s">
        <v>12</v>
      </c>
    </row>
    <row r="4026" spans="1:14" x14ac:dyDescent="0.25">
      <c r="A4026">
        <v>20151218</v>
      </c>
      <c r="B4026" t="str">
        <f t="shared" si="269"/>
        <v>061632</v>
      </c>
      <c r="C4026" t="str">
        <f t="shared" si="270"/>
        <v>72730</v>
      </c>
      <c r="D4026" t="s">
        <v>1926</v>
      </c>
      <c r="E4026" s="3">
        <v>246.61</v>
      </c>
      <c r="F4026">
        <v>20151216</v>
      </c>
      <c r="G4026" t="s">
        <v>2226</v>
      </c>
      <c r="H4026" t="s">
        <v>3507</v>
      </c>
      <c r="I4026">
        <v>0</v>
      </c>
      <c r="J4026" t="s">
        <v>1709</v>
      </c>
      <c r="K4026" t="s">
        <v>33</v>
      </c>
      <c r="L4026" t="s">
        <v>285</v>
      </c>
      <c r="M4026" t="str">
        <f t="shared" si="268"/>
        <v>12</v>
      </c>
      <c r="N4026" t="s">
        <v>12</v>
      </c>
    </row>
    <row r="4027" spans="1:14" x14ac:dyDescent="0.25">
      <c r="A4027">
        <v>20151218</v>
      </c>
      <c r="B4027" t="str">
        <f t="shared" si="269"/>
        <v>061632</v>
      </c>
      <c r="C4027" t="str">
        <f t="shared" si="270"/>
        <v>72730</v>
      </c>
      <c r="D4027" t="s">
        <v>1926</v>
      </c>
      <c r="E4027" s="3">
        <v>246.61</v>
      </c>
      <c r="F4027">
        <v>20151216</v>
      </c>
      <c r="G4027" t="s">
        <v>2100</v>
      </c>
      <c r="H4027" t="s">
        <v>3507</v>
      </c>
      <c r="I4027">
        <v>0</v>
      </c>
      <c r="J4027" t="s">
        <v>1709</v>
      </c>
      <c r="K4027" t="s">
        <v>33</v>
      </c>
      <c r="L4027" t="s">
        <v>285</v>
      </c>
      <c r="M4027" t="str">
        <f t="shared" si="268"/>
        <v>12</v>
      </c>
      <c r="N4027" t="s">
        <v>12</v>
      </c>
    </row>
    <row r="4028" spans="1:14" x14ac:dyDescent="0.25">
      <c r="A4028">
        <v>20151218</v>
      </c>
      <c r="B4028" t="str">
        <f t="shared" si="269"/>
        <v>061632</v>
      </c>
      <c r="C4028" t="str">
        <f t="shared" si="270"/>
        <v>72730</v>
      </c>
      <c r="D4028" t="s">
        <v>1926</v>
      </c>
      <c r="E4028" s="3">
        <v>1353.24</v>
      </c>
      <c r="F4028">
        <v>20151216</v>
      </c>
      <c r="G4028" t="s">
        <v>2300</v>
      </c>
      <c r="H4028" t="s">
        <v>3508</v>
      </c>
      <c r="I4028">
        <v>0</v>
      </c>
      <c r="J4028" t="s">
        <v>1709</v>
      </c>
      <c r="K4028" t="s">
        <v>290</v>
      </c>
      <c r="L4028" t="s">
        <v>285</v>
      </c>
      <c r="M4028" t="str">
        <f t="shared" si="268"/>
        <v>12</v>
      </c>
      <c r="N4028" t="s">
        <v>12</v>
      </c>
    </row>
    <row r="4029" spans="1:14" x14ac:dyDescent="0.25">
      <c r="A4029">
        <v>20151218</v>
      </c>
      <c r="B4029" t="str">
        <f t="shared" si="269"/>
        <v>061632</v>
      </c>
      <c r="C4029" t="str">
        <f t="shared" si="270"/>
        <v>72730</v>
      </c>
      <c r="D4029" t="s">
        <v>1926</v>
      </c>
      <c r="E4029" s="3">
        <v>197.74</v>
      </c>
      <c r="F4029">
        <v>20151216</v>
      </c>
      <c r="G4029" t="s">
        <v>3180</v>
      </c>
      <c r="H4029" t="s">
        <v>1554</v>
      </c>
      <c r="I4029">
        <v>0</v>
      </c>
      <c r="J4029" t="s">
        <v>1709</v>
      </c>
      <c r="K4029" t="s">
        <v>290</v>
      </c>
      <c r="L4029" t="s">
        <v>285</v>
      </c>
      <c r="M4029" t="str">
        <f t="shared" si="268"/>
        <v>12</v>
      </c>
      <c r="N4029" t="s">
        <v>12</v>
      </c>
    </row>
    <row r="4030" spans="1:14" x14ac:dyDescent="0.25">
      <c r="A4030">
        <v>20151218</v>
      </c>
      <c r="B4030" t="str">
        <f t="shared" si="269"/>
        <v>061632</v>
      </c>
      <c r="C4030" t="str">
        <f t="shared" si="270"/>
        <v>72730</v>
      </c>
      <c r="D4030" t="s">
        <v>1926</v>
      </c>
      <c r="E4030" s="3">
        <v>246.6</v>
      </c>
      <c r="F4030">
        <v>20151216</v>
      </c>
      <c r="G4030" t="s">
        <v>2714</v>
      </c>
      <c r="H4030" t="s">
        <v>3507</v>
      </c>
      <c r="I4030">
        <v>0</v>
      </c>
      <c r="J4030" t="s">
        <v>1709</v>
      </c>
      <c r="K4030" t="s">
        <v>33</v>
      </c>
      <c r="L4030" t="s">
        <v>285</v>
      </c>
      <c r="M4030" t="str">
        <f t="shared" si="268"/>
        <v>12</v>
      </c>
      <c r="N4030" t="s">
        <v>12</v>
      </c>
    </row>
    <row r="4031" spans="1:14" x14ac:dyDescent="0.25">
      <c r="A4031">
        <v>20151218</v>
      </c>
      <c r="B4031" t="str">
        <f t="shared" si="269"/>
        <v>061632</v>
      </c>
      <c r="C4031" t="str">
        <f t="shared" si="270"/>
        <v>72730</v>
      </c>
      <c r="D4031" t="s">
        <v>1926</v>
      </c>
      <c r="E4031" s="3">
        <v>197.56</v>
      </c>
      <c r="F4031">
        <v>20151216</v>
      </c>
      <c r="G4031" t="s">
        <v>2720</v>
      </c>
      <c r="H4031" t="s">
        <v>595</v>
      </c>
      <c r="I4031">
        <v>0</v>
      </c>
      <c r="J4031" t="s">
        <v>1709</v>
      </c>
      <c r="K4031" t="s">
        <v>2194</v>
      </c>
      <c r="L4031" t="s">
        <v>285</v>
      </c>
      <c r="M4031" t="str">
        <f t="shared" ref="M4031:M4045" si="271">"12"</f>
        <v>12</v>
      </c>
      <c r="N4031" t="s">
        <v>12</v>
      </c>
    </row>
    <row r="4032" spans="1:14" x14ac:dyDescent="0.25">
      <c r="A4032">
        <v>20151218</v>
      </c>
      <c r="B4032" t="str">
        <f t="shared" si="269"/>
        <v>061632</v>
      </c>
      <c r="C4032" t="str">
        <f t="shared" si="270"/>
        <v>72730</v>
      </c>
      <c r="D4032" t="s">
        <v>1926</v>
      </c>
      <c r="E4032" s="3">
        <v>15.07</v>
      </c>
      <c r="F4032">
        <v>20151216</v>
      </c>
      <c r="G4032" t="s">
        <v>2720</v>
      </c>
      <c r="H4032" t="s">
        <v>3509</v>
      </c>
      <c r="I4032">
        <v>0</v>
      </c>
      <c r="J4032" t="s">
        <v>1709</v>
      </c>
      <c r="K4032" t="s">
        <v>2194</v>
      </c>
      <c r="L4032" t="s">
        <v>285</v>
      </c>
      <c r="M4032" t="str">
        <f t="shared" si="271"/>
        <v>12</v>
      </c>
      <c r="N4032" t="s">
        <v>12</v>
      </c>
    </row>
    <row r="4033" spans="1:14" x14ac:dyDescent="0.25">
      <c r="A4033">
        <v>20151218</v>
      </c>
      <c r="B4033" t="str">
        <f>"061633"</f>
        <v>061633</v>
      </c>
      <c r="C4033" t="str">
        <f>"74244"</f>
        <v>74244</v>
      </c>
      <c r="D4033" t="s">
        <v>3510</v>
      </c>
      <c r="E4033" s="3">
        <v>46.92</v>
      </c>
      <c r="F4033">
        <v>20151217</v>
      </c>
      <c r="G4033" t="s">
        <v>3469</v>
      </c>
      <c r="H4033" t="s">
        <v>3511</v>
      </c>
      <c r="I4033">
        <v>0</v>
      </c>
      <c r="J4033" t="s">
        <v>1709</v>
      </c>
      <c r="K4033" t="s">
        <v>95</v>
      </c>
      <c r="L4033" t="s">
        <v>285</v>
      </c>
      <c r="M4033" t="str">
        <f t="shared" si="271"/>
        <v>12</v>
      </c>
      <c r="N4033" t="s">
        <v>12</v>
      </c>
    </row>
    <row r="4034" spans="1:14" x14ac:dyDescent="0.25">
      <c r="A4034">
        <v>20151218</v>
      </c>
      <c r="B4034" t="str">
        <f>"061634"</f>
        <v>061634</v>
      </c>
      <c r="C4034" t="str">
        <f>"78311"</f>
        <v>78311</v>
      </c>
      <c r="D4034" t="s">
        <v>458</v>
      </c>
      <c r="E4034" s="3">
        <v>29.33</v>
      </c>
      <c r="F4034">
        <v>20151217</v>
      </c>
      <c r="G4034" t="s">
        <v>2642</v>
      </c>
      <c r="H4034" t="s">
        <v>2641</v>
      </c>
      <c r="I4034">
        <v>0</v>
      </c>
      <c r="J4034" t="s">
        <v>1709</v>
      </c>
      <c r="K4034" t="s">
        <v>290</v>
      </c>
      <c r="L4034" t="s">
        <v>285</v>
      </c>
      <c r="M4034" t="str">
        <f t="shared" si="271"/>
        <v>12</v>
      </c>
      <c r="N4034" t="s">
        <v>12</v>
      </c>
    </row>
    <row r="4035" spans="1:14" x14ac:dyDescent="0.25">
      <c r="A4035">
        <v>20151218</v>
      </c>
      <c r="B4035" t="str">
        <f>"061634"</f>
        <v>061634</v>
      </c>
      <c r="C4035" t="str">
        <f>"78311"</f>
        <v>78311</v>
      </c>
      <c r="D4035" t="s">
        <v>458</v>
      </c>
      <c r="E4035" s="3">
        <v>14.21</v>
      </c>
      <c r="F4035">
        <v>20151217</v>
      </c>
      <c r="G4035" t="s">
        <v>1710</v>
      </c>
      <c r="H4035" t="s">
        <v>2744</v>
      </c>
      <c r="I4035">
        <v>0</v>
      </c>
      <c r="J4035" t="s">
        <v>1709</v>
      </c>
      <c r="K4035" t="s">
        <v>290</v>
      </c>
      <c r="L4035" t="s">
        <v>285</v>
      </c>
      <c r="M4035" t="str">
        <f t="shared" si="271"/>
        <v>12</v>
      </c>
      <c r="N4035" t="s">
        <v>12</v>
      </c>
    </row>
    <row r="4036" spans="1:14" x14ac:dyDescent="0.25">
      <c r="A4036">
        <v>20151218</v>
      </c>
      <c r="B4036" t="str">
        <f>"061634"</f>
        <v>061634</v>
      </c>
      <c r="C4036" t="str">
        <f>"78311"</f>
        <v>78311</v>
      </c>
      <c r="D4036" t="s">
        <v>458</v>
      </c>
      <c r="E4036" s="3">
        <v>21.61</v>
      </c>
      <c r="F4036">
        <v>20151217</v>
      </c>
      <c r="G4036" t="s">
        <v>1710</v>
      </c>
      <c r="H4036" t="s">
        <v>3512</v>
      </c>
      <c r="I4036">
        <v>0</v>
      </c>
      <c r="J4036" t="s">
        <v>1709</v>
      </c>
      <c r="K4036" t="s">
        <v>290</v>
      </c>
      <c r="L4036" t="s">
        <v>285</v>
      </c>
      <c r="M4036" t="str">
        <f t="shared" si="271"/>
        <v>12</v>
      </c>
      <c r="N4036" t="s">
        <v>12</v>
      </c>
    </row>
    <row r="4037" spans="1:14" x14ac:dyDescent="0.25">
      <c r="A4037">
        <v>20151218</v>
      </c>
      <c r="B4037" t="str">
        <f>"061636"</f>
        <v>061636</v>
      </c>
      <c r="C4037" t="str">
        <f>"80389"</f>
        <v>80389</v>
      </c>
      <c r="D4037" t="s">
        <v>2032</v>
      </c>
      <c r="E4037" s="3">
        <v>84.58</v>
      </c>
      <c r="F4037">
        <v>20151217</v>
      </c>
      <c r="G4037" t="s">
        <v>2033</v>
      </c>
      <c r="H4037" t="s">
        <v>3513</v>
      </c>
      <c r="I4037">
        <v>0</v>
      </c>
      <c r="J4037" t="s">
        <v>1709</v>
      </c>
      <c r="K4037" t="s">
        <v>1984</v>
      </c>
      <c r="L4037" t="s">
        <v>285</v>
      </c>
      <c r="M4037" t="str">
        <f t="shared" si="271"/>
        <v>12</v>
      </c>
      <c r="N4037" t="s">
        <v>12</v>
      </c>
    </row>
    <row r="4038" spans="1:14" x14ac:dyDescent="0.25">
      <c r="A4038">
        <v>20151218</v>
      </c>
      <c r="B4038" t="str">
        <f>"061636"</f>
        <v>061636</v>
      </c>
      <c r="C4038" t="str">
        <f>"80389"</f>
        <v>80389</v>
      </c>
      <c r="D4038" t="s">
        <v>2032</v>
      </c>
      <c r="E4038" s="3">
        <v>894.61</v>
      </c>
      <c r="F4038">
        <v>20151217</v>
      </c>
      <c r="G4038" t="s">
        <v>2035</v>
      </c>
      <c r="H4038" t="s">
        <v>3514</v>
      </c>
      <c r="I4038">
        <v>0</v>
      </c>
      <c r="J4038" t="s">
        <v>1709</v>
      </c>
      <c r="K4038" t="s">
        <v>1984</v>
      </c>
      <c r="L4038" t="s">
        <v>285</v>
      </c>
      <c r="M4038" t="str">
        <f t="shared" si="271"/>
        <v>12</v>
      </c>
      <c r="N4038" t="s">
        <v>12</v>
      </c>
    </row>
    <row r="4039" spans="1:14" x14ac:dyDescent="0.25">
      <c r="A4039">
        <v>20151218</v>
      </c>
      <c r="B4039" t="str">
        <f>"061636"</f>
        <v>061636</v>
      </c>
      <c r="C4039" t="str">
        <f>"80389"</f>
        <v>80389</v>
      </c>
      <c r="D4039" t="s">
        <v>2032</v>
      </c>
      <c r="E4039" s="3">
        <v>1435.01</v>
      </c>
      <c r="F4039">
        <v>20151217</v>
      </c>
      <c r="G4039" t="s">
        <v>2037</v>
      </c>
      <c r="H4039" t="s">
        <v>3515</v>
      </c>
      <c r="I4039">
        <v>0</v>
      </c>
      <c r="J4039" t="s">
        <v>1709</v>
      </c>
      <c r="K4039" t="s">
        <v>1984</v>
      </c>
      <c r="L4039" t="s">
        <v>285</v>
      </c>
      <c r="M4039" t="str">
        <f t="shared" si="271"/>
        <v>12</v>
      </c>
      <c r="N4039" t="s">
        <v>12</v>
      </c>
    </row>
    <row r="4040" spans="1:14" x14ac:dyDescent="0.25">
      <c r="A4040">
        <v>20151218</v>
      </c>
      <c r="B4040" t="str">
        <f t="shared" ref="B4040:B4045" si="272">"061638"</f>
        <v>061638</v>
      </c>
      <c r="C4040" t="str">
        <f t="shared" ref="C4040:C4045" si="273">"80481"</f>
        <v>80481</v>
      </c>
      <c r="D4040" t="s">
        <v>1935</v>
      </c>
      <c r="E4040" s="3">
        <v>74</v>
      </c>
      <c r="F4040">
        <v>20151217</v>
      </c>
      <c r="G4040" t="s">
        <v>1938</v>
      </c>
      <c r="H4040" t="s">
        <v>2868</v>
      </c>
      <c r="I4040">
        <v>0</v>
      </c>
      <c r="J4040" t="s">
        <v>1709</v>
      </c>
      <c r="K4040" t="s">
        <v>1643</v>
      </c>
      <c r="L4040" t="s">
        <v>285</v>
      </c>
      <c r="M4040" t="str">
        <f t="shared" si="271"/>
        <v>12</v>
      </c>
      <c r="N4040" t="s">
        <v>12</v>
      </c>
    </row>
    <row r="4041" spans="1:14" x14ac:dyDescent="0.25">
      <c r="A4041">
        <v>20151218</v>
      </c>
      <c r="B4041" t="str">
        <f t="shared" si="272"/>
        <v>061638</v>
      </c>
      <c r="C4041" t="str">
        <f t="shared" si="273"/>
        <v>80481</v>
      </c>
      <c r="D4041" t="s">
        <v>1935</v>
      </c>
      <c r="E4041" s="3">
        <v>74</v>
      </c>
      <c r="F4041">
        <v>20151217</v>
      </c>
      <c r="G4041" t="s">
        <v>1939</v>
      </c>
      <c r="H4041" t="s">
        <v>2868</v>
      </c>
      <c r="I4041">
        <v>0</v>
      </c>
      <c r="J4041" t="s">
        <v>1709</v>
      </c>
      <c r="K4041" t="s">
        <v>33</v>
      </c>
      <c r="L4041" t="s">
        <v>285</v>
      </c>
      <c r="M4041" t="str">
        <f t="shared" si="271"/>
        <v>12</v>
      </c>
      <c r="N4041" t="s">
        <v>12</v>
      </c>
    </row>
    <row r="4042" spans="1:14" x14ac:dyDescent="0.25">
      <c r="A4042">
        <v>20151218</v>
      </c>
      <c r="B4042" t="str">
        <f t="shared" si="272"/>
        <v>061638</v>
      </c>
      <c r="C4042" t="str">
        <f t="shared" si="273"/>
        <v>80481</v>
      </c>
      <c r="D4042" t="s">
        <v>1935</v>
      </c>
      <c r="E4042" s="3">
        <v>74</v>
      </c>
      <c r="F4042">
        <v>20151217</v>
      </c>
      <c r="G4042" t="s">
        <v>1940</v>
      </c>
      <c r="H4042" t="s">
        <v>2868</v>
      </c>
      <c r="I4042">
        <v>0</v>
      </c>
      <c r="J4042" t="s">
        <v>1709</v>
      </c>
      <c r="K4042" t="s">
        <v>290</v>
      </c>
      <c r="L4042" t="s">
        <v>285</v>
      </c>
      <c r="M4042" t="str">
        <f t="shared" si="271"/>
        <v>12</v>
      </c>
      <c r="N4042" t="s">
        <v>12</v>
      </c>
    </row>
    <row r="4043" spans="1:14" x14ac:dyDescent="0.25">
      <c r="A4043">
        <v>20151218</v>
      </c>
      <c r="B4043" t="str">
        <f t="shared" si="272"/>
        <v>061638</v>
      </c>
      <c r="C4043" t="str">
        <f t="shared" si="273"/>
        <v>80481</v>
      </c>
      <c r="D4043" t="s">
        <v>1935</v>
      </c>
      <c r="E4043" s="3">
        <v>74</v>
      </c>
      <c r="F4043">
        <v>20151217</v>
      </c>
      <c r="G4043" t="s">
        <v>1940</v>
      </c>
      <c r="H4043" t="s">
        <v>2868</v>
      </c>
      <c r="I4043">
        <v>0</v>
      </c>
      <c r="J4043" t="s">
        <v>1709</v>
      </c>
      <c r="K4043" t="s">
        <v>290</v>
      </c>
      <c r="L4043" t="s">
        <v>285</v>
      </c>
      <c r="M4043" t="str">
        <f t="shared" si="271"/>
        <v>12</v>
      </c>
      <c r="N4043" t="s">
        <v>12</v>
      </c>
    </row>
    <row r="4044" spans="1:14" x14ac:dyDescent="0.25">
      <c r="A4044">
        <v>20151218</v>
      </c>
      <c r="B4044" t="str">
        <f t="shared" si="272"/>
        <v>061638</v>
      </c>
      <c r="C4044" t="str">
        <f t="shared" si="273"/>
        <v>80481</v>
      </c>
      <c r="D4044" t="s">
        <v>1935</v>
      </c>
      <c r="E4044" s="3">
        <v>136.37</v>
      </c>
      <c r="F4044">
        <v>20151217</v>
      </c>
      <c r="G4044" t="s">
        <v>1941</v>
      </c>
      <c r="H4044" t="s">
        <v>2868</v>
      </c>
      <c r="I4044">
        <v>0</v>
      </c>
      <c r="J4044" t="s">
        <v>1709</v>
      </c>
      <c r="K4044" t="s">
        <v>1942</v>
      </c>
      <c r="L4044" t="s">
        <v>285</v>
      </c>
      <c r="M4044" t="str">
        <f t="shared" si="271"/>
        <v>12</v>
      </c>
      <c r="N4044" t="s">
        <v>12</v>
      </c>
    </row>
    <row r="4045" spans="1:14" x14ac:dyDescent="0.25">
      <c r="A4045">
        <v>20151218</v>
      </c>
      <c r="B4045" t="str">
        <f t="shared" si="272"/>
        <v>061638</v>
      </c>
      <c r="C4045" t="str">
        <f t="shared" si="273"/>
        <v>80481</v>
      </c>
      <c r="D4045" t="s">
        <v>1935</v>
      </c>
      <c r="E4045" s="3">
        <v>93.55</v>
      </c>
      <c r="F4045">
        <v>20151217</v>
      </c>
      <c r="G4045" t="s">
        <v>1941</v>
      </c>
      <c r="H4045" t="s">
        <v>2868</v>
      </c>
      <c r="I4045">
        <v>0</v>
      </c>
      <c r="J4045" t="s">
        <v>1709</v>
      </c>
      <c r="K4045" t="s">
        <v>1942</v>
      </c>
      <c r="L4045" t="s">
        <v>285</v>
      </c>
      <c r="M4045" t="str">
        <f t="shared" si="271"/>
        <v>12</v>
      </c>
      <c r="N4045" t="s">
        <v>12</v>
      </c>
    </row>
    <row r="4046" spans="1:14" x14ac:dyDescent="0.25">
      <c r="A4046">
        <v>20160105</v>
      </c>
      <c r="B4046" t="str">
        <f>"061650"</f>
        <v>061650</v>
      </c>
      <c r="C4046" t="str">
        <f>"82126"</f>
        <v>82126</v>
      </c>
      <c r="D4046" t="s">
        <v>1800</v>
      </c>
      <c r="E4046" s="3">
        <v>210</v>
      </c>
      <c r="F4046">
        <v>20160113</v>
      </c>
      <c r="G4046" t="s">
        <v>2188</v>
      </c>
      <c r="H4046" t="s">
        <v>3516</v>
      </c>
      <c r="I4046">
        <v>0</v>
      </c>
      <c r="J4046" t="s">
        <v>1709</v>
      </c>
      <c r="K4046" t="s">
        <v>95</v>
      </c>
      <c r="L4046" t="s">
        <v>17</v>
      </c>
      <c r="M4046" t="str">
        <f t="shared" ref="M4046:M4061" si="274">"01"</f>
        <v>01</v>
      </c>
      <c r="N4046" t="s">
        <v>12</v>
      </c>
    </row>
    <row r="4047" spans="1:14" x14ac:dyDescent="0.25">
      <c r="A4047">
        <v>20160105</v>
      </c>
      <c r="B4047" t="str">
        <f>"061651"</f>
        <v>061651</v>
      </c>
      <c r="C4047" t="str">
        <f>"76489"</f>
        <v>76489</v>
      </c>
      <c r="D4047" t="s">
        <v>3517</v>
      </c>
      <c r="E4047" s="3">
        <v>200</v>
      </c>
      <c r="F4047">
        <v>20160113</v>
      </c>
      <c r="G4047" t="s">
        <v>3518</v>
      </c>
      <c r="H4047" t="s">
        <v>3519</v>
      </c>
      <c r="I4047">
        <v>0</v>
      </c>
      <c r="J4047" t="s">
        <v>1709</v>
      </c>
      <c r="K4047" t="s">
        <v>33</v>
      </c>
      <c r="L4047" t="s">
        <v>17</v>
      </c>
      <c r="M4047" t="str">
        <f t="shared" si="274"/>
        <v>01</v>
      </c>
      <c r="N4047" t="s">
        <v>12</v>
      </c>
    </row>
    <row r="4048" spans="1:14" x14ac:dyDescent="0.25">
      <c r="A4048">
        <v>20160105</v>
      </c>
      <c r="B4048" t="str">
        <f>"061651"</f>
        <v>061651</v>
      </c>
      <c r="C4048" t="str">
        <f>"76489"</f>
        <v>76489</v>
      </c>
      <c r="D4048" t="s">
        <v>3517</v>
      </c>
      <c r="E4048" s="3">
        <v>335</v>
      </c>
      <c r="F4048">
        <v>20160113</v>
      </c>
      <c r="G4048" t="s">
        <v>3520</v>
      </c>
      <c r="H4048" t="s">
        <v>3519</v>
      </c>
      <c r="I4048">
        <v>0</v>
      </c>
      <c r="J4048" t="s">
        <v>1709</v>
      </c>
      <c r="K4048" t="s">
        <v>1643</v>
      </c>
      <c r="L4048" t="s">
        <v>17</v>
      </c>
      <c r="M4048" t="str">
        <f t="shared" si="274"/>
        <v>01</v>
      </c>
      <c r="N4048" t="s">
        <v>12</v>
      </c>
    </row>
    <row r="4049" spans="1:14" x14ac:dyDescent="0.25">
      <c r="A4049">
        <v>20160107</v>
      </c>
      <c r="B4049" t="str">
        <f>"061655"</f>
        <v>061655</v>
      </c>
      <c r="C4049" t="str">
        <f>"14181"</f>
        <v>14181</v>
      </c>
      <c r="D4049" t="s">
        <v>3521</v>
      </c>
      <c r="E4049" s="3">
        <v>100</v>
      </c>
      <c r="F4049">
        <v>20160113</v>
      </c>
      <c r="G4049" t="s">
        <v>3522</v>
      </c>
      <c r="H4049" t="s">
        <v>3523</v>
      </c>
      <c r="I4049">
        <v>0</v>
      </c>
      <c r="J4049" t="s">
        <v>1709</v>
      </c>
      <c r="K4049" t="s">
        <v>1882</v>
      </c>
      <c r="L4049" t="s">
        <v>17</v>
      </c>
      <c r="M4049" t="str">
        <f t="shared" si="274"/>
        <v>01</v>
      </c>
      <c r="N4049" t="s">
        <v>12</v>
      </c>
    </row>
    <row r="4050" spans="1:14" x14ac:dyDescent="0.25">
      <c r="A4050">
        <v>20160107</v>
      </c>
      <c r="B4050" t="str">
        <f>"061656"</f>
        <v>061656</v>
      </c>
      <c r="C4050" t="str">
        <f>"56451"</f>
        <v>56451</v>
      </c>
      <c r="D4050" t="s">
        <v>1620</v>
      </c>
      <c r="E4050" s="3">
        <v>263.58999999999997</v>
      </c>
      <c r="F4050">
        <v>20160113</v>
      </c>
      <c r="G4050" t="s">
        <v>1880</v>
      </c>
      <c r="H4050" t="s">
        <v>3524</v>
      </c>
      <c r="I4050">
        <v>0</v>
      </c>
      <c r="J4050" t="s">
        <v>1709</v>
      </c>
      <c r="K4050" t="s">
        <v>1882</v>
      </c>
      <c r="L4050" t="s">
        <v>17</v>
      </c>
      <c r="M4050" t="str">
        <f t="shared" si="274"/>
        <v>01</v>
      </c>
      <c r="N4050" t="s">
        <v>12</v>
      </c>
    </row>
    <row r="4051" spans="1:14" x14ac:dyDescent="0.25">
      <c r="A4051">
        <v>20160107</v>
      </c>
      <c r="B4051" t="str">
        <f>"061657"</f>
        <v>061657</v>
      </c>
      <c r="C4051" t="str">
        <f>"42212"</f>
        <v>42212</v>
      </c>
      <c r="D4051" t="s">
        <v>2513</v>
      </c>
      <c r="E4051" s="3">
        <v>225</v>
      </c>
      <c r="F4051">
        <v>20160113</v>
      </c>
      <c r="G4051" t="s">
        <v>2893</v>
      </c>
      <c r="H4051" t="s">
        <v>3213</v>
      </c>
      <c r="I4051">
        <v>0</v>
      </c>
      <c r="J4051" t="s">
        <v>1709</v>
      </c>
      <c r="K4051" t="s">
        <v>290</v>
      </c>
      <c r="L4051" t="s">
        <v>17</v>
      </c>
      <c r="M4051" t="str">
        <f t="shared" si="274"/>
        <v>01</v>
      </c>
      <c r="N4051" t="s">
        <v>12</v>
      </c>
    </row>
    <row r="4052" spans="1:14" x14ac:dyDescent="0.25">
      <c r="A4052">
        <v>20160107</v>
      </c>
      <c r="B4052" t="str">
        <f>"061658"</f>
        <v>061658</v>
      </c>
      <c r="C4052" t="str">
        <f>"62105"</f>
        <v>62105</v>
      </c>
      <c r="D4052" t="s">
        <v>3525</v>
      </c>
      <c r="E4052" s="3">
        <v>293.45</v>
      </c>
      <c r="F4052">
        <v>20160113</v>
      </c>
      <c r="G4052" t="s">
        <v>1712</v>
      </c>
      <c r="H4052" t="s">
        <v>1713</v>
      </c>
      <c r="I4052">
        <v>0</v>
      </c>
      <c r="J4052" t="s">
        <v>1709</v>
      </c>
      <c r="K4052" t="s">
        <v>290</v>
      </c>
      <c r="L4052" t="s">
        <v>17</v>
      </c>
      <c r="M4052" t="str">
        <f t="shared" si="274"/>
        <v>01</v>
      </c>
      <c r="N4052" t="s">
        <v>12</v>
      </c>
    </row>
    <row r="4053" spans="1:14" x14ac:dyDescent="0.25">
      <c r="A4053">
        <v>20160107</v>
      </c>
      <c r="B4053" t="str">
        <f>"061658"</f>
        <v>061658</v>
      </c>
      <c r="C4053" t="str">
        <f>"62105"</f>
        <v>62105</v>
      </c>
      <c r="D4053" t="s">
        <v>3525</v>
      </c>
      <c r="E4053" s="3">
        <v>94.13</v>
      </c>
      <c r="F4053">
        <v>20160113</v>
      </c>
      <c r="G4053" t="s">
        <v>3526</v>
      </c>
      <c r="H4053" t="s">
        <v>1713</v>
      </c>
      <c r="I4053">
        <v>0</v>
      </c>
      <c r="J4053" t="s">
        <v>1709</v>
      </c>
      <c r="K4053" t="s">
        <v>290</v>
      </c>
      <c r="L4053" t="s">
        <v>17</v>
      </c>
      <c r="M4053" t="str">
        <f t="shared" si="274"/>
        <v>01</v>
      </c>
      <c r="N4053" t="s">
        <v>12</v>
      </c>
    </row>
    <row r="4054" spans="1:14" x14ac:dyDescent="0.25">
      <c r="A4054">
        <v>20160107</v>
      </c>
      <c r="B4054" t="str">
        <f>"061659"</f>
        <v>061659</v>
      </c>
      <c r="C4054" t="str">
        <f>"08770"</f>
        <v>08770</v>
      </c>
      <c r="D4054" t="s">
        <v>3527</v>
      </c>
      <c r="E4054" s="3">
        <v>325</v>
      </c>
      <c r="F4054">
        <v>20160113</v>
      </c>
      <c r="G4054" t="s">
        <v>3528</v>
      </c>
      <c r="H4054" t="s">
        <v>3529</v>
      </c>
      <c r="I4054">
        <v>0</v>
      </c>
      <c r="J4054" t="s">
        <v>1709</v>
      </c>
      <c r="K4054" t="s">
        <v>290</v>
      </c>
      <c r="L4054" t="s">
        <v>17</v>
      </c>
      <c r="M4054" t="str">
        <f t="shared" si="274"/>
        <v>01</v>
      </c>
      <c r="N4054" t="s">
        <v>12</v>
      </c>
    </row>
    <row r="4055" spans="1:14" x14ac:dyDescent="0.25">
      <c r="A4055">
        <v>20160107</v>
      </c>
      <c r="B4055" t="str">
        <f>"061659"</f>
        <v>061659</v>
      </c>
      <c r="C4055" t="str">
        <f>"08770"</f>
        <v>08770</v>
      </c>
      <c r="D4055" t="s">
        <v>3527</v>
      </c>
      <c r="E4055" s="3">
        <v>25</v>
      </c>
      <c r="F4055">
        <v>20160113</v>
      </c>
      <c r="G4055" t="s">
        <v>3528</v>
      </c>
      <c r="H4055" t="s">
        <v>3529</v>
      </c>
      <c r="I4055">
        <v>0</v>
      </c>
      <c r="J4055" t="s">
        <v>1709</v>
      </c>
      <c r="K4055" t="s">
        <v>290</v>
      </c>
      <c r="L4055" t="s">
        <v>17</v>
      </c>
      <c r="M4055" t="str">
        <f t="shared" si="274"/>
        <v>01</v>
      </c>
      <c r="N4055" t="s">
        <v>12</v>
      </c>
    </row>
    <row r="4056" spans="1:14" x14ac:dyDescent="0.25">
      <c r="A4056">
        <v>20160107</v>
      </c>
      <c r="B4056" t="str">
        <f>"061659"</f>
        <v>061659</v>
      </c>
      <c r="C4056" t="str">
        <f>"08770"</f>
        <v>08770</v>
      </c>
      <c r="D4056" t="s">
        <v>3527</v>
      </c>
      <c r="E4056" s="3">
        <v>375</v>
      </c>
      <c r="F4056">
        <v>20160113</v>
      </c>
      <c r="G4056" t="s">
        <v>3528</v>
      </c>
      <c r="H4056" t="s">
        <v>3529</v>
      </c>
      <c r="I4056">
        <v>0</v>
      </c>
      <c r="J4056" t="s">
        <v>1709</v>
      </c>
      <c r="K4056" t="s">
        <v>290</v>
      </c>
      <c r="L4056" t="s">
        <v>17</v>
      </c>
      <c r="M4056" t="str">
        <f t="shared" si="274"/>
        <v>01</v>
      </c>
      <c r="N4056" t="s">
        <v>12</v>
      </c>
    </row>
    <row r="4057" spans="1:14" x14ac:dyDescent="0.25">
      <c r="A4057">
        <v>20160107</v>
      </c>
      <c r="B4057" t="str">
        <f>"061659"</f>
        <v>061659</v>
      </c>
      <c r="C4057" t="str">
        <f>"08770"</f>
        <v>08770</v>
      </c>
      <c r="D4057" t="s">
        <v>3527</v>
      </c>
      <c r="E4057" s="3">
        <v>350</v>
      </c>
      <c r="F4057">
        <v>20160113</v>
      </c>
      <c r="G4057" t="s">
        <v>3528</v>
      </c>
      <c r="H4057" t="s">
        <v>3529</v>
      </c>
      <c r="I4057">
        <v>0</v>
      </c>
      <c r="J4057" t="s">
        <v>1709</v>
      </c>
      <c r="K4057" t="s">
        <v>290</v>
      </c>
      <c r="L4057" t="s">
        <v>17</v>
      </c>
      <c r="M4057" t="str">
        <f t="shared" si="274"/>
        <v>01</v>
      </c>
      <c r="N4057" t="s">
        <v>12</v>
      </c>
    </row>
    <row r="4058" spans="1:14" x14ac:dyDescent="0.25">
      <c r="A4058">
        <v>20160107</v>
      </c>
      <c r="B4058" t="str">
        <f>"061660"</f>
        <v>061660</v>
      </c>
      <c r="C4058" t="str">
        <f>"41864"</f>
        <v>41864</v>
      </c>
      <c r="D4058" t="s">
        <v>3530</v>
      </c>
      <c r="E4058" s="3">
        <v>325</v>
      </c>
      <c r="F4058">
        <v>20160113</v>
      </c>
      <c r="G4058" t="s">
        <v>1957</v>
      </c>
      <c r="H4058" t="s">
        <v>3531</v>
      </c>
      <c r="I4058">
        <v>0</v>
      </c>
      <c r="J4058" t="s">
        <v>1709</v>
      </c>
      <c r="K4058" t="s">
        <v>290</v>
      </c>
      <c r="L4058" t="s">
        <v>17</v>
      </c>
      <c r="M4058" t="str">
        <f t="shared" si="274"/>
        <v>01</v>
      </c>
      <c r="N4058" t="s">
        <v>12</v>
      </c>
    </row>
    <row r="4059" spans="1:14" x14ac:dyDescent="0.25">
      <c r="A4059">
        <v>20160107</v>
      </c>
      <c r="B4059" t="str">
        <f>"061661"</f>
        <v>061661</v>
      </c>
      <c r="C4059" t="str">
        <f>"06893"</f>
        <v>06893</v>
      </c>
      <c r="D4059" t="s">
        <v>1956</v>
      </c>
      <c r="E4059" s="3">
        <v>390</v>
      </c>
      <c r="F4059">
        <v>20160113</v>
      </c>
      <c r="G4059" t="s">
        <v>1957</v>
      </c>
      <c r="H4059" t="s">
        <v>3531</v>
      </c>
      <c r="I4059">
        <v>0</v>
      </c>
      <c r="J4059" t="s">
        <v>1709</v>
      </c>
      <c r="K4059" t="s">
        <v>290</v>
      </c>
      <c r="L4059" t="s">
        <v>17</v>
      </c>
      <c r="M4059" t="str">
        <f t="shared" si="274"/>
        <v>01</v>
      </c>
      <c r="N4059" t="s">
        <v>12</v>
      </c>
    </row>
    <row r="4060" spans="1:14" x14ac:dyDescent="0.25">
      <c r="A4060">
        <v>20160107</v>
      </c>
      <c r="B4060" t="str">
        <f>"061662"</f>
        <v>061662</v>
      </c>
      <c r="C4060" t="str">
        <f>"56451"</f>
        <v>56451</v>
      </c>
      <c r="D4060" t="s">
        <v>1620</v>
      </c>
      <c r="E4060" s="3">
        <v>328.93</v>
      </c>
      <c r="F4060">
        <v>20160113</v>
      </c>
      <c r="G4060" t="s">
        <v>3532</v>
      </c>
      <c r="H4060" t="s">
        <v>3533</v>
      </c>
      <c r="I4060">
        <v>0</v>
      </c>
      <c r="J4060" t="s">
        <v>1709</v>
      </c>
      <c r="K4060" t="s">
        <v>290</v>
      </c>
      <c r="L4060" t="s">
        <v>17</v>
      </c>
      <c r="M4060" t="str">
        <f t="shared" si="274"/>
        <v>01</v>
      </c>
      <c r="N4060" t="s">
        <v>12</v>
      </c>
    </row>
    <row r="4061" spans="1:14" x14ac:dyDescent="0.25">
      <c r="A4061">
        <v>20160107</v>
      </c>
      <c r="B4061" t="str">
        <f>"061663"</f>
        <v>061663</v>
      </c>
      <c r="C4061" t="str">
        <f>"30155"</f>
        <v>30155</v>
      </c>
      <c r="D4061" t="s">
        <v>944</v>
      </c>
      <c r="E4061" s="3">
        <v>400</v>
      </c>
      <c r="F4061">
        <v>20160113</v>
      </c>
      <c r="G4061" t="s">
        <v>3534</v>
      </c>
      <c r="H4061" t="s">
        <v>3535</v>
      </c>
      <c r="I4061">
        <v>0</v>
      </c>
      <c r="J4061" t="s">
        <v>1709</v>
      </c>
      <c r="K4061" t="s">
        <v>290</v>
      </c>
      <c r="L4061" t="s">
        <v>17</v>
      </c>
      <c r="M4061" t="str">
        <f t="shared" si="274"/>
        <v>01</v>
      </c>
      <c r="N4061" t="s">
        <v>12</v>
      </c>
    </row>
    <row r="4062" spans="1:14" x14ac:dyDescent="0.25">
      <c r="A4062">
        <v>20160107</v>
      </c>
      <c r="B4062" t="str">
        <f>"061663"</f>
        <v>061663</v>
      </c>
      <c r="C4062" t="str">
        <f>"30155"</f>
        <v>30155</v>
      </c>
      <c r="D4062" t="s">
        <v>944</v>
      </c>
      <c r="E4062" s="3">
        <v>-400</v>
      </c>
      <c r="F4062">
        <v>20160217</v>
      </c>
      <c r="G4062" t="s">
        <v>3534</v>
      </c>
      <c r="H4062" t="s">
        <v>3536</v>
      </c>
      <c r="I4062">
        <v>0</v>
      </c>
      <c r="J4062" t="s">
        <v>1709</v>
      </c>
      <c r="K4062" t="s">
        <v>290</v>
      </c>
      <c r="L4062" t="s">
        <v>17</v>
      </c>
      <c r="M4062" t="str">
        <f>"02"</f>
        <v>02</v>
      </c>
      <c r="N4062" t="s">
        <v>12</v>
      </c>
    </row>
    <row r="4063" spans="1:14" x14ac:dyDescent="0.25">
      <c r="A4063">
        <v>20160107</v>
      </c>
      <c r="B4063" t="str">
        <f>"061664"</f>
        <v>061664</v>
      </c>
      <c r="C4063" t="str">
        <f>"40565"</f>
        <v>40565</v>
      </c>
      <c r="D4063" t="s">
        <v>3537</v>
      </c>
      <c r="E4063" s="3">
        <v>240</v>
      </c>
      <c r="F4063">
        <v>20160113</v>
      </c>
      <c r="G4063" t="s">
        <v>2929</v>
      </c>
      <c r="H4063" t="s">
        <v>3538</v>
      </c>
      <c r="I4063">
        <v>0</v>
      </c>
      <c r="J4063" t="s">
        <v>1709</v>
      </c>
      <c r="K4063" t="s">
        <v>290</v>
      </c>
      <c r="L4063" t="s">
        <v>17</v>
      </c>
      <c r="M4063" t="str">
        <f t="shared" ref="M4063:M4069" si="275">"01"</f>
        <v>01</v>
      </c>
      <c r="N4063" t="s">
        <v>12</v>
      </c>
    </row>
    <row r="4064" spans="1:14" x14ac:dyDescent="0.25">
      <c r="A4064">
        <v>20160107</v>
      </c>
      <c r="B4064" t="str">
        <f>"061665"</f>
        <v>061665</v>
      </c>
      <c r="C4064" t="str">
        <f>"37805"</f>
        <v>37805</v>
      </c>
      <c r="D4064" t="s">
        <v>2669</v>
      </c>
      <c r="E4064" s="3">
        <v>8.33</v>
      </c>
      <c r="F4064">
        <v>20160113</v>
      </c>
      <c r="G4064" t="s">
        <v>1738</v>
      </c>
      <c r="H4064" t="s">
        <v>3159</v>
      </c>
      <c r="I4064">
        <v>0</v>
      </c>
      <c r="J4064" t="s">
        <v>1709</v>
      </c>
      <c r="K4064" t="s">
        <v>290</v>
      </c>
      <c r="L4064" t="s">
        <v>17</v>
      </c>
      <c r="M4064" t="str">
        <f t="shared" si="275"/>
        <v>01</v>
      </c>
      <c r="N4064" t="s">
        <v>12</v>
      </c>
    </row>
    <row r="4065" spans="1:14" x14ac:dyDescent="0.25">
      <c r="A4065">
        <v>20160107</v>
      </c>
      <c r="B4065" t="str">
        <f>"061665"</f>
        <v>061665</v>
      </c>
      <c r="C4065" t="str">
        <f>"37805"</f>
        <v>37805</v>
      </c>
      <c r="D4065" t="s">
        <v>2669</v>
      </c>
      <c r="E4065" s="3">
        <v>125</v>
      </c>
      <c r="F4065">
        <v>20160113</v>
      </c>
      <c r="G4065" t="s">
        <v>1739</v>
      </c>
      <c r="H4065" t="s">
        <v>3159</v>
      </c>
      <c r="I4065">
        <v>0</v>
      </c>
      <c r="J4065" t="s">
        <v>1709</v>
      </c>
      <c r="K4065" t="s">
        <v>290</v>
      </c>
      <c r="L4065" t="s">
        <v>17</v>
      </c>
      <c r="M4065" t="str">
        <f t="shared" si="275"/>
        <v>01</v>
      </c>
      <c r="N4065" t="s">
        <v>12</v>
      </c>
    </row>
    <row r="4066" spans="1:14" x14ac:dyDescent="0.25">
      <c r="A4066">
        <v>20160107</v>
      </c>
      <c r="B4066" t="str">
        <f>"061666"</f>
        <v>061666</v>
      </c>
      <c r="C4066" t="str">
        <f>"42260"</f>
        <v>42260</v>
      </c>
      <c r="D4066" t="s">
        <v>3539</v>
      </c>
      <c r="E4066" s="3">
        <v>808.52</v>
      </c>
      <c r="F4066">
        <v>20160113</v>
      </c>
      <c r="G4066" t="s">
        <v>3540</v>
      </c>
      <c r="H4066" t="s">
        <v>3189</v>
      </c>
      <c r="I4066">
        <v>0</v>
      </c>
      <c r="J4066" t="s">
        <v>1709</v>
      </c>
      <c r="K4066" t="s">
        <v>2724</v>
      </c>
      <c r="L4066" t="s">
        <v>17</v>
      </c>
      <c r="M4066" t="str">
        <f t="shared" si="275"/>
        <v>01</v>
      </c>
      <c r="N4066" t="s">
        <v>12</v>
      </c>
    </row>
    <row r="4067" spans="1:14" x14ac:dyDescent="0.25">
      <c r="A4067">
        <v>20160107</v>
      </c>
      <c r="B4067" t="str">
        <f>"061667"</f>
        <v>061667</v>
      </c>
      <c r="C4067" t="str">
        <f>"42260"</f>
        <v>42260</v>
      </c>
      <c r="D4067" t="s">
        <v>3539</v>
      </c>
      <c r="E4067" s="3">
        <v>469.82</v>
      </c>
      <c r="F4067">
        <v>20160113</v>
      </c>
      <c r="G4067" t="s">
        <v>3188</v>
      </c>
      <c r="H4067" t="s">
        <v>3189</v>
      </c>
      <c r="I4067">
        <v>0</v>
      </c>
      <c r="J4067" t="s">
        <v>1709</v>
      </c>
      <c r="K4067" t="s">
        <v>290</v>
      </c>
      <c r="L4067" t="s">
        <v>17</v>
      </c>
      <c r="M4067" t="str">
        <f t="shared" si="275"/>
        <v>01</v>
      </c>
      <c r="N4067" t="s">
        <v>12</v>
      </c>
    </row>
    <row r="4068" spans="1:14" x14ac:dyDescent="0.25">
      <c r="A4068">
        <v>20160107</v>
      </c>
      <c r="B4068" t="str">
        <f>"061668"</f>
        <v>061668</v>
      </c>
      <c r="C4068" t="str">
        <f>"60893"</f>
        <v>60893</v>
      </c>
      <c r="D4068" t="s">
        <v>3541</v>
      </c>
      <c r="E4068" s="3">
        <v>845.84</v>
      </c>
      <c r="F4068">
        <v>20160113</v>
      </c>
      <c r="G4068" t="s">
        <v>2587</v>
      </c>
      <c r="H4068" t="s">
        <v>3542</v>
      </c>
      <c r="I4068">
        <v>0</v>
      </c>
      <c r="J4068" t="s">
        <v>1709</v>
      </c>
      <c r="K4068" t="s">
        <v>290</v>
      </c>
      <c r="L4068" t="s">
        <v>17</v>
      </c>
      <c r="M4068" t="str">
        <f t="shared" si="275"/>
        <v>01</v>
      </c>
      <c r="N4068" t="s">
        <v>12</v>
      </c>
    </row>
    <row r="4069" spans="1:14" x14ac:dyDescent="0.25">
      <c r="A4069">
        <v>20160107</v>
      </c>
      <c r="B4069" t="str">
        <f>"061671"</f>
        <v>061671</v>
      </c>
      <c r="C4069" t="str">
        <f>"40565"</f>
        <v>40565</v>
      </c>
      <c r="D4069" t="s">
        <v>3537</v>
      </c>
      <c r="E4069" s="3">
        <v>60</v>
      </c>
      <c r="F4069">
        <v>20160113</v>
      </c>
      <c r="G4069" t="s">
        <v>1756</v>
      </c>
      <c r="H4069" t="s">
        <v>3543</v>
      </c>
      <c r="I4069">
        <v>0</v>
      </c>
      <c r="J4069" t="s">
        <v>1709</v>
      </c>
      <c r="K4069" t="s">
        <v>290</v>
      </c>
      <c r="L4069" t="s">
        <v>17</v>
      </c>
      <c r="M4069" t="str">
        <f t="shared" si="275"/>
        <v>01</v>
      </c>
      <c r="N4069" t="s">
        <v>12</v>
      </c>
    </row>
    <row r="4070" spans="1:14" x14ac:dyDescent="0.25">
      <c r="A4070">
        <v>20160107</v>
      </c>
      <c r="B4070" t="str">
        <f>"061671"</f>
        <v>061671</v>
      </c>
      <c r="C4070" t="str">
        <f>"40565"</f>
        <v>40565</v>
      </c>
      <c r="D4070" t="s">
        <v>3537</v>
      </c>
      <c r="E4070" s="3">
        <v>-60</v>
      </c>
      <c r="F4070">
        <v>20160219</v>
      </c>
      <c r="G4070" t="s">
        <v>1756</v>
      </c>
      <c r="H4070" t="s">
        <v>1746</v>
      </c>
      <c r="I4070">
        <v>0</v>
      </c>
      <c r="J4070" t="s">
        <v>1709</v>
      </c>
      <c r="K4070" t="s">
        <v>290</v>
      </c>
      <c r="L4070" t="s">
        <v>17</v>
      </c>
      <c r="M4070" t="str">
        <f>"02"</f>
        <v>02</v>
      </c>
      <c r="N4070" t="s">
        <v>12</v>
      </c>
    </row>
    <row r="4071" spans="1:14" x14ac:dyDescent="0.25">
      <c r="A4071">
        <v>20160111</v>
      </c>
      <c r="B4071" t="str">
        <f>"061672"</f>
        <v>061672</v>
      </c>
      <c r="C4071" t="str">
        <f>"02230"</f>
        <v>02230</v>
      </c>
      <c r="D4071" t="s">
        <v>1945</v>
      </c>
      <c r="E4071" s="3">
        <v>113.92</v>
      </c>
      <c r="F4071">
        <v>20160108</v>
      </c>
      <c r="G4071" t="s">
        <v>2333</v>
      </c>
      <c r="H4071" t="s">
        <v>3544</v>
      </c>
      <c r="I4071">
        <v>0</v>
      </c>
      <c r="J4071" t="s">
        <v>1709</v>
      </c>
      <c r="K4071" t="s">
        <v>290</v>
      </c>
      <c r="L4071" t="s">
        <v>285</v>
      </c>
      <c r="M4071" t="str">
        <f t="shared" ref="M4071:M4134" si="276">"01"</f>
        <v>01</v>
      </c>
      <c r="N4071" t="s">
        <v>12</v>
      </c>
    </row>
    <row r="4072" spans="1:14" x14ac:dyDescent="0.25">
      <c r="A4072">
        <v>20160111</v>
      </c>
      <c r="B4072" t="str">
        <f>"061672"</f>
        <v>061672</v>
      </c>
      <c r="C4072" t="str">
        <f>"02230"</f>
        <v>02230</v>
      </c>
      <c r="D4072" t="s">
        <v>1945</v>
      </c>
      <c r="E4072" s="3">
        <v>-113.92</v>
      </c>
      <c r="F4072">
        <v>20160112</v>
      </c>
      <c r="G4072" t="s">
        <v>2333</v>
      </c>
      <c r="H4072" t="s">
        <v>3545</v>
      </c>
      <c r="I4072">
        <v>0</v>
      </c>
      <c r="J4072" t="s">
        <v>1709</v>
      </c>
      <c r="K4072" t="s">
        <v>290</v>
      </c>
      <c r="L4072" t="s">
        <v>17</v>
      </c>
      <c r="M4072" t="str">
        <f t="shared" si="276"/>
        <v>01</v>
      </c>
      <c r="N4072" t="s">
        <v>12</v>
      </c>
    </row>
    <row r="4073" spans="1:14" x14ac:dyDescent="0.25">
      <c r="A4073">
        <v>20160111</v>
      </c>
      <c r="B4073" t="str">
        <f>"061673"</f>
        <v>061673</v>
      </c>
      <c r="C4073" t="str">
        <f>"04240"</f>
        <v>04240</v>
      </c>
      <c r="D4073" t="s">
        <v>2432</v>
      </c>
      <c r="E4073" s="3">
        <v>104.95</v>
      </c>
      <c r="F4073">
        <v>20160108</v>
      </c>
      <c r="G4073" t="s">
        <v>2228</v>
      </c>
      <c r="H4073" t="s">
        <v>3546</v>
      </c>
      <c r="I4073">
        <v>0</v>
      </c>
      <c r="J4073" t="s">
        <v>1709</v>
      </c>
      <c r="K4073" t="s">
        <v>290</v>
      </c>
      <c r="L4073" t="s">
        <v>285</v>
      </c>
      <c r="M4073" t="str">
        <f t="shared" si="276"/>
        <v>01</v>
      </c>
      <c r="N4073" t="s">
        <v>12</v>
      </c>
    </row>
    <row r="4074" spans="1:14" x14ac:dyDescent="0.25">
      <c r="A4074">
        <v>20160111</v>
      </c>
      <c r="B4074" t="str">
        <f>"061673"</f>
        <v>061673</v>
      </c>
      <c r="C4074" t="str">
        <f>"04240"</f>
        <v>04240</v>
      </c>
      <c r="D4074" t="s">
        <v>2432</v>
      </c>
      <c r="E4074" s="3">
        <v>970.28</v>
      </c>
      <c r="F4074">
        <v>20160108</v>
      </c>
      <c r="G4074" t="s">
        <v>2433</v>
      </c>
      <c r="H4074" t="s">
        <v>3547</v>
      </c>
      <c r="I4074">
        <v>0</v>
      </c>
      <c r="J4074" t="s">
        <v>1709</v>
      </c>
      <c r="K4074" t="s">
        <v>290</v>
      </c>
      <c r="L4074" t="s">
        <v>285</v>
      </c>
      <c r="M4074" t="str">
        <f t="shared" si="276"/>
        <v>01</v>
      </c>
      <c r="N4074" t="s">
        <v>12</v>
      </c>
    </row>
    <row r="4075" spans="1:14" x14ac:dyDescent="0.25">
      <c r="A4075">
        <v>20160111</v>
      </c>
      <c r="B4075" t="str">
        <f>"061674"</f>
        <v>061674</v>
      </c>
      <c r="C4075" t="str">
        <f>"00390"</f>
        <v>00390</v>
      </c>
      <c r="D4075" t="s">
        <v>1717</v>
      </c>
      <c r="E4075" s="3">
        <v>5996.54</v>
      </c>
      <c r="F4075">
        <v>20160108</v>
      </c>
      <c r="G4075" t="s">
        <v>2217</v>
      </c>
      <c r="I4075">
        <v>0</v>
      </c>
      <c r="J4075" t="s">
        <v>1709</v>
      </c>
      <c r="K4075" t="s">
        <v>1984</v>
      </c>
      <c r="L4075" t="s">
        <v>285</v>
      </c>
      <c r="M4075" t="str">
        <f t="shared" si="276"/>
        <v>01</v>
      </c>
      <c r="N4075" t="s">
        <v>12</v>
      </c>
    </row>
    <row r="4076" spans="1:14" x14ac:dyDescent="0.25">
      <c r="A4076">
        <v>20160111</v>
      </c>
      <c r="B4076" t="str">
        <f>"061675"</f>
        <v>061675</v>
      </c>
      <c r="C4076" t="str">
        <f>"00392"</f>
        <v>00392</v>
      </c>
      <c r="D4076" t="s">
        <v>1717</v>
      </c>
      <c r="E4076" s="3">
        <v>456.36</v>
      </c>
      <c r="F4076">
        <v>20160108</v>
      </c>
      <c r="G4076" t="s">
        <v>2219</v>
      </c>
      <c r="I4076">
        <v>0</v>
      </c>
      <c r="J4076" t="s">
        <v>1709</v>
      </c>
      <c r="K4076" t="s">
        <v>1984</v>
      </c>
      <c r="L4076" t="s">
        <v>285</v>
      </c>
      <c r="M4076" t="str">
        <f t="shared" si="276"/>
        <v>01</v>
      </c>
      <c r="N4076" t="s">
        <v>12</v>
      </c>
    </row>
    <row r="4077" spans="1:14" x14ac:dyDescent="0.25">
      <c r="A4077">
        <v>20160111</v>
      </c>
      <c r="B4077" t="str">
        <f>"061676"</f>
        <v>061676</v>
      </c>
      <c r="C4077" t="str">
        <f>"08196"</f>
        <v>08196</v>
      </c>
      <c r="D4077" t="s">
        <v>2438</v>
      </c>
      <c r="E4077" s="3">
        <v>28.53</v>
      </c>
      <c r="F4077">
        <v>20160108</v>
      </c>
      <c r="G4077" t="s">
        <v>2422</v>
      </c>
      <c r="H4077" t="s">
        <v>2423</v>
      </c>
      <c r="I4077">
        <v>0</v>
      </c>
      <c r="J4077" t="s">
        <v>1709</v>
      </c>
      <c r="K4077" t="s">
        <v>290</v>
      </c>
      <c r="L4077" t="s">
        <v>285</v>
      </c>
      <c r="M4077" t="str">
        <f t="shared" si="276"/>
        <v>01</v>
      </c>
      <c r="N4077" t="s">
        <v>12</v>
      </c>
    </row>
    <row r="4078" spans="1:14" x14ac:dyDescent="0.25">
      <c r="A4078">
        <v>20160111</v>
      </c>
      <c r="B4078" t="str">
        <f t="shared" ref="B4078:B4090" si="277">"061677"</f>
        <v>061677</v>
      </c>
      <c r="C4078" t="str">
        <f t="shared" ref="C4078:C4090" si="278">"09170"</f>
        <v>09170</v>
      </c>
      <c r="D4078" t="s">
        <v>596</v>
      </c>
      <c r="E4078" s="3">
        <v>375</v>
      </c>
      <c r="F4078">
        <v>20160108</v>
      </c>
      <c r="G4078" t="s">
        <v>3548</v>
      </c>
      <c r="H4078" t="s">
        <v>3549</v>
      </c>
      <c r="I4078">
        <v>0</v>
      </c>
      <c r="J4078" t="s">
        <v>1709</v>
      </c>
      <c r="K4078" t="s">
        <v>235</v>
      </c>
      <c r="L4078" t="s">
        <v>285</v>
      </c>
      <c r="M4078" t="str">
        <f t="shared" si="276"/>
        <v>01</v>
      </c>
      <c r="N4078" t="s">
        <v>12</v>
      </c>
    </row>
    <row r="4079" spans="1:14" x14ac:dyDescent="0.25">
      <c r="A4079">
        <v>20160111</v>
      </c>
      <c r="B4079" t="str">
        <f t="shared" si="277"/>
        <v>061677</v>
      </c>
      <c r="C4079" t="str">
        <f t="shared" si="278"/>
        <v>09170</v>
      </c>
      <c r="D4079" t="s">
        <v>596</v>
      </c>
      <c r="E4079" s="3">
        <v>41.63</v>
      </c>
      <c r="F4079">
        <v>20160108</v>
      </c>
      <c r="G4079" t="s">
        <v>1974</v>
      </c>
      <c r="H4079" t="s">
        <v>3550</v>
      </c>
      <c r="I4079">
        <v>0</v>
      </c>
      <c r="J4079" t="s">
        <v>1709</v>
      </c>
      <c r="K4079" t="s">
        <v>290</v>
      </c>
      <c r="L4079" t="s">
        <v>285</v>
      </c>
      <c r="M4079" t="str">
        <f t="shared" si="276"/>
        <v>01</v>
      </c>
      <c r="N4079" t="s">
        <v>12</v>
      </c>
    </row>
    <row r="4080" spans="1:14" x14ac:dyDescent="0.25">
      <c r="A4080">
        <v>20160111</v>
      </c>
      <c r="B4080" t="str">
        <f t="shared" si="277"/>
        <v>061677</v>
      </c>
      <c r="C4080" t="str">
        <f t="shared" si="278"/>
        <v>09170</v>
      </c>
      <c r="D4080" t="s">
        <v>596</v>
      </c>
      <c r="E4080" s="3">
        <v>417.51</v>
      </c>
      <c r="F4080">
        <v>20160108</v>
      </c>
      <c r="G4080" t="s">
        <v>3551</v>
      </c>
      <c r="H4080" t="s">
        <v>3552</v>
      </c>
      <c r="I4080">
        <v>0</v>
      </c>
      <c r="J4080" t="s">
        <v>1709</v>
      </c>
      <c r="K4080" t="s">
        <v>1558</v>
      </c>
      <c r="L4080" t="s">
        <v>285</v>
      </c>
      <c r="M4080" t="str">
        <f t="shared" si="276"/>
        <v>01</v>
      </c>
      <c r="N4080" t="s">
        <v>12</v>
      </c>
    </row>
    <row r="4081" spans="1:14" x14ac:dyDescent="0.25">
      <c r="A4081">
        <v>20160111</v>
      </c>
      <c r="B4081" t="str">
        <f t="shared" si="277"/>
        <v>061677</v>
      </c>
      <c r="C4081" t="str">
        <f t="shared" si="278"/>
        <v>09170</v>
      </c>
      <c r="D4081" t="s">
        <v>596</v>
      </c>
      <c r="E4081" s="3">
        <v>250</v>
      </c>
      <c r="F4081">
        <v>20160108</v>
      </c>
      <c r="G4081" t="s">
        <v>3553</v>
      </c>
      <c r="H4081" t="s">
        <v>3550</v>
      </c>
      <c r="I4081">
        <v>0</v>
      </c>
      <c r="J4081" t="s">
        <v>1709</v>
      </c>
      <c r="K4081" t="s">
        <v>290</v>
      </c>
      <c r="L4081" t="s">
        <v>285</v>
      </c>
      <c r="M4081" t="str">
        <f t="shared" si="276"/>
        <v>01</v>
      </c>
      <c r="N4081" t="s">
        <v>12</v>
      </c>
    </row>
    <row r="4082" spans="1:14" x14ac:dyDescent="0.25">
      <c r="A4082">
        <v>20160111</v>
      </c>
      <c r="B4082" t="str">
        <f t="shared" si="277"/>
        <v>061677</v>
      </c>
      <c r="C4082" t="str">
        <f t="shared" si="278"/>
        <v>09170</v>
      </c>
      <c r="D4082" t="s">
        <v>596</v>
      </c>
      <c r="E4082" s="3">
        <v>213.39</v>
      </c>
      <c r="F4082">
        <v>20160108</v>
      </c>
      <c r="G4082" t="s">
        <v>2153</v>
      </c>
      <c r="H4082" t="s">
        <v>2169</v>
      </c>
      <c r="I4082">
        <v>0</v>
      </c>
      <c r="J4082" t="s">
        <v>1709</v>
      </c>
      <c r="K4082" t="s">
        <v>290</v>
      </c>
      <c r="L4082" t="s">
        <v>285</v>
      </c>
      <c r="M4082" t="str">
        <f t="shared" si="276"/>
        <v>01</v>
      </c>
      <c r="N4082" t="s">
        <v>12</v>
      </c>
    </row>
    <row r="4083" spans="1:14" x14ac:dyDescent="0.25">
      <c r="A4083">
        <v>20160111</v>
      </c>
      <c r="B4083" t="str">
        <f t="shared" si="277"/>
        <v>061677</v>
      </c>
      <c r="C4083" t="str">
        <f t="shared" si="278"/>
        <v>09170</v>
      </c>
      <c r="D4083" t="s">
        <v>596</v>
      </c>
      <c r="E4083" s="3">
        <v>110</v>
      </c>
      <c r="F4083">
        <v>20160108</v>
      </c>
      <c r="G4083" t="s">
        <v>3554</v>
      </c>
      <c r="H4083" t="s">
        <v>3555</v>
      </c>
      <c r="I4083">
        <v>0</v>
      </c>
      <c r="J4083" t="s">
        <v>1709</v>
      </c>
      <c r="K4083" t="s">
        <v>1643</v>
      </c>
      <c r="L4083" t="s">
        <v>285</v>
      </c>
      <c r="M4083" t="str">
        <f t="shared" si="276"/>
        <v>01</v>
      </c>
      <c r="N4083" t="s">
        <v>12</v>
      </c>
    </row>
    <row r="4084" spans="1:14" x14ac:dyDescent="0.25">
      <c r="A4084">
        <v>20160111</v>
      </c>
      <c r="B4084" t="str">
        <f t="shared" si="277"/>
        <v>061677</v>
      </c>
      <c r="C4084" t="str">
        <f t="shared" si="278"/>
        <v>09170</v>
      </c>
      <c r="D4084" t="s">
        <v>596</v>
      </c>
      <c r="E4084" s="3">
        <v>350</v>
      </c>
      <c r="F4084">
        <v>20160108</v>
      </c>
      <c r="G4084" t="s">
        <v>3556</v>
      </c>
      <c r="H4084" t="s">
        <v>3555</v>
      </c>
      <c r="I4084">
        <v>0</v>
      </c>
      <c r="J4084" t="s">
        <v>1709</v>
      </c>
      <c r="K4084" t="s">
        <v>290</v>
      </c>
      <c r="L4084" t="s">
        <v>285</v>
      </c>
      <c r="M4084" t="str">
        <f t="shared" si="276"/>
        <v>01</v>
      </c>
      <c r="N4084" t="s">
        <v>12</v>
      </c>
    </row>
    <row r="4085" spans="1:14" x14ac:dyDescent="0.25">
      <c r="A4085">
        <v>20160111</v>
      </c>
      <c r="B4085" t="str">
        <f t="shared" si="277"/>
        <v>061677</v>
      </c>
      <c r="C4085" t="str">
        <f t="shared" si="278"/>
        <v>09170</v>
      </c>
      <c r="D4085" t="s">
        <v>596</v>
      </c>
      <c r="E4085" s="3">
        <v>188.96</v>
      </c>
      <c r="F4085">
        <v>20160108</v>
      </c>
      <c r="G4085" t="s">
        <v>3188</v>
      </c>
      <c r="H4085" t="s">
        <v>3557</v>
      </c>
      <c r="I4085">
        <v>0</v>
      </c>
      <c r="J4085" t="s">
        <v>1709</v>
      </c>
      <c r="K4085" t="s">
        <v>290</v>
      </c>
      <c r="L4085" t="s">
        <v>285</v>
      </c>
      <c r="M4085" t="str">
        <f t="shared" si="276"/>
        <v>01</v>
      </c>
      <c r="N4085" t="s">
        <v>12</v>
      </c>
    </row>
    <row r="4086" spans="1:14" x14ac:dyDescent="0.25">
      <c r="A4086">
        <v>20160111</v>
      </c>
      <c r="B4086" t="str">
        <f t="shared" si="277"/>
        <v>061677</v>
      </c>
      <c r="C4086" t="str">
        <f t="shared" si="278"/>
        <v>09170</v>
      </c>
      <c r="D4086" t="s">
        <v>596</v>
      </c>
      <c r="E4086" s="3">
        <v>450</v>
      </c>
      <c r="F4086">
        <v>20160108</v>
      </c>
      <c r="G4086" t="s">
        <v>3532</v>
      </c>
      <c r="H4086" t="s">
        <v>3555</v>
      </c>
      <c r="I4086">
        <v>0</v>
      </c>
      <c r="J4086" t="s">
        <v>1709</v>
      </c>
      <c r="K4086" t="s">
        <v>290</v>
      </c>
      <c r="L4086" t="s">
        <v>285</v>
      </c>
      <c r="M4086" t="str">
        <f t="shared" si="276"/>
        <v>01</v>
      </c>
      <c r="N4086" t="s">
        <v>12</v>
      </c>
    </row>
    <row r="4087" spans="1:14" x14ac:dyDescent="0.25">
      <c r="A4087">
        <v>20160111</v>
      </c>
      <c r="B4087" t="str">
        <f t="shared" si="277"/>
        <v>061677</v>
      </c>
      <c r="C4087" t="str">
        <f t="shared" si="278"/>
        <v>09170</v>
      </c>
      <c r="D4087" t="s">
        <v>596</v>
      </c>
      <c r="E4087" s="3">
        <v>9.76</v>
      </c>
      <c r="F4087">
        <v>20160108</v>
      </c>
      <c r="G4087" t="s">
        <v>1859</v>
      </c>
      <c r="H4087" t="s">
        <v>2295</v>
      </c>
      <c r="I4087">
        <v>0</v>
      </c>
      <c r="J4087" t="s">
        <v>1709</v>
      </c>
      <c r="K4087" t="s">
        <v>1861</v>
      </c>
      <c r="L4087" t="s">
        <v>285</v>
      </c>
      <c r="M4087" t="str">
        <f t="shared" si="276"/>
        <v>01</v>
      </c>
      <c r="N4087" t="s">
        <v>12</v>
      </c>
    </row>
    <row r="4088" spans="1:14" x14ac:dyDescent="0.25">
      <c r="A4088">
        <v>20160111</v>
      </c>
      <c r="B4088" t="str">
        <f t="shared" si="277"/>
        <v>061677</v>
      </c>
      <c r="C4088" t="str">
        <f t="shared" si="278"/>
        <v>09170</v>
      </c>
      <c r="D4088" t="s">
        <v>596</v>
      </c>
      <c r="E4088" s="3">
        <v>193.21</v>
      </c>
      <c r="F4088">
        <v>20160108</v>
      </c>
      <c r="G4088" t="s">
        <v>1859</v>
      </c>
      <c r="H4088" t="s">
        <v>3558</v>
      </c>
      <c r="I4088">
        <v>0</v>
      </c>
      <c r="J4088" t="s">
        <v>1709</v>
      </c>
      <c r="K4088" t="s">
        <v>1861</v>
      </c>
      <c r="L4088" t="s">
        <v>285</v>
      </c>
      <c r="M4088" t="str">
        <f t="shared" si="276"/>
        <v>01</v>
      </c>
      <c r="N4088" t="s">
        <v>12</v>
      </c>
    </row>
    <row r="4089" spans="1:14" x14ac:dyDescent="0.25">
      <c r="A4089">
        <v>20160111</v>
      </c>
      <c r="B4089" t="str">
        <f t="shared" si="277"/>
        <v>061677</v>
      </c>
      <c r="C4089" t="str">
        <f t="shared" si="278"/>
        <v>09170</v>
      </c>
      <c r="D4089" t="s">
        <v>596</v>
      </c>
      <c r="E4089" s="3">
        <v>170</v>
      </c>
      <c r="F4089">
        <v>20160108</v>
      </c>
      <c r="G4089" t="s">
        <v>3540</v>
      </c>
      <c r="H4089" t="s">
        <v>3555</v>
      </c>
      <c r="I4089">
        <v>0</v>
      </c>
      <c r="J4089" t="s">
        <v>1709</v>
      </c>
      <c r="K4089" t="s">
        <v>2724</v>
      </c>
      <c r="L4089" t="s">
        <v>285</v>
      </c>
      <c r="M4089" t="str">
        <f t="shared" si="276"/>
        <v>01</v>
      </c>
      <c r="N4089" t="s">
        <v>12</v>
      </c>
    </row>
    <row r="4090" spans="1:14" x14ac:dyDescent="0.25">
      <c r="A4090">
        <v>20160111</v>
      </c>
      <c r="B4090" t="str">
        <f t="shared" si="277"/>
        <v>061677</v>
      </c>
      <c r="C4090" t="str">
        <f t="shared" si="278"/>
        <v>09170</v>
      </c>
      <c r="D4090" t="s">
        <v>596</v>
      </c>
      <c r="E4090" s="3">
        <v>188.96</v>
      </c>
      <c r="F4090">
        <v>20160108</v>
      </c>
      <c r="G4090" t="s">
        <v>3540</v>
      </c>
      <c r="H4090" t="s">
        <v>3557</v>
      </c>
      <c r="I4090">
        <v>0</v>
      </c>
      <c r="J4090" t="s">
        <v>1709</v>
      </c>
      <c r="K4090" t="s">
        <v>2724</v>
      </c>
      <c r="L4090" t="s">
        <v>285</v>
      </c>
      <c r="M4090" t="str">
        <f t="shared" si="276"/>
        <v>01</v>
      </c>
      <c r="N4090" t="s">
        <v>12</v>
      </c>
    </row>
    <row r="4091" spans="1:14" x14ac:dyDescent="0.25">
      <c r="A4091">
        <v>20160111</v>
      </c>
      <c r="B4091" t="str">
        <f>"061680"</f>
        <v>061680</v>
      </c>
      <c r="C4091" t="str">
        <f>"21842"</f>
        <v>21842</v>
      </c>
      <c r="D4091" t="s">
        <v>2455</v>
      </c>
      <c r="E4091" s="3">
        <v>133.76</v>
      </c>
      <c r="F4091">
        <v>20160108</v>
      </c>
      <c r="G4091" t="s">
        <v>2080</v>
      </c>
      <c r="H4091" t="s">
        <v>3559</v>
      </c>
      <c r="I4091">
        <v>0</v>
      </c>
      <c r="J4091" t="s">
        <v>1709</v>
      </c>
      <c r="K4091" t="s">
        <v>1861</v>
      </c>
      <c r="L4091" t="s">
        <v>285</v>
      </c>
      <c r="M4091" t="str">
        <f t="shared" si="276"/>
        <v>01</v>
      </c>
      <c r="N4091" t="s">
        <v>12</v>
      </c>
    </row>
    <row r="4092" spans="1:14" x14ac:dyDescent="0.25">
      <c r="A4092">
        <v>20160111</v>
      </c>
      <c r="B4092" t="str">
        <f>"061680"</f>
        <v>061680</v>
      </c>
      <c r="C4092" t="str">
        <f>"21842"</f>
        <v>21842</v>
      </c>
      <c r="D4092" t="s">
        <v>2455</v>
      </c>
      <c r="E4092" s="3">
        <v>-133.76</v>
      </c>
      <c r="F4092">
        <v>20160111</v>
      </c>
      <c r="G4092" t="s">
        <v>2080</v>
      </c>
      <c r="H4092" t="s">
        <v>3560</v>
      </c>
      <c r="I4092">
        <v>0</v>
      </c>
      <c r="J4092" t="s">
        <v>1709</v>
      </c>
      <c r="K4092" t="s">
        <v>1861</v>
      </c>
      <c r="L4092" t="s">
        <v>17</v>
      </c>
      <c r="M4092" t="str">
        <f t="shared" si="276"/>
        <v>01</v>
      </c>
      <c r="N4092" t="s">
        <v>12</v>
      </c>
    </row>
    <row r="4093" spans="1:14" x14ac:dyDescent="0.25">
      <c r="A4093">
        <v>20160111</v>
      </c>
      <c r="B4093" t="str">
        <f>"061681"</f>
        <v>061681</v>
      </c>
      <c r="C4093" t="str">
        <f>"14821"</f>
        <v>14821</v>
      </c>
      <c r="D4093" t="s">
        <v>2461</v>
      </c>
      <c r="E4093" s="3">
        <v>330</v>
      </c>
      <c r="F4093">
        <v>20160108</v>
      </c>
      <c r="G4093" t="s">
        <v>2303</v>
      </c>
      <c r="H4093" t="s">
        <v>3561</v>
      </c>
      <c r="I4093">
        <v>0</v>
      </c>
      <c r="J4093" t="s">
        <v>1709</v>
      </c>
      <c r="K4093" t="s">
        <v>235</v>
      </c>
      <c r="L4093" t="s">
        <v>285</v>
      </c>
      <c r="M4093" t="str">
        <f t="shared" si="276"/>
        <v>01</v>
      </c>
      <c r="N4093" t="s">
        <v>12</v>
      </c>
    </row>
    <row r="4094" spans="1:14" x14ac:dyDescent="0.25">
      <c r="A4094">
        <v>20160111</v>
      </c>
      <c r="B4094" t="str">
        <f>"061684"</f>
        <v>061684</v>
      </c>
      <c r="C4094" t="str">
        <f>"20683"</f>
        <v>20683</v>
      </c>
      <c r="D4094" t="s">
        <v>1818</v>
      </c>
      <c r="E4094" s="3">
        <v>164.43</v>
      </c>
      <c r="F4094">
        <v>20160108</v>
      </c>
      <c r="G4094" t="s">
        <v>2469</v>
      </c>
      <c r="H4094" t="s">
        <v>3562</v>
      </c>
      <c r="I4094">
        <v>0</v>
      </c>
      <c r="J4094" t="s">
        <v>1709</v>
      </c>
      <c r="K4094" t="s">
        <v>290</v>
      </c>
      <c r="L4094" t="s">
        <v>285</v>
      </c>
      <c r="M4094" t="str">
        <f t="shared" si="276"/>
        <v>01</v>
      </c>
      <c r="N4094" t="s">
        <v>12</v>
      </c>
    </row>
    <row r="4095" spans="1:14" x14ac:dyDescent="0.25">
      <c r="A4095">
        <v>20160111</v>
      </c>
      <c r="B4095" t="str">
        <f>"061684"</f>
        <v>061684</v>
      </c>
      <c r="C4095" t="str">
        <f>"20683"</f>
        <v>20683</v>
      </c>
      <c r="D4095" t="s">
        <v>1818</v>
      </c>
      <c r="E4095" s="3">
        <v>59.14</v>
      </c>
      <c r="F4095">
        <v>20160108</v>
      </c>
      <c r="G4095" t="s">
        <v>2333</v>
      </c>
      <c r="H4095" t="s">
        <v>3562</v>
      </c>
      <c r="I4095">
        <v>0</v>
      </c>
      <c r="J4095" t="s">
        <v>1709</v>
      </c>
      <c r="K4095" t="s">
        <v>290</v>
      </c>
      <c r="L4095" t="s">
        <v>285</v>
      </c>
      <c r="M4095" t="str">
        <f t="shared" si="276"/>
        <v>01</v>
      </c>
      <c r="N4095" t="s">
        <v>12</v>
      </c>
    </row>
    <row r="4096" spans="1:14" x14ac:dyDescent="0.25">
      <c r="A4096">
        <v>20160111</v>
      </c>
      <c r="B4096" t="str">
        <f t="shared" ref="B4096:B4107" si="279">"061685"</f>
        <v>061685</v>
      </c>
      <c r="C4096" t="str">
        <f t="shared" ref="C4096:C4107" si="280">"20706"</f>
        <v>20706</v>
      </c>
      <c r="D4096" t="s">
        <v>1823</v>
      </c>
      <c r="E4096" s="3">
        <v>8776.39</v>
      </c>
      <c r="F4096">
        <v>20160108</v>
      </c>
      <c r="G4096" t="s">
        <v>2235</v>
      </c>
      <c r="H4096" t="s">
        <v>3563</v>
      </c>
      <c r="I4096">
        <v>0</v>
      </c>
      <c r="J4096" t="s">
        <v>1709</v>
      </c>
      <c r="K4096" t="s">
        <v>290</v>
      </c>
      <c r="L4096" t="s">
        <v>285</v>
      </c>
      <c r="M4096" t="str">
        <f t="shared" si="276"/>
        <v>01</v>
      </c>
      <c r="N4096" t="s">
        <v>12</v>
      </c>
    </row>
    <row r="4097" spans="1:14" x14ac:dyDescent="0.25">
      <c r="A4097">
        <v>20160111</v>
      </c>
      <c r="B4097" t="str">
        <f t="shared" si="279"/>
        <v>061685</v>
      </c>
      <c r="C4097" t="str">
        <f t="shared" si="280"/>
        <v>20706</v>
      </c>
      <c r="D4097" t="s">
        <v>1823</v>
      </c>
      <c r="E4097" s="3">
        <v>29.09</v>
      </c>
      <c r="F4097">
        <v>20160108</v>
      </c>
      <c r="G4097" t="s">
        <v>2237</v>
      </c>
      <c r="H4097" t="s">
        <v>3563</v>
      </c>
      <c r="I4097">
        <v>0</v>
      </c>
      <c r="J4097" t="s">
        <v>1709</v>
      </c>
      <c r="K4097" t="s">
        <v>1558</v>
      </c>
      <c r="L4097" t="s">
        <v>285</v>
      </c>
      <c r="M4097" t="str">
        <f t="shared" si="276"/>
        <v>01</v>
      </c>
      <c r="N4097" t="s">
        <v>12</v>
      </c>
    </row>
    <row r="4098" spans="1:14" x14ac:dyDescent="0.25">
      <c r="A4098">
        <v>20160111</v>
      </c>
      <c r="B4098" t="str">
        <f t="shared" si="279"/>
        <v>061685</v>
      </c>
      <c r="C4098" t="str">
        <f t="shared" si="280"/>
        <v>20706</v>
      </c>
      <c r="D4098" t="s">
        <v>1823</v>
      </c>
      <c r="E4098" s="3">
        <v>564.86</v>
      </c>
      <c r="F4098">
        <v>20160108</v>
      </c>
      <c r="G4098" t="s">
        <v>2239</v>
      </c>
      <c r="H4098" t="s">
        <v>3563</v>
      </c>
      <c r="I4098">
        <v>0</v>
      </c>
      <c r="J4098" t="s">
        <v>1709</v>
      </c>
      <c r="K4098" t="s">
        <v>95</v>
      </c>
      <c r="L4098" t="s">
        <v>285</v>
      </c>
      <c r="M4098" t="str">
        <f t="shared" si="276"/>
        <v>01</v>
      </c>
      <c r="N4098" t="s">
        <v>12</v>
      </c>
    </row>
    <row r="4099" spans="1:14" x14ac:dyDescent="0.25">
      <c r="A4099">
        <v>20160111</v>
      </c>
      <c r="B4099" t="str">
        <f t="shared" si="279"/>
        <v>061685</v>
      </c>
      <c r="C4099" t="str">
        <f t="shared" si="280"/>
        <v>20706</v>
      </c>
      <c r="D4099" t="s">
        <v>1823</v>
      </c>
      <c r="E4099" s="3">
        <v>3537.35</v>
      </c>
      <c r="F4099">
        <v>20160108</v>
      </c>
      <c r="G4099" t="s">
        <v>2241</v>
      </c>
      <c r="H4099" t="s">
        <v>3563</v>
      </c>
      <c r="I4099">
        <v>0</v>
      </c>
      <c r="J4099" t="s">
        <v>1709</v>
      </c>
      <c r="K4099" t="s">
        <v>1643</v>
      </c>
      <c r="L4099" t="s">
        <v>285</v>
      </c>
      <c r="M4099" t="str">
        <f t="shared" si="276"/>
        <v>01</v>
      </c>
      <c r="N4099" t="s">
        <v>12</v>
      </c>
    </row>
    <row r="4100" spans="1:14" x14ac:dyDescent="0.25">
      <c r="A4100">
        <v>20160111</v>
      </c>
      <c r="B4100" t="str">
        <f t="shared" si="279"/>
        <v>061685</v>
      </c>
      <c r="C4100" t="str">
        <f t="shared" si="280"/>
        <v>20706</v>
      </c>
      <c r="D4100" t="s">
        <v>1823</v>
      </c>
      <c r="E4100" s="3">
        <v>1169.6400000000001</v>
      </c>
      <c r="F4100">
        <v>20160108</v>
      </c>
      <c r="G4100" t="s">
        <v>2243</v>
      </c>
      <c r="H4100" t="s">
        <v>3563</v>
      </c>
      <c r="I4100">
        <v>0</v>
      </c>
      <c r="J4100" t="s">
        <v>1709</v>
      </c>
      <c r="K4100" t="s">
        <v>33</v>
      </c>
      <c r="L4100" t="s">
        <v>285</v>
      </c>
      <c r="M4100" t="str">
        <f t="shared" si="276"/>
        <v>01</v>
      </c>
      <c r="N4100" t="s">
        <v>12</v>
      </c>
    </row>
    <row r="4101" spans="1:14" x14ac:dyDescent="0.25">
      <c r="A4101">
        <v>20160111</v>
      </c>
      <c r="B4101" t="str">
        <f t="shared" si="279"/>
        <v>061685</v>
      </c>
      <c r="C4101" t="str">
        <f t="shared" si="280"/>
        <v>20706</v>
      </c>
      <c r="D4101" t="s">
        <v>1823</v>
      </c>
      <c r="E4101" s="3">
        <v>554.01</v>
      </c>
      <c r="F4101">
        <v>20160108</v>
      </c>
      <c r="G4101" t="s">
        <v>2245</v>
      </c>
      <c r="H4101" t="s">
        <v>3563</v>
      </c>
      <c r="I4101">
        <v>0</v>
      </c>
      <c r="J4101" t="s">
        <v>1709</v>
      </c>
      <c r="K4101" t="s">
        <v>2247</v>
      </c>
      <c r="L4101" t="s">
        <v>285</v>
      </c>
      <c r="M4101" t="str">
        <f t="shared" si="276"/>
        <v>01</v>
      </c>
      <c r="N4101" t="s">
        <v>12</v>
      </c>
    </row>
    <row r="4102" spans="1:14" x14ac:dyDescent="0.25">
      <c r="A4102">
        <v>20160111</v>
      </c>
      <c r="B4102" t="str">
        <f t="shared" si="279"/>
        <v>061685</v>
      </c>
      <c r="C4102" t="str">
        <f t="shared" si="280"/>
        <v>20706</v>
      </c>
      <c r="D4102" t="s">
        <v>1823</v>
      </c>
      <c r="E4102" s="3">
        <v>136.99</v>
      </c>
      <c r="F4102">
        <v>20160108</v>
      </c>
      <c r="G4102" t="s">
        <v>2248</v>
      </c>
      <c r="H4102" t="s">
        <v>3563</v>
      </c>
      <c r="I4102">
        <v>0</v>
      </c>
      <c r="J4102" t="s">
        <v>1709</v>
      </c>
      <c r="K4102" t="s">
        <v>1861</v>
      </c>
      <c r="L4102" t="s">
        <v>285</v>
      </c>
      <c r="M4102" t="str">
        <f t="shared" si="276"/>
        <v>01</v>
      </c>
      <c r="N4102" t="s">
        <v>12</v>
      </c>
    </row>
    <row r="4103" spans="1:14" x14ac:dyDescent="0.25">
      <c r="A4103">
        <v>20160111</v>
      </c>
      <c r="B4103" t="str">
        <f t="shared" si="279"/>
        <v>061685</v>
      </c>
      <c r="C4103" t="str">
        <f t="shared" si="280"/>
        <v>20706</v>
      </c>
      <c r="D4103" t="s">
        <v>1823</v>
      </c>
      <c r="E4103" s="3">
        <v>4553.6099999999997</v>
      </c>
      <c r="F4103">
        <v>20160108</v>
      </c>
      <c r="G4103" t="s">
        <v>2250</v>
      </c>
      <c r="H4103" t="s">
        <v>3563</v>
      </c>
      <c r="I4103">
        <v>0</v>
      </c>
      <c r="J4103" t="s">
        <v>1709</v>
      </c>
      <c r="K4103" t="s">
        <v>2252</v>
      </c>
      <c r="L4103" t="s">
        <v>285</v>
      </c>
      <c r="M4103" t="str">
        <f t="shared" si="276"/>
        <v>01</v>
      </c>
      <c r="N4103" t="s">
        <v>12</v>
      </c>
    </row>
    <row r="4104" spans="1:14" x14ac:dyDescent="0.25">
      <c r="A4104">
        <v>20160111</v>
      </c>
      <c r="B4104" t="str">
        <f t="shared" si="279"/>
        <v>061685</v>
      </c>
      <c r="C4104" t="str">
        <f t="shared" si="280"/>
        <v>20706</v>
      </c>
      <c r="D4104" t="s">
        <v>1823</v>
      </c>
      <c r="E4104" s="3">
        <v>2027.12</v>
      </c>
      <c r="F4104">
        <v>20160108</v>
      </c>
      <c r="G4104" t="s">
        <v>2253</v>
      </c>
      <c r="H4104" t="s">
        <v>3564</v>
      </c>
      <c r="I4104">
        <v>0</v>
      </c>
      <c r="J4104" t="s">
        <v>1709</v>
      </c>
      <c r="K4104" t="s">
        <v>290</v>
      </c>
      <c r="L4104" t="s">
        <v>285</v>
      </c>
      <c r="M4104" t="str">
        <f t="shared" si="276"/>
        <v>01</v>
      </c>
      <c r="N4104" t="s">
        <v>12</v>
      </c>
    </row>
    <row r="4105" spans="1:14" x14ac:dyDescent="0.25">
      <c r="A4105">
        <v>20160111</v>
      </c>
      <c r="B4105" t="str">
        <f t="shared" si="279"/>
        <v>061685</v>
      </c>
      <c r="C4105" t="str">
        <f t="shared" si="280"/>
        <v>20706</v>
      </c>
      <c r="D4105" t="s">
        <v>1823</v>
      </c>
      <c r="E4105" s="3">
        <v>621.41</v>
      </c>
      <c r="F4105">
        <v>20160108</v>
      </c>
      <c r="G4105" t="s">
        <v>2255</v>
      </c>
      <c r="H4105" t="s">
        <v>3564</v>
      </c>
      <c r="I4105">
        <v>0</v>
      </c>
      <c r="J4105" t="s">
        <v>1709</v>
      </c>
      <c r="K4105" t="s">
        <v>95</v>
      </c>
      <c r="L4105" t="s">
        <v>285</v>
      </c>
      <c r="M4105" t="str">
        <f t="shared" si="276"/>
        <v>01</v>
      </c>
      <c r="N4105" t="s">
        <v>12</v>
      </c>
    </row>
    <row r="4106" spans="1:14" x14ac:dyDescent="0.25">
      <c r="A4106">
        <v>20160111</v>
      </c>
      <c r="B4106" t="str">
        <f t="shared" si="279"/>
        <v>061685</v>
      </c>
      <c r="C4106" t="str">
        <f t="shared" si="280"/>
        <v>20706</v>
      </c>
      <c r="D4106" t="s">
        <v>1823</v>
      </c>
      <c r="E4106" s="3">
        <v>356.02</v>
      </c>
      <c r="F4106">
        <v>20160108</v>
      </c>
      <c r="G4106" t="s">
        <v>2257</v>
      </c>
      <c r="H4106" t="s">
        <v>3564</v>
      </c>
      <c r="I4106">
        <v>0</v>
      </c>
      <c r="J4106" t="s">
        <v>1709</v>
      </c>
      <c r="K4106" t="s">
        <v>1643</v>
      </c>
      <c r="L4106" t="s">
        <v>285</v>
      </c>
      <c r="M4106" t="str">
        <f t="shared" si="276"/>
        <v>01</v>
      </c>
      <c r="N4106" t="s">
        <v>12</v>
      </c>
    </row>
    <row r="4107" spans="1:14" x14ac:dyDescent="0.25">
      <c r="A4107">
        <v>20160111</v>
      </c>
      <c r="B4107" t="str">
        <f t="shared" si="279"/>
        <v>061685</v>
      </c>
      <c r="C4107" t="str">
        <f t="shared" si="280"/>
        <v>20706</v>
      </c>
      <c r="D4107" t="s">
        <v>1823</v>
      </c>
      <c r="E4107" s="3">
        <v>137.05000000000001</v>
      </c>
      <c r="F4107">
        <v>20160108</v>
      </c>
      <c r="G4107" t="s">
        <v>2259</v>
      </c>
      <c r="I4107">
        <v>0</v>
      </c>
      <c r="J4107" t="s">
        <v>1709</v>
      </c>
      <c r="K4107" t="s">
        <v>33</v>
      </c>
      <c r="L4107" t="s">
        <v>285</v>
      </c>
      <c r="M4107" t="str">
        <f t="shared" si="276"/>
        <v>01</v>
      </c>
      <c r="N4107" t="s">
        <v>12</v>
      </c>
    </row>
    <row r="4108" spans="1:14" x14ac:dyDescent="0.25">
      <c r="A4108">
        <v>20160111</v>
      </c>
      <c r="B4108" t="str">
        <f>"061687"</f>
        <v>061687</v>
      </c>
      <c r="C4108" t="str">
        <f>"21769"</f>
        <v>21769</v>
      </c>
      <c r="D4108" t="s">
        <v>1836</v>
      </c>
      <c r="E4108" s="3">
        <v>2233</v>
      </c>
      <c r="F4108">
        <v>20160108</v>
      </c>
      <c r="G4108" t="s">
        <v>2192</v>
      </c>
      <c r="H4108" t="s">
        <v>3565</v>
      </c>
      <c r="I4108">
        <v>0</v>
      </c>
      <c r="J4108" t="s">
        <v>1709</v>
      </c>
      <c r="K4108" t="s">
        <v>2194</v>
      </c>
      <c r="L4108" t="s">
        <v>285</v>
      </c>
      <c r="M4108" t="str">
        <f t="shared" si="276"/>
        <v>01</v>
      </c>
      <c r="N4108" t="s">
        <v>12</v>
      </c>
    </row>
    <row r="4109" spans="1:14" x14ac:dyDescent="0.25">
      <c r="A4109">
        <v>20160111</v>
      </c>
      <c r="B4109" t="str">
        <f>"061689"</f>
        <v>061689</v>
      </c>
      <c r="C4109" t="str">
        <f>"25144"</f>
        <v>25144</v>
      </c>
      <c r="D4109" t="s">
        <v>3437</v>
      </c>
      <c r="E4109" s="3">
        <v>6300</v>
      </c>
      <c r="F4109">
        <v>20160108</v>
      </c>
      <c r="G4109" t="s">
        <v>3566</v>
      </c>
      <c r="H4109" t="s">
        <v>3567</v>
      </c>
      <c r="I4109">
        <v>0</v>
      </c>
      <c r="J4109" t="s">
        <v>1709</v>
      </c>
      <c r="K4109" t="s">
        <v>290</v>
      </c>
      <c r="L4109" t="s">
        <v>285</v>
      </c>
      <c r="M4109" t="str">
        <f t="shared" si="276"/>
        <v>01</v>
      </c>
      <c r="N4109" t="s">
        <v>12</v>
      </c>
    </row>
    <row r="4110" spans="1:14" x14ac:dyDescent="0.25">
      <c r="A4110">
        <v>20160111</v>
      </c>
      <c r="B4110" t="str">
        <f>"061690"</f>
        <v>061690</v>
      </c>
      <c r="C4110" t="str">
        <f>"25179"</f>
        <v>25179</v>
      </c>
      <c r="D4110" t="s">
        <v>3568</v>
      </c>
      <c r="E4110" s="3">
        <v>474.61</v>
      </c>
      <c r="F4110">
        <v>20160108</v>
      </c>
      <c r="G4110" t="s">
        <v>2047</v>
      </c>
      <c r="H4110" t="s">
        <v>3569</v>
      </c>
      <c r="I4110">
        <v>0</v>
      </c>
      <c r="J4110" t="s">
        <v>1709</v>
      </c>
      <c r="K4110" t="s">
        <v>1882</v>
      </c>
      <c r="L4110" t="s">
        <v>285</v>
      </c>
      <c r="M4110" t="str">
        <f t="shared" si="276"/>
        <v>01</v>
      </c>
      <c r="N4110" t="s">
        <v>12</v>
      </c>
    </row>
    <row r="4111" spans="1:14" x14ac:dyDescent="0.25">
      <c r="A4111">
        <v>20160111</v>
      </c>
      <c r="B4111" t="str">
        <f>"061691"</f>
        <v>061691</v>
      </c>
      <c r="C4111" t="str">
        <f>"28648"</f>
        <v>28648</v>
      </c>
      <c r="D4111" t="s">
        <v>3570</v>
      </c>
      <c r="E4111" s="3">
        <v>501.6</v>
      </c>
      <c r="F4111">
        <v>20160108</v>
      </c>
      <c r="G4111" t="s">
        <v>1957</v>
      </c>
      <c r="H4111" t="s">
        <v>3571</v>
      </c>
      <c r="I4111">
        <v>0</v>
      </c>
      <c r="J4111" t="s">
        <v>1709</v>
      </c>
      <c r="K4111" t="s">
        <v>290</v>
      </c>
      <c r="L4111" t="s">
        <v>285</v>
      </c>
      <c r="M4111" t="str">
        <f t="shared" si="276"/>
        <v>01</v>
      </c>
      <c r="N4111" t="s">
        <v>12</v>
      </c>
    </row>
    <row r="4112" spans="1:14" x14ac:dyDescent="0.25">
      <c r="A4112">
        <v>20160111</v>
      </c>
      <c r="B4112" t="str">
        <f>"061691"</f>
        <v>061691</v>
      </c>
      <c r="C4112" t="str">
        <f>"28648"</f>
        <v>28648</v>
      </c>
      <c r="D4112" t="s">
        <v>3570</v>
      </c>
      <c r="E4112" s="3">
        <v>250.8</v>
      </c>
      <c r="F4112">
        <v>20160108</v>
      </c>
      <c r="G4112" t="s">
        <v>2320</v>
      </c>
      <c r="H4112" t="s">
        <v>3571</v>
      </c>
      <c r="I4112">
        <v>0</v>
      </c>
      <c r="J4112" t="s">
        <v>1709</v>
      </c>
      <c r="K4112" t="s">
        <v>290</v>
      </c>
      <c r="L4112" t="s">
        <v>285</v>
      </c>
      <c r="M4112" t="str">
        <f t="shared" si="276"/>
        <v>01</v>
      </c>
      <c r="N4112" t="s">
        <v>12</v>
      </c>
    </row>
    <row r="4113" spans="1:14" x14ac:dyDescent="0.25">
      <c r="A4113">
        <v>20160111</v>
      </c>
      <c r="B4113" t="str">
        <f>"061693"</f>
        <v>061693</v>
      </c>
      <c r="C4113" t="str">
        <f>"27900"</f>
        <v>27900</v>
      </c>
      <c r="D4113" t="s">
        <v>1596</v>
      </c>
      <c r="E4113" s="3">
        <v>100</v>
      </c>
      <c r="F4113">
        <v>20160108</v>
      </c>
      <c r="G4113" t="s">
        <v>1732</v>
      </c>
      <c r="H4113" t="s">
        <v>3555</v>
      </c>
      <c r="I4113">
        <v>0</v>
      </c>
      <c r="J4113" t="s">
        <v>1709</v>
      </c>
      <c r="K4113" t="s">
        <v>290</v>
      </c>
      <c r="L4113" t="s">
        <v>285</v>
      </c>
      <c r="M4113" t="str">
        <f t="shared" si="276"/>
        <v>01</v>
      </c>
      <c r="N4113" t="s">
        <v>12</v>
      </c>
    </row>
    <row r="4114" spans="1:14" x14ac:dyDescent="0.25">
      <c r="A4114">
        <v>20160111</v>
      </c>
      <c r="B4114" t="str">
        <f>"061696"</f>
        <v>061696</v>
      </c>
      <c r="C4114" t="str">
        <f>"28820"</f>
        <v>28820</v>
      </c>
      <c r="D4114" t="s">
        <v>2647</v>
      </c>
      <c r="E4114" s="3">
        <v>168.6</v>
      </c>
      <c r="F4114">
        <v>20160108</v>
      </c>
      <c r="G4114" t="s">
        <v>2648</v>
      </c>
      <c r="H4114" t="s">
        <v>3572</v>
      </c>
      <c r="I4114">
        <v>0</v>
      </c>
      <c r="J4114" t="s">
        <v>1709</v>
      </c>
      <c r="K4114" t="s">
        <v>2377</v>
      </c>
      <c r="L4114" t="s">
        <v>285</v>
      </c>
      <c r="M4114" t="str">
        <f t="shared" si="276"/>
        <v>01</v>
      </c>
      <c r="N4114" t="s">
        <v>12</v>
      </c>
    </row>
    <row r="4115" spans="1:14" x14ac:dyDescent="0.25">
      <c r="A4115">
        <v>20160111</v>
      </c>
      <c r="B4115" t="str">
        <f t="shared" ref="B4115:B4120" si="281">"061697"</f>
        <v>061697</v>
      </c>
      <c r="C4115" t="str">
        <f t="shared" ref="C4115:C4120" si="282">"29500"</f>
        <v>29500</v>
      </c>
      <c r="D4115" t="s">
        <v>1698</v>
      </c>
      <c r="E4115" s="3">
        <v>6300</v>
      </c>
      <c r="F4115">
        <v>20160108</v>
      </c>
      <c r="G4115" t="s">
        <v>2281</v>
      </c>
      <c r="H4115" t="s">
        <v>3573</v>
      </c>
      <c r="I4115">
        <v>0</v>
      </c>
      <c r="J4115" t="s">
        <v>1709</v>
      </c>
      <c r="K4115" t="s">
        <v>290</v>
      </c>
      <c r="L4115" t="s">
        <v>285</v>
      </c>
      <c r="M4115" t="str">
        <f t="shared" si="276"/>
        <v>01</v>
      </c>
      <c r="N4115" t="s">
        <v>12</v>
      </c>
    </row>
    <row r="4116" spans="1:14" x14ac:dyDescent="0.25">
      <c r="A4116">
        <v>20160111</v>
      </c>
      <c r="B4116" t="str">
        <f t="shared" si="281"/>
        <v>061697</v>
      </c>
      <c r="C4116" t="str">
        <f t="shared" si="282"/>
        <v>29500</v>
      </c>
      <c r="D4116" t="s">
        <v>1698</v>
      </c>
      <c r="E4116" s="3">
        <v>648</v>
      </c>
      <c r="F4116">
        <v>20160108</v>
      </c>
      <c r="G4116" t="s">
        <v>3574</v>
      </c>
      <c r="H4116" t="s">
        <v>3573</v>
      </c>
      <c r="I4116">
        <v>0</v>
      </c>
      <c r="J4116" t="s">
        <v>1709</v>
      </c>
      <c r="K4116" t="s">
        <v>95</v>
      </c>
      <c r="L4116" t="s">
        <v>285</v>
      </c>
      <c r="M4116" t="str">
        <f t="shared" si="276"/>
        <v>01</v>
      </c>
      <c r="N4116" t="s">
        <v>12</v>
      </c>
    </row>
    <row r="4117" spans="1:14" x14ac:dyDescent="0.25">
      <c r="A4117">
        <v>20160111</v>
      </c>
      <c r="B4117" t="str">
        <f t="shared" si="281"/>
        <v>061697</v>
      </c>
      <c r="C4117" t="str">
        <f t="shared" si="282"/>
        <v>29500</v>
      </c>
      <c r="D4117" t="s">
        <v>1698</v>
      </c>
      <c r="E4117" s="3">
        <v>667.5</v>
      </c>
      <c r="F4117">
        <v>20160108</v>
      </c>
      <c r="G4117" t="s">
        <v>1859</v>
      </c>
      <c r="H4117" t="s">
        <v>3575</v>
      </c>
      <c r="I4117">
        <v>0</v>
      </c>
      <c r="J4117" t="s">
        <v>1709</v>
      </c>
      <c r="K4117" t="s">
        <v>1861</v>
      </c>
      <c r="L4117" t="s">
        <v>285</v>
      </c>
      <c r="M4117" t="str">
        <f t="shared" si="276"/>
        <v>01</v>
      </c>
      <c r="N4117" t="s">
        <v>12</v>
      </c>
    </row>
    <row r="4118" spans="1:14" x14ac:dyDescent="0.25">
      <c r="A4118">
        <v>20160111</v>
      </c>
      <c r="B4118" t="str">
        <f t="shared" si="281"/>
        <v>061697</v>
      </c>
      <c r="C4118" t="str">
        <f t="shared" si="282"/>
        <v>29500</v>
      </c>
      <c r="D4118" t="s">
        <v>1698</v>
      </c>
      <c r="E4118" s="3">
        <v>37.229999999999997</v>
      </c>
      <c r="F4118">
        <v>20160108</v>
      </c>
      <c r="G4118" t="s">
        <v>1859</v>
      </c>
      <c r="H4118" t="s">
        <v>3576</v>
      </c>
      <c r="I4118">
        <v>0</v>
      </c>
      <c r="J4118" t="s">
        <v>1709</v>
      </c>
      <c r="K4118" t="s">
        <v>1861</v>
      </c>
      <c r="L4118" t="s">
        <v>285</v>
      </c>
      <c r="M4118" t="str">
        <f t="shared" si="276"/>
        <v>01</v>
      </c>
      <c r="N4118" t="s">
        <v>12</v>
      </c>
    </row>
    <row r="4119" spans="1:14" x14ac:dyDescent="0.25">
      <c r="A4119">
        <v>20160111</v>
      </c>
      <c r="B4119" t="str">
        <f t="shared" si="281"/>
        <v>061697</v>
      </c>
      <c r="C4119" t="str">
        <f t="shared" si="282"/>
        <v>29500</v>
      </c>
      <c r="D4119" t="s">
        <v>1698</v>
      </c>
      <c r="E4119" s="3">
        <v>103.72</v>
      </c>
      <c r="F4119">
        <v>20160108</v>
      </c>
      <c r="G4119" t="s">
        <v>1859</v>
      </c>
      <c r="H4119" t="s">
        <v>3577</v>
      </c>
      <c r="I4119">
        <v>0</v>
      </c>
      <c r="J4119" t="s">
        <v>1709</v>
      </c>
      <c r="K4119" t="s">
        <v>1861</v>
      </c>
      <c r="L4119" t="s">
        <v>285</v>
      </c>
      <c r="M4119" t="str">
        <f t="shared" si="276"/>
        <v>01</v>
      </c>
      <c r="N4119" t="s">
        <v>12</v>
      </c>
    </row>
    <row r="4120" spans="1:14" x14ac:dyDescent="0.25">
      <c r="A4120">
        <v>20160111</v>
      </c>
      <c r="B4120" t="str">
        <f t="shared" si="281"/>
        <v>061697</v>
      </c>
      <c r="C4120" t="str">
        <f t="shared" si="282"/>
        <v>29500</v>
      </c>
      <c r="D4120" t="s">
        <v>1698</v>
      </c>
      <c r="E4120" s="3">
        <v>298.8</v>
      </c>
      <c r="F4120">
        <v>20160108</v>
      </c>
      <c r="G4120" t="s">
        <v>1859</v>
      </c>
      <c r="I4120">
        <v>0</v>
      </c>
      <c r="J4120" t="s">
        <v>1709</v>
      </c>
      <c r="K4120" t="s">
        <v>1861</v>
      </c>
      <c r="L4120" t="s">
        <v>285</v>
      </c>
      <c r="M4120" t="str">
        <f t="shared" si="276"/>
        <v>01</v>
      </c>
      <c r="N4120" t="s">
        <v>12</v>
      </c>
    </row>
    <row r="4121" spans="1:14" x14ac:dyDescent="0.25">
      <c r="A4121">
        <v>20160111</v>
      </c>
      <c r="B4121" t="str">
        <f>"061698"</f>
        <v>061698</v>
      </c>
      <c r="C4121" t="str">
        <f>"29548"</f>
        <v>29548</v>
      </c>
      <c r="D4121" t="s">
        <v>1862</v>
      </c>
      <c r="E4121" s="3">
        <v>1344</v>
      </c>
      <c r="F4121">
        <v>20160108</v>
      </c>
      <c r="G4121" t="s">
        <v>1859</v>
      </c>
      <c r="H4121" t="s">
        <v>3578</v>
      </c>
      <c r="I4121">
        <v>0</v>
      </c>
      <c r="J4121" t="s">
        <v>1709</v>
      </c>
      <c r="K4121" t="s">
        <v>1861</v>
      </c>
      <c r="L4121" t="s">
        <v>285</v>
      </c>
      <c r="M4121" t="str">
        <f t="shared" si="276"/>
        <v>01</v>
      </c>
      <c r="N4121" t="s">
        <v>12</v>
      </c>
    </row>
    <row r="4122" spans="1:14" x14ac:dyDescent="0.25">
      <c r="A4122">
        <v>20160111</v>
      </c>
      <c r="B4122" t="str">
        <f>"061700"</f>
        <v>061700</v>
      </c>
      <c r="C4122" t="str">
        <f>"06470"</f>
        <v>06470</v>
      </c>
      <c r="D4122" t="s">
        <v>2654</v>
      </c>
      <c r="E4122" s="3">
        <v>221.21</v>
      </c>
      <c r="F4122">
        <v>20160108</v>
      </c>
      <c r="G4122" t="s">
        <v>2164</v>
      </c>
      <c r="H4122" t="s">
        <v>3579</v>
      </c>
      <c r="I4122">
        <v>0</v>
      </c>
      <c r="J4122" t="s">
        <v>1709</v>
      </c>
      <c r="K4122" t="s">
        <v>1861</v>
      </c>
      <c r="L4122" t="s">
        <v>285</v>
      </c>
      <c r="M4122" t="str">
        <f t="shared" si="276"/>
        <v>01</v>
      </c>
      <c r="N4122" t="s">
        <v>12</v>
      </c>
    </row>
    <row r="4123" spans="1:14" x14ac:dyDescent="0.25">
      <c r="A4123">
        <v>20160111</v>
      </c>
      <c r="B4123" t="str">
        <f>"061701"</f>
        <v>061701</v>
      </c>
      <c r="C4123" t="str">
        <f>"31500"</f>
        <v>31500</v>
      </c>
      <c r="D4123" t="s">
        <v>1872</v>
      </c>
      <c r="E4123" s="3">
        <v>482.4</v>
      </c>
      <c r="F4123">
        <v>20160108</v>
      </c>
      <c r="G4123" t="s">
        <v>2074</v>
      </c>
      <c r="H4123" t="s">
        <v>3580</v>
      </c>
      <c r="I4123">
        <v>0</v>
      </c>
      <c r="J4123" t="s">
        <v>1709</v>
      </c>
      <c r="K4123" t="s">
        <v>1861</v>
      </c>
      <c r="L4123" t="s">
        <v>285</v>
      </c>
      <c r="M4123" t="str">
        <f t="shared" si="276"/>
        <v>01</v>
      </c>
      <c r="N4123" t="s">
        <v>12</v>
      </c>
    </row>
    <row r="4124" spans="1:14" x14ac:dyDescent="0.25">
      <c r="A4124">
        <v>20160111</v>
      </c>
      <c r="B4124" t="str">
        <f>"061703"</f>
        <v>061703</v>
      </c>
      <c r="C4124" t="str">
        <f>"35430"</f>
        <v>35430</v>
      </c>
      <c r="D4124" t="s">
        <v>2302</v>
      </c>
      <c r="E4124" s="3">
        <v>363.8</v>
      </c>
      <c r="F4124">
        <v>20160108</v>
      </c>
      <c r="G4124" t="s">
        <v>2303</v>
      </c>
      <c r="H4124" t="s">
        <v>3561</v>
      </c>
      <c r="I4124">
        <v>0</v>
      </c>
      <c r="J4124" t="s">
        <v>1709</v>
      </c>
      <c r="K4124" t="s">
        <v>235</v>
      </c>
      <c r="L4124" t="s">
        <v>285</v>
      </c>
      <c r="M4124" t="str">
        <f t="shared" si="276"/>
        <v>01</v>
      </c>
      <c r="N4124" t="s">
        <v>12</v>
      </c>
    </row>
    <row r="4125" spans="1:14" x14ac:dyDescent="0.25">
      <c r="A4125">
        <v>20160111</v>
      </c>
      <c r="B4125" t="str">
        <f>"061703"</f>
        <v>061703</v>
      </c>
      <c r="C4125" t="str">
        <f>"35430"</f>
        <v>35430</v>
      </c>
      <c r="D4125" t="s">
        <v>2302</v>
      </c>
      <c r="E4125" s="3">
        <v>219.4</v>
      </c>
      <c r="F4125">
        <v>20160108</v>
      </c>
      <c r="G4125" t="s">
        <v>2303</v>
      </c>
      <c r="H4125" t="s">
        <v>3561</v>
      </c>
      <c r="I4125">
        <v>0</v>
      </c>
      <c r="J4125" t="s">
        <v>1709</v>
      </c>
      <c r="K4125" t="s">
        <v>235</v>
      </c>
      <c r="L4125" t="s">
        <v>285</v>
      </c>
      <c r="M4125" t="str">
        <f t="shared" si="276"/>
        <v>01</v>
      </c>
      <c r="N4125" t="s">
        <v>12</v>
      </c>
    </row>
    <row r="4126" spans="1:14" x14ac:dyDescent="0.25">
      <c r="A4126">
        <v>20160111</v>
      </c>
      <c r="B4126" t="str">
        <f t="shared" ref="B4126:B4135" si="283">"061705"</f>
        <v>061705</v>
      </c>
      <c r="C4126" t="str">
        <f t="shared" ref="C4126:C4135" si="284">"37500"</f>
        <v>37500</v>
      </c>
      <c r="D4126" t="s">
        <v>1652</v>
      </c>
      <c r="E4126" s="3">
        <v>38.25</v>
      </c>
      <c r="F4126">
        <v>20160108</v>
      </c>
      <c r="G4126" t="s">
        <v>2980</v>
      </c>
      <c r="H4126" t="s">
        <v>3581</v>
      </c>
      <c r="I4126">
        <v>0</v>
      </c>
      <c r="J4126" t="s">
        <v>1709</v>
      </c>
      <c r="K4126" t="s">
        <v>95</v>
      </c>
      <c r="L4126" t="s">
        <v>285</v>
      </c>
      <c r="M4126" t="str">
        <f t="shared" si="276"/>
        <v>01</v>
      </c>
      <c r="N4126" t="s">
        <v>12</v>
      </c>
    </row>
    <row r="4127" spans="1:14" x14ac:dyDescent="0.25">
      <c r="A4127">
        <v>20160111</v>
      </c>
      <c r="B4127" t="str">
        <f t="shared" si="283"/>
        <v>061705</v>
      </c>
      <c r="C4127" t="str">
        <f t="shared" si="284"/>
        <v>37500</v>
      </c>
      <c r="D4127" t="s">
        <v>1652</v>
      </c>
      <c r="E4127" s="3">
        <v>10</v>
      </c>
      <c r="F4127">
        <v>20160108</v>
      </c>
      <c r="G4127" t="s">
        <v>2983</v>
      </c>
      <c r="H4127" t="s">
        <v>3547</v>
      </c>
      <c r="I4127">
        <v>0</v>
      </c>
      <c r="J4127" t="s">
        <v>1709</v>
      </c>
      <c r="K4127" t="s">
        <v>290</v>
      </c>
      <c r="L4127" t="s">
        <v>285</v>
      </c>
      <c r="M4127" t="str">
        <f t="shared" si="276"/>
        <v>01</v>
      </c>
      <c r="N4127" t="s">
        <v>12</v>
      </c>
    </row>
    <row r="4128" spans="1:14" x14ac:dyDescent="0.25">
      <c r="A4128">
        <v>20160111</v>
      </c>
      <c r="B4128" t="str">
        <f t="shared" si="283"/>
        <v>061705</v>
      </c>
      <c r="C4128" t="str">
        <f t="shared" si="284"/>
        <v>37500</v>
      </c>
      <c r="D4128" t="s">
        <v>1652</v>
      </c>
      <c r="E4128" s="3">
        <v>72.099999999999994</v>
      </c>
      <c r="F4128">
        <v>20160108</v>
      </c>
      <c r="G4128" t="s">
        <v>2791</v>
      </c>
      <c r="H4128" t="s">
        <v>3582</v>
      </c>
      <c r="I4128">
        <v>0</v>
      </c>
      <c r="J4128" t="s">
        <v>1709</v>
      </c>
      <c r="K4128" t="s">
        <v>290</v>
      </c>
      <c r="L4128" t="s">
        <v>285</v>
      </c>
      <c r="M4128" t="str">
        <f t="shared" si="276"/>
        <v>01</v>
      </c>
      <c r="N4128" t="s">
        <v>12</v>
      </c>
    </row>
    <row r="4129" spans="1:14" x14ac:dyDescent="0.25">
      <c r="A4129">
        <v>20160111</v>
      </c>
      <c r="B4129" t="str">
        <f t="shared" si="283"/>
        <v>061705</v>
      </c>
      <c r="C4129" t="str">
        <f t="shared" si="284"/>
        <v>37500</v>
      </c>
      <c r="D4129" t="s">
        <v>1652</v>
      </c>
      <c r="E4129" s="3">
        <v>22.4</v>
      </c>
      <c r="F4129">
        <v>20160108</v>
      </c>
      <c r="G4129" t="s">
        <v>2792</v>
      </c>
      <c r="H4129" t="s">
        <v>3583</v>
      </c>
      <c r="I4129">
        <v>0</v>
      </c>
      <c r="J4129" t="s">
        <v>1709</v>
      </c>
      <c r="K4129" t="s">
        <v>33</v>
      </c>
      <c r="L4129" t="s">
        <v>285</v>
      </c>
      <c r="M4129" t="str">
        <f t="shared" si="276"/>
        <v>01</v>
      </c>
      <c r="N4129" t="s">
        <v>12</v>
      </c>
    </row>
    <row r="4130" spans="1:14" x14ac:dyDescent="0.25">
      <c r="A4130">
        <v>20160111</v>
      </c>
      <c r="B4130" t="str">
        <f t="shared" si="283"/>
        <v>061705</v>
      </c>
      <c r="C4130" t="str">
        <f t="shared" si="284"/>
        <v>37500</v>
      </c>
      <c r="D4130" t="s">
        <v>1652</v>
      </c>
      <c r="E4130" s="3">
        <v>11.53</v>
      </c>
      <c r="F4130">
        <v>20160108</v>
      </c>
      <c r="G4130" t="s">
        <v>2795</v>
      </c>
      <c r="H4130" t="s">
        <v>3584</v>
      </c>
      <c r="I4130">
        <v>0</v>
      </c>
      <c r="J4130" t="s">
        <v>1709</v>
      </c>
      <c r="K4130" t="s">
        <v>95</v>
      </c>
      <c r="L4130" t="s">
        <v>285</v>
      </c>
      <c r="M4130" t="str">
        <f t="shared" si="276"/>
        <v>01</v>
      </c>
      <c r="N4130" t="s">
        <v>12</v>
      </c>
    </row>
    <row r="4131" spans="1:14" x14ac:dyDescent="0.25">
      <c r="A4131">
        <v>20160111</v>
      </c>
      <c r="B4131" t="str">
        <f t="shared" si="283"/>
        <v>061705</v>
      </c>
      <c r="C4131" t="str">
        <f t="shared" si="284"/>
        <v>37500</v>
      </c>
      <c r="D4131" t="s">
        <v>1652</v>
      </c>
      <c r="E4131" s="3">
        <v>56.55</v>
      </c>
      <c r="F4131">
        <v>20160108</v>
      </c>
      <c r="G4131" t="s">
        <v>2648</v>
      </c>
      <c r="H4131" t="s">
        <v>2173</v>
      </c>
      <c r="I4131">
        <v>0</v>
      </c>
      <c r="J4131" t="s">
        <v>1709</v>
      </c>
      <c r="K4131" t="s">
        <v>2377</v>
      </c>
      <c r="L4131" t="s">
        <v>285</v>
      </c>
      <c r="M4131" t="str">
        <f t="shared" si="276"/>
        <v>01</v>
      </c>
      <c r="N4131" t="s">
        <v>12</v>
      </c>
    </row>
    <row r="4132" spans="1:14" x14ac:dyDescent="0.25">
      <c r="A4132">
        <v>20160111</v>
      </c>
      <c r="B4132" t="str">
        <f t="shared" si="283"/>
        <v>061705</v>
      </c>
      <c r="C4132" t="str">
        <f t="shared" si="284"/>
        <v>37500</v>
      </c>
      <c r="D4132" t="s">
        <v>1652</v>
      </c>
      <c r="E4132" s="3">
        <v>93.7</v>
      </c>
      <c r="F4132">
        <v>20160108</v>
      </c>
      <c r="G4132" t="s">
        <v>2049</v>
      </c>
      <c r="H4132" t="s">
        <v>3585</v>
      </c>
      <c r="I4132">
        <v>0</v>
      </c>
      <c r="J4132" t="s">
        <v>1709</v>
      </c>
      <c r="K4132" t="s">
        <v>1775</v>
      </c>
      <c r="L4132" t="s">
        <v>285</v>
      </c>
      <c r="M4132" t="str">
        <f t="shared" si="276"/>
        <v>01</v>
      </c>
      <c r="N4132" t="s">
        <v>12</v>
      </c>
    </row>
    <row r="4133" spans="1:14" x14ac:dyDescent="0.25">
      <c r="A4133">
        <v>20160111</v>
      </c>
      <c r="B4133" t="str">
        <f t="shared" si="283"/>
        <v>061705</v>
      </c>
      <c r="C4133" t="str">
        <f t="shared" si="284"/>
        <v>37500</v>
      </c>
      <c r="D4133" t="s">
        <v>1652</v>
      </c>
      <c r="E4133" s="3">
        <v>40</v>
      </c>
      <c r="F4133">
        <v>20160108</v>
      </c>
      <c r="G4133" t="s">
        <v>3586</v>
      </c>
      <c r="H4133" t="s">
        <v>2173</v>
      </c>
      <c r="I4133">
        <v>0</v>
      </c>
      <c r="J4133" t="s">
        <v>1709</v>
      </c>
      <c r="K4133" t="s">
        <v>1882</v>
      </c>
      <c r="L4133" t="s">
        <v>285</v>
      </c>
      <c r="M4133" t="str">
        <f t="shared" si="276"/>
        <v>01</v>
      </c>
      <c r="N4133" t="s">
        <v>12</v>
      </c>
    </row>
    <row r="4134" spans="1:14" x14ac:dyDescent="0.25">
      <c r="A4134">
        <v>20160111</v>
      </c>
      <c r="B4134" t="str">
        <f t="shared" si="283"/>
        <v>061705</v>
      </c>
      <c r="C4134" t="str">
        <f t="shared" si="284"/>
        <v>37500</v>
      </c>
      <c r="D4134" t="s">
        <v>1652</v>
      </c>
      <c r="E4134" s="3">
        <v>69.09</v>
      </c>
      <c r="F4134">
        <v>20160108</v>
      </c>
      <c r="G4134" t="s">
        <v>2990</v>
      </c>
      <c r="H4134" t="s">
        <v>3587</v>
      </c>
      <c r="I4134">
        <v>0</v>
      </c>
      <c r="J4134" t="s">
        <v>1709</v>
      </c>
      <c r="K4134" t="s">
        <v>1779</v>
      </c>
      <c r="L4134" t="s">
        <v>285</v>
      </c>
      <c r="M4134" t="str">
        <f t="shared" si="276"/>
        <v>01</v>
      </c>
      <c r="N4134" t="s">
        <v>12</v>
      </c>
    </row>
    <row r="4135" spans="1:14" x14ac:dyDescent="0.25">
      <c r="A4135">
        <v>20160111</v>
      </c>
      <c r="B4135" t="str">
        <f t="shared" si="283"/>
        <v>061705</v>
      </c>
      <c r="C4135" t="str">
        <f t="shared" si="284"/>
        <v>37500</v>
      </c>
      <c r="D4135" t="s">
        <v>1652</v>
      </c>
      <c r="E4135" s="3">
        <v>277.02</v>
      </c>
      <c r="F4135">
        <v>20160108</v>
      </c>
      <c r="G4135" t="s">
        <v>2799</v>
      </c>
      <c r="H4135" t="s">
        <v>3588</v>
      </c>
      <c r="I4135">
        <v>0</v>
      </c>
      <c r="J4135" t="s">
        <v>1709</v>
      </c>
      <c r="K4135" t="s">
        <v>1861</v>
      </c>
      <c r="L4135" t="s">
        <v>285</v>
      </c>
      <c r="M4135" t="str">
        <f t="shared" ref="M4135:M4198" si="285">"01"</f>
        <v>01</v>
      </c>
      <c r="N4135" t="s">
        <v>12</v>
      </c>
    </row>
    <row r="4136" spans="1:14" x14ac:dyDescent="0.25">
      <c r="A4136">
        <v>20160111</v>
      </c>
      <c r="B4136" t="str">
        <f>"061707"</f>
        <v>061707</v>
      </c>
      <c r="C4136" t="str">
        <f>"42194"</f>
        <v>42194</v>
      </c>
      <c r="D4136" t="s">
        <v>1874</v>
      </c>
      <c r="E4136" s="3">
        <v>77383.61</v>
      </c>
      <c r="F4136">
        <v>20160108</v>
      </c>
      <c r="G4136" t="s">
        <v>2890</v>
      </c>
      <c r="H4136" t="s">
        <v>3589</v>
      </c>
      <c r="I4136">
        <v>0</v>
      </c>
      <c r="J4136" t="s">
        <v>1709</v>
      </c>
      <c r="K4136" t="s">
        <v>1861</v>
      </c>
      <c r="L4136" t="s">
        <v>285</v>
      </c>
      <c r="M4136" t="str">
        <f t="shared" si="285"/>
        <v>01</v>
      </c>
      <c r="N4136" t="s">
        <v>12</v>
      </c>
    </row>
    <row r="4137" spans="1:14" x14ac:dyDescent="0.25">
      <c r="A4137">
        <v>20160111</v>
      </c>
      <c r="B4137" t="str">
        <f>"061707"</f>
        <v>061707</v>
      </c>
      <c r="C4137" t="str">
        <f>"42194"</f>
        <v>42194</v>
      </c>
      <c r="D4137" t="s">
        <v>1874</v>
      </c>
      <c r="E4137" s="3">
        <v>-77383.61</v>
      </c>
      <c r="F4137">
        <v>20160111</v>
      </c>
      <c r="G4137" t="s">
        <v>2890</v>
      </c>
      <c r="H4137" t="s">
        <v>214</v>
      </c>
      <c r="I4137">
        <v>0</v>
      </c>
      <c r="J4137" t="s">
        <v>1709</v>
      </c>
      <c r="K4137" t="s">
        <v>1861</v>
      </c>
      <c r="L4137" t="s">
        <v>17</v>
      </c>
      <c r="M4137" t="str">
        <f t="shared" si="285"/>
        <v>01</v>
      </c>
      <c r="N4137" t="s">
        <v>12</v>
      </c>
    </row>
    <row r="4138" spans="1:14" x14ac:dyDescent="0.25">
      <c r="A4138">
        <v>20160111</v>
      </c>
      <c r="B4138" t="str">
        <f>"061709"</f>
        <v>061709</v>
      </c>
      <c r="C4138" t="str">
        <f>"60601"</f>
        <v>60601</v>
      </c>
      <c r="D4138" t="s">
        <v>3590</v>
      </c>
      <c r="E4138" s="3">
        <v>375</v>
      </c>
      <c r="F4138">
        <v>20160108</v>
      </c>
      <c r="G4138" t="s">
        <v>2226</v>
      </c>
      <c r="H4138" t="s">
        <v>3591</v>
      </c>
      <c r="I4138">
        <v>0</v>
      </c>
      <c r="J4138" t="s">
        <v>1709</v>
      </c>
      <c r="K4138" t="s">
        <v>33</v>
      </c>
      <c r="L4138" t="s">
        <v>285</v>
      </c>
      <c r="M4138" t="str">
        <f t="shared" si="285"/>
        <v>01</v>
      </c>
      <c r="N4138" t="s">
        <v>12</v>
      </c>
    </row>
    <row r="4139" spans="1:14" x14ac:dyDescent="0.25">
      <c r="A4139">
        <v>20160111</v>
      </c>
      <c r="B4139" t="str">
        <f>"061709"</f>
        <v>061709</v>
      </c>
      <c r="C4139" t="str">
        <f>"60601"</f>
        <v>60601</v>
      </c>
      <c r="D4139" t="s">
        <v>3590</v>
      </c>
      <c r="E4139" s="3">
        <v>1125</v>
      </c>
      <c r="F4139">
        <v>20160108</v>
      </c>
      <c r="G4139" t="s">
        <v>2100</v>
      </c>
      <c r="H4139" t="s">
        <v>3591</v>
      </c>
      <c r="I4139">
        <v>0</v>
      </c>
      <c r="J4139" t="s">
        <v>1709</v>
      </c>
      <c r="K4139" t="s">
        <v>33</v>
      </c>
      <c r="L4139" t="s">
        <v>285</v>
      </c>
      <c r="M4139" t="str">
        <f t="shared" si="285"/>
        <v>01</v>
      </c>
      <c r="N4139" t="s">
        <v>12</v>
      </c>
    </row>
    <row r="4140" spans="1:14" x14ac:dyDescent="0.25">
      <c r="A4140">
        <v>20160111</v>
      </c>
      <c r="B4140" t="str">
        <f>"061710"</f>
        <v>061710</v>
      </c>
      <c r="C4140" t="str">
        <f>"45492"</f>
        <v>45492</v>
      </c>
      <c r="D4140" t="s">
        <v>3241</v>
      </c>
      <c r="E4140" s="3">
        <v>25.64</v>
      </c>
      <c r="F4140">
        <v>20160108</v>
      </c>
      <c r="G4140" t="s">
        <v>1859</v>
      </c>
      <c r="H4140" t="s">
        <v>3558</v>
      </c>
      <c r="I4140">
        <v>0</v>
      </c>
      <c r="J4140" t="s">
        <v>1709</v>
      </c>
      <c r="K4140" t="s">
        <v>1861</v>
      </c>
      <c r="L4140" t="s">
        <v>285</v>
      </c>
      <c r="M4140" t="str">
        <f t="shared" si="285"/>
        <v>01</v>
      </c>
      <c r="N4140" t="s">
        <v>12</v>
      </c>
    </row>
    <row r="4141" spans="1:14" x14ac:dyDescent="0.25">
      <c r="A4141">
        <v>20160111</v>
      </c>
      <c r="B4141" t="str">
        <f>"061711"</f>
        <v>061711</v>
      </c>
      <c r="C4141" t="str">
        <f>"45496"</f>
        <v>45496</v>
      </c>
      <c r="D4141" t="s">
        <v>2327</v>
      </c>
      <c r="E4141" s="3">
        <v>10.77</v>
      </c>
      <c r="F4141">
        <v>20160108</v>
      </c>
      <c r="G4141" t="s">
        <v>2648</v>
      </c>
      <c r="H4141" t="s">
        <v>3592</v>
      </c>
      <c r="I4141">
        <v>0</v>
      </c>
      <c r="J4141" t="s">
        <v>1709</v>
      </c>
      <c r="K4141" t="s">
        <v>2377</v>
      </c>
      <c r="L4141" t="s">
        <v>285</v>
      </c>
      <c r="M4141" t="str">
        <f t="shared" si="285"/>
        <v>01</v>
      </c>
      <c r="N4141" t="s">
        <v>12</v>
      </c>
    </row>
    <row r="4142" spans="1:14" x14ac:dyDescent="0.25">
      <c r="A4142">
        <v>20160111</v>
      </c>
      <c r="B4142" t="str">
        <f>"061711"</f>
        <v>061711</v>
      </c>
      <c r="C4142" t="str">
        <f>"45496"</f>
        <v>45496</v>
      </c>
      <c r="D4142" t="s">
        <v>2327</v>
      </c>
      <c r="E4142" s="3">
        <v>11.4</v>
      </c>
      <c r="F4142">
        <v>20160108</v>
      </c>
      <c r="G4142" t="s">
        <v>2047</v>
      </c>
      <c r="H4142" t="s">
        <v>3592</v>
      </c>
      <c r="I4142">
        <v>0</v>
      </c>
      <c r="J4142" t="s">
        <v>1709</v>
      </c>
      <c r="K4142" t="s">
        <v>1882</v>
      </c>
      <c r="L4142" t="s">
        <v>285</v>
      </c>
      <c r="M4142" t="str">
        <f t="shared" si="285"/>
        <v>01</v>
      </c>
      <c r="N4142" t="s">
        <v>12</v>
      </c>
    </row>
    <row r="4143" spans="1:14" x14ac:dyDescent="0.25">
      <c r="A4143">
        <v>20160111</v>
      </c>
      <c r="B4143" t="str">
        <f>"061711"</f>
        <v>061711</v>
      </c>
      <c r="C4143" t="str">
        <f>"45496"</f>
        <v>45496</v>
      </c>
      <c r="D4143" t="s">
        <v>2327</v>
      </c>
      <c r="E4143" s="3">
        <v>15.49</v>
      </c>
      <c r="F4143">
        <v>20160108</v>
      </c>
      <c r="G4143" t="s">
        <v>3109</v>
      </c>
      <c r="H4143" t="s">
        <v>3592</v>
      </c>
      <c r="I4143">
        <v>0</v>
      </c>
      <c r="J4143" t="s">
        <v>1709</v>
      </c>
      <c r="K4143" t="s">
        <v>1893</v>
      </c>
      <c r="L4143" t="s">
        <v>285</v>
      </c>
      <c r="M4143" t="str">
        <f t="shared" si="285"/>
        <v>01</v>
      </c>
      <c r="N4143" t="s">
        <v>12</v>
      </c>
    </row>
    <row r="4144" spans="1:14" x14ac:dyDescent="0.25">
      <c r="A4144">
        <v>20160111</v>
      </c>
      <c r="B4144" t="str">
        <f>"061712"</f>
        <v>061712</v>
      </c>
      <c r="C4144" t="str">
        <f>"45855"</f>
        <v>45855</v>
      </c>
      <c r="D4144" t="s">
        <v>2546</v>
      </c>
      <c r="E4144" s="3">
        <v>50.36</v>
      </c>
      <c r="F4144">
        <v>20160108</v>
      </c>
      <c r="G4144" t="s">
        <v>2995</v>
      </c>
      <c r="H4144" t="s">
        <v>3593</v>
      </c>
      <c r="I4144">
        <v>0</v>
      </c>
      <c r="J4144" t="s">
        <v>1709</v>
      </c>
      <c r="K4144" t="s">
        <v>2194</v>
      </c>
      <c r="L4144" t="s">
        <v>285</v>
      </c>
      <c r="M4144" t="str">
        <f t="shared" si="285"/>
        <v>01</v>
      </c>
      <c r="N4144" t="s">
        <v>12</v>
      </c>
    </row>
    <row r="4145" spans="1:14" x14ac:dyDescent="0.25">
      <c r="A4145">
        <v>20160111</v>
      </c>
      <c r="B4145" t="str">
        <f>"061713"</f>
        <v>061713</v>
      </c>
      <c r="C4145" t="str">
        <f>"46020"</f>
        <v>46020</v>
      </c>
      <c r="D4145" t="s">
        <v>3594</v>
      </c>
      <c r="E4145" s="3">
        <v>53.76</v>
      </c>
      <c r="F4145">
        <v>20160108</v>
      </c>
      <c r="G4145" t="s">
        <v>2995</v>
      </c>
      <c r="H4145" t="s">
        <v>3595</v>
      </c>
      <c r="I4145">
        <v>0</v>
      </c>
      <c r="J4145" t="s">
        <v>1709</v>
      </c>
      <c r="K4145" t="s">
        <v>2194</v>
      </c>
      <c r="L4145" t="s">
        <v>285</v>
      </c>
      <c r="M4145" t="str">
        <f t="shared" si="285"/>
        <v>01</v>
      </c>
      <c r="N4145" t="s">
        <v>12</v>
      </c>
    </row>
    <row r="4146" spans="1:14" x14ac:dyDescent="0.25">
      <c r="A4146">
        <v>20160111</v>
      </c>
      <c r="B4146" t="str">
        <f>"061714"</f>
        <v>061714</v>
      </c>
      <c r="C4146" t="str">
        <f>"49670"</f>
        <v>49670</v>
      </c>
      <c r="D4146" t="s">
        <v>3596</v>
      </c>
      <c r="E4146" s="3">
        <v>167.83</v>
      </c>
      <c r="F4146">
        <v>20160108</v>
      </c>
      <c r="G4146" t="s">
        <v>3597</v>
      </c>
      <c r="H4146" t="s">
        <v>3598</v>
      </c>
      <c r="I4146">
        <v>0</v>
      </c>
      <c r="J4146" t="s">
        <v>1709</v>
      </c>
      <c r="K4146" t="s">
        <v>290</v>
      </c>
      <c r="L4146" t="s">
        <v>285</v>
      </c>
      <c r="M4146" t="str">
        <f t="shared" si="285"/>
        <v>01</v>
      </c>
      <c r="N4146" t="s">
        <v>12</v>
      </c>
    </row>
    <row r="4147" spans="1:14" x14ac:dyDescent="0.25">
      <c r="A4147">
        <v>20160111</v>
      </c>
      <c r="B4147" t="str">
        <f>"061715"</f>
        <v>061715</v>
      </c>
      <c r="C4147" t="str">
        <f>"49964"</f>
        <v>49964</v>
      </c>
      <c r="D4147" t="s">
        <v>2346</v>
      </c>
      <c r="E4147" s="3">
        <v>123.41</v>
      </c>
      <c r="F4147">
        <v>20160108</v>
      </c>
      <c r="G4147" t="s">
        <v>2347</v>
      </c>
      <c r="H4147" t="s">
        <v>3595</v>
      </c>
      <c r="I4147">
        <v>0</v>
      </c>
      <c r="J4147" t="s">
        <v>1709</v>
      </c>
      <c r="K4147" t="s">
        <v>2194</v>
      </c>
      <c r="L4147" t="s">
        <v>285</v>
      </c>
      <c r="M4147" t="str">
        <f t="shared" si="285"/>
        <v>01</v>
      </c>
      <c r="N4147" t="s">
        <v>12</v>
      </c>
    </row>
    <row r="4148" spans="1:14" x14ac:dyDescent="0.25">
      <c r="A4148">
        <v>20160111</v>
      </c>
      <c r="B4148" t="str">
        <f>"061716"</f>
        <v>061716</v>
      </c>
      <c r="C4148" t="str">
        <f>"55917"</f>
        <v>55917</v>
      </c>
      <c r="D4148" t="s">
        <v>3599</v>
      </c>
      <c r="E4148" s="3">
        <v>76</v>
      </c>
      <c r="F4148">
        <v>20160108</v>
      </c>
      <c r="G4148" t="s">
        <v>3127</v>
      </c>
      <c r="H4148" t="s">
        <v>3600</v>
      </c>
      <c r="I4148">
        <v>0</v>
      </c>
      <c r="J4148" t="s">
        <v>1709</v>
      </c>
      <c r="K4148" t="s">
        <v>95</v>
      </c>
      <c r="L4148" t="s">
        <v>285</v>
      </c>
      <c r="M4148" t="str">
        <f t="shared" si="285"/>
        <v>01</v>
      </c>
      <c r="N4148" t="s">
        <v>12</v>
      </c>
    </row>
    <row r="4149" spans="1:14" x14ac:dyDescent="0.25">
      <c r="A4149">
        <v>20160111</v>
      </c>
      <c r="B4149" t="str">
        <f>"061717"</f>
        <v>061717</v>
      </c>
      <c r="C4149" t="str">
        <f>"61166"</f>
        <v>61166</v>
      </c>
      <c r="D4149" t="s">
        <v>3269</v>
      </c>
      <c r="E4149" s="3">
        <v>1714.96</v>
      </c>
      <c r="F4149">
        <v>20160108</v>
      </c>
      <c r="G4149" t="s">
        <v>3270</v>
      </c>
      <c r="H4149" t="s">
        <v>3271</v>
      </c>
      <c r="I4149">
        <v>0</v>
      </c>
      <c r="J4149" t="s">
        <v>1709</v>
      </c>
      <c r="K4149" t="s">
        <v>1750</v>
      </c>
      <c r="L4149" t="s">
        <v>285</v>
      </c>
      <c r="M4149" t="str">
        <f t="shared" si="285"/>
        <v>01</v>
      </c>
      <c r="N4149" t="s">
        <v>12</v>
      </c>
    </row>
    <row r="4150" spans="1:14" x14ac:dyDescent="0.25">
      <c r="A4150">
        <v>20160111</v>
      </c>
      <c r="B4150" t="str">
        <f>"061718"</f>
        <v>061718</v>
      </c>
      <c r="C4150" t="str">
        <f>"56013"</f>
        <v>56013</v>
      </c>
      <c r="D4150" t="s">
        <v>2355</v>
      </c>
      <c r="E4150" s="3">
        <v>320</v>
      </c>
      <c r="F4150">
        <v>20160108</v>
      </c>
      <c r="G4150" t="s">
        <v>2356</v>
      </c>
      <c r="H4150" t="s">
        <v>3601</v>
      </c>
      <c r="I4150">
        <v>0</v>
      </c>
      <c r="J4150" t="s">
        <v>1709</v>
      </c>
      <c r="K4150" t="s">
        <v>1861</v>
      </c>
      <c r="L4150" t="s">
        <v>285</v>
      </c>
      <c r="M4150" t="str">
        <f t="shared" si="285"/>
        <v>01</v>
      </c>
      <c r="N4150" t="s">
        <v>12</v>
      </c>
    </row>
    <row r="4151" spans="1:14" x14ac:dyDescent="0.25">
      <c r="A4151">
        <v>20160111</v>
      </c>
      <c r="B4151" t="str">
        <f>"061719"</f>
        <v>061719</v>
      </c>
      <c r="C4151" t="str">
        <f>"56183"</f>
        <v>56183</v>
      </c>
      <c r="D4151" t="s">
        <v>2359</v>
      </c>
      <c r="E4151" s="3">
        <v>9.98</v>
      </c>
      <c r="F4151">
        <v>20160108</v>
      </c>
      <c r="G4151" t="s">
        <v>2360</v>
      </c>
      <c r="H4151" t="s">
        <v>3602</v>
      </c>
      <c r="I4151">
        <v>0</v>
      </c>
      <c r="J4151" t="s">
        <v>1709</v>
      </c>
      <c r="K4151" t="s">
        <v>1856</v>
      </c>
      <c r="L4151" t="s">
        <v>285</v>
      </c>
      <c r="M4151" t="str">
        <f t="shared" si="285"/>
        <v>01</v>
      </c>
      <c r="N4151" t="s">
        <v>12</v>
      </c>
    </row>
    <row r="4152" spans="1:14" x14ac:dyDescent="0.25">
      <c r="A4152">
        <v>20160111</v>
      </c>
      <c r="B4152" t="str">
        <f>"061719"</f>
        <v>061719</v>
      </c>
      <c r="C4152" t="str">
        <f>"56183"</f>
        <v>56183</v>
      </c>
      <c r="D4152" t="s">
        <v>2359</v>
      </c>
      <c r="E4152" s="3">
        <v>148.4</v>
      </c>
      <c r="F4152">
        <v>20160108</v>
      </c>
      <c r="G4152" t="s">
        <v>2360</v>
      </c>
      <c r="H4152" t="s">
        <v>3602</v>
      </c>
      <c r="I4152">
        <v>0</v>
      </c>
      <c r="J4152" t="s">
        <v>1709</v>
      </c>
      <c r="K4152" t="s">
        <v>1856</v>
      </c>
      <c r="L4152" t="s">
        <v>285</v>
      </c>
      <c r="M4152" t="str">
        <f t="shared" si="285"/>
        <v>01</v>
      </c>
      <c r="N4152" t="s">
        <v>12</v>
      </c>
    </row>
    <row r="4153" spans="1:14" x14ac:dyDescent="0.25">
      <c r="A4153">
        <v>20160111</v>
      </c>
      <c r="B4153" t="str">
        <f>"061721"</f>
        <v>061721</v>
      </c>
      <c r="C4153" t="str">
        <f>"58173"</f>
        <v>58173</v>
      </c>
      <c r="D4153" t="s">
        <v>2544</v>
      </c>
      <c r="E4153" s="3">
        <v>400</v>
      </c>
      <c r="F4153">
        <v>20160108</v>
      </c>
      <c r="G4153" t="s">
        <v>2545</v>
      </c>
      <c r="H4153" t="s">
        <v>3603</v>
      </c>
      <c r="I4153">
        <v>0</v>
      </c>
      <c r="J4153" t="s">
        <v>1709</v>
      </c>
      <c r="K4153" t="s">
        <v>1861</v>
      </c>
      <c r="L4153" t="s">
        <v>285</v>
      </c>
      <c r="M4153" t="str">
        <f t="shared" si="285"/>
        <v>01</v>
      </c>
      <c r="N4153" t="s">
        <v>12</v>
      </c>
    </row>
    <row r="4154" spans="1:14" x14ac:dyDescent="0.25">
      <c r="A4154">
        <v>20160111</v>
      </c>
      <c r="B4154" t="str">
        <f>"061724"</f>
        <v>061724</v>
      </c>
      <c r="C4154" t="str">
        <f>"60179"</f>
        <v>60179</v>
      </c>
      <c r="D4154" t="s">
        <v>3118</v>
      </c>
      <c r="E4154" s="3">
        <v>318.05</v>
      </c>
      <c r="F4154">
        <v>20160108</v>
      </c>
      <c r="G4154" t="s">
        <v>2047</v>
      </c>
      <c r="H4154" t="s">
        <v>3604</v>
      </c>
      <c r="I4154">
        <v>0</v>
      </c>
      <c r="J4154" t="s">
        <v>1709</v>
      </c>
      <c r="K4154" t="s">
        <v>1882</v>
      </c>
      <c r="L4154" t="s">
        <v>285</v>
      </c>
      <c r="M4154" t="str">
        <f t="shared" si="285"/>
        <v>01</v>
      </c>
      <c r="N4154" t="s">
        <v>12</v>
      </c>
    </row>
    <row r="4155" spans="1:14" x14ac:dyDescent="0.25">
      <c r="A4155">
        <v>20160111</v>
      </c>
      <c r="B4155" t="str">
        <f>"061725"</f>
        <v>061725</v>
      </c>
      <c r="C4155" t="str">
        <f>"00355"</f>
        <v>00355</v>
      </c>
      <c r="D4155" t="s">
        <v>1909</v>
      </c>
      <c r="E4155" s="3">
        <v>240</v>
      </c>
      <c r="F4155">
        <v>20160108</v>
      </c>
      <c r="G4155" t="s">
        <v>3605</v>
      </c>
      <c r="H4155" t="s">
        <v>3606</v>
      </c>
      <c r="I4155">
        <v>0</v>
      </c>
      <c r="J4155" t="s">
        <v>1709</v>
      </c>
      <c r="K4155" t="s">
        <v>1882</v>
      </c>
      <c r="L4155" t="s">
        <v>285</v>
      </c>
      <c r="M4155" t="str">
        <f t="shared" si="285"/>
        <v>01</v>
      </c>
      <c r="N4155" t="s">
        <v>12</v>
      </c>
    </row>
    <row r="4156" spans="1:14" x14ac:dyDescent="0.25">
      <c r="A4156">
        <v>20160111</v>
      </c>
      <c r="B4156" t="str">
        <f>"061726"</f>
        <v>061726</v>
      </c>
      <c r="C4156" t="str">
        <f>"62340"</f>
        <v>62340</v>
      </c>
      <c r="D4156" t="s">
        <v>1911</v>
      </c>
      <c r="E4156" s="3">
        <v>4135.32</v>
      </c>
      <c r="F4156">
        <v>20160108</v>
      </c>
      <c r="G4156" t="s">
        <v>1912</v>
      </c>
      <c r="H4156" t="s">
        <v>3336</v>
      </c>
      <c r="I4156">
        <v>0</v>
      </c>
      <c r="J4156" t="s">
        <v>1709</v>
      </c>
      <c r="K4156" t="s">
        <v>1861</v>
      </c>
      <c r="L4156" t="s">
        <v>285</v>
      </c>
      <c r="M4156" t="str">
        <f t="shared" si="285"/>
        <v>01</v>
      </c>
      <c r="N4156" t="s">
        <v>12</v>
      </c>
    </row>
    <row r="4157" spans="1:14" x14ac:dyDescent="0.25">
      <c r="A4157">
        <v>20160111</v>
      </c>
      <c r="B4157" t="str">
        <f>"061728"</f>
        <v>061728</v>
      </c>
      <c r="C4157" t="str">
        <f>"65826"</f>
        <v>65826</v>
      </c>
      <c r="D4157" t="s">
        <v>2386</v>
      </c>
      <c r="E4157" s="3">
        <v>203.07</v>
      </c>
      <c r="F4157">
        <v>20160108</v>
      </c>
      <c r="G4157" t="s">
        <v>3293</v>
      </c>
      <c r="H4157" t="s">
        <v>3607</v>
      </c>
      <c r="I4157">
        <v>0</v>
      </c>
      <c r="J4157" t="s">
        <v>1709</v>
      </c>
      <c r="K4157" t="s">
        <v>95</v>
      </c>
      <c r="L4157" t="s">
        <v>285</v>
      </c>
      <c r="M4157" t="str">
        <f t="shared" si="285"/>
        <v>01</v>
      </c>
      <c r="N4157" t="s">
        <v>12</v>
      </c>
    </row>
    <row r="4158" spans="1:14" x14ac:dyDescent="0.25">
      <c r="A4158">
        <v>20160111</v>
      </c>
      <c r="B4158" t="str">
        <f>"061731"</f>
        <v>061731</v>
      </c>
      <c r="C4158" t="str">
        <f>"70088"</f>
        <v>70088</v>
      </c>
      <c r="D4158" t="s">
        <v>3608</v>
      </c>
      <c r="E4158" s="3">
        <v>209</v>
      </c>
      <c r="F4158">
        <v>20160108</v>
      </c>
      <c r="G4158" t="s">
        <v>3609</v>
      </c>
      <c r="H4158" t="s">
        <v>3610</v>
      </c>
      <c r="I4158">
        <v>0</v>
      </c>
      <c r="J4158" t="s">
        <v>1709</v>
      </c>
      <c r="K4158" t="s">
        <v>290</v>
      </c>
      <c r="L4158" t="s">
        <v>285</v>
      </c>
      <c r="M4158" t="str">
        <f t="shared" si="285"/>
        <v>01</v>
      </c>
      <c r="N4158" t="s">
        <v>12</v>
      </c>
    </row>
    <row r="4159" spans="1:14" x14ac:dyDescent="0.25">
      <c r="A4159">
        <v>20160111</v>
      </c>
      <c r="B4159" t="str">
        <f>"061732"</f>
        <v>061732</v>
      </c>
      <c r="C4159" t="str">
        <f>"71776"</f>
        <v>71776</v>
      </c>
      <c r="D4159" t="s">
        <v>3611</v>
      </c>
      <c r="E4159" s="3">
        <v>1037.8800000000001</v>
      </c>
      <c r="F4159">
        <v>20160108</v>
      </c>
      <c r="G4159" t="s">
        <v>3114</v>
      </c>
      <c r="H4159" t="s">
        <v>3612</v>
      </c>
      <c r="I4159">
        <v>0</v>
      </c>
      <c r="J4159" t="s">
        <v>1709</v>
      </c>
      <c r="K4159" t="s">
        <v>33</v>
      </c>
      <c r="L4159" t="s">
        <v>285</v>
      </c>
      <c r="M4159" t="str">
        <f t="shared" si="285"/>
        <v>01</v>
      </c>
      <c r="N4159" t="s">
        <v>12</v>
      </c>
    </row>
    <row r="4160" spans="1:14" x14ac:dyDescent="0.25">
      <c r="A4160">
        <v>20160111</v>
      </c>
      <c r="B4160" t="str">
        <f>"061733"</f>
        <v>061733</v>
      </c>
      <c r="C4160" t="str">
        <f>"72340"</f>
        <v>72340</v>
      </c>
      <c r="D4160" t="s">
        <v>1762</v>
      </c>
      <c r="E4160" s="3">
        <v>308.95999999999998</v>
      </c>
      <c r="F4160">
        <v>20160108</v>
      </c>
      <c r="G4160" t="s">
        <v>2768</v>
      </c>
      <c r="H4160" t="s">
        <v>3613</v>
      </c>
      <c r="I4160">
        <v>0</v>
      </c>
      <c r="J4160" t="s">
        <v>1709</v>
      </c>
      <c r="K4160" t="s">
        <v>1861</v>
      </c>
      <c r="L4160" t="s">
        <v>285</v>
      </c>
      <c r="M4160" t="str">
        <f t="shared" si="285"/>
        <v>01</v>
      </c>
      <c r="N4160" t="s">
        <v>12</v>
      </c>
    </row>
    <row r="4161" spans="1:14" x14ac:dyDescent="0.25">
      <c r="A4161">
        <v>20160111</v>
      </c>
      <c r="B4161" t="str">
        <f>"061734"</f>
        <v>061734</v>
      </c>
      <c r="C4161" t="str">
        <f>"72730"</f>
        <v>72730</v>
      </c>
      <c r="D4161" t="s">
        <v>1926</v>
      </c>
      <c r="E4161" s="3">
        <v>287.38</v>
      </c>
      <c r="F4161">
        <v>20160108</v>
      </c>
      <c r="G4161" t="s">
        <v>3006</v>
      </c>
      <c r="H4161" t="s">
        <v>3614</v>
      </c>
      <c r="I4161">
        <v>0</v>
      </c>
      <c r="J4161" t="s">
        <v>1709</v>
      </c>
      <c r="K4161" t="s">
        <v>290</v>
      </c>
      <c r="L4161" t="s">
        <v>285</v>
      </c>
      <c r="M4161" t="str">
        <f t="shared" si="285"/>
        <v>01</v>
      </c>
      <c r="N4161" t="s">
        <v>12</v>
      </c>
    </row>
    <row r="4162" spans="1:14" x14ac:dyDescent="0.25">
      <c r="A4162">
        <v>20160111</v>
      </c>
      <c r="B4162" t="str">
        <f>"061735"</f>
        <v>061735</v>
      </c>
      <c r="C4162" t="str">
        <f>"73610"</f>
        <v>73610</v>
      </c>
      <c r="D4162" t="s">
        <v>2578</v>
      </c>
      <c r="E4162" s="3">
        <v>42.03</v>
      </c>
      <c r="F4162">
        <v>20160108</v>
      </c>
      <c r="G4162" t="s">
        <v>1859</v>
      </c>
      <c r="H4162" t="s">
        <v>3558</v>
      </c>
      <c r="I4162">
        <v>0</v>
      </c>
      <c r="J4162" t="s">
        <v>1709</v>
      </c>
      <c r="K4162" t="s">
        <v>1861</v>
      </c>
      <c r="L4162" t="s">
        <v>285</v>
      </c>
      <c r="M4162" t="str">
        <f t="shared" si="285"/>
        <v>01</v>
      </c>
      <c r="N4162" t="s">
        <v>12</v>
      </c>
    </row>
    <row r="4163" spans="1:14" x14ac:dyDescent="0.25">
      <c r="A4163">
        <v>20160111</v>
      </c>
      <c r="B4163" t="str">
        <f>"061735"</f>
        <v>061735</v>
      </c>
      <c r="C4163" t="str">
        <f>"73610"</f>
        <v>73610</v>
      </c>
      <c r="D4163" t="s">
        <v>2578</v>
      </c>
      <c r="E4163" s="3">
        <v>118.4</v>
      </c>
      <c r="F4163">
        <v>20160108</v>
      </c>
      <c r="G4163" t="s">
        <v>1859</v>
      </c>
      <c r="H4163" t="s">
        <v>3558</v>
      </c>
      <c r="I4163">
        <v>0</v>
      </c>
      <c r="J4163" t="s">
        <v>1709</v>
      </c>
      <c r="K4163" t="s">
        <v>1861</v>
      </c>
      <c r="L4163" t="s">
        <v>285</v>
      </c>
      <c r="M4163" t="str">
        <f t="shared" si="285"/>
        <v>01</v>
      </c>
      <c r="N4163" t="s">
        <v>12</v>
      </c>
    </row>
    <row r="4164" spans="1:14" x14ac:dyDescent="0.25">
      <c r="A4164">
        <v>20160111</v>
      </c>
      <c r="B4164" t="str">
        <f>"061737"</f>
        <v>061737</v>
      </c>
      <c r="C4164" t="str">
        <f>"74117"</f>
        <v>74117</v>
      </c>
      <c r="D4164" t="s">
        <v>3615</v>
      </c>
      <c r="E4164" s="3">
        <v>95.47</v>
      </c>
      <c r="F4164">
        <v>20160108</v>
      </c>
      <c r="G4164" t="s">
        <v>3486</v>
      </c>
      <c r="H4164" t="s">
        <v>3616</v>
      </c>
      <c r="I4164">
        <v>0</v>
      </c>
      <c r="J4164" t="s">
        <v>1709</v>
      </c>
      <c r="K4164" t="s">
        <v>290</v>
      </c>
      <c r="L4164" t="s">
        <v>285</v>
      </c>
      <c r="M4164" t="str">
        <f t="shared" si="285"/>
        <v>01</v>
      </c>
      <c r="N4164" t="s">
        <v>12</v>
      </c>
    </row>
    <row r="4165" spans="1:14" x14ac:dyDescent="0.25">
      <c r="A4165">
        <v>20160111</v>
      </c>
      <c r="B4165" t="str">
        <f>"061737"</f>
        <v>061737</v>
      </c>
      <c r="C4165" t="str">
        <f>"74117"</f>
        <v>74117</v>
      </c>
      <c r="D4165" t="s">
        <v>3615</v>
      </c>
      <c r="E4165" s="3">
        <v>95.47</v>
      </c>
      <c r="F4165">
        <v>20160108</v>
      </c>
      <c r="G4165" t="s">
        <v>3488</v>
      </c>
      <c r="H4165" t="s">
        <v>3616</v>
      </c>
      <c r="I4165">
        <v>0</v>
      </c>
      <c r="J4165" t="s">
        <v>1709</v>
      </c>
      <c r="K4165" t="s">
        <v>95</v>
      </c>
      <c r="L4165" t="s">
        <v>285</v>
      </c>
      <c r="M4165" t="str">
        <f t="shared" si="285"/>
        <v>01</v>
      </c>
      <c r="N4165" t="s">
        <v>12</v>
      </c>
    </row>
    <row r="4166" spans="1:14" x14ac:dyDescent="0.25">
      <c r="A4166">
        <v>20160111</v>
      </c>
      <c r="B4166" t="str">
        <f>"061737"</f>
        <v>061737</v>
      </c>
      <c r="C4166" t="str">
        <f>"74117"</f>
        <v>74117</v>
      </c>
      <c r="D4166" t="s">
        <v>3615</v>
      </c>
      <c r="E4166" s="3">
        <v>95.48</v>
      </c>
      <c r="F4166">
        <v>20160108</v>
      </c>
      <c r="G4166" t="s">
        <v>3489</v>
      </c>
      <c r="H4166" t="s">
        <v>3616</v>
      </c>
      <c r="I4166">
        <v>0</v>
      </c>
      <c r="J4166" t="s">
        <v>1709</v>
      </c>
      <c r="K4166" t="s">
        <v>1643</v>
      </c>
      <c r="L4166" t="s">
        <v>285</v>
      </c>
      <c r="M4166" t="str">
        <f t="shared" si="285"/>
        <v>01</v>
      </c>
      <c r="N4166" t="s">
        <v>12</v>
      </c>
    </row>
    <row r="4167" spans="1:14" x14ac:dyDescent="0.25">
      <c r="A4167">
        <v>20160111</v>
      </c>
      <c r="B4167" t="str">
        <f>"061737"</f>
        <v>061737</v>
      </c>
      <c r="C4167" t="str">
        <f>"74117"</f>
        <v>74117</v>
      </c>
      <c r="D4167" t="s">
        <v>3615</v>
      </c>
      <c r="E4167" s="3">
        <v>95.47</v>
      </c>
      <c r="F4167">
        <v>20160108</v>
      </c>
      <c r="G4167" t="s">
        <v>3490</v>
      </c>
      <c r="H4167" t="s">
        <v>3616</v>
      </c>
      <c r="I4167">
        <v>0</v>
      </c>
      <c r="J4167" t="s">
        <v>1709</v>
      </c>
      <c r="K4167" t="s">
        <v>33</v>
      </c>
      <c r="L4167" t="s">
        <v>285</v>
      </c>
      <c r="M4167" t="str">
        <f t="shared" si="285"/>
        <v>01</v>
      </c>
      <c r="N4167" t="s">
        <v>12</v>
      </c>
    </row>
    <row r="4168" spans="1:14" x14ac:dyDescent="0.25">
      <c r="A4168">
        <v>20160111</v>
      </c>
      <c r="B4168" t="str">
        <f>"061738"</f>
        <v>061738</v>
      </c>
      <c r="C4168" t="str">
        <f>"77020"</f>
        <v>77020</v>
      </c>
      <c r="D4168" t="s">
        <v>3617</v>
      </c>
      <c r="E4168" s="3">
        <v>145</v>
      </c>
      <c r="F4168">
        <v>20160108</v>
      </c>
      <c r="G4168" t="s">
        <v>3618</v>
      </c>
      <c r="H4168" t="s">
        <v>3619</v>
      </c>
      <c r="I4168">
        <v>0</v>
      </c>
      <c r="J4168" t="s">
        <v>1709</v>
      </c>
      <c r="K4168" t="s">
        <v>290</v>
      </c>
      <c r="L4168" t="s">
        <v>285</v>
      </c>
      <c r="M4168" t="str">
        <f t="shared" si="285"/>
        <v>01</v>
      </c>
      <c r="N4168" t="s">
        <v>12</v>
      </c>
    </row>
    <row r="4169" spans="1:14" x14ac:dyDescent="0.25">
      <c r="A4169">
        <v>20160111</v>
      </c>
      <c r="B4169" t="str">
        <f>"061739"</f>
        <v>061739</v>
      </c>
      <c r="C4169" t="str">
        <f>"77400"</f>
        <v>77400</v>
      </c>
      <c r="D4169" t="s">
        <v>1665</v>
      </c>
      <c r="E4169" s="3">
        <v>153.72999999999999</v>
      </c>
      <c r="F4169">
        <v>20160108</v>
      </c>
      <c r="G4169" t="s">
        <v>2133</v>
      </c>
      <c r="H4169" t="s">
        <v>3620</v>
      </c>
      <c r="I4169">
        <v>0</v>
      </c>
      <c r="J4169" t="s">
        <v>1709</v>
      </c>
      <c r="K4169" t="s">
        <v>290</v>
      </c>
      <c r="L4169" t="s">
        <v>285</v>
      </c>
      <c r="M4169" t="str">
        <f t="shared" si="285"/>
        <v>01</v>
      </c>
      <c r="N4169" t="s">
        <v>12</v>
      </c>
    </row>
    <row r="4170" spans="1:14" x14ac:dyDescent="0.25">
      <c r="A4170">
        <v>20160111</v>
      </c>
      <c r="B4170" t="str">
        <f>"061742"</f>
        <v>061742</v>
      </c>
      <c r="C4170" t="str">
        <f>"80611"</f>
        <v>80611</v>
      </c>
      <c r="D4170" t="s">
        <v>1796</v>
      </c>
      <c r="E4170" s="3">
        <v>2208.33</v>
      </c>
      <c r="F4170">
        <v>20160108</v>
      </c>
      <c r="G4170" t="s">
        <v>2414</v>
      </c>
      <c r="H4170" t="s">
        <v>2868</v>
      </c>
      <c r="I4170">
        <v>0</v>
      </c>
      <c r="J4170" t="s">
        <v>1709</v>
      </c>
      <c r="K4170" t="s">
        <v>133</v>
      </c>
      <c r="L4170" t="s">
        <v>285</v>
      </c>
      <c r="M4170" t="str">
        <f t="shared" si="285"/>
        <v>01</v>
      </c>
      <c r="N4170" t="s">
        <v>12</v>
      </c>
    </row>
    <row r="4171" spans="1:14" x14ac:dyDescent="0.25">
      <c r="A4171">
        <v>20160111</v>
      </c>
      <c r="B4171" t="str">
        <f>"061744"</f>
        <v>061744</v>
      </c>
      <c r="C4171" t="str">
        <f>"82126"</f>
        <v>82126</v>
      </c>
      <c r="D4171" t="s">
        <v>1800</v>
      </c>
      <c r="E4171" s="3">
        <v>441</v>
      </c>
      <c r="F4171">
        <v>20160108</v>
      </c>
      <c r="G4171" t="s">
        <v>1710</v>
      </c>
      <c r="H4171" t="s">
        <v>3621</v>
      </c>
      <c r="I4171">
        <v>0</v>
      </c>
      <c r="J4171" t="s">
        <v>1709</v>
      </c>
      <c r="K4171" t="s">
        <v>290</v>
      </c>
      <c r="L4171" t="s">
        <v>285</v>
      </c>
      <c r="M4171" t="str">
        <f t="shared" si="285"/>
        <v>01</v>
      </c>
      <c r="N4171" t="s">
        <v>12</v>
      </c>
    </row>
    <row r="4172" spans="1:14" x14ac:dyDescent="0.25">
      <c r="A4172">
        <v>20160111</v>
      </c>
      <c r="B4172" t="str">
        <f t="shared" ref="B4172:B4188" si="286">"061746"</f>
        <v>061746</v>
      </c>
      <c r="C4172" t="str">
        <f t="shared" ref="C4172:C4188" si="287">"83022"</f>
        <v>83022</v>
      </c>
      <c r="D4172" t="s">
        <v>394</v>
      </c>
      <c r="E4172" s="3">
        <v>57.32</v>
      </c>
      <c r="F4172">
        <v>20160108</v>
      </c>
      <c r="G4172" t="s">
        <v>2978</v>
      </c>
      <c r="H4172" t="s">
        <v>3622</v>
      </c>
      <c r="I4172">
        <v>0</v>
      </c>
      <c r="J4172" t="s">
        <v>1709</v>
      </c>
      <c r="K4172" t="s">
        <v>290</v>
      </c>
      <c r="L4172" t="s">
        <v>285</v>
      </c>
      <c r="M4172" t="str">
        <f t="shared" si="285"/>
        <v>01</v>
      </c>
      <c r="N4172" t="s">
        <v>12</v>
      </c>
    </row>
    <row r="4173" spans="1:14" x14ac:dyDescent="0.25">
      <c r="A4173">
        <v>20160111</v>
      </c>
      <c r="B4173" t="str">
        <f t="shared" si="286"/>
        <v>061746</v>
      </c>
      <c r="C4173" t="str">
        <f t="shared" si="287"/>
        <v>83022</v>
      </c>
      <c r="D4173" t="s">
        <v>394</v>
      </c>
      <c r="E4173" s="3">
        <v>45.66</v>
      </c>
      <c r="F4173">
        <v>20160108</v>
      </c>
      <c r="G4173" t="s">
        <v>2168</v>
      </c>
      <c r="H4173" t="s">
        <v>3623</v>
      </c>
      <c r="I4173">
        <v>0</v>
      </c>
      <c r="J4173" t="s">
        <v>1709</v>
      </c>
      <c r="K4173" t="s">
        <v>33</v>
      </c>
      <c r="L4173" t="s">
        <v>285</v>
      </c>
      <c r="M4173" t="str">
        <f t="shared" si="285"/>
        <v>01</v>
      </c>
      <c r="N4173" t="s">
        <v>12</v>
      </c>
    </row>
    <row r="4174" spans="1:14" x14ac:dyDescent="0.25">
      <c r="A4174">
        <v>20160111</v>
      </c>
      <c r="B4174" t="str">
        <f t="shared" si="286"/>
        <v>061746</v>
      </c>
      <c r="C4174" t="str">
        <f t="shared" si="287"/>
        <v>83022</v>
      </c>
      <c r="D4174" t="s">
        <v>394</v>
      </c>
      <c r="E4174" s="3">
        <v>19.52</v>
      </c>
      <c r="F4174">
        <v>20160108</v>
      </c>
      <c r="G4174" t="s">
        <v>2124</v>
      </c>
      <c r="H4174" t="s">
        <v>2378</v>
      </c>
      <c r="I4174">
        <v>0</v>
      </c>
      <c r="J4174" t="s">
        <v>1709</v>
      </c>
      <c r="K4174" t="s">
        <v>290</v>
      </c>
      <c r="L4174" t="s">
        <v>285</v>
      </c>
      <c r="M4174" t="str">
        <f t="shared" si="285"/>
        <v>01</v>
      </c>
      <c r="N4174" t="s">
        <v>12</v>
      </c>
    </row>
    <row r="4175" spans="1:14" x14ac:dyDescent="0.25">
      <c r="A4175">
        <v>20160111</v>
      </c>
      <c r="B4175" t="str">
        <f t="shared" si="286"/>
        <v>061746</v>
      </c>
      <c r="C4175" t="str">
        <f t="shared" si="287"/>
        <v>83022</v>
      </c>
      <c r="D4175" t="s">
        <v>394</v>
      </c>
      <c r="E4175" s="3">
        <v>167.01</v>
      </c>
      <c r="F4175">
        <v>20160108</v>
      </c>
      <c r="G4175" t="s">
        <v>3297</v>
      </c>
      <c r="H4175" t="s">
        <v>3624</v>
      </c>
      <c r="I4175">
        <v>0</v>
      </c>
      <c r="J4175" t="s">
        <v>1709</v>
      </c>
      <c r="K4175" t="s">
        <v>290</v>
      </c>
      <c r="L4175" t="s">
        <v>285</v>
      </c>
      <c r="M4175" t="str">
        <f t="shared" si="285"/>
        <v>01</v>
      </c>
      <c r="N4175" t="s">
        <v>12</v>
      </c>
    </row>
    <row r="4176" spans="1:14" x14ac:dyDescent="0.25">
      <c r="A4176">
        <v>20160111</v>
      </c>
      <c r="B4176" t="str">
        <f t="shared" si="286"/>
        <v>061746</v>
      </c>
      <c r="C4176" t="str">
        <f t="shared" si="287"/>
        <v>83022</v>
      </c>
      <c r="D4176" t="s">
        <v>394</v>
      </c>
      <c r="E4176" s="3">
        <v>206.4</v>
      </c>
      <c r="F4176">
        <v>20160108</v>
      </c>
      <c r="G4176" t="s">
        <v>2789</v>
      </c>
      <c r="H4176" t="s">
        <v>3302</v>
      </c>
      <c r="I4176">
        <v>0</v>
      </c>
      <c r="J4176" t="s">
        <v>1709</v>
      </c>
      <c r="K4176" t="s">
        <v>290</v>
      </c>
      <c r="L4176" t="s">
        <v>285</v>
      </c>
      <c r="M4176" t="str">
        <f t="shared" si="285"/>
        <v>01</v>
      </c>
      <c r="N4176" t="s">
        <v>12</v>
      </c>
    </row>
    <row r="4177" spans="1:14" x14ac:dyDescent="0.25">
      <c r="A4177">
        <v>20160111</v>
      </c>
      <c r="B4177" t="str">
        <f t="shared" si="286"/>
        <v>061746</v>
      </c>
      <c r="C4177" t="str">
        <f t="shared" si="287"/>
        <v>83022</v>
      </c>
      <c r="D4177" t="s">
        <v>394</v>
      </c>
      <c r="E4177" s="3">
        <v>262.39999999999998</v>
      </c>
      <c r="F4177">
        <v>20160108</v>
      </c>
      <c r="G4177" t="s">
        <v>2333</v>
      </c>
      <c r="H4177" t="s">
        <v>3625</v>
      </c>
      <c r="I4177">
        <v>0</v>
      </c>
      <c r="J4177" t="s">
        <v>1709</v>
      </c>
      <c r="K4177" t="s">
        <v>290</v>
      </c>
      <c r="L4177" t="s">
        <v>285</v>
      </c>
      <c r="M4177" t="str">
        <f t="shared" si="285"/>
        <v>01</v>
      </c>
      <c r="N4177" t="s">
        <v>12</v>
      </c>
    </row>
    <row r="4178" spans="1:14" x14ac:dyDescent="0.25">
      <c r="A4178">
        <v>20160111</v>
      </c>
      <c r="B4178" t="str">
        <f t="shared" si="286"/>
        <v>061746</v>
      </c>
      <c r="C4178" t="str">
        <f t="shared" si="287"/>
        <v>83022</v>
      </c>
      <c r="D4178" t="s">
        <v>394</v>
      </c>
      <c r="E4178" s="3">
        <v>176.78</v>
      </c>
      <c r="F4178">
        <v>20160108</v>
      </c>
      <c r="G4178" t="s">
        <v>2791</v>
      </c>
      <c r="H4178" t="s">
        <v>3626</v>
      </c>
      <c r="I4178">
        <v>0</v>
      </c>
      <c r="J4178" t="s">
        <v>1709</v>
      </c>
      <c r="K4178" t="s">
        <v>290</v>
      </c>
      <c r="L4178" t="s">
        <v>285</v>
      </c>
      <c r="M4178" t="str">
        <f t="shared" si="285"/>
        <v>01</v>
      </c>
      <c r="N4178" t="s">
        <v>12</v>
      </c>
    </row>
    <row r="4179" spans="1:14" x14ac:dyDescent="0.25">
      <c r="A4179">
        <v>20160111</v>
      </c>
      <c r="B4179" t="str">
        <f t="shared" si="286"/>
        <v>061746</v>
      </c>
      <c r="C4179" t="str">
        <f t="shared" si="287"/>
        <v>83022</v>
      </c>
      <c r="D4179" t="s">
        <v>394</v>
      </c>
      <c r="E4179" s="3">
        <v>79.75</v>
      </c>
      <c r="F4179">
        <v>20160108</v>
      </c>
      <c r="G4179" t="s">
        <v>2309</v>
      </c>
      <c r="H4179" t="s">
        <v>3627</v>
      </c>
      <c r="I4179">
        <v>0</v>
      </c>
      <c r="J4179" t="s">
        <v>1709</v>
      </c>
      <c r="K4179" t="s">
        <v>1558</v>
      </c>
      <c r="L4179" t="s">
        <v>285</v>
      </c>
      <c r="M4179" t="str">
        <f t="shared" si="285"/>
        <v>01</v>
      </c>
      <c r="N4179" t="s">
        <v>12</v>
      </c>
    </row>
    <row r="4180" spans="1:14" x14ac:dyDescent="0.25">
      <c r="A4180">
        <v>20160111</v>
      </c>
      <c r="B4180" t="str">
        <f t="shared" si="286"/>
        <v>061746</v>
      </c>
      <c r="C4180" t="str">
        <f t="shared" si="287"/>
        <v>83022</v>
      </c>
      <c r="D4180" t="s">
        <v>394</v>
      </c>
      <c r="E4180" s="3">
        <v>104.56</v>
      </c>
      <c r="F4180">
        <v>20160108</v>
      </c>
      <c r="G4180" t="s">
        <v>2309</v>
      </c>
      <c r="H4180" t="s">
        <v>3628</v>
      </c>
      <c r="I4180">
        <v>0</v>
      </c>
      <c r="J4180" t="s">
        <v>1709</v>
      </c>
      <c r="K4180" t="s">
        <v>1558</v>
      </c>
      <c r="L4180" t="s">
        <v>285</v>
      </c>
      <c r="M4180" t="str">
        <f t="shared" si="285"/>
        <v>01</v>
      </c>
      <c r="N4180" t="s">
        <v>12</v>
      </c>
    </row>
    <row r="4181" spans="1:14" x14ac:dyDescent="0.25">
      <c r="A4181">
        <v>20160111</v>
      </c>
      <c r="B4181" t="str">
        <f t="shared" si="286"/>
        <v>061746</v>
      </c>
      <c r="C4181" t="str">
        <f t="shared" si="287"/>
        <v>83022</v>
      </c>
      <c r="D4181" t="s">
        <v>394</v>
      </c>
      <c r="E4181" s="3">
        <v>48.17</v>
      </c>
      <c r="F4181">
        <v>20160108</v>
      </c>
      <c r="G4181" t="s">
        <v>2309</v>
      </c>
      <c r="H4181" t="s">
        <v>3629</v>
      </c>
      <c r="I4181">
        <v>0</v>
      </c>
      <c r="J4181" t="s">
        <v>1709</v>
      </c>
      <c r="K4181" t="s">
        <v>1558</v>
      </c>
      <c r="L4181" t="s">
        <v>285</v>
      </c>
      <c r="M4181" t="str">
        <f t="shared" si="285"/>
        <v>01</v>
      </c>
      <c r="N4181" t="s">
        <v>12</v>
      </c>
    </row>
    <row r="4182" spans="1:14" x14ac:dyDescent="0.25">
      <c r="A4182">
        <v>20160111</v>
      </c>
      <c r="B4182" t="str">
        <f t="shared" si="286"/>
        <v>061746</v>
      </c>
      <c r="C4182" t="str">
        <f t="shared" si="287"/>
        <v>83022</v>
      </c>
      <c r="D4182" t="s">
        <v>394</v>
      </c>
      <c r="E4182" s="3">
        <v>117</v>
      </c>
      <c r="F4182">
        <v>20160108</v>
      </c>
      <c r="G4182" t="s">
        <v>2794</v>
      </c>
      <c r="H4182" t="s">
        <v>3630</v>
      </c>
      <c r="I4182">
        <v>0</v>
      </c>
      <c r="J4182" t="s">
        <v>1709</v>
      </c>
      <c r="K4182" t="s">
        <v>33</v>
      </c>
      <c r="L4182" t="s">
        <v>285</v>
      </c>
      <c r="M4182" t="str">
        <f t="shared" si="285"/>
        <v>01</v>
      </c>
      <c r="N4182" t="s">
        <v>12</v>
      </c>
    </row>
    <row r="4183" spans="1:14" x14ac:dyDescent="0.25">
      <c r="A4183">
        <v>20160111</v>
      </c>
      <c r="B4183" t="str">
        <f t="shared" si="286"/>
        <v>061746</v>
      </c>
      <c r="C4183" t="str">
        <f t="shared" si="287"/>
        <v>83022</v>
      </c>
      <c r="D4183" t="s">
        <v>394</v>
      </c>
      <c r="E4183" s="3">
        <v>18.68</v>
      </c>
      <c r="F4183">
        <v>20160108</v>
      </c>
      <c r="G4183" t="s">
        <v>2794</v>
      </c>
      <c r="H4183" t="s">
        <v>3631</v>
      </c>
      <c r="I4183">
        <v>0</v>
      </c>
      <c r="J4183" t="s">
        <v>1709</v>
      </c>
      <c r="K4183" t="s">
        <v>33</v>
      </c>
      <c r="L4183" t="s">
        <v>285</v>
      </c>
      <c r="M4183" t="str">
        <f t="shared" si="285"/>
        <v>01</v>
      </c>
      <c r="N4183" t="s">
        <v>12</v>
      </c>
    </row>
    <row r="4184" spans="1:14" x14ac:dyDescent="0.25">
      <c r="A4184">
        <v>20160111</v>
      </c>
      <c r="B4184" t="str">
        <f t="shared" si="286"/>
        <v>061746</v>
      </c>
      <c r="C4184" t="str">
        <f t="shared" si="287"/>
        <v>83022</v>
      </c>
      <c r="D4184" t="s">
        <v>394</v>
      </c>
      <c r="E4184" s="3">
        <v>102.79</v>
      </c>
      <c r="F4184">
        <v>20160108</v>
      </c>
      <c r="G4184" t="s">
        <v>2795</v>
      </c>
      <c r="H4184" t="s">
        <v>3632</v>
      </c>
      <c r="I4184">
        <v>0</v>
      </c>
      <c r="J4184" t="s">
        <v>1709</v>
      </c>
      <c r="K4184" t="s">
        <v>95</v>
      </c>
      <c r="L4184" t="s">
        <v>285</v>
      </c>
      <c r="M4184" t="str">
        <f t="shared" si="285"/>
        <v>01</v>
      </c>
      <c r="N4184" t="s">
        <v>12</v>
      </c>
    </row>
    <row r="4185" spans="1:14" x14ac:dyDescent="0.25">
      <c r="A4185">
        <v>20160111</v>
      </c>
      <c r="B4185" t="str">
        <f t="shared" si="286"/>
        <v>061746</v>
      </c>
      <c r="C4185" t="str">
        <f t="shared" si="287"/>
        <v>83022</v>
      </c>
      <c r="D4185" t="s">
        <v>394</v>
      </c>
      <c r="E4185" s="3">
        <v>231.66</v>
      </c>
      <c r="F4185">
        <v>20160108</v>
      </c>
      <c r="G4185" t="s">
        <v>2172</v>
      </c>
      <c r="H4185" t="s">
        <v>3633</v>
      </c>
      <c r="I4185">
        <v>0</v>
      </c>
      <c r="J4185" t="s">
        <v>1709</v>
      </c>
      <c r="K4185" t="s">
        <v>95</v>
      </c>
      <c r="L4185" t="s">
        <v>285</v>
      </c>
      <c r="M4185" t="str">
        <f t="shared" si="285"/>
        <v>01</v>
      </c>
      <c r="N4185" t="s">
        <v>12</v>
      </c>
    </row>
    <row r="4186" spans="1:14" x14ac:dyDescent="0.25">
      <c r="A4186">
        <v>20160111</v>
      </c>
      <c r="B4186" t="str">
        <f t="shared" si="286"/>
        <v>061746</v>
      </c>
      <c r="C4186" t="str">
        <f t="shared" si="287"/>
        <v>83022</v>
      </c>
      <c r="D4186" t="s">
        <v>394</v>
      </c>
      <c r="E4186" s="3">
        <v>173.07</v>
      </c>
      <c r="F4186">
        <v>20160108</v>
      </c>
      <c r="G4186" t="s">
        <v>2943</v>
      </c>
      <c r="H4186" t="s">
        <v>3588</v>
      </c>
      <c r="I4186">
        <v>0</v>
      </c>
      <c r="J4186" t="s">
        <v>1709</v>
      </c>
      <c r="K4186" t="s">
        <v>1856</v>
      </c>
      <c r="L4186" t="s">
        <v>285</v>
      </c>
      <c r="M4186" t="str">
        <f t="shared" si="285"/>
        <v>01</v>
      </c>
      <c r="N4186" t="s">
        <v>12</v>
      </c>
    </row>
    <row r="4187" spans="1:14" x14ac:dyDescent="0.25">
      <c r="A4187">
        <v>20160111</v>
      </c>
      <c r="B4187" t="str">
        <f t="shared" si="286"/>
        <v>061746</v>
      </c>
      <c r="C4187" t="str">
        <f t="shared" si="287"/>
        <v>83022</v>
      </c>
      <c r="D4187" t="s">
        <v>394</v>
      </c>
      <c r="E4187" s="3">
        <v>127.92</v>
      </c>
      <c r="F4187">
        <v>20160108</v>
      </c>
      <c r="G4187" t="s">
        <v>2799</v>
      </c>
      <c r="H4187" t="s">
        <v>3634</v>
      </c>
      <c r="I4187">
        <v>0</v>
      </c>
      <c r="J4187" t="s">
        <v>1709</v>
      </c>
      <c r="K4187" t="s">
        <v>1861</v>
      </c>
      <c r="L4187" t="s">
        <v>285</v>
      </c>
      <c r="M4187" t="str">
        <f t="shared" si="285"/>
        <v>01</v>
      </c>
      <c r="N4187" t="s">
        <v>12</v>
      </c>
    </row>
    <row r="4188" spans="1:14" x14ac:dyDescent="0.25">
      <c r="A4188">
        <v>20160111</v>
      </c>
      <c r="B4188" t="str">
        <f t="shared" si="286"/>
        <v>061746</v>
      </c>
      <c r="C4188" t="str">
        <f t="shared" si="287"/>
        <v>83022</v>
      </c>
      <c r="D4188" t="s">
        <v>394</v>
      </c>
      <c r="E4188" s="3">
        <v>173.07</v>
      </c>
      <c r="F4188">
        <v>20160108</v>
      </c>
      <c r="G4188" t="s">
        <v>2799</v>
      </c>
      <c r="H4188" t="s">
        <v>3588</v>
      </c>
      <c r="I4188">
        <v>0</v>
      </c>
      <c r="J4188" t="s">
        <v>1709</v>
      </c>
      <c r="K4188" t="s">
        <v>1861</v>
      </c>
      <c r="L4188" t="s">
        <v>285</v>
      </c>
      <c r="M4188" t="str">
        <f t="shared" si="285"/>
        <v>01</v>
      </c>
      <c r="N4188" t="s">
        <v>12</v>
      </c>
    </row>
    <row r="4189" spans="1:14" x14ac:dyDescent="0.25">
      <c r="A4189">
        <v>20160111</v>
      </c>
      <c r="B4189" t="str">
        <f>"061747"</f>
        <v>061747</v>
      </c>
      <c r="C4189" t="str">
        <f>"02230"</f>
        <v>02230</v>
      </c>
      <c r="D4189" t="s">
        <v>1945</v>
      </c>
      <c r="E4189" s="3">
        <v>113.92</v>
      </c>
      <c r="F4189">
        <v>20160209</v>
      </c>
      <c r="G4189" t="s">
        <v>2333</v>
      </c>
      <c r="H4189" t="s">
        <v>3635</v>
      </c>
      <c r="I4189">
        <v>0</v>
      </c>
      <c r="J4189" t="s">
        <v>1709</v>
      </c>
      <c r="K4189" t="s">
        <v>290</v>
      </c>
      <c r="L4189" t="s">
        <v>17</v>
      </c>
      <c r="M4189" t="str">
        <f t="shared" si="285"/>
        <v>01</v>
      </c>
      <c r="N4189" t="s">
        <v>12</v>
      </c>
    </row>
    <row r="4190" spans="1:14" x14ac:dyDescent="0.25">
      <c r="A4190">
        <v>20160111</v>
      </c>
      <c r="B4190" t="str">
        <f>"061748"</f>
        <v>061748</v>
      </c>
      <c r="C4190" t="str">
        <f>"42194"</f>
        <v>42194</v>
      </c>
      <c r="D4190" t="s">
        <v>1874</v>
      </c>
      <c r="E4190" s="3">
        <v>77383.61</v>
      </c>
      <c r="F4190">
        <v>20160111</v>
      </c>
      <c r="G4190" t="s">
        <v>2890</v>
      </c>
      <c r="H4190" t="s">
        <v>3636</v>
      </c>
      <c r="I4190">
        <v>0</v>
      </c>
      <c r="J4190" t="s">
        <v>1709</v>
      </c>
      <c r="K4190" t="s">
        <v>1861</v>
      </c>
      <c r="L4190" t="s">
        <v>17</v>
      </c>
      <c r="M4190" t="str">
        <f t="shared" si="285"/>
        <v>01</v>
      </c>
      <c r="N4190" t="s">
        <v>12</v>
      </c>
    </row>
    <row r="4191" spans="1:14" x14ac:dyDescent="0.25">
      <c r="A4191">
        <v>20160113</v>
      </c>
      <c r="B4191" t="str">
        <f>"061759"</f>
        <v>061759</v>
      </c>
      <c r="C4191" t="str">
        <f>"28649"</f>
        <v>28649</v>
      </c>
      <c r="D4191" t="s">
        <v>3637</v>
      </c>
      <c r="E4191" s="3">
        <v>683.43</v>
      </c>
      <c r="F4191">
        <v>20160113</v>
      </c>
      <c r="G4191" t="s">
        <v>2025</v>
      </c>
      <c r="H4191" t="s">
        <v>2026</v>
      </c>
      <c r="I4191">
        <v>0</v>
      </c>
      <c r="J4191" t="s">
        <v>1709</v>
      </c>
      <c r="K4191" t="s">
        <v>1984</v>
      </c>
      <c r="L4191" t="s">
        <v>285</v>
      </c>
      <c r="M4191" t="str">
        <f t="shared" si="285"/>
        <v>01</v>
      </c>
      <c r="N4191" t="s">
        <v>12</v>
      </c>
    </row>
    <row r="4192" spans="1:14" x14ac:dyDescent="0.25">
      <c r="A4192">
        <v>20160113</v>
      </c>
      <c r="B4192" t="str">
        <f>"061760"</f>
        <v>061760</v>
      </c>
      <c r="C4192" t="str">
        <f>"28649"</f>
        <v>28649</v>
      </c>
      <c r="D4192" t="s">
        <v>3637</v>
      </c>
      <c r="E4192" s="3">
        <v>634.38</v>
      </c>
      <c r="F4192">
        <v>20160113</v>
      </c>
      <c r="G4192" t="s">
        <v>2025</v>
      </c>
      <c r="H4192" t="s">
        <v>2026</v>
      </c>
      <c r="I4192">
        <v>0</v>
      </c>
      <c r="J4192" t="s">
        <v>1709</v>
      </c>
      <c r="K4192" t="s">
        <v>1984</v>
      </c>
      <c r="L4192" t="s">
        <v>285</v>
      </c>
      <c r="M4192" t="str">
        <f t="shared" si="285"/>
        <v>01</v>
      </c>
      <c r="N4192" t="s">
        <v>12</v>
      </c>
    </row>
    <row r="4193" spans="1:14" x14ac:dyDescent="0.25">
      <c r="A4193">
        <v>20160113</v>
      </c>
      <c r="B4193" t="str">
        <f>"061761"</f>
        <v>061761</v>
      </c>
      <c r="C4193" t="str">
        <f>"28649"</f>
        <v>28649</v>
      </c>
      <c r="D4193" t="s">
        <v>3637</v>
      </c>
      <c r="E4193" s="3">
        <v>634.38</v>
      </c>
      <c r="F4193">
        <v>20160113</v>
      </c>
      <c r="G4193" t="s">
        <v>2025</v>
      </c>
      <c r="H4193" t="s">
        <v>2026</v>
      </c>
      <c r="I4193">
        <v>0</v>
      </c>
      <c r="J4193" t="s">
        <v>1709</v>
      </c>
      <c r="K4193" t="s">
        <v>1984</v>
      </c>
      <c r="L4193" t="s">
        <v>285</v>
      </c>
      <c r="M4193" t="str">
        <f t="shared" si="285"/>
        <v>01</v>
      </c>
      <c r="N4193" t="s">
        <v>12</v>
      </c>
    </row>
    <row r="4194" spans="1:14" x14ac:dyDescent="0.25">
      <c r="A4194">
        <v>20160113</v>
      </c>
      <c r="B4194" t="str">
        <f>"061762"</f>
        <v>061762</v>
      </c>
      <c r="C4194" t="str">
        <f>"28649"</f>
        <v>28649</v>
      </c>
      <c r="D4194" t="s">
        <v>3637</v>
      </c>
      <c r="E4194" s="3">
        <v>634.38</v>
      </c>
      <c r="F4194">
        <v>20160113</v>
      </c>
      <c r="G4194" t="s">
        <v>2025</v>
      </c>
      <c r="H4194" t="s">
        <v>2026</v>
      </c>
      <c r="I4194">
        <v>0</v>
      </c>
      <c r="J4194" t="s">
        <v>1709</v>
      </c>
      <c r="K4194" t="s">
        <v>1984</v>
      </c>
      <c r="L4194" t="s">
        <v>285</v>
      </c>
      <c r="M4194" t="str">
        <f t="shared" si="285"/>
        <v>01</v>
      </c>
      <c r="N4194" t="s">
        <v>12</v>
      </c>
    </row>
    <row r="4195" spans="1:14" x14ac:dyDescent="0.25">
      <c r="A4195">
        <v>20160121</v>
      </c>
      <c r="B4195" t="str">
        <f>"061783"</f>
        <v>061783</v>
      </c>
      <c r="C4195" t="str">
        <f>"39905"</f>
        <v>39905</v>
      </c>
      <c r="D4195" t="s">
        <v>3638</v>
      </c>
      <c r="E4195" s="3">
        <v>683.43</v>
      </c>
      <c r="F4195">
        <v>20160121</v>
      </c>
      <c r="G4195" t="s">
        <v>2105</v>
      </c>
      <c r="H4195" t="s">
        <v>3639</v>
      </c>
      <c r="I4195">
        <v>0</v>
      </c>
      <c r="J4195" t="s">
        <v>1709</v>
      </c>
      <c r="K4195" t="s">
        <v>1782</v>
      </c>
      <c r="L4195" t="s">
        <v>17</v>
      </c>
      <c r="M4195" t="str">
        <f t="shared" si="285"/>
        <v>01</v>
      </c>
      <c r="N4195" t="s">
        <v>12</v>
      </c>
    </row>
    <row r="4196" spans="1:14" x14ac:dyDescent="0.25">
      <c r="A4196">
        <v>20160122</v>
      </c>
      <c r="B4196" t="str">
        <f>"061784"</f>
        <v>061784</v>
      </c>
      <c r="C4196" t="str">
        <f>"78729"</f>
        <v>78729</v>
      </c>
      <c r="D4196" t="s">
        <v>2042</v>
      </c>
      <c r="E4196" s="3">
        <v>192.5</v>
      </c>
      <c r="F4196">
        <v>20160122</v>
      </c>
      <c r="G4196" t="s">
        <v>3640</v>
      </c>
      <c r="H4196" t="s">
        <v>3641</v>
      </c>
      <c r="I4196">
        <v>0</v>
      </c>
      <c r="J4196" t="s">
        <v>1709</v>
      </c>
      <c r="K4196" t="s">
        <v>95</v>
      </c>
      <c r="L4196" t="s">
        <v>17</v>
      </c>
      <c r="M4196" t="str">
        <f t="shared" si="285"/>
        <v>01</v>
      </c>
      <c r="N4196" t="s">
        <v>12</v>
      </c>
    </row>
    <row r="4197" spans="1:14" x14ac:dyDescent="0.25">
      <c r="A4197">
        <v>20160122</v>
      </c>
      <c r="B4197" t="str">
        <f>"061785"</f>
        <v>061785</v>
      </c>
      <c r="C4197" t="str">
        <f>"01196"</f>
        <v>01196</v>
      </c>
      <c r="D4197" t="s">
        <v>2421</v>
      </c>
      <c r="E4197" s="3">
        <v>16.98</v>
      </c>
      <c r="F4197">
        <v>20160121</v>
      </c>
      <c r="G4197" t="s">
        <v>2333</v>
      </c>
      <c r="H4197" t="s">
        <v>3642</v>
      </c>
      <c r="I4197">
        <v>0</v>
      </c>
      <c r="J4197" t="s">
        <v>1709</v>
      </c>
      <c r="K4197" t="s">
        <v>290</v>
      </c>
      <c r="L4197" t="s">
        <v>285</v>
      </c>
      <c r="M4197" t="str">
        <f t="shared" si="285"/>
        <v>01</v>
      </c>
      <c r="N4197" t="s">
        <v>12</v>
      </c>
    </row>
    <row r="4198" spans="1:14" x14ac:dyDescent="0.25">
      <c r="A4198">
        <v>20160122</v>
      </c>
      <c r="B4198" t="str">
        <f>"061786"</f>
        <v>061786</v>
      </c>
      <c r="C4198" t="str">
        <f>"01530"</f>
        <v>01530</v>
      </c>
      <c r="D4198" t="s">
        <v>1943</v>
      </c>
      <c r="E4198" s="3">
        <v>58</v>
      </c>
      <c r="F4198">
        <v>20160121</v>
      </c>
      <c r="G4198" t="s">
        <v>2424</v>
      </c>
      <c r="H4198" t="s">
        <v>2868</v>
      </c>
      <c r="I4198">
        <v>0</v>
      </c>
      <c r="J4198" t="s">
        <v>1709</v>
      </c>
      <c r="K4198" t="s">
        <v>1775</v>
      </c>
      <c r="L4198" t="s">
        <v>285</v>
      </c>
      <c r="M4198" t="str">
        <f t="shared" si="285"/>
        <v>01</v>
      </c>
      <c r="N4198" t="s">
        <v>12</v>
      </c>
    </row>
    <row r="4199" spans="1:14" x14ac:dyDescent="0.25">
      <c r="A4199">
        <v>20160122</v>
      </c>
      <c r="B4199" t="str">
        <f>"061787"</f>
        <v>061787</v>
      </c>
      <c r="C4199" t="str">
        <f>"02230"</f>
        <v>02230</v>
      </c>
      <c r="D4199" t="s">
        <v>1945</v>
      </c>
      <c r="E4199" s="3">
        <v>125.66</v>
      </c>
      <c r="F4199">
        <v>20160121</v>
      </c>
      <c r="G4199" t="s">
        <v>2333</v>
      </c>
      <c r="H4199" t="s">
        <v>2868</v>
      </c>
      <c r="I4199">
        <v>0</v>
      </c>
      <c r="J4199" t="s">
        <v>1709</v>
      </c>
      <c r="K4199" t="s">
        <v>290</v>
      </c>
      <c r="L4199" t="s">
        <v>285</v>
      </c>
      <c r="M4199" t="str">
        <f t="shared" ref="M4199:M4262" si="288">"01"</f>
        <v>01</v>
      </c>
      <c r="N4199" t="s">
        <v>12</v>
      </c>
    </row>
    <row r="4200" spans="1:14" x14ac:dyDescent="0.25">
      <c r="A4200">
        <v>20160122</v>
      </c>
      <c r="B4200" t="str">
        <f>"061788"</f>
        <v>061788</v>
      </c>
      <c r="C4200" t="str">
        <f>"05530"</f>
        <v>05530</v>
      </c>
      <c r="D4200" t="s">
        <v>631</v>
      </c>
      <c r="E4200" s="3">
        <v>2000</v>
      </c>
      <c r="F4200">
        <v>20160121</v>
      </c>
      <c r="G4200" t="s">
        <v>3643</v>
      </c>
      <c r="H4200" t="s">
        <v>880</v>
      </c>
      <c r="I4200">
        <v>0</v>
      </c>
      <c r="J4200" t="s">
        <v>1709</v>
      </c>
      <c r="K4200" t="s">
        <v>290</v>
      </c>
      <c r="L4200" t="s">
        <v>285</v>
      </c>
      <c r="M4200" t="str">
        <f t="shared" si="288"/>
        <v>01</v>
      </c>
      <c r="N4200" t="s">
        <v>12</v>
      </c>
    </row>
    <row r="4201" spans="1:14" x14ac:dyDescent="0.25">
      <c r="A4201">
        <v>20160122</v>
      </c>
      <c r="B4201" t="str">
        <f>"061789"</f>
        <v>061789</v>
      </c>
      <c r="C4201" t="str">
        <f>"06509"</f>
        <v>06509</v>
      </c>
      <c r="D4201" t="s">
        <v>1555</v>
      </c>
      <c r="E4201" s="3">
        <v>1546</v>
      </c>
      <c r="F4201">
        <v>20160121</v>
      </c>
      <c r="G4201" t="s">
        <v>2317</v>
      </c>
      <c r="H4201" t="s">
        <v>3644</v>
      </c>
      <c r="I4201">
        <v>0</v>
      </c>
      <c r="J4201" t="s">
        <v>1709</v>
      </c>
      <c r="K4201" t="s">
        <v>290</v>
      </c>
      <c r="L4201" t="s">
        <v>285</v>
      </c>
      <c r="M4201" t="str">
        <f t="shared" si="288"/>
        <v>01</v>
      </c>
      <c r="N4201" t="s">
        <v>12</v>
      </c>
    </row>
    <row r="4202" spans="1:14" x14ac:dyDescent="0.25">
      <c r="A4202">
        <v>20160122</v>
      </c>
      <c r="B4202" t="str">
        <f>"061792"</f>
        <v>061792</v>
      </c>
      <c r="C4202" t="str">
        <f>"09090"</f>
        <v>09090</v>
      </c>
      <c r="D4202" t="s">
        <v>3310</v>
      </c>
      <c r="E4202" s="3">
        <v>190.93</v>
      </c>
      <c r="F4202">
        <v>20160123</v>
      </c>
      <c r="G4202" t="s">
        <v>3311</v>
      </c>
      <c r="H4202" t="s">
        <v>3645</v>
      </c>
      <c r="I4202">
        <v>0</v>
      </c>
      <c r="J4202" t="s">
        <v>1709</v>
      </c>
      <c r="K4202" t="s">
        <v>290</v>
      </c>
      <c r="L4202" t="s">
        <v>285</v>
      </c>
      <c r="M4202" t="str">
        <f t="shared" si="288"/>
        <v>01</v>
      </c>
      <c r="N4202" t="s">
        <v>12</v>
      </c>
    </row>
    <row r="4203" spans="1:14" x14ac:dyDescent="0.25">
      <c r="A4203">
        <v>20160122</v>
      </c>
      <c r="B4203" t="str">
        <f>"061793"</f>
        <v>061793</v>
      </c>
      <c r="C4203" t="str">
        <f>"10024"</f>
        <v>10024</v>
      </c>
      <c r="D4203" t="s">
        <v>1701</v>
      </c>
      <c r="E4203" s="3">
        <v>640</v>
      </c>
      <c r="F4203">
        <v>20160121</v>
      </c>
      <c r="G4203" t="s">
        <v>2281</v>
      </c>
      <c r="H4203" t="s">
        <v>3646</v>
      </c>
      <c r="I4203">
        <v>0</v>
      </c>
      <c r="J4203" t="s">
        <v>1709</v>
      </c>
      <c r="K4203" t="s">
        <v>290</v>
      </c>
      <c r="L4203" t="s">
        <v>285</v>
      </c>
      <c r="M4203" t="str">
        <f t="shared" si="288"/>
        <v>01</v>
      </c>
      <c r="N4203" t="s">
        <v>12</v>
      </c>
    </row>
    <row r="4204" spans="1:14" x14ac:dyDescent="0.25">
      <c r="A4204">
        <v>20160122</v>
      </c>
      <c r="B4204" t="str">
        <f>"061793"</f>
        <v>061793</v>
      </c>
      <c r="C4204" t="str">
        <f>"10024"</f>
        <v>10024</v>
      </c>
      <c r="D4204" t="s">
        <v>1701</v>
      </c>
      <c r="E4204" s="3">
        <v>5213</v>
      </c>
      <c r="F4204">
        <v>20160121</v>
      </c>
      <c r="G4204" t="s">
        <v>2281</v>
      </c>
      <c r="H4204" t="s">
        <v>3647</v>
      </c>
      <c r="I4204">
        <v>0</v>
      </c>
      <c r="J4204" t="s">
        <v>1709</v>
      </c>
      <c r="K4204" t="s">
        <v>290</v>
      </c>
      <c r="L4204" t="s">
        <v>285</v>
      </c>
      <c r="M4204" t="str">
        <f t="shared" si="288"/>
        <v>01</v>
      </c>
      <c r="N4204" t="s">
        <v>12</v>
      </c>
    </row>
    <row r="4205" spans="1:14" x14ac:dyDescent="0.25">
      <c r="A4205">
        <v>20160122</v>
      </c>
      <c r="B4205" t="str">
        <f>"061794"</f>
        <v>061794</v>
      </c>
      <c r="C4205" t="str">
        <f>"10040"</f>
        <v>10040</v>
      </c>
      <c r="D4205" t="s">
        <v>2082</v>
      </c>
      <c r="E4205" s="3">
        <v>12.5</v>
      </c>
      <c r="F4205">
        <v>20160121</v>
      </c>
      <c r="G4205" t="s">
        <v>2083</v>
      </c>
      <c r="H4205" t="s">
        <v>3648</v>
      </c>
      <c r="I4205">
        <v>0</v>
      </c>
      <c r="J4205" t="s">
        <v>1709</v>
      </c>
      <c r="K4205" t="s">
        <v>290</v>
      </c>
      <c r="L4205" t="s">
        <v>285</v>
      </c>
      <c r="M4205" t="str">
        <f t="shared" si="288"/>
        <v>01</v>
      </c>
      <c r="N4205" t="s">
        <v>12</v>
      </c>
    </row>
    <row r="4206" spans="1:14" x14ac:dyDescent="0.25">
      <c r="A4206">
        <v>20160122</v>
      </c>
      <c r="B4206" t="str">
        <f>"061794"</f>
        <v>061794</v>
      </c>
      <c r="C4206" t="str">
        <f>"10040"</f>
        <v>10040</v>
      </c>
      <c r="D4206" t="s">
        <v>2082</v>
      </c>
      <c r="E4206" s="3">
        <v>12.5</v>
      </c>
      <c r="F4206">
        <v>20160121</v>
      </c>
      <c r="G4206" t="s">
        <v>2086</v>
      </c>
      <c r="H4206" t="s">
        <v>3648</v>
      </c>
      <c r="I4206">
        <v>0</v>
      </c>
      <c r="J4206" t="s">
        <v>1709</v>
      </c>
      <c r="K4206" t="s">
        <v>95</v>
      </c>
      <c r="L4206" t="s">
        <v>285</v>
      </c>
      <c r="M4206" t="str">
        <f t="shared" si="288"/>
        <v>01</v>
      </c>
      <c r="N4206" t="s">
        <v>12</v>
      </c>
    </row>
    <row r="4207" spans="1:14" x14ac:dyDescent="0.25">
      <c r="A4207">
        <v>20160122</v>
      </c>
      <c r="B4207" t="str">
        <f>"061794"</f>
        <v>061794</v>
      </c>
      <c r="C4207" t="str">
        <f>"10040"</f>
        <v>10040</v>
      </c>
      <c r="D4207" t="s">
        <v>2082</v>
      </c>
      <c r="E4207" s="3">
        <v>12.5</v>
      </c>
      <c r="F4207">
        <v>20160121</v>
      </c>
      <c r="G4207" t="s">
        <v>2087</v>
      </c>
      <c r="H4207" t="s">
        <v>3648</v>
      </c>
      <c r="I4207">
        <v>0</v>
      </c>
      <c r="J4207" t="s">
        <v>1709</v>
      </c>
      <c r="K4207" t="s">
        <v>1643</v>
      </c>
      <c r="L4207" t="s">
        <v>285</v>
      </c>
      <c r="M4207" t="str">
        <f t="shared" si="288"/>
        <v>01</v>
      </c>
      <c r="N4207" t="s">
        <v>12</v>
      </c>
    </row>
    <row r="4208" spans="1:14" x14ac:dyDescent="0.25">
      <c r="A4208">
        <v>20160122</v>
      </c>
      <c r="B4208" t="str">
        <f>"061794"</f>
        <v>061794</v>
      </c>
      <c r="C4208" t="str">
        <f>"10040"</f>
        <v>10040</v>
      </c>
      <c r="D4208" t="s">
        <v>2082</v>
      </c>
      <c r="E4208" s="3">
        <v>12.5</v>
      </c>
      <c r="F4208">
        <v>20160121</v>
      </c>
      <c r="G4208" t="s">
        <v>2088</v>
      </c>
      <c r="H4208" t="s">
        <v>3648</v>
      </c>
      <c r="I4208">
        <v>0</v>
      </c>
      <c r="J4208" t="s">
        <v>1709</v>
      </c>
      <c r="K4208" t="s">
        <v>33</v>
      </c>
      <c r="L4208" t="s">
        <v>285</v>
      </c>
      <c r="M4208" t="str">
        <f t="shared" si="288"/>
        <v>01</v>
      </c>
      <c r="N4208" t="s">
        <v>12</v>
      </c>
    </row>
    <row r="4209" spans="1:14" x14ac:dyDescent="0.25">
      <c r="A4209">
        <v>20160122</v>
      </c>
      <c r="B4209" t="str">
        <f>"061795"</f>
        <v>061795</v>
      </c>
      <c r="C4209" t="str">
        <f>"10073"</f>
        <v>10073</v>
      </c>
      <c r="D4209" t="s">
        <v>2625</v>
      </c>
      <c r="E4209" s="3">
        <v>126</v>
      </c>
      <c r="F4209">
        <v>20160121</v>
      </c>
      <c r="G4209" t="s">
        <v>2626</v>
      </c>
      <c r="H4209" t="s">
        <v>2627</v>
      </c>
      <c r="I4209">
        <v>0</v>
      </c>
      <c r="J4209" t="s">
        <v>1709</v>
      </c>
      <c r="K4209" t="s">
        <v>290</v>
      </c>
      <c r="L4209" t="s">
        <v>285</v>
      </c>
      <c r="M4209" t="str">
        <f t="shared" si="288"/>
        <v>01</v>
      </c>
      <c r="N4209" t="s">
        <v>12</v>
      </c>
    </row>
    <row r="4210" spans="1:14" x14ac:dyDescent="0.25">
      <c r="A4210">
        <v>20160122</v>
      </c>
      <c r="B4210" t="str">
        <f>"061798"</f>
        <v>061798</v>
      </c>
      <c r="C4210" t="str">
        <f>"11210"</f>
        <v>11210</v>
      </c>
      <c r="D4210" t="s">
        <v>3030</v>
      </c>
      <c r="E4210" s="3">
        <v>378.99</v>
      </c>
      <c r="F4210">
        <v>20160121</v>
      </c>
      <c r="G4210" t="s">
        <v>3032</v>
      </c>
      <c r="H4210" t="s">
        <v>3649</v>
      </c>
      <c r="I4210">
        <v>0</v>
      </c>
      <c r="J4210" t="s">
        <v>1709</v>
      </c>
      <c r="K4210" t="s">
        <v>95</v>
      </c>
      <c r="L4210" t="s">
        <v>285</v>
      </c>
      <c r="M4210" t="str">
        <f t="shared" si="288"/>
        <v>01</v>
      </c>
      <c r="N4210" t="s">
        <v>12</v>
      </c>
    </row>
    <row r="4211" spans="1:14" x14ac:dyDescent="0.25">
      <c r="A4211">
        <v>20160122</v>
      </c>
      <c r="B4211" t="str">
        <f>"061799"</f>
        <v>061799</v>
      </c>
      <c r="C4211" t="str">
        <f>"11386"</f>
        <v>11386</v>
      </c>
      <c r="D4211" t="s">
        <v>3650</v>
      </c>
      <c r="E4211" s="3">
        <v>109.1</v>
      </c>
      <c r="F4211">
        <v>20160121</v>
      </c>
      <c r="G4211" t="s">
        <v>3185</v>
      </c>
      <c r="H4211" t="s">
        <v>2169</v>
      </c>
      <c r="I4211">
        <v>0</v>
      </c>
      <c r="J4211" t="s">
        <v>1709</v>
      </c>
      <c r="K4211" t="s">
        <v>290</v>
      </c>
      <c r="L4211" t="s">
        <v>285</v>
      </c>
      <c r="M4211" t="str">
        <f t="shared" si="288"/>
        <v>01</v>
      </c>
      <c r="N4211" t="s">
        <v>12</v>
      </c>
    </row>
    <row r="4212" spans="1:14" x14ac:dyDescent="0.25">
      <c r="A4212">
        <v>20160122</v>
      </c>
      <c r="B4212" t="str">
        <f>"061799"</f>
        <v>061799</v>
      </c>
      <c r="C4212" t="str">
        <f>"11386"</f>
        <v>11386</v>
      </c>
      <c r="D4212" t="s">
        <v>3650</v>
      </c>
      <c r="E4212" s="3">
        <v>208</v>
      </c>
      <c r="F4212">
        <v>20160121</v>
      </c>
      <c r="G4212" t="s">
        <v>3609</v>
      </c>
      <c r="H4212" t="s">
        <v>3651</v>
      </c>
      <c r="I4212">
        <v>0</v>
      </c>
      <c r="J4212" t="s">
        <v>1709</v>
      </c>
      <c r="K4212" t="s">
        <v>290</v>
      </c>
      <c r="L4212" t="s">
        <v>285</v>
      </c>
      <c r="M4212" t="str">
        <f t="shared" si="288"/>
        <v>01</v>
      </c>
      <c r="N4212" t="s">
        <v>12</v>
      </c>
    </row>
    <row r="4213" spans="1:14" x14ac:dyDescent="0.25">
      <c r="A4213">
        <v>20160122</v>
      </c>
      <c r="B4213" t="str">
        <f>"061800"</f>
        <v>061800</v>
      </c>
      <c r="C4213" t="str">
        <f>"11759"</f>
        <v>11759</v>
      </c>
      <c r="D4213" t="s">
        <v>2089</v>
      </c>
      <c r="E4213" s="3">
        <v>368.85</v>
      </c>
      <c r="F4213">
        <v>20160121</v>
      </c>
      <c r="G4213" t="s">
        <v>2123</v>
      </c>
      <c r="H4213" t="s">
        <v>2091</v>
      </c>
      <c r="I4213">
        <v>0</v>
      </c>
      <c r="J4213" t="s">
        <v>1709</v>
      </c>
      <c r="K4213" t="s">
        <v>33</v>
      </c>
      <c r="L4213" t="s">
        <v>285</v>
      </c>
      <c r="M4213" t="str">
        <f t="shared" si="288"/>
        <v>01</v>
      </c>
      <c r="N4213" t="s">
        <v>12</v>
      </c>
    </row>
    <row r="4214" spans="1:14" x14ac:dyDescent="0.25">
      <c r="A4214">
        <v>20160122</v>
      </c>
      <c r="B4214" t="str">
        <f>"061802"</f>
        <v>061802</v>
      </c>
      <c r="C4214" t="str">
        <f>"13268"</f>
        <v>13268</v>
      </c>
      <c r="D4214" t="s">
        <v>2450</v>
      </c>
      <c r="E4214" s="3">
        <v>716.1</v>
      </c>
      <c r="F4214">
        <v>20160121</v>
      </c>
      <c r="G4214" t="s">
        <v>2303</v>
      </c>
      <c r="H4214" t="s">
        <v>3652</v>
      </c>
      <c r="I4214">
        <v>0</v>
      </c>
      <c r="J4214" t="s">
        <v>1709</v>
      </c>
      <c r="K4214" t="s">
        <v>235</v>
      </c>
      <c r="L4214" t="s">
        <v>285</v>
      </c>
      <c r="M4214" t="str">
        <f t="shared" si="288"/>
        <v>01</v>
      </c>
      <c r="N4214" t="s">
        <v>12</v>
      </c>
    </row>
    <row r="4215" spans="1:14" x14ac:dyDescent="0.25">
      <c r="A4215">
        <v>20160122</v>
      </c>
      <c r="B4215" t="str">
        <f>"061802"</f>
        <v>061802</v>
      </c>
      <c r="C4215" t="str">
        <f>"13268"</f>
        <v>13268</v>
      </c>
      <c r="D4215" t="s">
        <v>2450</v>
      </c>
      <c r="E4215" s="3">
        <v>90.36</v>
      </c>
      <c r="F4215">
        <v>20160121</v>
      </c>
      <c r="G4215" t="s">
        <v>2303</v>
      </c>
      <c r="H4215" t="s">
        <v>3653</v>
      </c>
      <c r="I4215">
        <v>0</v>
      </c>
      <c r="J4215" t="s">
        <v>1709</v>
      </c>
      <c r="K4215" t="s">
        <v>235</v>
      </c>
      <c r="L4215" t="s">
        <v>285</v>
      </c>
      <c r="M4215" t="str">
        <f t="shared" si="288"/>
        <v>01</v>
      </c>
      <c r="N4215" t="s">
        <v>12</v>
      </c>
    </row>
    <row r="4216" spans="1:14" x14ac:dyDescent="0.25">
      <c r="A4216">
        <v>20160122</v>
      </c>
      <c r="B4216" t="str">
        <f>"061802"</f>
        <v>061802</v>
      </c>
      <c r="C4216" t="str">
        <f>"13268"</f>
        <v>13268</v>
      </c>
      <c r="D4216" t="s">
        <v>2450</v>
      </c>
      <c r="E4216" s="3">
        <v>163.19999999999999</v>
      </c>
      <c r="F4216">
        <v>20160121</v>
      </c>
      <c r="G4216" t="s">
        <v>2303</v>
      </c>
      <c r="H4216" t="s">
        <v>3421</v>
      </c>
      <c r="I4216">
        <v>0</v>
      </c>
      <c r="J4216" t="s">
        <v>1709</v>
      </c>
      <c r="K4216" t="s">
        <v>235</v>
      </c>
      <c r="L4216" t="s">
        <v>285</v>
      </c>
      <c r="M4216" t="str">
        <f t="shared" si="288"/>
        <v>01</v>
      </c>
      <c r="N4216" t="s">
        <v>12</v>
      </c>
    </row>
    <row r="4217" spans="1:14" x14ac:dyDescent="0.25">
      <c r="A4217">
        <v>20160122</v>
      </c>
      <c r="B4217" t="str">
        <f>"061803"</f>
        <v>061803</v>
      </c>
      <c r="C4217" t="str">
        <f>"13281"</f>
        <v>13281</v>
      </c>
      <c r="D4217" t="s">
        <v>2092</v>
      </c>
      <c r="E4217" s="3">
        <v>2101.5</v>
      </c>
      <c r="F4217">
        <v>20160121</v>
      </c>
      <c r="G4217" t="s">
        <v>2850</v>
      </c>
      <c r="H4217" t="s">
        <v>3654</v>
      </c>
      <c r="I4217">
        <v>0</v>
      </c>
      <c r="J4217" t="s">
        <v>1709</v>
      </c>
      <c r="K4217" t="s">
        <v>1775</v>
      </c>
      <c r="L4217" t="s">
        <v>285</v>
      </c>
      <c r="M4217" t="str">
        <f t="shared" si="288"/>
        <v>01</v>
      </c>
      <c r="N4217" t="s">
        <v>12</v>
      </c>
    </row>
    <row r="4218" spans="1:14" x14ac:dyDescent="0.25">
      <c r="A4218">
        <v>20160122</v>
      </c>
      <c r="B4218" t="str">
        <f>"061806"</f>
        <v>061806</v>
      </c>
      <c r="C4218" t="str">
        <f>"21842"</f>
        <v>21842</v>
      </c>
      <c r="D4218" t="s">
        <v>2455</v>
      </c>
      <c r="E4218" s="3">
        <v>45.76</v>
      </c>
      <c r="F4218">
        <v>20160121</v>
      </c>
      <c r="G4218" t="s">
        <v>2080</v>
      </c>
      <c r="H4218" t="s">
        <v>3655</v>
      </c>
      <c r="I4218">
        <v>0</v>
      </c>
      <c r="J4218" t="s">
        <v>1709</v>
      </c>
      <c r="K4218" t="s">
        <v>1861</v>
      </c>
      <c r="L4218" t="s">
        <v>285</v>
      </c>
      <c r="M4218" t="str">
        <f t="shared" si="288"/>
        <v>01</v>
      </c>
      <c r="N4218" t="s">
        <v>12</v>
      </c>
    </row>
    <row r="4219" spans="1:14" x14ac:dyDescent="0.25">
      <c r="A4219">
        <v>20160122</v>
      </c>
      <c r="B4219" t="str">
        <f t="shared" ref="B4219:B4230" si="289">"061807"</f>
        <v>061807</v>
      </c>
      <c r="C4219" t="str">
        <f t="shared" ref="C4219:C4230" si="290">"16807"</f>
        <v>16807</v>
      </c>
      <c r="D4219" t="s">
        <v>1560</v>
      </c>
      <c r="E4219" s="3">
        <v>44.87</v>
      </c>
      <c r="F4219">
        <v>20160121</v>
      </c>
      <c r="G4219" t="s">
        <v>2230</v>
      </c>
      <c r="H4219" t="s">
        <v>3656</v>
      </c>
      <c r="I4219">
        <v>0</v>
      </c>
      <c r="J4219" t="s">
        <v>1709</v>
      </c>
      <c r="K4219" t="s">
        <v>1643</v>
      </c>
      <c r="L4219" t="s">
        <v>285</v>
      </c>
      <c r="M4219" t="str">
        <f t="shared" si="288"/>
        <v>01</v>
      </c>
      <c r="N4219" t="s">
        <v>12</v>
      </c>
    </row>
    <row r="4220" spans="1:14" x14ac:dyDescent="0.25">
      <c r="A4220">
        <v>20160122</v>
      </c>
      <c r="B4220" t="str">
        <f t="shared" si="289"/>
        <v>061807</v>
      </c>
      <c r="C4220" t="str">
        <f t="shared" si="290"/>
        <v>16807</v>
      </c>
      <c r="D4220" t="s">
        <v>1560</v>
      </c>
      <c r="E4220" s="3">
        <v>105.49</v>
      </c>
      <c r="F4220">
        <v>20160121</v>
      </c>
      <c r="G4220" t="s">
        <v>2433</v>
      </c>
      <c r="H4220" t="s">
        <v>3657</v>
      </c>
      <c r="I4220">
        <v>0</v>
      </c>
      <c r="J4220" t="s">
        <v>1709</v>
      </c>
      <c r="K4220" t="s">
        <v>290</v>
      </c>
      <c r="L4220" t="s">
        <v>285</v>
      </c>
      <c r="M4220" t="str">
        <f t="shared" si="288"/>
        <v>01</v>
      </c>
      <c r="N4220" t="s">
        <v>12</v>
      </c>
    </row>
    <row r="4221" spans="1:14" x14ac:dyDescent="0.25">
      <c r="A4221">
        <v>20160122</v>
      </c>
      <c r="B4221" t="str">
        <f t="shared" si="289"/>
        <v>061807</v>
      </c>
      <c r="C4221" t="str">
        <f t="shared" si="290"/>
        <v>16807</v>
      </c>
      <c r="D4221" t="s">
        <v>1560</v>
      </c>
      <c r="E4221" s="3">
        <v>125.29</v>
      </c>
      <c r="F4221">
        <v>20160121</v>
      </c>
      <c r="G4221" t="s">
        <v>2433</v>
      </c>
      <c r="H4221" t="s">
        <v>3658</v>
      </c>
      <c r="I4221">
        <v>0</v>
      </c>
      <c r="J4221" t="s">
        <v>1709</v>
      </c>
      <c r="K4221" t="s">
        <v>290</v>
      </c>
      <c r="L4221" t="s">
        <v>285</v>
      </c>
      <c r="M4221" t="str">
        <f t="shared" si="288"/>
        <v>01</v>
      </c>
      <c r="N4221" t="s">
        <v>12</v>
      </c>
    </row>
    <row r="4222" spans="1:14" x14ac:dyDescent="0.25">
      <c r="A4222">
        <v>20160122</v>
      </c>
      <c r="B4222" t="str">
        <f t="shared" si="289"/>
        <v>061807</v>
      </c>
      <c r="C4222" t="str">
        <f t="shared" si="290"/>
        <v>16807</v>
      </c>
      <c r="D4222" t="s">
        <v>1560</v>
      </c>
      <c r="E4222" s="3">
        <v>1282.57</v>
      </c>
      <c r="F4222">
        <v>20160121</v>
      </c>
      <c r="G4222" t="s">
        <v>3659</v>
      </c>
      <c r="H4222" t="s">
        <v>3660</v>
      </c>
      <c r="I4222">
        <v>0</v>
      </c>
      <c r="J4222" t="s">
        <v>1709</v>
      </c>
      <c r="K4222" t="s">
        <v>290</v>
      </c>
      <c r="L4222" t="s">
        <v>285</v>
      </c>
      <c r="M4222" t="str">
        <f t="shared" si="288"/>
        <v>01</v>
      </c>
      <c r="N4222" t="s">
        <v>12</v>
      </c>
    </row>
    <row r="4223" spans="1:14" x14ac:dyDescent="0.25">
      <c r="A4223">
        <v>20160122</v>
      </c>
      <c r="B4223" t="str">
        <f t="shared" si="289"/>
        <v>061807</v>
      </c>
      <c r="C4223" t="str">
        <f t="shared" si="290"/>
        <v>16807</v>
      </c>
      <c r="D4223" t="s">
        <v>1560</v>
      </c>
      <c r="E4223" s="3">
        <v>309.60000000000002</v>
      </c>
      <c r="F4223">
        <v>20160121</v>
      </c>
      <c r="G4223" t="s">
        <v>3659</v>
      </c>
      <c r="H4223" t="s">
        <v>3661</v>
      </c>
      <c r="I4223">
        <v>0</v>
      </c>
      <c r="J4223" t="s">
        <v>1709</v>
      </c>
      <c r="K4223" t="s">
        <v>290</v>
      </c>
      <c r="L4223" t="s">
        <v>285</v>
      </c>
      <c r="M4223" t="str">
        <f t="shared" si="288"/>
        <v>01</v>
      </c>
      <c r="N4223" t="s">
        <v>12</v>
      </c>
    </row>
    <row r="4224" spans="1:14" x14ac:dyDescent="0.25">
      <c r="A4224">
        <v>20160122</v>
      </c>
      <c r="B4224" t="str">
        <f t="shared" si="289"/>
        <v>061807</v>
      </c>
      <c r="C4224" t="str">
        <f t="shared" si="290"/>
        <v>16807</v>
      </c>
      <c r="D4224" t="s">
        <v>1560</v>
      </c>
      <c r="E4224" s="3">
        <v>110.59</v>
      </c>
      <c r="F4224">
        <v>20160121</v>
      </c>
      <c r="G4224" t="s">
        <v>3659</v>
      </c>
      <c r="H4224" t="s">
        <v>3662</v>
      </c>
      <c r="I4224">
        <v>0</v>
      </c>
      <c r="J4224" t="s">
        <v>1709</v>
      </c>
      <c r="K4224" t="s">
        <v>290</v>
      </c>
      <c r="L4224" t="s">
        <v>285</v>
      </c>
      <c r="M4224" t="str">
        <f t="shared" si="288"/>
        <v>01</v>
      </c>
      <c r="N4224" t="s">
        <v>12</v>
      </c>
    </row>
    <row r="4225" spans="1:14" x14ac:dyDescent="0.25">
      <c r="A4225">
        <v>20160122</v>
      </c>
      <c r="B4225" t="str">
        <f t="shared" si="289"/>
        <v>061807</v>
      </c>
      <c r="C4225" t="str">
        <f t="shared" si="290"/>
        <v>16807</v>
      </c>
      <c r="D4225" t="s">
        <v>1560</v>
      </c>
      <c r="E4225" s="3">
        <v>1393.25</v>
      </c>
      <c r="F4225">
        <v>20160121</v>
      </c>
      <c r="G4225" t="s">
        <v>3659</v>
      </c>
      <c r="H4225" t="s">
        <v>3663</v>
      </c>
      <c r="I4225">
        <v>0</v>
      </c>
      <c r="J4225" t="s">
        <v>1709</v>
      </c>
      <c r="K4225" t="s">
        <v>290</v>
      </c>
      <c r="L4225" t="s">
        <v>285</v>
      </c>
      <c r="M4225" t="str">
        <f t="shared" si="288"/>
        <v>01</v>
      </c>
      <c r="N4225" t="s">
        <v>12</v>
      </c>
    </row>
    <row r="4226" spans="1:14" x14ac:dyDescent="0.25">
      <c r="A4226">
        <v>20160122</v>
      </c>
      <c r="B4226" t="str">
        <f t="shared" si="289"/>
        <v>061807</v>
      </c>
      <c r="C4226" t="str">
        <f t="shared" si="290"/>
        <v>16807</v>
      </c>
      <c r="D4226" t="s">
        <v>1560</v>
      </c>
      <c r="E4226" s="3">
        <v>315.95999999999998</v>
      </c>
      <c r="F4226">
        <v>20160121</v>
      </c>
      <c r="G4226" t="s">
        <v>3659</v>
      </c>
      <c r="H4226" t="s">
        <v>3664</v>
      </c>
      <c r="I4226">
        <v>0</v>
      </c>
      <c r="J4226" t="s">
        <v>1709</v>
      </c>
      <c r="K4226" t="s">
        <v>290</v>
      </c>
      <c r="L4226" t="s">
        <v>285</v>
      </c>
      <c r="M4226" t="str">
        <f t="shared" si="288"/>
        <v>01</v>
      </c>
      <c r="N4226" t="s">
        <v>12</v>
      </c>
    </row>
    <row r="4227" spans="1:14" x14ac:dyDescent="0.25">
      <c r="A4227">
        <v>20160122</v>
      </c>
      <c r="B4227" t="str">
        <f t="shared" si="289"/>
        <v>061807</v>
      </c>
      <c r="C4227" t="str">
        <f t="shared" si="290"/>
        <v>16807</v>
      </c>
      <c r="D4227" t="s">
        <v>1560</v>
      </c>
      <c r="E4227" s="3">
        <v>78.989999999999995</v>
      </c>
      <c r="F4227">
        <v>20160121</v>
      </c>
      <c r="G4227" t="s">
        <v>3659</v>
      </c>
      <c r="H4227" t="s">
        <v>3664</v>
      </c>
      <c r="I4227">
        <v>0</v>
      </c>
      <c r="J4227" t="s">
        <v>1709</v>
      </c>
      <c r="K4227" t="s">
        <v>290</v>
      </c>
      <c r="L4227" t="s">
        <v>285</v>
      </c>
      <c r="M4227" t="str">
        <f t="shared" si="288"/>
        <v>01</v>
      </c>
      <c r="N4227" t="s">
        <v>12</v>
      </c>
    </row>
    <row r="4228" spans="1:14" x14ac:dyDescent="0.25">
      <c r="A4228">
        <v>20160122</v>
      </c>
      <c r="B4228" t="str">
        <f t="shared" si="289"/>
        <v>061807</v>
      </c>
      <c r="C4228" t="str">
        <f t="shared" si="290"/>
        <v>16807</v>
      </c>
      <c r="D4228" t="s">
        <v>1560</v>
      </c>
      <c r="E4228" s="3">
        <v>164.08</v>
      </c>
      <c r="F4228">
        <v>20160121</v>
      </c>
      <c r="G4228" t="s">
        <v>3659</v>
      </c>
      <c r="H4228" t="s">
        <v>3660</v>
      </c>
      <c r="I4228">
        <v>0</v>
      </c>
      <c r="J4228" t="s">
        <v>1709</v>
      </c>
      <c r="K4228" t="s">
        <v>290</v>
      </c>
      <c r="L4228" t="s">
        <v>285</v>
      </c>
      <c r="M4228" t="str">
        <f t="shared" si="288"/>
        <v>01</v>
      </c>
      <c r="N4228" t="s">
        <v>12</v>
      </c>
    </row>
    <row r="4229" spans="1:14" x14ac:dyDescent="0.25">
      <c r="A4229">
        <v>20160122</v>
      </c>
      <c r="B4229" t="str">
        <f t="shared" si="289"/>
        <v>061807</v>
      </c>
      <c r="C4229" t="str">
        <f t="shared" si="290"/>
        <v>16807</v>
      </c>
      <c r="D4229" t="s">
        <v>1560</v>
      </c>
      <c r="E4229" s="3">
        <v>85.44</v>
      </c>
      <c r="F4229">
        <v>20160121</v>
      </c>
      <c r="G4229" t="s">
        <v>3659</v>
      </c>
      <c r="H4229" t="s">
        <v>3665</v>
      </c>
      <c r="I4229">
        <v>0</v>
      </c>
      <c r="J4229" t="s">
        <v>1709</v>
      </c>
      <c r="K4229" t="s">
        <v>290</v>
      </c>
      <c r="L4229" t="s">
        <v>285</v>
      </c>
      <c r="M4229" t="str">
        <f t="shared" si="288"/>
        <v>01</v>
      </c>
      <c r="N4229" t="s">
        <v>12</v>
      </c>
    </row>
    <row r="4230" spans="1:14" x14ac:dyDescent="0.25">
      <c r="A4230">
        <v>20160122</v>
      </c>
      <c r="B4230" t="str">
        <f t="shared" si="289"/>
        <v>061807</v>
      </c>
      <c r="C4230" t="str">
        <f t="shared" si="290"/>
        <v>16807</v>
      </c>
      <c r="D4230" t="s">
        <v>1560</v>
      </c>
      <c r="E4230" s="3">
        <v>16.87</v>
      </c>
      <c r="F4230">
        <v>20160121</v>
      </c>
      <c r="G4230" t="s">
        <v>3659</v>
      </c>
      <c r="H4230" t="s">
        <v>3665</v>
      </c>
      <c r="I4230">
        <v>0</v>
      </c>
      <c r="J4230" t="s">
        <v>1709</v>
      </c>
      <c r="K4230" t="s">
        <v>290</v>
      </c>
      <c r="L4230" t="s">
        <v>285</v>
      </c>
      <c r="M4230" t="str">
        <f t="shared" si="288"/>
        <v>01</v>
      </c>
      <c r="N4230" t="s">
        <v>12</v>
      </c>
    </row>
    <row r="4231" spans="1:14" x14ac:dyDescent="0.25">
      <c r="A4231">
        <v>20160122</v>
      </c>
      <c r="B4231" t="str">
        <f>"061811"</f>
        <v>061811</v>
      </c>
      <c r="C4231" t="str">
        <f>"20703"</f>
        <v>20703</v>
      </c>
      <c r="D4231" t="s">
        <v>1823</v>
      </c>
      <c r="E4231" s="3">
        <v>75</v>
      </c>
      <c r="F4231">
        <v>20160121</v>
      </c>
      <c r="G4231" t="s">
        <v>2281</v>
      </c>
      <c r="H4231" t="s">
        <v>3666</v>
      </c>
      <c r="I4231">
        <v>0</v>
      </c>
      <c r="J4231" t="s">
        <v>1709</v>
      </c>
      <c r="K4231" t="s">
        <v>290</v>
      </c>
      <c r="L4231" t="s">
        <v>285</v>
      </c>
      <c r="M4231" t="str">
        <f t="shared" si="288"/>
        <v>01</v>
      </c>
      <c r="N4231" t="s">
        <v>12</v>
      </c>
    </row>
    <row r="4232" spans="1:14" x14ac:dyDescent="0.25">
      <c r="A4232">
        <v>20160122</v>
      </c>
      <c r="B4232" t="str">
        <f>"061814"</f>
        <v>061814</v>
      </c>
      <c r="C4232" t="str">
        <f>"21901"</f>
        <v>21901</v>
      </c>
      <c r="D4232" t="s">
        <v>1965</v>
      </c>
      <c r="E4232" s="3">
        <v>227.03</v>
      </c>
      <c r="F4232">
        <v>20160121</v>
      </c>
      <c r="G4232" t="s">
        <v>2164</v>
      </c>
      <c r="H4232" t="s">
        <v>3667</v>
      </c>
      <c r="I4232">
        <v>0</v>
      </c>
      <c r="J4232" t="s">
        <v>1709</v>
      </c>
      <c r="K4232" t="s">
        <v>1861</v>
      </c>
      <c r="L4232" t="s">
        <v>285</v>
      </c>
      <c r="M4232" t="str">
        <f t="shared" si="288"/>
        <v>01</v>
      </c>
      <c r="N4232" t="s">
        <v>12</v>
      </c>
    </row>
    <row r="4233" spans="1:14" x14ac:dyDescent="0.25">
      <c r="A4233">
        <v>20160122</v>
      </c>
      <c r="B4233" t="str">
        <f t="shared" ref="B4233:B4239" si="291">"061818"</f>
        <v>061818</v>
      </c>
      <c r="C4233" t="str">
        <f t="shared" ref="C4233:C4239" si="292">"24130"</f>
        <v>24130</v>
      </c>
      <c r="D4233" t="s">
        <v>2278</v>
      </c>
      <c r="E4233" s="3">
        <v>454.48</v>
      </c>
      <c r="F4233">
        <v>20160121</v>
      </c>
      <c r="G4233" t="s">
        <v>3668</v>
      </c>
      <c r="H4233" t="s">
        <v>3669</v>
      </c>
      <c r="I4233">
        <v>0</v>
      </c>
      <c r="J4233" t="s">
        <v>1709</v>
      </c>
      <c r="K4233" t="s">
        <v>2820</v>
      </c>
      <c r="L4233" t="s">
        <v>285</v>
      </c>
      <c r="M4233" t="str">
        <f t="shared" si="288"/>
        <v>01</v>
      </c>
      <c r="N4233" t="s">
        <v>12</v>
      </c>
    </row>
    <row r="4234" spans="1:14" x14ac:dyDescent="0.25">
      <c r="A4234">
        <v>20160122</v>
      </c>
      <c r="B4234" t="str">
        <f t="shared" si="291"/>
        <v>061818</v>
      </c>
      <c r="C4234" t="str">
        <f t="shared" si="292"/>
        <v>24130</v>
      </c>
      <c r="D4234" t="s">
        <v>2278</v>
      </c>
      <c r="E4234" s="3">
        <v>240</v>
      </c>
      <c r="F4234">
        <v>20160121</v>
      </c>
      <c r="G4234" t="s">
        <v>3668</v>
      </c>
      <c r="H4234" t="s">
        <v>3670</v>
      </c>
      <c r="I4234">
        <v>0</v>
      </c>
      <c r="J4234" t="s">
        <v>1709</v>
      </c>
      <c r="K4234" t="s">
        <v>2820</v>
      </c>
      <c r="L4234" t="s">
        <v>285</v>
      </c>
      <c r="M4234" t="str">
        <f t="shared" si="288"/>
        <v>01</v>
      </c>
      <c r="N4234" t="s">
        <v>12</v>
      </c>
    </row>
    <row r="4235" spans="1:14" x14ac:dyDescent="0.25">
      <c r="A4235">
        <v>20160122</v>
      </c>
      <c r="B4235" t="str">
        <f t="shared" si="291"/>
        <v>061818</v>
      </c>
      <c r="C4235" t="str">
        <f t="shared" si="292"/>
        <v>24130</v>
      </c>
      <c r="D4235" t="s">
        <v>2278</v>
      </c>
      <c r="E4235" s="3">
        <v>1602.25</v>
      </c>
      <c r="F4235">
        <v>20160121</v>
      </c>
      <c r="G4235" t="s">
        <v>2773</v>
      </c>
      <c r="H4235" t="s">
        <v>3671</v>
      </c>
      <c r="I4235">
        <v>0</v>
      </c>
      <c r="J4235" t="s">
        <v>1709</v>
      </c>
      <c r="K4235" t="s">
        <v>2252</v>
      </c>
      <c r="L4235" t="s">
        <v>285</v>
      </c>
      <c r="M4235" t="str">
        <f t="shared" si="288"/>
        <v>01</v>
      </c>
      <c r="N4235" t="s">
        <v>12</v>
      </c>
    </row>
    <row r="4236" spans="1:14" x14ac:dyDescent="0.25">
      <c r="A4236">
        <v>20160122</v>
      </c>
      <c r="B4236" t="str">
        <f t="shared" si="291"/>
        <v>061818</v>
      </c>
      <c r="C4236" t="str">
        <f t="shared" si="292"/>
        <v>24130</v>
      </c>
      <c r="D4236" t="s">
        <v>2278</v>
      </c>
      <c r="E4236" s="3">
        <v>687.5</v>
      </c>
      <c r="F4236">
        <v>20160121</v>
      </c>
      <c r="G4236" t="s">
        <v>2281</v>
      </c>
      <c r="H4236" t="s">
        <v>3672</v>
      </c>
      <c r="I4236">
        <v>0</v>
      </c>
      <c r="J4236" t="s">
        <v>1709</v>
      </c>
      <c r="K4236" t="s">
        <v>290</v>
      </c>
      <c r="L4236" t="s">
        <v>285</v>
      </c>
      <c r="M4236" t="str">
        <f t="shared" si="288"/>
        <v>01</v>
      </c>
      <c r="N4236" t="s">
        <v>12</v>
      </c>
    </row>
    <row r="4237" spans="1:14" x14ac:dyDescent="0.25">
      <c r="A4237">
        <v>20160122</v>
      </c>
      <c r="B4237" t="str">
        <f t="shared" si="291"/>
        <v>061818</v>
      </c>
      <c r="C4237" t="str">
        <f t="shared" si="292"/>
        <v>24130</v>
      </c>
      <c r="D4237" t="s">
        <v>2278</v>
      </c>
      <c r="E4237" s="3">
        <v>550</v>
      </c>
      <c r="F4237">
        <v>20160121</v>
      </c>
      <c r="G4237" t="s">
        <v>2281</v>
      </c>
      <c r="H4237" t="s">
        <v>3673</v>
      </c>
      <c r="I4237">
        <v>0</v>
      </c>
      <c r="J4237" t="s">
        <v>1709</v>
      </c>
      <c r="K4237" t="s">
        <v>290</v>
      </c>
      <c r="L4237" t="s">
        <v>285</v>
      </c>
      <c r="M4237" t="str">
        <f t="shared" si="288"/>
        <v>01</v>
      </c>
      <c r="N4237" t="s">
        <v>12</v>
      </c>
    </row>
    <row r="4238" spans="1:14" x14ac:dyDescent="0.25">
      <c r="A4238">
        <v>20160122</v>
      </c>
      <c r="B4238" t="str">
        <f t="shared" si="291"/>
        <v>061818</v>
      </c>
      <c r="C4238" t="str">
        <f t="shared" si="292"/>
        <v>24130</v>
      </c>
      <c r="D4238" t="s">
        <v>2278</v>
      </c>
      <c r="E4238" s="3">
        <v>325</v>
      </c>
      <c r="F4238">
        <v>20160121</v>
      </c>
      <c r="G4238" t="s">
        <v>2281</v>
      </c>
      <c r="H4238" t="s">
        <v>3674</v>
      </c>
      <c r="I4238">
        <v>0</v>
      </c>
      <c r="J4238" t="s">
        <v>1709</v>
      </c>
      <c r="K4238" t="s">
        <v>290</v>
      </c>
      <c r="L4238" t="s">
        <v>285</v>
      </c>
      <c r="M4238" t="str">
        <f t="shared" si="288"/>
        <v>01</v>
      </c>
      <c r="N4238" t="s">
        <v>12</v>
      </c>
    </row>
    <row r="4239" spans="1:14" x14ac:dyDescent="0.25">
      <c r="A4239">
        <v>20160122</v>
      </c>
      <c r="B4239" t="str">
        <f t="shared" si="291"/>
        <v>061818</v>
      </c>
      <c r="C4239" t="str">
        <f t="shared" si="292"/>
        <v>24130</v>
      </c>
      <c r="D4239" t="s">
        <v>2278</v>
      </c>
      <c r="E4239" s="3">
        <v>270</v>
      </c>
      <c r="F4239">
        <v>20160121</v>
      </c>
      <c r="G4239" t="s">
        <v>3574</v>
      </c>
      <c r="H4239" t="s">
        <v>3675</v>
      </c>
      <c r="I4239">
        <v>0</v>
      </c>
      <c r="J4239" t="s">
        <v>1709</v>
      </c>
      <c r="K4239" t="s">
        <v>95</v>
      </c>
      <c r="L4239" t="s">
        <v>285</v>
      </c>
      <c r="M4239" t="str">
        <f t="shared" si="288"/>
        <v>01</v>
      </c>
      <c r="N4239" t="s">
        <v>12</v>
      </c>
    </row>
    <row r="4240" spans="1:14" x14ac:dyDescent="0.25">
      <c r="A4240">
        <v>20160122</v>
      </c>
      <c r="B4240" t="str">
        <f>"061822"</f>
        <v>061822</v>
      </c>
      <c r="C4240" t="str">
        <f>"24960"</f>
        <v>24960</v>
      </c>
      <c r="D4240" t="s">
        <v>39</v>
      </c>
      <c r="E4240" s="3">
        <v>553.35</v>
      </c>
      <c r="F4240">
        <v>20160121</v>
      </c>
      <c r="G4240" t="s">
        <v>1841</v>
      </c>
      <c r="H4240" t="s">
        <v>3676</v>
      </c>
      <c r="I4240">
        <v>0</v>
      </c>
      <c r="J4240" t="s">
        <v>1709</v>
      </c>
      <c r="K4240" t="s">
        <v>1775</v>
      </c>
      <c r="L4240" t="s">
        <v>285</v>
      </c>
      <c r="M4240" t="str">
        <f t="shared" si="288"/>
        <v>01</v>
      </c>
      <c r="N4240" t="s">
        <v>12</v>
      </c>
    </row>
    <row r="4241" spans="1:14" x14ac:dyDescent="0.25">
      <c r="A4241">
        <v>20160122</v>
      </c>
      <c r="B4241" t="str">
        <f>"061825"</f>
        <v>061825</v>
      </c>
      <c r="C4241" t="str">
        <f>"25225"</f>
        <v>25225</v>
      </c>
      <c r="D4241" t="s">
        <v>3677</v>
      </c>
      <c r="E4241" s="3">
        <v>625.64</v>
      </c>
      <c r="F4241">
        <v>20160121</v>
      </c>
      <c r="G4241" t="s">
        <v>2115</v>
      </c>
      <c r="H4241" t="s">
        <v>3678</v>
      </c>
      <c r="I4241">
        <v>0</v>
      </c>
      <c r="J4241" t="s">
        <v>1709</v>
      </c>
      <c r="K4241" t="s">
        <v>290</v>
      </c>
      <c r="L4241" t="s">
        <v>285</v>
      </c>
      <c r="M4241" t="str">
        <f t="shared" si="288"/>
        <v>01</v>
      </c>
      <c r="N4241" t="s">
        <v>12</v>
      </c>
    </row>
    <row r="4242" spans="1:14" x14ac:dyDescent="0.25">
      <c r="A4242">
        <v>20160122</v>
      </c>
      <c r="B4242" t="str">
        <f>"061827"</f>
        <v>061827</v>
      </c>
      <c r="C4242" t="str">
        <f>"77113"</f>
        <v>77113</v>
      </c>
      <c r="D4242" t="s">
        <v>3679</v>
      </c>
      <c r="E4242" s="3">
        <v>79.72</v>
      </c>
      <c r="F4242">
        <v>20160121</v>
      </c>
      <c r="G4242" t="s">
        <v>3680</v>
      </c>
      <c r="H4242" t="s">
        <v>1842</v>
      </c>
      <c r="I4242">
        <v>0</v>
      </c>
      <c r="J4242" t="s">
        <v>1709</v>
      </c>
      <c r="K4242" t="s">
        <v>1984</v>
      </c>
      <c r="L4242" t="s">
        <v>285</v>
      </c>
      <c r="M4242" t="str">
        <f t="shared" si="288"/>
        <v>01</v>
      </c>
      <c r="N4242" t="s">
        <v>12</v>
      </c>
    </row>
    <row r="4243" spans="1:14" x14ac:dyDescent="0.25">
      <c r="A4243">
        <v>20160122</v>
      </c>
      <c r="B4243" t="str">
        <f>"061827"</f>
        <v>061827</v>
      </c>
      <c r="C4243" t="str">
        <f>"77113"</f>
        <v>77113</v>
      </c>
      <c r="D4243" t="s">
        <v>3679</v>
      </c>
      <c r="E4243" s="3">
        <v>101.8</v>
      </c>
      <c r="F4243">
        <v>20160121</v>
      </c>
      <c r="G4243" t="s">
        <v>3680</v>
      </c>
      <c r="H4243" t="s">
        <v>1843</v>
      </c>
      <c r="I4243">
        <v>0</v>
      </c>
      <c r="J4243" t="s">
        <v>1709</v>
      </c>
      <c r="K4243" t="s">
        <v>1984</v>
      </c>
      <c r="L4243" t="s">
        <v>285</v>
      </c>
      <c r="M4243" t="str">
        <f t="shared" si="288"/>
        <v>01</v>
      </c>
      <c r="N4243" t="s">
        <v>12</v>
      </c>
    </row>
    <row r="4244" spans="1:14" x14ac:dyDescent="0.25">
      <c r="A4244">
        <v>20160122</v>
      </c>
      <c r="B4244" t="str">
        <f>"061827"</f>
        <v>061827</v>
      </c>
      <c r="C4244" t="str">
        <f>"77113"</f>
        <v>77113</v>
      </c>
      <c r="D4244" t="s">
        <v>3679</v>
      </c>
      <c r="E4244" s="3">
        <v>65.41</v>
      </c>
      <c r="F4244">
        <v>20160121</v>
      </c>
      <c r="G4244" t="s">
        <v>3680</v>
      </c>
      <c r="H4244" t="s">
        <v>2480</v>
      </c>
      <c r="I4244">
        <v>0</v>
      </c>
      <c r="J4244" t="s">
        <v>1709</v>
      </c>
      <c r="K4244" t="s">
        <v>1984</v>
      </c>
      <c r="L4244" t="s">
        <v>285</v>
      </c>
      <c r="M4244" t="str">
        <f t="shared" si="288"/>
        <v>01</v>
      </c>
      <c r="N4244" t="s">
        <v>12</v>
      </c>
    </row>
    <row r="4245" spans="1:14" x14ac:dyDescent="0.25">
      <c r="A4245">
        <v>20160122</v>
      </c>
      <c r="B4245" t="str">
        <f>"061828"</f>
        <v>061828</v>
      </c>
      <c r="C4245" t="str">
        <f>"54555"</f>
        <v>54555</v>
      </c>
      <c r="D4245" t="s">
        <v>2104</v>
      </c>
      <c r="E4245" s="3">
        <v>51.8</v>
      </c>
      <c r="F4245">
        <v>20160121</v>
      </c>
      <c r="G4245" t="s">
        <v>1916</v>
      </c>
      <c r="H4245" t="s">
        <v>3681</v>
      </c>
      <c r="I4245">
        <v>0</v>
      </c>
      <c r="J4245" t="s">
        <v>1709</v>
      </c>
      <c r="K4245" t="s">
        <v>1782</v>
      </c>
      <c r="L4245" t="s">
        <v>285</v>
      </c>
      <c r="M4245" t="str">
        <f t="shared" si="288"/>
        <v>01</v>
      </c>
      <c r="N4245" t="s">
        <v>12</v>
      </c>
    </row>
    <row r="4246" spans="1:14" x14ac:dyDescent="0.25">
      <c r="A4246">
        <v>20160122</v>
      </c>
      <c r="B4246" t="str">
        <f>"061830"</f>
        <v>061830</v>
      </c>
      <c r="C4246" t="str">
        <f>"27038"</f>
        <v>27038</v>
      </c>
      <c r="D4246" t="s">
        <v>3682</v>
      </c>
      <c r="E4246" s="3">
        <v>257.26</v>
      </c>
      <c r="F4246">
        <v>20160121</v>
      </c>
      <c r="G4246" t="s">
        <v>3334</v>
      </c>
      <c r="H4246" t="s">
        <v>3683</v>
      </c>
      <c r="I4246">
        <v>0</v>
      </c>
      <c r="J4246" t="s">
        <v>1709</v>
      </c>
      <c r="K4246" t="s">
        <v>290</v>
      </c>
      <c r="L4246" t="s">
        <v>285</v>
      </c>
      <c r="M4246" t="str">
        <f t="shared" si="288"/>
        <v>01</v>
      </c>
      <c r="N4246" t="s">
        <v>12</v>
      </c>
    </row>
    <row r="4247" spans="1:14" x14ac:dyDescent="0.25">
      <c r="A4247">
        <v>20160122</v>
      </c>
      <c r="B4247" t="str">
        <f>"061832"</f>
        <v>061832</v>
      </c>
      <c r="C4247" t="str">
        <f>"29624"</f>
        <v>29624</v>
      </c>
      <c r="D4247" t="s">
        <v>1870</v>
      </c>
      <c r="E4247" s="3">
        <v>361.25</v>
      </c>
      <c r="F4247">
        <v>20160121</v>
      </c>
      <c r="G4247" t="s">
        <v>2333</v>
      </c>
      <c r="H4247" t="s">
        <v>3684</v>
      </c>
      <c r="I4247">
        <v>0</v>
      </c>
      <c r="J4247" t="s">
        <v>1709</v>
      </c>
      <c r="K4247" t="s">
        <v>290</v>
      </c>
      <c r="L4247" t="s">
        <v>285</v>
      </c>
      <c r="M4247" t="str">
        <f t="shared" si="288"/>
        <v>01</v>
      </c>
      <c r="N4247" t="s">
        <v>12</v>
      </c>
    </row>
    <row r="4248" spans="1:14" x14ac:dyDescent="0.25">
      <c r="A4248">
        <v>20160122</v>
      </c>
      <c r="B4248" t="str">
        <f>"061833"</f>
        <v>061833</v>
      </c>
      <c r="C4248" t="str">
        <f>"30390"</f>
        <v>30390</v>
      </c>
      <c r="D4248" t="s">
        <v>3087</v>
      </c>
      <c r="E4248" s="3">
        <v>935</v>
      </c>
      <c r="F4248">
        <v>20160121</v>
      </c>
      <c r="G4248" t="s">
        <v>2121</v>
      </c>
      <c r="H4248" t="s">
        <v>2091</v>
      </c>
      <c r="I4248">
        <v>0</v>
      </c>
      <c r="J4248" t="s">
        <v>1709</v>
      </c>
      <c r="K4248" t="s">
        <v>290</v>
      </c>
      <c r="L4248" t="s">
        <v>285</v>
      </c>
      <c r="M4248" t="str">
        <f t="shared" si="288"/>
        <v>01</v>
      </c>
      <c r="N4248" t="s">
        <v>12</v>
      </c>
    </row>
    <row r="4249" spans="1:14" x14ac:dyDescent="0.25">
      <c r="A4249">
        <v>20160122</v>
      </c>
      <c r="B4249" t="str">
        <f>"061834"</f>
        <v>061834</v>
      </c>
      <c r="C4249" t="str">
        <f>"30479"</f>
        <v>30479</v>
      </c>
      <c r="D4249" t="s">
        <v>2663</v>
      </c>
      <c r="E4249" s="3">
        <v>119.5</v>
      </c>
      <c r="F4249">
        <v>20160121</v>
      </c>
      <c r="G4249" t="s">
        <v>2664</v>
      </c>
      <c r="H4249" t="s">
        <v>3685</v>
      </c>
      <c r="I4249">
        <v>0</v>
      </c>
      <c r="J4249" t="s">
        <v>1709</v>
      </c>
      <c r="K4249" t="s">
        <v>1744</v>
      </c>
      <c r="L4249" t="s">
        <v>285</v>
      </c>
      <c r="M4249" t="str">
        <f t="shared" si="288"/>
        <v>01</v>
      </c>
      <c r="N4249" t="s">
        <v>12</v>
      </c>
    </row>
    <row r="4250" spans="1:14" x14ac:dyDescent="0.25">
      <c r="A4250">
        <v>20160122</v>
      </c>
      <c r="B4250" t="str">
        <f>"061834"</f>
        <v>061834</v>
      </c>
      <c r="C4250" t="str">
        <f>"30479"</f>
        <v>30479</v>
      </c>
      <c r="D4250" t="s">
        <v>2663</v>
      </c>
      <c r="E4250" s="3">
        <v>220</v>
      </c>
      <c r="F4250">
        <v>20160121</v>
      </c>
      <c r="G4250" t="s">
        <v>2664</v>
      </c>
      <c r="H4250" t="s">
        <v>3686</v>
      </c>
      <c r="I4250">
        <v>0</v>
      </c>
      <c r="J4250" t="s">
        <v>1709</v>
      </c>
      <c r="K4250" t="s">
        <v>1744</v>
      </c>
      <c r="L4250" t="s">
        <v>285</v>
      </c>
      <c r="M4250" t="str">
        <f t="shared" si="288"/>
        <v>01</v>
      </c>
      <c r="N4250" t="s">
        <v>12</v>
      </c>
    </row>
    <row r="4251" spans="1:14" x14ac:dyDescent="0.25">
      <c r="A4251">
        <v>20160122</v>
      </c>
      <c r="B4251" t="str">
        <f>"061834"</f>
        <v>061834</v>
      </c>
      <c r="C4251" t="str">
        <f>"30479"</f>
        <v>30479</v>
      </c>
      <c r="D4251" t="s">
        <v>2663</v>
      </c>
      <c r="E4251" s="3">
        <v>27.5</v>
      </c>
      <c r="F4251">
        <v>20160121</v>
      </c>
      <c r="G4251" t="s">
        <v>2850</v>
      </c>
      <c r="H4251" t="s">
        <v>3685</v>
      </c>
      <c r="I4251">
        <v>0</v>
      </c>
      <c r="J4251" t="s">
        <v>1709</v>
      </c>
      <c r="K4251" t="s">
        <v>1775</v>
      </c>
      <c r="L4251" t="s">
        <v>285</v>
      </c>
      <c r="M4251" t="str">
        <f t="shared" si="288"/>
        <v>01</v>
      </c>
      <c r="N4251" t="s">
        <v>12</v>
      </c>
    </row>
    <row r="4252" spans="1:14" x14ac:dyDescent="0.25">
      <c r="A4252">
        <v>20160122</v>
      </c>
      <c r="B4252" t="str">
        <f>"061834"</f>
        <v>061834</v>
      </c>
      <c r="C4252" t="str">
        <f>"30479"</f>
        <v>30479</v>
      </c>
      <c r="D4252" t="s">
        <v>2663</v>
      </c>
      <c r="E4252" s="3">
        <v>440</v>
      </c>
      <c r="F4252">
        <v>20160121</v>
      </c>
      <c r="G4252" t="s">
        <v>2850</v>
      </c>
      <c r="H4252" t="s">
        <v>3687</v>
      </c>
      <c r="I4252">
        <v>0</v>
      </c>
      <c r="J4252" t="s">
        <v>1709</v>
      </c>
      <c r="K4252" t="s">
        <v>1775</v>
      </c>
      <c r="L4252" t="s">
        <v>285</v>
      </c>
      <c r="M4252" t="str">
        <f t="shared" si="288"/>
        <v>01</v>
      </c>
      <c r="N4252" t="s">
        <v>12</v>
      </c>
    </row>
    <row r="4253" spans="1:14" x14ac:dyDescent="0.25">
      <c r="A4253">
        <v>20160122</v>
      </c>
      <c r="B4253" t="str">
        <f>"061836"</f>
        <v>061836</v>
      </c>
      <c r="C4253" t="str">
        <f>"31214"</f>
        <v>31214</v>
      </c>
      <c r="D4253" t="s">
        <v>3688</v>
      </c>
      <c r="E4253" s="3">
        <v>39</v>
      </c>
      <c r="F4253">
        <v>20160121</v>
      </c>
      <c r="G4253" t="s">
        <v>2799</v>
      </c>
      <c r="H4253" t="s">
        <v>3689</v>
      </c>
      <c r="I4253">
        <v>0</v>
      </c>
      <c r="J4253" t="s">
        <v>1709</v>
      </c>
      <c r="K4253" t="s">
        <v>1861</v>
      </c>
      <c r="L4253" t="s">
        <v>285</v>
      </c>
      <c r="M4253" t="str">
        <f t="shared" si="288"/>
        <v>01</v>
      </c>
      <c r="N4253" t="s">
        <v>12</v>
      </c>
    </row>
    <row r="4254" spans="1:14" x14ac:dyDescent="0.25">
      <c r="A4254">
        <v>20160122</v>
      </c>
      <c r="B4254" t="str">
        <f>"061843"</f>
        <v>061843</v>
      </c>
      <c r="C4254" t="str">
        <f>"37805"</f>
        <v>37805</v>
      </c>
      <c r="D4254" t="s">
        <v>2669</v>
      </c>
      <c r="E4254" s="3">
        <v>25</v>
      </c>
      <c r="F4254">
        <v>20160121</v>
      </c>
      <c r="G4254" t="s">
        <v>1738</v>
      </c>
      <c r="H4254" t="s">
        <v>3690</v>
      </c>
      <c r="I4254">
        <v>0</v>
      </c>
      <c r="J4254" t="s">
        <v>1709</v>
      </c>
      <c r="K4254" t="s">
        <v>290</v>
      </c>
      <c r="L4254" t="s">
        <v>285</v>
      </c>
      <c r="M4254" t="str">
        <f t="shared" si="288"/>
        <v>01</v>
      </c>
      <c r="N4254" t="s">
        <v>12</v>
      </c>
    </row>
    <row r="4255" spans="1:14" x14ac:dyDescent="0.25">
      <c r="A4255">
        <v>20160122</v>
      </c>
      <c r="B4255" t="str">
        <f>"061843"</f>
        <v>061843</v>
      </c>
      <c r="C4255" t="str">
        <f>"37805"</f>
        <v>37805</v>
      </c>
      <c r="D4255" t="s">
        <v>2669</v>
      </c>
      <c r="E4255" s="3">
        <v>-25</v>
      </c>
      <c r="F4255">
        <v>20160128</v>
      </c>
      <c r="G4255" t="s">
        <v>1738</v>
      </c>
      <c r="H4255" t="s">
        <v>3691</v>
      </c>
      <c r="I4255">
        <v>0</v>
      </c>
      <c r="J4255" t="s">
        <v>1709</v>
      </c>
      <c r="K4255" t="s">
        <v>290</v>
      </c>
      <c r="L4255" t="s">
        <v>17</v>
      </c>
      <c r="M4255" t="str">
        <f t="shared" si="288"/>
        <v>01</v>
      </c>
      <c r="N4255" t="s">
        <v>12</v>
      </c>
    </row>
    <row r="4256" spans="1:14" x14ac:dyDescent="0.25">
      <c r="A4256">
        <v>20160122</v>
      </c>
      <c r="B4256" t="str">
        <f>"061843"</f>
        <v>061843</v>
      </c>
      <c r="C4256" t="str">
        <f>"37805"</f>
        <v>37805</v>
      </c>
      <c r="D4256" t="s">
        <v>2669</v>
      </c>
      <c r="E4256" s="3">
        <v>375</v>
      </c>
      <c r="F4256">
        <v>20160121</v>
      </c>
      <c r="G4256" t="s">
        <v>1739</v>
      </c>
      <c r="H4256" t="s">
        <v>3690</v>
      </c>
      <c r="I4256">
        <v>0</v>
      </c>
      <c r="J4256" t="s">
        <v>1709</v>
      </c>
      <c r="K4256" t="s">
        <v>290</v>
      </c>
      <c r="L4256" t="s">
        <v>285</v>
      </c>
      <c r="M4256" t="str">
        <f t="shared" si="288"/>
        <v>01</v>
      </c>
      <c r="N4256" t="s">
        <v>12</v>
      </c>
    </row>
    <row r="4257" spans="1:14" x14ac:dyDescent="0.25">
      <c r="A4257">
        <v>20160122</v>
      </c>
      <c r="B4257" t="str">
        <f>"061843"</f>
        <v>061843</v>
      </c>
      <c r="C4257" t="str">
        <f>"37805"</f>
        <v>37805</v>
      </c>
      <c r="D4257" t="s">
        <v>2669</v>
      </c>
      <c r="E4257" s="3">
        <v>-375</v>
      </c>
      <c r="F4257">
        <v>20160128</v>
      </c>
      <c r="G4257" t="s">
        <v>1739</v>
      </c>
      <c r="H4257" t="s">
        <v>3691</v>
      </c>
      <c r="I4257">
        <v>0</v>
      </c>
      <c r="J4257" t="s">
        <v>1709</v>
      </c>
      <c r="K4257" t="s">
        <v>290</v>
      </c>
      <c r="L4257" t="s">
        <v>17</v>
      </c>
      <c r="M4257" t="str">
        <f t="shared" si="288"/>
        <v>01</v>
      </c>
      <c r="N4257" t="s">
        <v>12</v>
      </c>
    </row>
    <row r="4258" spans="1:14" x14ac:dyDescent="0.25">
      <c r="A4258">
        <v>20160122</v>
      </c>
      <c r="B4258" t="str">
        <f>"061847"</f>
        <v>061847</v>
      </c>
      <c r="C4258" t="str">
        <f>"40550"</f>
        <v>40550</v>
      </c>
      <c r="D4258" t="s">
        <v>435</v>
      </c>
      <c r="E4258" s="3">
        <v>214.53</v>
      </c>
      <c r="F4258">
        <v>20160121</v>
      </c>
      <c r="G4258" t="s">
        <v>3692</v>
      </c>
      <c r="H4258" t="s">
        <v>3693</v>
      </c>
      <c r="I4258">
        <v>0</v>
      </c>
      <c r="J4258" t="s">
        <v>1709</v>
      </c>
      <c r="K4258" t="s">
        <v>290</v>
      </c>
      <c r="L4258" t="s">
        <v>285</v>
      </c>
      <c r="M4258" t="str">
        <f t="shared" si="288"/>
        <v>01</v>
      </c>
      <c r="N4258" t="s">
        <v>12</v>
      </c>
    </row>
    <row r="4259" spans="1:14" x14ac:dyDescent="0.25">
      <c r="A4259">
        <v>20160122</v>
      </c>
      <c r="B4259" t="str">
        <f>"061848"</f>
        <v>061848</v>
      </c>
      <c r="C4259" t="str">
        <f>"40854"</f>
        <v>40854</v>
      </c>
      <c r="D4259" t="s">
        <v>3694</v>
      </c>
      <c r="E4259" s="3">
        <v>209</v>
      </c>
      <c r="F4259">
        <v>20160121</v>
      </c>
      <c r="G4259" t="s">
        <v>3609</v>
      </c>
      <c r="H4259" t="s">
        <v>3651</v>
      </c>
      <c r="I4259">
        <v>0</v>
      </c>
      <c r="J4259" t="s">
        <v>1709</v>
      </c>
      <c r="K4259" t="s">
        <v>290</v>
      </c>
      <c r="L4259" t="s">
        <v>285</v>
      </c>
      <c r="M4259" t="str">
        <f t="shared" si="288"/>
        <v>01</v>
      </c>
      <c r="N4259" t="s">
        <v>12</v>
      </c>
    </row>
    <row r="4260" spans="1:14" x14ac:dyDescent="0.25">
      <c r="A4260">
        <v>20160122</v>
      </c>
      <c r="B4260" t="str">
        <f>"061851"</f>
        <v>061851</v>
      </c>
      <c r="C4260" t="str">
        <f>"46025"</f>
        <v>46025</v>
      </c>
      <c r="D4260" t="s">
        <v>2676</v>
      </c>
      <c r="E4260" s="3">
        <v>560</v>
      </c>
      <c r="F4260">
        <v>20160121</v>
      </c>
      <c r="G4260" t="s">
        <v>3695</v>
      </c>
      <c r="H4260" s="1">
        <v>42278</v>
      </c>
      <c r="I4260">
        <v>0</v>
      </c>
      <c r="J4260" t="s">
        <v>1709</v>
      </c>
      <c r="K4260" t="s">
        <v>1775</v>
      </c>
      <c r="L4260" t="s">
        <v>285</v>
      </c>
      <c r="M4260" t="str">
        <f t="shared" si="288"/>
        <v>01</v>
      </c>
      <c r="N4260" t="s">
        <v>12</v>
      </c>
    </row>
    <row r="4261" spans="1:14" x14ac:dyDescent="0.25">
      <c r="A4261">
        <v>20160122</v>
      </c>
      <c r="B4261" t="str">
        <f>"061851"</f>
        <v>061851</v>
      </c>
      <c r="C4261" t="str">
        <f>"46025"</f>
        <v>46025</v>
      </c>
      <c r="D4261" t="s">
        <v>2676</v>
      </c>
      <c r="E4261" s="3">
        <v>495</v>
      </c>
      <c r="F4261">
        <v>20160121</v>
      </c>
      <c r="G4261" t="s">
        <v>3695</v>
      </c>
      <c r="H4261" s="1">
        <v>42309</v>
      </c>
      <c r="I4261">
        <v>0</v>
      </c>
      <c r="J4261" t="s">
        <v>1709</v>
      </c>
      <c r="K4261" t="s">
        <v>1775</v>
      </c>
      <c r="L4261" t="s">
        <v>285</v>
      </c>
      <c r="M4261" t="str">
        <f t="shared" si="288"/>
        <v>01</v>
      </c>
      <c r="N4261" t="s">
        <v>12</v>
      </c>
    </row>
    <row r="4262" spans="1:14" x14ac:dyDescent="0.25">
      <c r="A4262">
        <v>20160122</v>
      </c>
      <c r="B4262" t="str">
        <f>"061851"</f>
        <v>061851</v>
      </c>
      <c r="C4262" t="str">
        <f>"46025"</f>
        <v>46025</v>
      </c>
      <c r="D4262" t="s">
        <v>2676</v>
      </c>
      <c r="E4262" s="3">
        <v>261.25</v>
      </c>
      <c r="F4262">
        <v>20160121</v>
      </c>
      <c r="G4262" t="s">
        <v>3695</v>
      </c>
      <c r="H4262" s="1">
        <v>42339</v>
      </c>
      <c r="I4262">
        <v>0</v>
      </c>
      <c r="J4262" t="s">
        <v>1709</v>
      </c>
      <c r="K4262" t="s">
        <v>1775</v>
      </c>
      <c r="L4262" t="s">
        <v>285</v>
      </c>
      <c r="M4262" t="str">
        <f t="shared" si="288"/>
        <v>01</v>
      </c>
      <c r="N4262" t="s">
        <v>12</v>
      </c>
    </row>
    <row r="4263" spans="1:14" x14ac:dyDescent="0.25">
      <c r="A4263">
        <v>20160122</v>
      </c>
      <c r="B4263" t="str">
        <f>"061852"</f>
        <v>061852</v>
      </c>
      <c r="C4263" t="str">
        <f>"46233"</f>
        <v>46233</v>
      </c>
      <c r="D4263" t="s">
        <v>1092</v>
      </c>
      <c r="E4263" s="3">
        <v>116</v>
      </c>
      <c r="F4263">
        <v>20160121</v>
      </c>
      <c r="G4263" t="s">
        <v>3518</v>
      </c>
      <c r="H4263" t="s">
        <v>3696</v>
      </c>
      <c r="I4263">
        <v>0</v>
      </c>
      <c r="J4263" t="s">
        <v>1709</v>
      </c>
      <c r="K4263" t="s">
        <v>33</v>
      </c>
      <c r="L4263" t="s">
        <v>285</v>
      </c>
      <c r="M4263" t="str">
        <f t="shared" ref="M4263:M4326" si="293">"01"</f>
        <v>01</v>
      </c>
      <c r="N4263" t="s">
        <v>12</v>
      </c>
    </row>
    <row r="4264" spans="1:14" x14ac:dyDescent="0.25">
      <c r="A4264">
        <v>20160122</v>
      </c>
      <c r="B4264" t="str">
        <f>"061852"</f>
        <v>061852</v>
      </c>
      <c r="C4264" t="str">
        <f>"46233"</f>
        <v>46233</v>
      </c>
      <c r="D4264" t="s">
        <v>1092</v>
      </c>
      <c r="E4264" s="3">
        <v>88</v>
      </c>
      <c r="F4264">
        <v>20160121</v>
      </c>
      <c r="G4264" t="s">
        <v>3518</v>
      </c>
      <c r="H4264" t="s">
        <v>3696</v>
      </c>
      <c r="I4264">
        <v>0</v>
      </c>
      <c r="J4264" t="s">
        <v>1709</v>
      </c>
      <c r="K4264" t="s">
        <v>33</v>
      </c>
      <c r="L4264" t="s">
        <v>285</v>
      </c>
      <c r="M4264" t="str">
        <f t="shared" si="293"/>
        <v>01</v>
      </c>
      <c r="N4264" t="s">
        <v>12</v>
      </c>
    </row>
    <row r="4265" spans="1:14" x14ac:dyDescent="0.25">
      <c r="A4265">
        <v>20160122</v>
      </c>
      <c r="B4265" t="str">
        <f>"061852"</f>
        <v>061852</v>
      </c>
      <c r="C4265" t="str">
        <f>"46233"</f>
        <v>46233</v>
      </c>
      <c r="D4265" t="s">
        <v>1092</v>
      </c>
      <c r="E4265" s="3">
        <v>72</v>
      </c>
      <c r="F4265">
        <v>20160121</v>
      </c>
      <c r="G4265" t="s">
        <v>3697</v>
      </c>
      <c r="H4265" t="s">
        <v>3696</v>
      </c>
      <c r="I4265">
        <v>0</v>
      </c>
      <c r="J4265" t="s">
        <v>1709</v>
      </c>
      <c r="K4265" t="s">
        <v>1643</v>
      </c>
      <c r="L4265" t="s">
        <v>285</v>
      </c>
      <c r="M4265" t="str">
        <f t="shared" si="293"/>
        <v>01</v>
      </c>
      <c r="N4265" t="s">
        <v>12</v>
      </c>
    </row>
    <row r="4266" spans="1:14" x14ac:dyDescent="0.25">
      <c r="A4266">
        <v>20160122</v>
      </c>
      <c r="B4266" t="str">
        <f>"061853"</f>
        <v>061853</v>
      </c>
      <c r="C4266" t="str">
        <f>"46374"</f>
        <v>46374</v>
      </c>
      <c r="D4266" t="s">
        <v>2901</v>
      </c>
      <c r="E4266" s="3">
        <v>1069.74</v>
      </c>
      <c r="F4266">
        <v>20160121</v>
      </c>
      <c r="G4266" t="s">
        <v>2356</v>
      </c>
      <c r="H4266" t="s">
        <v>3275</v>
      </c>
      <c r="I4266">
        <v>0</v>
      </c>
      <c r="J4266" t="s">
        <v>1709</v>
      </c>
      <c r="K4266" t="s">
        <v>1861</v>
      </c>
      <c r="L4266" t="s">
        <v>285</v>
      </c>
      <c r="M4266" t="str">
        <f t="shared" si="293"/>
        <v>01</v>
      </c>
      <c r="N4266" t="s">
        <v>12</v>
      </c>
    </row>
    <row r="4267" spans="1:14" x14ac:dyDescent="0.25">
      <c r="A4267">
        <v>20160122</v>
      </c>
      <c r="B4267" t="str">
        <f>"061854"</f>
        <v>061854</v>
      </c>
      <c r="C4267" t="str">
        <f>"46398"</f>
        <v>46398</v>
      </c>
      <c r="D4267" t="s">
        <v>1994</v>
      </c>
      <c r="E4267" s="3">
        <v>7295.89</v>
      </c>
      <c r="F4267">
        <v>20160121</v>
      </c>
      <c r="G4267" t="s">
        <v>1995</v>
      </c>
      <c r="H4267" t="s">
        <v>3698</v>
      </c>
      <c r="I4267">
        <v>0</v>
      </c>
      <c r="J4267" t="s">
        <v>1709</v>
      </c>
      <c r="K4267" t="s">
        <v>235</v>
      </c>
      <c r="L4267" t="s">
        <v>285</v>
      </c>
      <c r="M4267" t="str">
        <f t="shared" si="293"/>
        <v>01</v>
      </c>
      <c r="N4267" t="s">
        <v>12</v>
      </c>
    </row>
    <row r="4268" spans="1:14" x14ac:dyDescent="0.25">
      <c r="A4268">
        <v>20160122</v>
      </c>
      <c r="B4268" t="str">
        <f>"061854"</f>
        <v>061854</v>
      </c>
      <c r="C4268" t="str">
        <f>"46398"</f>
        <v>46398</v>
      </c>
      <c r="D4268" t="s">
        <v>1994</v>
      </c>
      <c r="E4268" s="3">
        <v>1820</v>
      </c>
      <c r="F4268">
        <v>20160121</v>
      </c>
      <c r="G4268" t="s">
        <v>1995</v>
      </c>
      <c r="H4268" t="s">
        <v>3699</v>
      </c>
      <c r="I4268">
        <v>0</v>
      </c>
      <c r="J4268" t="s">
        <v>1709</v>
      </c>
      <c r="K4268" t="s">
        <v>235</v>
      </c>
      <c r="L4268" t="s">
        <v>285</v>
      </c>
      <c r="M4268" t="str">
        <f t="shared" si="293"/>
        <v>01</v>
      </c>
      <c r="N4268" t="s">
        <v>12</v>
      </c>
    </row>
    <row r="4269" spans="1:14" x14ac:dyDescent="0.25">
      <c r="A4269">
        <v>20160122</v>
      </c>
      <c r="B4269" t="str">
        <f>"061854"</f>
        <v>061854</v>
      </c>
      <c r="C4269" t="str">
        <f>"46398"</f>
        <v>46398</v>
      </c>
      <c r="D4269" t="s">
        <v>1994</v>
      </c>
      <c r="E4269" s="3">
        <v>941.68</v>
      </c>
      <c r="F4269">
        <v>20160121</v>
      </c>
      <c r="G4269" t="s">
        <v>1998</v>
      </c>
      <c r="H4269" t="s">
        <v>3698</v>
      </c>
      <c r="I4269">
        <v>0</v>
      </c>
      <c r="J4269" t="s">
        <v>1709</v>
      </c>
      <c r="K4269" t="s">
        <v>1942</v>
      </c>
      <c r="L4269" t="s">
        <v>285</v>
      </c>
      <c r="M4269" t="str">
        <f t="shared" si="293"/>
        <v>01</v>
      </c>
      <c r="N4269" t="s">
        <v>12</v>
      </c>
    </row>
    <row r="4270" spans="1:14" x14ac:dyDescent="0.25">
      <c r="A4270">
        <v>20160122</v>
      </c>
      <c r="B4270" t="str">
        <f>"061855"</f>
        <v>061855</v>
      </c>
      <c r="C4270" t="str">
        <f>"46351"</f>
        <v>46351</v>
      </c>
      <c r="D4270" t="s">
        <v>2518</v>
      </c>
      <c r="E4270" s="3">
        <v>633.32000000000005</v>
      </c>
      <c r="F4270">
        <v>20160121</v>
      </c>
      <c r="G4270" t="s">
        <v>1995</v>
      </c>
      <c r="H4270" t="s">
        <v>3700</v>
      </c>
      <c r="I4270">
        <v>0</v>
      </c>
      <c r="J4270" t="s">
        <v>1709</v>
      </c>
      <c r="K4270" t="s">
        <v>235</v>
      </c>
      <c r="L4270" t="s">
        <v>285</v>
      </c>
      <c r="M4270" t="str">
        <f t="shared" si="293"/>
        <v>01</v>
      </c>
      <c r="N4270" t="s">
        <v>12</v>
      </c>
    </row>
    <row r="4271" spans="1:14" x14ac:dyDescent="0.25">
      <c r="A4271">
        <v>20160122</v>
      </c>
      <c r="B4271" t="str">
        <f>"061855"</f>
        <v>061855</v>
      </c>
      <c r="C4271" t="str">
        <f>"46351"</f>
        <v>46351</v>
      </c>
      <c r="D4271" t="s">
        <v>2518</v>
      </c>
      <c r="E4271" s="3">
        <v>664.99</v>
      </c>
      <c r="F4271">
        <v>20160121</v>
      </c>
      <c r="G4271" t="s">
        <v>1995</v>
      </c>
      <c r="H4271" t="s">
        <v>3701</v>
      </c>
      <c r="I4271">
        <v>0</v>
      </c>
      <c r="J4271" t="s">
        <v>1709</v>
      </c>
      <c r="K4271" t="s">
        <v>235</v>
      </c>
      <c r="L4271" t="s">
        <v>285</v>
      </c>
      <c r="M4271" t="str">
        <f t="shared" si="293"/>
        <v>01</v>
      </c>
      <c r="N4271" t="s">
        <v>12</v>
      </c>
    </row>
    <row r="4272" spans="1:14" x14ac:dyDescent="0.25">
      <c r="A4272">
        <v>20160122</v>
      </c>
      <c r="B4272" t="str">
        <f>"061855"</f>
        <v>061855</v>
      </c>
      <c r="C4272" t="str">
        <f>"46351"</f>
        <v>46351</v>
      </c>
      <c r="D4272" t="s">
        <v>2518</v>
      </c>
      <c r="E4272" s="3">
        <v>10288.02</v>
      </c>
      <c r="F4272">
        <v>20160121</v>
      </c>
      <c r="G4272" t="s">
        <v>1995</v>
      </c>
      <c r="H4272" t="s">
        <v>3702</v>
      </c>
      <c r="I4272">
        <v>0</v>
      </c>
      <c r="J4272" t="s">
        <v>1709</v>
      </c>
      <c r="K4272" t="s">
        <v>235</v>
      </c>
      <c r="L4272" t="s">
        <v>285</v>
      </c>
      <c r="M4272" t="str">
        <f t="shared" si="293"/>
        <v>01</v>
      </c>
      <c r="N4272" t="s">
        <v>12</v>
      </c>
    </row>
    <row r="4273" spans="1:14" x14ac:dyDescent="0.25">
      <c r="A4273">
        <v>20160122</v>
      </c>
      <c r="B4273" t="str">
        <f>"061855"</f>
        <v>061855</v>
      </c>
      <c r="C4273" t="str">
        <f>"46351"</f>
        <v>46351</v>
      </c>
      <c r="D4273" t="s">
        <v>2518</v>
      </c>
      <c r="E4273" s="3">
        <v>4248.04</v>
      </c>
      <c r="F4273">
        <v>20160121</v>
      </c>
      <c r="G4273" t="s">
        <v>2523</v>
      </c>
      <c r="H4273" t="s">
        <v>3702</v>
      </c>
      <c r="I4273">
        <v>0</v>
      </c>
      <c r="J4273" t="s">
        <v>1709</v>
      </c>
      <c r="K4273" t="s">
        <v>1942</v>
      </c>
      <c r="L4273" t="s">
        <v>285</v>
      </c>
      <c r="M4273" t="str">
        <f t="shared" si="293"/>
        <v>01</v>
      </c>
      <c r="N4273" t="s">
        <v>12</v>
      </c>
    </row>
    <row r="4274" spans="1:14" x14ac:dyDescent="0.25">
      <c r="A4274">
        <v>20160122</v>
      </c>
      <c r="B4274" t="str">
        <f>"061860"</f>
        <v>061860</v>
      </c>
      <c r="C4274" t="str">
        <f>"49959"</f>
        <v>49959</v>
      </c>
      <c r="D4274" t="s">
        <v>361</v>
      </c>
      <c r="E4274" s="3">
        <v>300</v>
      </c>
      <c r="F4274">
        <v>20160121</v>
      </c>
      <c r="G4274" t="s">
        <v>1788</v>
      </c>
      <c r="H4274" t="s">
        <v>3703</v>
      </c>
      <c r="I4274">
        <v>0</v>
      </c>
      <c r="J4274" t="s">
        <v>1709</v>
      </c>
      <c r="K4274" t="s">
        <v>1643</v>
      </c>
      <c r="L4274" t="s">
        <v>285</v>
      </c>
      <c r="M4274" t="str">
        <f t="shared" si="293"/>
        <v>01</v>
      </c>
      <c r="N4274" t="s">
        <v>12</v>
      </c>
    </row>
    <row r="4275" spans="1:14" x14ac:dyDescent="0.25">
      <c r="A4275">
        <v>20160122</v>
      </c>
      <c r="B4275" t="str">
        <f>"061862"</f>
        <v>061862</v>
      </c>
      <c r="C4275" t="str">
        <f>"51339"</f>
        <v>51339</v>
      </c>
      <c r="D4275" t="s">
        <v>3704</v>
      </c>
      <c r="E4275" s="3">
        <v>231.21</v>
      </c>
      <c r="F4275">
        <v>20160121</v>
      </c>
      <c r="G4275" t="s">
        <v>2199</v>
      </c>
      <c r="H4275" t="s">
        <v>3705</v>
      </c>
      <c r="I4275">
        <v>0</v>
      </c>
      <c r="J4275" t="s">
        <v>1709</v>
      </c>
      <c r="K4275" t="s">
        <v>290</v>
      </c>
      <c r="L4275" t="s">
        <v>285</v>
      </c>
      <c r="M4275" t="str">
        <f t="shared" si="293"/>
        <v>01</v>
      </c>
      <c r="N4275" t="s">
        <v>12</v>
      </c>
    </row>
    <row r="4276" spans="1:14" x14ac:dyDescent="0.25">
      <c r="A4276">
        <v>20160122</v>
      </c>
      <c r="B4276" t="str">
        <f>"061863"</f>
        <v>061863</v>
      </c>
      <c r="C4276" t="str">
        <f>"51475"</f>
        <v>51475</v>
      </c>
      <c r="D4276" t="s">
        <v>2352</v>
      </c>
      <c r="E4276" s="3">
        <v>1260.07</v>
      </c>
      <c r="F4276">
        <v>20160121</v>
      </c>
      <c r="G4276" t="s">
        <v>2525</v>
      </c>
      <c r="H4276" t="s">
        <v>3706</v>
      </c>
      <c r="I4276">
        <v>0</v>
      </c>
      <c r="J4276" t="s">
        <v>1709</v>
      </c>
      <c r="K4276" t="s">
        <v>2194</v>
      </c>
      <c r="L4276" t="s">
        <v>285</v>
      </c>
      <c r="M4276" t="str">
        <f t="shared" si="293"/>
        <v>01</v>
      </c>
      <c r="N4276" t="s">
        <v>12</v>
      </c>
    </row>
    <row r="4277" spans="1:14" x14ac:dyDescent="0.25">
      <c r="A4277">
        <v>20160122</v>
      </c>
      <c r="B4277" t="str">
        <f>"061863"</f>
        <v>061863</v>
      </c>
      <c r="C4277" t="str">
        <f>"51475"</f>
        <v>51475</v>
      </c>
      <c r="D4277" t="s">
        <v>2352</v>
      </c>
      <c r="E4277" s="3">
        <v>0.15</v>
      </c>
      <c r="F4277">
        <v>20160121</v>
      </c>
      <c r="G4277" t="s">
        <v>2525</v>
      </c>
      <c r="H4277" t="s">
        <v>3707</v>
      </c>
      <c r="I4277">
        <v>0</v>
      </c>
      <c r="J4277" t="s">
        <v>1709</v>
      </c>
      <c r="K4277" t="s">
        <v>2194</v>
      </c>
      <c r="L4277" t="s">
        <v>285</v>
      </c>
      <c r="M4277" t="str">
        <f t="shared" si="293"/>
        <v>01</v>
      </c>
      <c r="N4277" t="s">
        <v>12</v>
      </c>
    </row>
    <row r="4278" spans="1:14" x14ac:dyDescent="0.25">
      <c r="A4278">
        <v>20160122</v>
      </c>
      <c r="B4278" t="str">
        <f>"061864"</f>
        <v>061864</v>
      </c>
      <c r="C4278" t="str">
        <f>"53006"</f>
        <v>53006</v>
      </c>
      <c r="D4278" t="s">
        <v>2909</v>
      </c>
      <c r="E4278" s="3">
        <v>112.77</v>
      </c>
      <c r="F4278">
        <v>20160121</v>
      </c>
      <c r="G4278" t="s">
        <v>2910</v>
      </c>
      <c r="H4278" t="s">
        <v>3708</v>
      </c>
      <c r="I4278">
        <v>0</v>
      </c>
      <c r="J4278" t="s">
        <v>1709</v>
      </c>
      <c r="K4278" t="s">
        <v>33</v>
      </c>
      <c r="L4278" t="s">
        <v>285</v>
      </c>
      <c r="M4278" t="str">
        <f t="shared" si="293"/>
        <v>01</v>
      </c>
      <c r="N4278" t="s">
        <v>12</v>
      </c>
    </row>
    <row r="4279" spans="1:14" x14ac:dyDescent="0.25">
      <c r="A4279">
        <v>20160122</v>
      </c>
      <c r="B4279" t="str">
        <f>"061868"</f>
        <v>061868</v>
      </c>
      <c r="C4279" t="str">
        <f>"56013"</f>
        <v>56013</v>
      </c>
      <c r="D4279" t="s">
        <v>2355</v>
      </c>
      <c r="E4279" s="3">
        <v>320</v>
      </c>
      <c r="F4279">
        <v>20160121</v>
      </c>
      <c r="G4279" t="s">
        <v>2356</v>
      </c>
      <c r="H4279" t="s">
        <v>3709</v>
      </c>
      <c r="I4279">
        <v>0</v>
      </c>
      <c r="J4279" t="s">
        <v>1709</v>
      </c>
      <c r="K4279" t="s">
        <v>1861</v>
      </c>
      <c r="L4279" t="s">
        <v>285</v>
      </c>
      <c r="M4279" t="str">
        <f t="shared" si="293"/>
        <v>01</v>
      </c>
      <c r="N4279" t="s">
        <v>12</v>
      </c>
    </row>
    <row r="4280" spans="1:14" x14ac:dyDescent="0.25">
      <c r="A4280">
        <v>20160122</v>
      </c>
      <c r="B4280" t="str">
        <f>"061870"</f>
        <v>061870</v>
      </c>
      <c r="C4280" t="str">
        <f>"56255"</f>
        <v>56255</v>
      </c>
      <c r="D4280" t="s">
        <v>3710</v>
      </c>
      <c r="E4280" s="3">
        <v>1439.6</v>
      </c>
      <c r="F4280">
        <v>20160121</v>
      </c>
      <c r="G4280" t="s">
        <v>2018</v>
      </c>
      <c r="H4280" t="s">
        <v>3711</v>
      </c>
      <c r="I4280">
        <v>0</v>
      </c>
      <c r="J4280" t="s">
        <v>1709</v>
      </c>
      <c r="K4280" t="s">
        <v>1856</v>
      </c>
      <c r="L4280" t="s">
        <v>285</v>
      </c>
      <c r="M4280" t="str">
        <f t="shared" si="293"/>
        <v>01</v>
      </c>
      <c r="N4280" t="s">
        <v>12</v>
      </c>
    </row>
    <row r="4281" spans="1:14" x14ac:dyDescent="0.25">
      <c r="A4281">
        <v>20160122</v>
      </c>
      <c r="B4281" t="str">
        <f>"061870"</f>
        <v>061870</v>
      </c>
      <c r="C4281" t="str">
        <f>"56255"</f>
        <v>56255</v>
      </c>
      <c r="D4281" t="s">
        <v>3710</v>
      </c>
      <c r="E4281" s="3">
        <v>138.22999999999999</v>
      </c>
      <c r="F4281">
        <v>20160121</v>
      </c>
      <c r="G4281" t="s">
        <v>2360</v>
      </c>
      <c r="H4281" t="s">
        <v>3712</v>
      </c>
      <c r="I4281">
        <v>0</v>
      </c>
      <c r="J4281" t="s">
        <v>1709</v>
      </c>
      <c r="K4281" t="s">
        <v>1856</v>
      </c>
      <c r="L4281" t="s">
        <v>285</v>
      </c>
      <c r="M4281" t="str">
        <f t="shared" si="293"/>
        <v>01</v>
      </c>
      <c r="N4281" t="s">
        <v>12</v>
      </c>
    </row>
    <row r="4282" spans="1:14" x14ac:dyDescent="0.25">
      <c r="A4282">
        <v>20160122</v>
      </c>
      <c r="B4282" t="str">
        <f>"061874"</f>
        <v>061874</v>
      </c>
      <c r="C4282" t="str">
        <f>"58204"</f>
        <v>58204</v>
      </c>
      <c r="D4282" t="s">
        <v>1816</v>
      </c>
      <c r="E4282" s="3">
        <v>158.65</v>
      </c>
      <c r="F4282">
        <v>20160121</v>
      </c>
      <c r="G4282" t="s">
        <v>1974</v>
      </c>
      <c r="H4282" t="s">
        <v>3713</v>
      </c>
      <c r="I4282">
        <v>0</v>
      </c>
      <c r="J4282" t="s">
        <v>1709</v>
      </c>
      <c r="K4282" t="s">
        <v>290</v>
      </c>
      <c r="L4282" t="s">
        <v>285</v>
      </c>
      <c r="M4282" t="str">
        <f t="shared" si="293"/>
        <v>01</v>
      </c>
      <c r="N4282" t="s">
        <v>12</v>
      </c>
    </row>
    <row r="4283" spans="1:14" x14ac:dyDescent="0.25">
      <c r="A4283">
        <v>20160122</v>
      </c>
      <c r="B4283" t="str">
        <f>"061874"</f>
        <v>061874</v>
      </c>
      <c r="C4283" t="str">
        <f>"58204"</f>
        <v>58204</v>
      </c>
      <c r="D4283" t="s">
        <v>1816</v>
      </c>
      <c r="E4283" s="3">
        <v>23.97</v>
      </c>
      <c r="F4283">
        <v>20160121</v>
      </c>
      <c r="G4283" t="s">
        <v>2124</v>
      </c>
      <c r="H4283" t="s">
        <v>3714</v>
      </c>
      <c r="I4283">
        <v>0</v>
      </c>
      <c r="J4283" t="s">
        <v>1709</v>
      </c>
      <c r="K4283" t="s">
        <v>290</v>
      </c>
      <c r="L4283" t="s">
        <v>285</v>
      </c>
      <c r="M4283" t="str">
        <f t="shared" si="293"/>
        <v>01</v>
      </c>
      <c r="N4283" t="s">
        <v>12</v>
      </c>
    </row>
    <row r="4284" spans="1:14" x14ac:dyDescent="0.25">
      <c r="A4284">
        <v>20160122</v>
      </c>
      <c r="B4284" t="str">
        <f>"061874"</f>
        <v>061874</v>
      </c>
      <c r="C4284" t="str">
        <f>"58204"</f>
        <v>58204</v>
      </c>
      <c r="D4284" t="s">
        <v>1816</v>
      </c>
      <c r="E4284" s="3">
        <v>166.17</v>
      </c>
      <c r="F4284">
        <v>20160121</v>
      </c>
      <c r="G4284" t="s">
        <v>1786</v>
      </c>
      <c r="H4284" t="s">
        <v>3715</v>
      </c>
      <c r="I4284">
        <v>0</v>
      </c>
      <c r="J4284" t="s">
        <v>1709</v>
      </c>
      <c r="K4284" t="s">
        <v>290</v>
      </c>
      <c r="L4284" t="s">
        <v>285</v>
      </c>
      <c r="M4284" t="str">
        <f t="shared" si="293"/>
        <v>01</v>
      </c>
      <c r="N4284" t="s">
        <v>12</v>
      </c>
    </row>
    <row r="4285" spans="1:14" x14ac:dyDescent="0.25">
      <c r="A4285">
        <v>20160122</v>
      </c>
      <c r="B4285" t="str">
        <f>"061874"</f>
        <v>061874</v>
      </c>
      <c r="C4285" t="str">
        <f>"58204"</f>
        <v>58204</v>
      </c>
      <c r="D4285" t="s">
        <v>1816</v>
      </c>
      <c r="E4285" s="3">
        <v>66</v>
      </c>
      <c r="F4285">
        <v>20160121</v>
      </c>
      <c r="G4285" t="s">
        <v>1786</v>
      </c>
      <c r="H4285" t="s">
        <v>3716</v>
      </c>
      <c r="I4285">
        <v>0</v>
      </c>
      <c r="J4285" t="s">
        <v>1709</v>
      </c>
      <c r="K4285" t="s">
        <v>290</v>
      </c>
      <c r="L4285" t="s">
        <v>285</v>
      </c>
      <c r="M4285" t="str">
        <f t="shared" si="293"/>
        <v>01</v>
      </c>
      <c r="N4285" t="s">
        <v>12</v>
      </c>
    </row>
    <row r="4286" spans="1:14" x14ac:dyDescent="0.25">
      <c r="A4286">
        <v>20160122</v>
      </c>
      <c r="B4286" t="str">
        <f>"061874"</f>
        <v>061874</v>
      </c>
      <c r="C4286" t="str">
        <f>"58204"</f>
        <v>58204</v>
      </c>
      <c r="D4286" t="s">
        <v>1816</v>
      </c>
      <c r="E4286" s="3">
        <v>55</v>
      </c>
      <c r="F4286">
        <v>20160121</v>
      </c>
      <c r="G4286" t="s">
        <v>3717</v>
      </c>
      <c r="H4286" t="s">
        <v>3718</v>
      </c>
      <c r="I4286">
        <v>0</v>
      </c>
      <c r="J4286" t="s">
        <v>1709</v>
      </c>
      <c r="K4286" t="s">
        <v>290</v>
      </c>
      <c r="L4286" t="s">
        <v>285</v>
      </c>
      <c r="M4286" t="str">
        <f t="shared" si="293"/>
        <v>01</v>
      </c>
      <c r="N4286" t="s">
        <v>12</v>
      </c>
    </row>
    <row r="4287" spans="1:14" x14ac:dyDescent="0.25">
      <c r="A4287">
        <v>20160122</v>
      </c>
      <c r="B4287" t="str">
        <f>"061875"</f>
        <v>061875</v>
      </c>
      <c r="C4287" t="str">
        <f>"59097"</f>
        <v>59097</v>
      </c>
      <c r="D4287" t="s">
        <v>1755</v>
      </c>
      <c r="E4287" s="3">
        <v>365.17</v>
      </c>
      <c r="F4287">
        <v>20160121</v>
      </c>
      <c r="G4287" t="s">
        <v>2339</v>
      </c>
      <c r="H4287" t="s">
        <v>3719</v>
      </c>
      <c r="I4287">
        <v>0</v>
      </c>
      <c r="J4287" t="s">
        <v>1709</v>
      </c>
      <c r="K4287" t="s">
        <v>290</v>
      </c>
      <c r="L4287" t="s">
        <v>285</v>
      </c>
      <c r="M4287" t="str">
        <f t="shared" si="293"/>
        <v>01</v>
      </c>
      <c r="N4287" t="s">
        <v>12</v>
      </c>
    </row>
    <row r="4288" spans="1:14" x14ac:dyDescent="0.25">
      <c r="A4288">
        <v>20160122</v>
      </c>
      <c r="B4288" t="str">
        <f>"061877"</f>
        <v>061877</v>
      </c>
      <c r="C4288" t="str">
        <f>"60835"</f>
        <v>60835</v>
      </c>
      <c r="D4288" t="s">
        <v>1904</v>
      </c>
      <c r="E4288" s="3">
        <v>105</v>
      </c>
      <c r="F4288">
        <v>20160121</v>
      </c>
      <c r="G4288" t="s">
        <v>1854</v>
      </c>
      <c r="H4288" t="s">
        <v>3720</v>
      </c>
      <c r="I4288">
        <v>0</v>
      </c>
      <c r="J4288" t="s">
        <v>1709</v>
      </c>
      <c r="K4288" t="s">
        <v>1856</v>
      </c>
      <c r="L4288" t="s">
        <v>285</v>
      </c>
      <c r="M4288" t="str">
        <f t="shared" si="293"/>
        <v>01</v>
      </c>
      <c r="N4288" t="s">
        <v>12</v>
      </c>
    </row>
    <row r="4289" spans="1:14" x14ac:dyDescent="0.25">
      <c r="A4289">
        <v>20160122</v>
      </c>
      <c r="B4289" t="str">
        <f>"061877"</f>
        <v>061877</v>
      </c>
      <c r="C4289" t="str">
        <f>"60835"</f>
        <v>60835</v>
      </c>
      <c r="D4289" t="s">
        <v>1904</v>
      </c>
      <c r="E4289" s="3">
        <v>350</v>
      </c>
      <c r="F4289">
        <v>20160121</v>
      </c>
      <c r="G4289" t="s">
        <v>1854</v>
      </c>
      <c r="H4289" t="s">
        <v>3721</v>
      </c>
      <c r="I4289">
        <v>0</v>
      </c>
      <c r="J4289" t="s">
        <v>1709</v>
      </c>
      <c r="K4289" t="s">
        <v>1856</v>
      </c>
      <c r="L4289" t="s">
        <v>285</v>
      </c>
      <c r="M4289" t="str">
        <f t="shared" si="293"/>
        <v>01</v>
      </c>
      <c r="N4289" t="s">
        <v>12</v>
      </c>
    </row>
    <row r="4290" spans="1:14" x14ac:dyDescent="0.25">
      <c r="A4290">
        <v>20160122</v>
      </c>
      <c r="B4290" t="str">
        <f>"061877"</f>
        <v>061877</v>
      </c>
      <c r="C4290" t="str">
        <f>"60835"</f>
        <v>60835</v>
      </c>
      <c r="D4290" t="s">
        <v>1904</v>
      </c>
      <c r="E4290" s="3">
        <v>350</v>
      </c>
      <c r="F4290">
        <v>20160121</v>
      </c>
      <c r="G4290" t="s">
        <v>1854</v>
      </c>
      <c r="H4290" t="s">
        <v>3121</v>
      </c>
      <c r="I4290">
        <v>0</v>
      </c>
      <c r="J4290" t="s">
        <v>1709</v>
      </c>
      <c r="K4290" t="s">
        <v>1856</v>
      </c>
      <c r="L4290" t="s">
        <v>285</v>
      </c>
      <c r="M4290" t="str">
        <f t="shared" si="293"/>
        <v>01</v>
      </c>
      <c r="N4290" t="s">
        <v>12</v>
      </c>
    </row>
    <row r="4291" spans="1:14" x14ac:dyDescent="0.25">
      <c r="A4291">
        <v>20160122</v>
      </c>
      <c r="B4291" t="str">
        <f>"061878"</f>
        <v>061878</v>
      </c>
      <c r="C4291" t="str">
        <f>"61221"</f>
        <v>61221</v>
      </c>
      <c r="D4291" t="s">
        <v>1906</v>
      </c>
      <c r="E4291" s="3">
        <v>480</v>
      </c>
      <c r="F4291">
        <v>20160121</v>
      </c>
      <c r="G4291" t="s">
        <v>1886</v>
      </c>
      <c r="H4291" t="s">
        <v>3722</v>
      </c>
      <c r="I4291">
        <v>0</v>
      </c>
      <c r="J4291" t="s">
        <v>1709</v>
      </c>
      <c r="K4291" t="s">
        <v>290</v>
      </c>
      <c r="L4291" t="s">
        <v>285</v>
      </c>
      <c r="M4291" t="str">
        <f t="shared" si="293"/>
        <v>01</v>
      </c>
      <c r="N4291" t="s">
        <v>12</v>
      </c>
    </row>
    <row r="4292" spans="1:14" x14ac:dyDescent="0.25">
      <c r="A4292">
        <v>20160122</v>
      </c>
      <c r="B4292" t="str">
        <f>"061879"</f>
        <v>061879</v>
      </c>
      <c r="C4292" t="str">
        <f>"60849"</f>
        <v>60849</v>
      </c>
      <c r="D4292" t="s">
        <v>3723</v>
      </c>
      <c r="E4292" s="3">
        <v>317.38</v>
      </c>
      <c r="F4292">
        <v>20160121</v>
      </c>
      <c r="G4292" t="s">
        <v>2115</v>
      </c>
      <c r="H4292" t="s">
        <v>3724</v>
      </c>
      <c r="I4292">
        <v>0</v>
      </c>
      <c r="J4292" t="s">
        <v>1709</v>
      </c>
      <c r="K4292" t="s">
        <v>290</v>
      </c>
      <c r="L4292" t="s">
        <v>285</v>
      </c>
      <c r="M4292" t="str">
        <f t="shared" si="293"/>
        <v>01</v>
      </c>
      <c r="N4292" t="s">
        <v>12</v>
      </c>
    </row>
    <row r="4293" spans="1:14" x14ac:dyDescent="0.25">
      <c r="A4293">
        <v>20160122</v>
      </c>
      <c r="B4293" t="str">
        <f>"061879"</f>
        <v>061879</v>
      </c>
      <c r="C4293" t="str">
        <f>"60849"</f>
        <v>60849</v>
      </c>
      <c r="D4293" t="s">
        <v>3723</v>
      </c>
      <c r="E4293" s="3">
        <v>112.96</v>
      </c>
      <c r="F4293">
        <v>20160121</v>
      </c>
      <c r="G4293" t="s">
        <v>2115</v>
      </c>
      <c r="H4293" t="s">
        <v>3725</v>
      </c>
      <c r="I4293">
        <v>0</v>
      </c>
      <c r="J4293" t="s">
        <v>1709</v>
      </c>
      <c r="K4293" t="s">
        <v>290</v>
      </c>
      <c r="L4293" t="s">
        <v>285</v>
      </c>
      <c r="M4293" t="str">
        <f t="shared" si="293"/>
        <v>01</v>
      </c>
      <c r="N4293" t="s">
        <v>12</v>
      </c>
    </row>
    <row r="4294" spans="1:14" x14ac:dyDescent="0.25">
      <c r="A4294">
        <v>20160122</v>
      </c>
      <c r="B4294" t="str">
        <f>"061879"</f>
        <v>061879</v>
      </c>
      <c r="C4294" t="str">
        <f>"60849"</f>
        <v>60849</v>
      </c>
      <c r="D4294" t="s">
        <v>3723</v>
      </c>
      <c r="E4294" s="3">
        <v>511.86</v>
      </c>
      <c r="F4294">
        <v>20160121</v>
      </c>
      <c r="G4294" t="s">
        <v>3726</v>
      </c>
      <c r="H4294" t="s">
        <v>3727</v>
      </c>
      <c r="I4294">
        <v>0</v>
      </c>
      <c r="J4294" t="s">
        <v>1709</v>
      </c>
      <c r="K4294" t="s">
        <v>95</v>
      </c>
      <c r="L4294" t="s">
        <v>285</v>
      </c>
      <c r="M4294" t="str">
        <f t="shared" si="293"/>
        <v>01</v>
      </c>
      <c r="N4294" t="s">
        <v>12</v>
      </c>
    </row>
    <row r="4295" spans="1:14" x14ac:dyDescent="0.25">
      <c r="A4295">
        <v>20160122</v>
      </c>
      <c r="B4295" t="str">
        <f>"061879"</f>
        <v>061879</v>
      </c>
      <c r="C4295" t="str">
        <f>"60849"</f>
        <v>60849</v>
      </c>
      <c r="D4295" t="s">
        <v>3723</v>
      </c>
      <c r="E4295" s="3">
        <v>260</v>
      </c>
      <c r="F4295">
        <v>20160121</v>
      </c>
      <c r="G4295" t="s">
        <v>3726</v>
      </c>
      <c r="H4295" t="s">
        <v>3728</v>
      </c>
      <c r="I4295">
        <v>0</v>
      </c>
      <c r="J4295" t="s">
        <v>1709</v>
      </c>
      <c r="K4295" t="s">
        <v>95</v>
      </c>
      <c r="L4295" t="s">
        <v>285</v>
      </c>
      <c r="M4295" t="str">
        <f t="shared" si="293"/>
        <v>01</v>
      </c>
      <c r="N4295" t="s">
        <v>12</v>
      </c>
    </row>
    <row r="4296" spans="1:14" x14ac:dyDescent="0.25">
      <c r="A4296">
        <v>20160122</v>
      </c>
      <c r="B4296" t="str">
        <f>"061880"</f>
        <v>061880</v>
      </c>
      <c r="C4296" t="str">
        <f>"63628"</f>
        <v>63628</v>
      </c>
      <c r="D4296" t="s">
        <v>3729</v>
      </c>
      <c r="E4296" s="3">
        <v>180</v>
      </c>
      <c r="F4296">
        <v>20160121</v>
      </c>
      <c r="G4296" t="s">
        <v>2285</v>
      </c>
      <c r="H4296" t="s">
        <v>3730</v>
      </c>
      <c r="I4296">
        <v>0</v>
      </c>
      <c r="J4296" t="s">
        <v>1709</v>
      </c>
      <c r="K4296" t="s">
        <v>95</v>
      </c>
      <c r="L4296" t="s">
        <v>285</v>
      </c>
      <c r="M4296" t="str">
        <f t="shared" si="293"/>
        <v>01</v>
      </c>
      <c r="N4296" t="s">
        <v>12</v>
      </c>
    </row>
    <row r="4297" spans="1:14" x14ac:dyDescent="0.25">
      <c r="A4297">
        <v>20160122</v>
      </c>
      <c r="B4297" t="str">
        <f>"061881"</f>
        <v>061881</v>
      </c>
      <c r="C4297" t="str">
        <f>"65106"</f>
        <v>65106</v>
      </c>
      <c r="D4297" t="s">
        <v>1568</v>
      </c>
      <c r="E4297" s="3">
        <v>159.28</v>
      </c>
      <c r="F4297">
        <v>20160121</v>
      </c>
      <c r="G4297" t="s">
        <v>2626</v>
      </c>
      <c r="H4297" t="s">
        <v>2173</v>
      </c>
      <c r="I4297">
        <v>0</v>
      </c>
      <c r="J4297" t="s">
        <v>1709</v>
      </c>
      <c r="K4297" t="s">
        <v>290</v>
      </c>
      <c r="L4297" t="s">
        <v>285</v>
      </c>
      <c r="M4297" t="str">
        <f t="shared" si="293"/>
        <v>01</v>
      </c>
      <c r="N4297" t="s">
        <v>12</v>
      </c>
    </row>
    <row r="4298" spans="1:14" x14ac:dyDescent="0.25">
      <c r="A4298">
        <v>20160122</v>
      </c>
      <c r="B4298" t="str">
        <f>"061884"</f>
        <v>061884</v>
      </c>
      <c r="C4298" t="str">
        <f>"64562"</f>
        <v>64562</v>
      </c>
      <c r="D4298" t="s">
        <v>2379</v>
      </c>
      <c r="E4298" s="3">
        <v>27.97</v>
      </c>
      <c r="F4298">
        <v>20160121</v>
      </c>
      <c r="G4298" t="s">
        <v>3731</v>
      </c>
      <c r="H4298" t="s">
        <v>3732</v>
      </c>
      <c r="I4298">
        <v>0</v>
      </c>
      <c r="J4298" t="s">
        <v>1709</v>
      </c>
      <c r="K4298" t="s">
        <v>95</v>
      </c>
      <c r="L4298" t="s">
        <v>285</v>
      </c>
      <c r="M4298" t="str">
        <f t="shared" si="293"/>
        <v>01</v>
      </c>
      <c r="N4298" t="s">
        <v>12</v>
      </c>
    </row>
    <row r="4299" spans="1:14" x14ac:dyDescent="0.25">
      <c r="A4299">
        <v>20160122</v>
      </c>
      <c r="B4299" t="str">
        <f>"061886"</f>
        <v>061886</v>
      </c>
      <c r="C4299" t="str">
        <f>"65817"</f>
        <v>65817</v>
      </c>
      <c r="D4299" t="s">
        <v>2021</v>
      </c>
      <c r="E4299" s="3">
        <v>399.15</v>
      </c>
      <c r="F4299">
        <v>20160121</v>
      </c>
      <c r="G4299" t="s">
        <v>2022</v>
      </c>
      <c r="H4299" t="s">
        <v>2023</v>
      </c>
      <c r="I4299">
        <v>0</v>
      </c>
      <c r="J4299" t="s">
        <v>1709</v>
      </c>
      <c r="K4299" t="s">
        <v>1643</v>
      </c>
      <c r="L4299" t="s">
        <v>285</v>
      </c>
      <c r="M4299" t="str">
        <f t="shared" si="293"/>
        <v>01</v>
      </c>
      <c r="N4299" t="s">
        <v>12</v>
      </c>
    </row>
    <row r="4300" spans="1:14" x14ac:dyDescent="0.25">
      <c r="A4300">
        <v>20160122</v>
      </c>
      <c r="B4300" t="str">
        <f>"061889"</f>
        <v>061889</v>
      </c>
      <c r="C4300" t="str">
        <f>"71225"</f>
        <v>71225</v>
      </c>
      <c r="D4300" t="s">
        <v>1920</v>
      </c>
      <c r="E4300" s="3">
        <v>1754.6</v>
      </c>
      <c r="F4300">
        <v>20160121</v>
      </c>
      <c r="G4300" t="s">
        <v>1854</v>
      </c>
      <c r="H4300" t="s">
        <v>3733</v>
      </c>
      <c r="I4300">
        <v>0</v>
      </c>
      <c r="J4300" t="s">
        <v>1709</v>
      </c>
      <c r="K4300" t="s">
        <v>1856</v>
      </c>
      <c r="L4300" t="s">
        <v>285</v>
      </c>
      <c r="M4300" t="str">
        <f t="shared" si="293"/>
        <v>01</v>
      </c>
      <c r="N4300" t="s">
        <v>12</v>
      </c>
    </row>
    <row r="4301" spans="1:14" x14ac:dyDescent="0.25">
      <c r="A4301">
        <v>20160122</v>
      </c>
      <c r="B4301" t="str">
        <f>"061889"</f>
        <v>061889</v>
      </c>
      <c r="C4301" t="str">
        <f>"71225"</f>
        <v>71225</v>
      </c>
      <c r="D4301" t="s">
        <v>1920</v>
      </c>
      <c r="E4301" s="3">
        <v>347.27</v>
      </c>
      <c r="F4301">
        <v>20160121</v>
      </c>
      <c r="G4301" t="s">
        <v>2883</v>
      </c>
      <c r="H4301" t="s">
        <v>3734</v>
      </c>
      <c r="I4301">
        <v>0</v>
      </c>
      <c r="J4301" t="s">
        <v>1709</v>
      </c>
      <c r="K4301" t="s">
        <v>1861</v>
      </c>
      <c r="L4301" t="s">
        <v>285</v>
      </c>
      <c r="M4301" t="str">
        <f t="shared" si="293"/>
        <v>01</v>
      </c>
      <c r="N4301" t="s">
        <v>12</v>
      </c>
    </row>
    <row r="4302" spans="1:14" x14ac:dyDescent="0.25">
      <c r="A4302">
        <v>20160122</v>
      </c>
      <c r="B4302" t="str">
        <f>"061892"</f>
        <v>061892</v>
      </c>
      <c r="C4302" t="str">
        <f>"73874"</f>
        <v>73874</v>
      </c>
      <c r="D4302" t="s">
        <v>3136</v>
      </c>
      <c r="E4302" s="3">
        <v>300</v>
      </c>
      <c r="F4302">
        <v>20160121</v>
      </c>
      <c r="G4302" t="s">
        <v>2281</v>
      </c>
      <c r="H4302" t="s">
        <v>3735</v>
      </c>
      <c r="I4302">
        <v>0</v>
      </c>
      <c r="J4302" t="s">
        <v>1709</v>
      </c>
      <c r="K4302" t="s">
        <v>290</v>
      </c>
      <c r="L4302" t="s">
        <v>285</v>
      </c>
      <c r="M4302" t="str">
        <f t="shared" si="293"/>
        <v>01</v>
      </c>
      <c r="N4302" t="s">
        <v>12</v>
      </c>
    </row>
    <row r="4303" spans="1:14" x14ac:dyDescent="0.25">
      <c r="A4303">
        <v>20160122</v>
      </c>
      <c r="B4303" t="str">
        <f>"061893"</f>
        <v>061893</v>
      </c>
      <c r="C4303" t="str">
        <f>"74060"</f>
        <v>74060</v>
      </c>
      <c r="D4303" t="s">
        <v>3138</v>
      </c>
      <c r="E4303" s="3">
        <v>40</v>
      </c>
      <c r="F4303">
        <v>20160121</v>
      </c>
      <c r="G4303" t="s">
        <v>2990</v>
      </c>
      <c r="H4303" t="s">
        <v>3355</v>
      </c>
      <c r="I4303">
        <v>0</v>
      </c>
      <c r="J4303" t="s">
        <v>1709</v>
      </c>
      <c r="K4303" t="s">
        <v>1779</v>
      </c>
      <c r="L4303" t="s">
        <v>285</v>
      </c>
      <c r="M4303" t="str">
        <f t="shared" si="293"/>
        <v>01</v>
      </c>
      <c r="N4303" t="s">
        <v>12</v>
      </c>
    </row>
    <row r="4304" spans="1:14" x14ac:dyDescent="0.25">
      <c r="A4304">
        <v>20160122</v>
      </c>
      <c r="B4304" t="str">
        <f>"061895"</f>
        <v>061895</v>
      </c>
      <c r="C4304" t="str">
        <f>"80385"</f>
        <v>80385</v>
      </c>
      <c r="D4304" t="s">
        <v>3736</v>
      </c>
      <c r="E4304" s="3">
        <v>98.1</v>
      </c>
      <c r="F4304">
        <v>20160122</v>
      </c>
      <c r="G4304" t="s">
        <v>2941</v>
      </c>
      <c r="H4304" t="s">
        <v>3737</v>
      </c>
      <c r="I4304">
        <v>0</v>
      </c>
      <c r="J4304" t="s">
        <v>1709</v>
      </c>
      <c r="K4304" t="s">
        <v>95</v>
      </c>
      <c r="L4304" t="s">
        <v>285</v>
      </c>
      <c r="M4304" t="str">
        <f t="shared" si="293"/>
        <v>01</v>
      </c>
      <c r="N4304" t="s">
        <v>12</v>
      </c>
    </row>
    <row r="4305" spans="1:14" x14ac:dyDescent="0.25">
      <c r="A4305">
        <v>20160122</v>
      </c>
      <c r="B4305" t="str">
        <f>"061896"</f>
        <v>061896</v>
      </c>
      <c r="C4305" t="str">
        <f>"80389"</f>
        <v>80389</v>
      </c>
      <c r="D4305" t="s">
        <v>2032</v>
      </c>
      <c r="E4305" s="3">
        <v>84.58</v>
      </c>
      <c r="F4305">
        <v>20160122</v>
      </c>
      <c r="G4305" t="s">
        <v>2033</v>
      </c>
      <c r="H4305" t="s">
        <v>3738</v>
      </c>
      <c r="I4305">
        <v>0</v>
      </c>
      <c r="J4305" t="s">
        <v>1709</v>
      </c>
      <c r="K4305" t="s">
        <v>1984</v>
      </c>
      <c r="L4305" t="s">
        <v>285</v>
      </c>
      <c r="M4305" t="str">
        <f t="shared" si="293"/>
        <v>01</v>
      </c>
      <c r="N4305" t="s">
        <v>12</v>
      </c>
    </row>
    <row r="4306" spans="1:14" x14ac:dyDescent="0.25">
      <c r="A4306">
        <v>20160122</v>
      </c>
      <c r="B4306" t="str">
        <f>"061896"</f>
        <v>061896</v>
      </c>
      <c r="C4306" t="str">
        <f>"80389"</f>
        <v>80389</v>
      </c>
      <c r="D4306" t="s">
        <v>2032</v>
      </c>
      <c r="E4306" s="3">
        <v>894.61</v>
      </c>
      <c r="F4306">
        <v>20160122</v>
      </c>
      <c r="G4306" t="s">
        <v>2035</v>
      </c>
      <c r="H4306" t="s">
        <v>3739</v>
      </c>
      <c r="I4306">
        <v>0</v>
      </c>
      <c r="J4306" t="s">
        <v>1709</v>
      </c>
      <c r="K4306" t="s">
        <v>1984</v>
      </c>
      <c r="L4306" t="s">
        <v>285</v>
      </c>
      <c r="M4306" t="str">
        <f t="shared" si="293"/>
        <v>01</v>
      </c>
      <c r="N4306" t="s">
        <v>12</v>
      </c>
    </row>
    <row r="4307" spans="1:14" x14ac:dyDescent="0.25">
      <c r="A4307">
        <v>20160122</v>
      </c>
      <c r="B4307" t="str">
        <f>"061896"</f>
        <v>061896</v>
      </c>
      <c r="C4307" t="str">
        <f>"80389"</f>
        <v>80389</v>
      </c>
      <c r="D4307" t="s">
        <v>2032</v>
      </c>
      <c r="E4307" s="3">
        <v>1435.01</v>
      </c>
      <c r="F4307">
        <v>20160122</v>
      </c>
      <c r="G4307" t="s">
        <v>2037</v>
      </c>
      <c r="H4307" t="s">
        <v>3740</v>
      </c>
      <c r="I4307">
        <v>0</v>
      </c>
      <c r="J4307" t="s">
        <v>1709</v>
      </c>
      <c r="K4307" t="s">
        <v>1984</v>
      </c>
      <c r="L4307" t="s">
        <v>285</v>
      </c>
      <c r="M4307" t="str">
        <f t="shared" si="293"/>
        <v>01</v>
      </c>
      <c r="N4307" t="s">
        <v>12</v>
      </c>
    </row>
    <row r="4308" spans="1:14" x14ac:dyDescent="0.25">
      <c r="A4308">
        <v>20160122</v>
      </c>
      <c r="B4308" t="str">
        <f t="shared" ref="B4308:B4313" si="294">"061897"</f>
        <v>061897</v>
      </c>
      <c r="C4308" t="str">
        <f t="shared" ref="C4308:C4313" si="295">"80481"</f>
        <v>80481</v>
      </c>
      <c r="D4308" t="s">
        <v>1935</v>
      </c>
      <c r="E4308" s="3">
        <v>74</v>
      </c>
      <c r="F4308">
        <v>20160122</v>
      </c>
      <c r="G4308" t="s">
        <v>1938</v>
      </c>
      <c r="H4308" t="s">
        <v>3336</v>
      </c>
      <c r="I4308">
        <v>0</v>
      </c>
      <c r="J4308" t="s">
        <v>1709</v>
      </c>
      <c r="K4308" t="s">
        <v>1643</v>
      </c>
      <c r="L4308" t="s">
        <v>285</v>
      </c>
      <c r="M4308" t="str">
        <f t="shared" si="293"/>
        <v>01</v>
      </c>
      <c r="N4308" t="s">
        <v>12</v>
      </c>
    </row>
    <row r="4309" spans="1:14" x14ac:dyDescent="0.25">
      <c r="A4309">
        <v>20160122</v>
      </c>
      <c r="B4309" t="str">
        <f t="shared" si="294"/>
        <v>061897</v>
      </c>
      <c r="C4309" t="str">
        <f t="shared" si="295"/>
        <v>80481</v>
      </c>
      <c r="D4309" t="s">
        <v>1935</v>
      </c>
      <c r="E4309" s="3">
        <v>74</v>
      </c>
      <c r="F4309">
        <v>20160122</v>
      </c>
      <c r="G4309" t="s">
        <v>1939</v>
      </c>
      <c r="H4309" t="s">
        <v>3336</v>
      </c>
      <c r="I4309">
        <v>0</v>
      </c>
      <c r="J4309" t="s">
        <v>1709</v>
      </c>
      <c r="K4309" t="s">
        <v>33</v>
      </c>
      <c r="L4309" t="s">
        <v>285</v>
      </c>
      <c r="M4309" t="str">
        <f t="shared" si="293"/>
        <v>01</v>
      </c>
      <c r="N4309" t="s">
        <v>12</v>
      </c>
    </row>
    <row r="4310" spans="1:14" x14ac:dyDescent="0.25">
      <c r="A4310">
        <v>20160122</v>
      </c>
      <c r="B4310" t="str">
        <f t="shared" si="294"/>
        <v>061897</v>
      </c>
      <c r="C4310" t="str">
        <f t="shared" si="295"/>
        <v>80481</v>
      </c>
      <c r="D4310" t="s">
        <v>1935</v>
      </c>
      <c r="E4310" s="3">
        <v>74</v>
      </c>
      <c r="F4310">
        <v>20160122</v>
      </c>
      <c r="G4310" t="s">
        <v>1940</v>
      </c>
      <c r="H4310" t="s">
        <v>3336</v>
      </c>
      <c r="I4310">
        <v>0</v>
      </c>
      <c r="J4310" t="s">
        <v>1709</v>
      </c>
      <c r="K4310" t="s">
        <v>290</v>
      </c>
      <c r="L4310" t="s">
        <v>285</v>
      </c>
      <c r="M4310" t="str">
        <f t="shared" si="293"/>
        <v>01</v>
      </c>
      <c r="N4310" t="s">
        <v>12</v>
      </c>
    </row>
    <row r="4311" spans="1:14" x14ac:dyDescent="0.25">
      <c r="A4311">
        <v>20160122</v>
      </c>
      <c r="B4311" t="str">
        <f t="shared" si="294"/>
        <v>061897</v>
      </c>
      <c r="C4311" t="str">
        <f t="shared" si="295"/>
        <v>80481</v>
      </c>
      <c r="D4311" t="s">
        <v>1935</v>
      </c>
      <c r="E4311" s="3">
        <v>74</v>
      </c>
      <c r="F4311">
        <v>20160122</v>
      </c>
      <c r="G4311" t="s">
        <v>1940</v>
      </c>
      <c r="H4311" t="s">
        <v>3336</v>
      </c>
      <c r="I4311">
        <v>0</v>
      </c>
      <c r="J4311" t="s">
        <v>1709</v>
      </c>
      <c r="K4311" t="s">
        <v>290</v>
      </c>
      <c r="L4311" t="s">
        <v>285</v>
      </c>
      <c r="M4311" t="str">
        <f t="shared" si="293"/>
        <v>01</v>
      </c>
      <c r="N4311" t="s">
        <v>12</v>
      </c>
    </row>
    <row r="4312" spans="1:14" x14ac:dyDescent="0.25">
      <c r="A4312">
        <v>20160122</v>
      </c>
      <c r="B4312" t="str">
        <f t="shared" si="294"/>
        <v>061897</v>
      </c>
      <c r="C4312" t="str">
        <f t="shared" si="295"/>
        <v>80481</v>
      </c>
      <c r="D4312" t="s">
        <v>1935</v>
      </c>
      <c r="E4312" s="3">
        <v>17.73</v>
      </c>
      <c r="F4312">
        <v>20160122</v>
      </c>
      <c r="G4312" t="s">
        <v>1941</v>
      </c>
      <c r="H4312" t="s">
        <v>3741</v>
      </c>
      <c r="I4312">
        <v>0</v>
      </c>
      <c r="J4312" t="s">
        <v>1709</v>
      </c>
      <c r="K4312" t="s">
        <v>1942</v>
      </c>
      <c r="L4312" t="s">
        <v>285</v>
      </c>
      <c r="M4312" t="str">
        <f t="shared" si="293"/>
        <v>01</v>
      </c>
      <c r="N4312" t="s">
        <v>12</v>
      </c>
    </row>
    <row r="4313" spans="1:14" x14ac:dyDescent="0.25">
      <c r="A4313">
        <v>20160122</v>
      </c>
      <c r="B4313" t="str">
        <f t="shared" si="294"/>
        <v>061897</v>
      </c>
      <c r="C4313" t="str">
        <f t="shared" si="295"/>
        <v>80481</v>
      </c>
      <c r="D4313" t="s">
        <v>1935</v>
      </c>
      <c r="E4313" s="3">
        <v>61.06</v>
      </c>
      <c r="F4313">
        <v>20160122</v>
      </c>
      <c r="G4313" t="s">
        <v>1941</v>
      </c>
      <c r="H4313" t="s">
        <v>3336</v>
      </c>
      <c r="I4313">
        <v>0</v>
      </c>
      <c r="J4313" t="s">
        <v>1709</v>
      </c>
      <c r="K4313" t="s">
        <v>1942</v>
      </c>
      <c r="L4313" t="s">
        <v>285</v>
      </c>
      <c r="M4313" t="str">
        <f t="shared" si="293"/>
        <v>01</v>
      </c>
      <c r="N4313" t="s">
        <v>12</v>
      </c>
    </row>
    <row r="4314" spans="1:14" x14ac:dyDescent="0.25">
      <c r="A4314">
        <v>20160122</v>
      </c>
      <c r="B4314" t="str">
        <f>"061898"</f>
        <v>061898</v>
      </c>
      <c r="C4314" t="str">
        <f>"80497"</f>
        <v>80497</v>
      </c>
      <c r="D4314" t="s">
        <v>3742</v>
      </c>
      <c r="E4314" s="3">
        <v>870.93</v>
      </c>
      <c r="F4314">
        <v>20160122</v>
      </c>
      <c r="G4314" t="s">
        <v>3743</v>
      </c>
      <c r="H4314" t="s">
        <v>3744</v>
      </c>
      <c r="I4314">
        <v>0</v>
      </c>
      <c r="J4314" t="s">
        <v>1709</v>
      </c>
      <c r="K4314" t="s">
        <v>1861</v>
      </c>
      <c r="L4314" t="s">
        <v>285</v>
      </c>
      <c r="M4314" t="str">
        <f t="shared" si="293"/>
        <v>01</v>
      </c>
      <c r="N4314" t="s">
        <v>12</v>
      </c>
    </row>
    <row r="4315" spans="1:14" x14ac:dyDescent="0.25">
      <c r="A4315">
        <v>20160122</v>
      </c>
      <c r="B4315" t="str">
        <f>"061907"</f>
        <v>061907</v>
      </c>
      <c r="C4315" t="str">
        <f>"83800"</f>
        <v>83800</v>
      </c>
      <c r="D4315" t="s">
        <v>3745</v>
      </c>
      <c r="E4315" s="3">
        <v>168.17</v>
      </c>
      <c r="F4315">
        <v>20160122</v>
      </c>
      <c r="G4315" t="s">
        <v>3746</v>
      </c>
      <c r="H4315" t="s">
        <v>3747</v>
      </c>
      <c r="I4315">
        <v>0</v>
      </c>
      <c r="J4315" t="s">
        <v>1709</v>
      </c>
      <c r="K4315" t="s">
        <v>33</v>
      </c>
      <c r="L4315" t="s">
        <v>285</v>
      </c>
      <c r="M4315" t="str">
        <f t="shared" si="293"/>
        <v>01</v>
      </c>
      <c r="N4315" t="s">
        <v>12</v>
      </c>
    </row>
    <row r="4316" spans="1:14" x14ac:dyDescent="0.25">
      <c r="A4316">
        <v>20160122</v>
      </c>
      <c r="B4316" t="str">
        <f>"061907"</f>
        <v>061907</v>
      </c>
      <c r="C4316" t="str">
        <f>"83800"</f>
        <v>83800</v>
      </c>
      <c r="D4316" t="s">
        <v>3745</v>
      </c>
      <c r="E4316" s="3">
        <v>145</v>
      </c>
      <c r="F4316">
        <v>20160122</v>
      </c>
      <c r="G4316" t="s">
        <v>3746</v>
      </c>
      <c r="H4316" t="s">
        <v>3748</v>
      </c>
      <c r="I4316">
        <v>0</v>
      </c>
      <c r="J4316" t="s">
        <v>1709</v>
      </c>
      <c r="K4316" t="s">
        <v>33</v>
      </c>
      <c r="L4316" t="s">
        <v>285</v>
      </c>
      <c r="M4316" t="str">
        <f t="shared" si="293"/>
        <v>01</v>
      </c>
      <c r="N4316" t="s">
        <v>12</v>
      </c>
    </row>
    <row r="4317" spans="1:14" x14ac:dyDescent="0.25">
      <c r="A4317">
        <v>20160129</v>
      </c>
      <c r="B4317" t="str">
        <f>"061912"</f>
        <v>061912</v>
      </c>
      <c r="C4317" t="str">
        <f>"03710"</f>
        <v>03710</v>
      </c>
      <c r="D4317" t="s">
        <v>1553</v>
      </c>
      <c r="E4317" s="3">
        <v>563.15</v>
      </c>
      <c r="F4317">
        <v>20160127</v>
      </c>
      <c r="G4317" t="s">
        <v>2303</v>
      </c>
      <c r="H4317" t="s">
        <v>3090</v>
      </c>
      <c r="I4317">
        <v>0</v>
      </c>
      <c r="J4317" t="s">
        <v>1709</v>
      </c>
      <c r="K4317" t="s">
        <v>235</v>
      </c>
      <c r="L4317" t="s">
        <v>285</v>
      </c>
      <c r="M4317" t="str">
        <f t="shared" si="293"/>
        <v>01</v>
      </c>
      <c r="N4317" t="s">
        <v>12</v>
      </c>
    </row>
    <row r="4318" spans="1:14" x14ac:dyDescent="0.25">
      <c r="A4318">
        <v>20160129</v>
      </c>
      <c r="B4318" t="str">
        <f>"061912"</f>
        <v>061912</v>
      </c>
      <c r="C4318" t="str">
        <f>"03710"</f>
        <v>03710</v>
      </c>
      <c r="D4318" t="s">
        <v>1553</v>
      </c>
      <c r="E4318" s="3">
        <v>151.6</v>
      </c>
      <c r="F4318">
        <v>20160127</v>
      </c>
      <c r="G4318" t="s">
        <v>2303</v>
      </c>
      <c r="H4318" t="s">
        <v>3090</v>
      </c>
      <c r="I4318">
        <v>0</v>
      </c>
      <c r="J4318" t="s">
        <v>1709</v>
      </c>
      <c r="K4318" t="s">
        <v>235</v>
      </c>
      <c r="L4318" t="s">
        <v>285</v>
      </c>
      <c r="M4318" t="str">
        <f t="shared" si="293"/>
        <v>01</v>
      </c>
      <c r="N4318" t="s">
        <v>12</v>
      </c>
    </row>
    <row r="4319" spans="1:14" x14ac:dyDescent="0.25">
      <c r="A4319">
        <v>20160129</v>
      </c>
      <c r="B4319" t="str">
        <f>"061912"</f>
        <v>061912</v>
      </c>
      <c r="C4319" t="str">
        <f>"03710"</f>
        <v>03710</v>
      </c>
      <c r="D4319" t="s">
        <v>1553</v>
      </c>
      <c r="E4319" s="3">
        <v>879.89</v>
      </c>
      <c r="F4319">
        <v>20160127</v>
      </c>
      <c r="G4319" t="s">
        <v>2303</v>
      </c>
      <c r="H4319" t="s">
        <v>595</v>
      </c>
      <c r="I4319">
        <v>0</v>
      </c>
      <c r="J4319" t="s">
        <v>1709</v>
      </c>
      <c r="K4319" t="s">
        <v>235</v>
      </c>
      <c r="L4319" t="s">
        <v>285</v>
      </c>
      <c r="M4319" t="str">
        <f t="shared" si="293"/>
        <v>01</v>
      </c>
      <c r="N4319" t="s">
        <v>12</v>
      </c>
    </row>
    <row r="4320" spans="1:14" x14ac:dyDescent="0.25">
      <c r="A4320">
        <v>20160129</v>
      </c>
      <c r="B4320" t="str">
        <f>"061912"</f>
        <v>061912</v>
      </c>
      <c r="C4320" t="str">
        <f>"03710"</f>
        <v>03710</v>
      </c>
      <c r="D4320" t="s">
        <v>1553</v>
      </c>
      <c r="E4320" s="3">
        <v>147.72</v>
      </c>
      <c r="F4320">
        <v>20160127</v>
      </c>
      <c r="G4320" t="s">
        <v>2303</v>
      </c>
      <c r="H4320" t="s">
        <v>3749</v>
      </c>
      <c r="I4320">
        <v>0</v>
      </c>
      <c r="J4320" t="s">
        <v>1709</v>
      </c>
      <c r="K4320" t="s">
        <v>235</v>
      </c>
      <c r="L4320" t="s">
        <v>285</v>
      </c>
      <c r="M4320" t="str">
        <f t="shared" si="293"/>
        <v>01</v>
      </c>
      <c r="N4320" t="s">
        <v>12</v>
      </c>
    </row>
    <row r="4321" spans="1:14" x14ac:dyDescent="0.25">
      <c r="A4321">
        <v>20160129</v>
      </c>
      <c r="B4321" t="str">
        <f>"061914"</f>
        <v>061914</v>
      </c>
      <c r="C4321" t="str">
        <f>"00306"</f>
        <v>00306</v>
      </c>
      <c r="D4321" t="s">
        <v>2609</v>
      </c>
      <c r="E4321" s="3">
        <v>154.22999999999999</v>
      </c>
      <c r="F4321">
        <v>20160127</v>
      </c>
      <c r="G4321" t="s">
        <v>2610</v>
      </c>
      <c r="H4321" t="s">
        <v>3750</v>
      </c>
      <c r="I4321">
        <v>0</v>
      </c>
      <c r="J4321" t="s">
        <v>1709</v>
      </c>
      <c r="K4321" t="s">
        <v>1861</v>
      </c>
      <c r="L4321" t="s">
        <v>285</v>
      </c>
      <c r="M4321" t="str">
        <f t="shared" si="293"/>
        <v>01</v>
      </c>
      <c r="N4321" t="s">
        <v>12</v>
      </c>
    </row>
    <row r="4322" spans="1:14" x14ac:dyDescent="0.25">
      <c r="A4322">
        <v>20160129</v>
      </c>
      <c r="B4322" t="str">
        <f>"061914"</f>
        <v>061914</v>
      </c>
      <c r="C4322" t="str">
        <f>"00306"</f>
        <v>00306</v>
      </c>
      <c r="D4322" t="s">
        <v>2609</v>
      </c>
      <c r="E4322" s="3">
        <v>119.79</v>
      </c>
      <c r="F4322">
        <v>20160127</v>
      </c>
      <c r="G4322" t="s">
        <v>2610</v>
      </c>
      <c r="H4322" t="s">
        <v>3751</v>
      </c>
      <c r="I4322">
        <v>0</v>
      </c>
      <c r="J4322" t="s">
        <v>1709</v>
      </c>
      <c r="K4322" t="s">
        <v>1861</v>
      </c>
      <c r="L4322" t="s">
        <v>285</v>
      </c>
      <c r="M4322" t="str">
        <f t="shared" si="293"/>
        <v>01</v>
      </c>
      <c r="N4322" t="s">
        <v>12</v>
      </c>
    </row>
    <row r="4323" spans="1:14" x14ac:dyDescent="0.25">
      <c r="A4323">
        <v>20160129</v>
      </c>
      <c r="B4323" t="str">
        <f>"061914"</f>
        <v>061914</v>
      </c>
      <c r="C4323" t="str">
        <f>"00306"</f>
        <v>00306</v>
      </c>
      <c r="D4323" t="s">
        <v>2609</v>
      </c>
      <c r="E4323" s="3">
        <v>87.08</v>
      </c>
      <c r="F4323">
        <v>20160127</v>
      </c>
      <c r="G4323" t="s">
        <v>2610</v>
      </c>
      <c r="H4323" t="s">
        <v>3752</v>
      </c>
      <c r="I4323">
        <v>0</v>
      </c>
      <c r="J4323" t="s">
        <v>1709</v>
      </c>
      <c r="K4323" t="s">
        <v>1861</v>
      </c>
      <c r="L4323" t="s">
        <v>285</v>
      </c>
      <c r="M4323" t="str">
        <f t="shared" si="293"/>
        <v>01</v>
      </c>
      <c r="N4323" t="s">
        <v>12</v>
      </c>
    </row>
    <row r="4324" spans="1:14" x14ac:dyDescent="0.25">
      <c r="A4324">
        <v>20160129</v>
      </c>
      <c r="B4324" t="str">
        <f>"061914"</f>
        <v>061914</v>
      </c>
      <c r="C4324" t="str">
        <f>"00306"</f>
        <v>00306</v>
      </c>
      <c r="D4324" t="s">
        <v>2609</v>
      </c>
      <c r="E4324" s="3">
        <v>375.78</v>
      </c>
      <c r="F4324">
        <v>20160127</v>
      </c>
      <c r="G4324" t="s">
        <v>2610</v>
      </c>
      <c r="H4324" t="s">
        <v>3753</v>
      </c>
      <c r="I4324">
        <v>0</v>
      </c>
      <c r="J4324" t="s">
        <v>1709</v>
      </c>
      <c r="K4324" t="s">
        <v>1861</v>
      </c>
      <c r="L4324" t="s">
        <v>285</v>
      </c>
      <c r="M4324" t="str">
        <f t="shared" si="293"/>
        <v>01</v>
      </c>
      <c r="N4324" t="s">
        <v>12</v>
      </c>
    </row>
    <row r="4325" spans="1:14" x14ac:dyDescent="0.25">
      <c r="A4325">
        <v>20160129</v>
      </c>
      <c r="B4325" t="str">
        <f>"061914"</f>
        <v>061914</v>
      </c>
      <c r="C4325" t="str">
        <f>"00306"</f>
        <v>00306</v>
      </c>
      <c r="D4325" t="s">
        <v>2609</v>
      </c>
      <c r="E4325" s="3">
        <v>78.540000000000006</v>
      </c>
      <c r="F4325">
        <v>20160127</v>
      </c>
      <c r="G4325" t="s">
        <v>2610</v>
      </c>
      <c r="H4325" t="s">
        <v>3754</v>
      </c>
      <c r="I4325">
        <v>0</v>
      </c>
      <c r="J4325" t="s">
        <v>1709</v>
      </c>
      <c r="K4325" t="s">
        <v>1861</v>
      </c>
      <c r="L4325" t="s">
        <v>285</v>
      </c>
      <c r="M4325" t="str">
        <f t="shared" si="293"/>
        <v>01</v>
      </c>
      <c r="N4325" t="s">
        <v>12</v>
      </c>
    </row>
    <row r="4326" spans="1:14" x14ac:dyDescent="0.25">
      <c r="A4326">
        <v>20160129</v>
      </c>
      <c r="B4326" t="str">
        <f>"061915"</f>
        <v>061915</v>
      </c>
      <c r="C4326" t="str">
        <f>"29779"</f>
        <v>29779</v>
      </c>
      <c r="D4326" t="s">
        <v>1806</v>
      </c>
      <c r="E4326" s="3">
        <v>1120</v>
      </c>
      <c r="F4326">
        <v>20160127</v>
      </c>
      <c r="G4326" t="s">
        <v>2192</v>
      </c>
      <c r="H4326" t="s">
        <v>3755</v>
      </c>
      <c r="I4326">
        <v>0</v>
      </c>
      <c r="J4326" t="s">
        <v>1709</v>
      </c>
      <c r="K4326" t="s">
        <v>2194</v>
      </c>
      <c r="L4326" t="s">
        <v>285</v>
      </c>
      <c r="M4326" t="str">
        <f t="shared" si="293"/>
        <v>01</v>
      </c>
      <c r="N4326" t="s">
        <v>12</v>
      </c>
    </row>
    <row r="4327" spans="1:14" x14ac:dyDescent="0.25">
      <c r="A4327">
        <v>20160129</v>
      </c>
      <c r="B4327" t="str">
        <f>"061915"</f>
        <v>061915</v>
      </c>
      <c r="C4327" t="str">
        <f>"29779"</f>
        <v>29779</v>
      </c>
      <c r="D4327" t="s">
        <v>1806</v>
      </c>
      <c r="E4327" s="3">
        <v>450</v>
      </c>
      <c r="F4327">
        <v>20160127</v>
      </c>
      <c r="G4327" t="s">
        <v>2192</v>
      </c>
      <c r="H4327" t="s">
        <v>3756</v>
      </c>
      <c r="I4327">
        <v>0</v>
      </c>
      <c r="J4327" t="s">
        <v>1709</v>
      </c>
      <c r="K4327" t="s">
        <v>2194</v>
      </c>
      <c r="L4327" t="s">
        <v>285</v>
      </c>
      <c r="M4327" t="str">
        <f t="shared" ref="M4327:M4390" si="296">"01"</f>
        <v>01</v>
      </c>
      <c r="N4327" t="s">
        <v>12</v>
      </c>
    </row>
    <row r="4328" spans="1:14" x14ac:dyDescent="0.25">
      <c r="A4328">
        <v>20160129</v>
      </c>
      <c r="B4328" t="str">
        <f>"061915"</f>
        <v>061915</v>
      </c>
      <c r="C4328" t="str">
        <f>"29779"</f>
        <v>29779</v>
      </c>
      <c r="D4328" t="s">
        <v>1806</v>
      </c>
      <c r="E4328" s="3">
        <v>737.48</v>
      </c>
      <c r="F4328">
        <v>20160127</v>
      </c>
      <c r="G4328" t="s">
        <v>2192</v>
      </c>
      <c r="H4328" t="s">
        <v>3757</v>
      </c>
      <c r="I4328">
        <v>0</v>
      </c>
      <c r="J4328" t="s">
        <v>1709</v>
      </c>
      <c r="K4328" t="s">
        <v>2194</v>
      </c>
      <c r="L4328" t="s">
        <v>285</v>
      </c>
      <c r="M4328" t="str">
        <f t="shared" si="296"/>
        <v>01</v>
      </c>
      <c r="N4328" t="s">
        <v>12</v>
      </c>
    </row>
    <row r="4329" spans="1:14" x14ac:dyDescent="0.25">
      <c r="A4329">
        <v>20160129</v>
      </c>
      <c r="B4329" t="str">
        <f>"061915"</f>
        <v>061915</v>
      </c>
      <c r="C4329" t="str">
        <f>"29779"</f>
        <v>29779</v>
      </c>
      <c r="D4329" t="s">
        <v>1806</v>
      </c>
      <c r="E4329" s="3">
        <v>560</v>
      </c>
      <c r="F4329">
        <v>20160127</v>
      </c>
      <c r="G4329" t="s">
        <v>2192</v>
      </c>
      <c r="H4329" t="s">
        <v>3758</v>
      </c>
      <c r="I4329">
        <v>0</v>
      </c>
      <c r="J4329" t="s">
        <v>1709</v>
      </c>
      <c r="K4329" t="s">
        <v>2194</v>
      </c>
      <c r="L4329" t="s">
        <v>285</v>
      </c>
      <c r="M4329" t="str">
        <f t="shared" si="296"/>
        <v>01</v>
      </c>
      <c r="N4329" t="s">
        <v>12</v>
      </c>
    </row>
    <row r="4330" spans="1:14" x14ac:dyDescent="0.25">
      <c r="A4330">
        <v>20160129</v>
      </c>
      <c r="B4330" t="str">
        <f>"061916"</f>
        <v>061916</v>
      </c>
      <c r="C4330" t="str">
        <f>"00390"</f>
        <v>00390</v>
      </c>
      <c r="D4330" t="s">
        <v>1717</v>
      </c>
      <c r="E4330" s="3">
        <v>6010.74</v>
      </c>
      <c r="F4330">
        <v>20160127</v>
      </c>
      <c r="G4330" t="s">
        <v>2217</v>
      </c>
      <c r="H4330" t="s">
        <v>3759</v>
      </c>
      <c r="I4330">
        <v>0</v>
      </c>
      <c r="J4330" t="s">
        <v>1709</v>
      </c>
      <c r="K4330" t="s">
        <v>1984</v>
      </c>
      <c r="L4330" t="s">
        <v>285</v>
      </c>
      <c r="M4330" t="str">
        <f t="shared" si="296"/>
        <v>01</v>
      </c>
      <c r="N4330" t="s">
        <v>12</v>
      </c>
    </row>
    <row r="4331" spans="1:14" x14ac:dyDescent="0.25">
      <c r="A4331">
        <v>20160129</v>
      </c>
      <c r="B4331" t="str">
        <f>"061917"</f>
        <v>061917</v>
      </c>
      <c r="C4331" t="str">
        <f>"00392"</f>
        <v>00392</v>
      </c>
      <c r="D4331" t="s">
        <v>1717</v>
      </c>
      <c r="E4331" s="3">
        <v>462.23</v>
      </c>
      <c r="F4331">
        <v>20160127</v>
      </c>
      <c r="G4331" t="s">
        <v>2219</v>
      </c>
      <c r="H4331" t="s">
        <v>3759</v>
      </c>
      <c r="I4331">
        <v>0</v>
      </c>
      <c r="J4331" t="s">
        <v>1709</v>
      </c>
      <c r="K4331" t="s">
        <v>1984</v>
      </c>
      <c r="L4331" t="s">
        <v>285</v>
      </c>
      <c r="M4331" t="str">
        <f t="shared" si="296"/>
        <v>01</v>
      </c>
      <c r="N4331" t="s">
        <v>12</v>
      </c>
    </row>
    <row r="4332" spans="1:14" x14ac:dyDescent="0.25">
      <c r="A4332">
        <v>20160129</v>
      </c>
      <c r="B4332" t="str">
        <f>"061921"</f>
        <v>061921</v>
      </c>
      <c r="C4332" t="str">
        <f>"10033"</f>
        <v>10033</v>
      </c>
      <c r="D4332" t="s">
        <v>1611</v>
      </c>
      <c r="E4332" s="3">
        <v>11.99</v>
      </c>
      <c r="F4332">
        <v>20160127</v>
      </c>
      <c r="G4332" t="s">
        <v>3760</v>
      </c>
      <c r="H4332" t="s">
        <v>3761</v>
      </c>
      <c r="I4332">
        <v>0</v>
      </c>
      <c r="J4332" t="s">
        <v>1709</v>
      </c>
      <c r="K4332" t="s">
        <v>290</v>
      </c>
      <c r="L4332" t="s">
        <v>285</v>
      </c>
      <c r="M4332" t="str">
        <f t="shared" si="296"/>
        <v>01</v>
      </c>
      <c r="N4332" t="s">
        <v>12</v>
      </c>
    </row>
    <row r="4333" spans="1:14" x14ac:dyDescent="0.25">
      <c r="A4333">
        <v>20160129</v>
      </c>
      <c r="B4333" t="str">
        <f>"061922"</f>
        <v>061922</v>
      </c>
      <c r="C4333" t="str">
        <f>"10040"</f>
        <v>10040</v>
      </c>
      <c r="D4333" t="s">
        <v>2082</v>
      </c>
      <c r="E4333" s="3">
        <v>12.5</v>
      </c>
      <c r="F4333">
        <v>20160127</v>
      </c>
      <c r="G4333" t="s">
        <v>2083</v>
      </c>
      <c r="H4333" t="s">
        <v>3762</v>
      </c>
      <c r="I4333">
        <v>0</v>
      </c>
      <c r="J4333" t="s">
        <v>1709</v>
      </c>
      <c r="K4333" t="s">
        <v>290</v>
      </c>
      <c r="L4333" t="s">
        <v>285</v>
      </c>
      <c r="M4333" t="str">
        <f t="shared" si="296"/>
        <v>01</v>
      </c>
      <c r="N4333" t="s">
        <v>12</v>
      </c>
    </row>
    <row r="4334" spans="1:14" x14ac:dyDescent="0.25">
      <c r="A4334">
        <v>20160129</v>
      </c>
      <c r="B4334" t="str">
        <f>"061922"</f>
        <v>061922</v>
      </c>
      <c r="C4334" t="str">
        <f>"10040"</f>
        <v>10040</v>
      </c>
      <c r="D4334" t="s">
        <v>2082</v>
      </c>
      <c r="E4334" s="3">
        <v>12.5</v>
      </c>
      <c r="F4334">
        <v>20160127</v>
      </c>
      <c r="G4334" t="s">
        <v>2086</v>
      </c>
      <c r="H4334" t="s">
        <v>3762</v>
      </c>
      <c r="I4334">
        <v>0</v>
      </c>
      <c r="J4334" t="s">
        <v>1709</v>
      </c>
      <c r="K4334" t="s">
        <v>95</v>
      </c>
      <c r="L4334" t="s">
        <v>285</v>
      </c>
      <c r="M4334" t="str">
        <f t="shared" si="296"/>
        <v>01</v>
      </c>
      <c r="N4334" t="s">
        <v>12</v>
      </c>
    </row>
    <row r="4335" spans="1:14" x14ac:dyDescent="0.25">
      <c r="A4335">
        <v>20160129</v>
      </c>
      <c r="B4335" t="str">
        <f>"061922"</f>
        <v>061922</v>
      </c>
      <c r="C4335" t="str">
        <f>"10040"</f>
        <v>10040</v>
      </c>
      <c r="D4335" t="s">
        <v>2082</v>
      </c>
      <c r="E4335" s="3">
        <v>12.5</v>
      </c>
      <c r="F4335">
        <v>20160127</v>
      </c>
      <c r="G4335" t="s">
        <v>2087</v>
      </c>
      <c r="H4335" t="s">
        <v>3762</v>
      </c>
      <c r="I4335">
        <v>0</v>
      </c>
      <c r="J4335" t="s">
        <v>1709</v>
      </c>
      <c r="K4335" t="s">
        <v>1643</v>
      </c>
      <c r="L4335" t="s">
        <v>285</v>
      </c>
      <c r="M4335" t="str">
        <f t="shared" si="296"/>
        <v>01</v>
      </c>
      <c r="N4335" t="s">
        <v>12</v>
      </c>
    </row>
    <row r="4336" spans="1:14" x14ac:dyDescent="0.25">
      <c r="A4336">
        <v>20160129</v>
      </c>
      <c r="B4336" t="str">
        <f>"061922"</f>
        <v>061922</v>
      </c>
      <c r="C4336" t="str">
        <f>"10040"</f>
        <v>10040</v>
      </c>
      <c r="D4336" t="s">
        <v>2082</v>
      </c>
      <c r="E4336" s="3">
        <v>12.5</v>
      </c>
      <c r="F4336">
        <v>20160127</v>
      </c>
      <c r="G4336" t="s">
        <v>2088</v>
      </c>
      <c r="H4336" t="s">
        <v>3762</v>
      </c>
      <c r="I4336">
        <v>0</v>
      </c>
      <c r="J4336" t="s">
        <v>1709</v>
      </c>
      <c r="K4336" t="s">
        <v>33</v>
      </c>
      <c r="L4336" t="s">
        <v>285</v>
      </c>
      <c r="M4336" t="str">
        <f t="shared" si="296"/>
        <v>01</v>
      </c>
      <c r="N4336" t="s">
        <v>12</v>
      </c>
    </row>
    <row r="4337" spans="1:14" x14ac:dyDescent="0.25">
      <c r="A4337">
        <v>20160129</v>
      </c>
      <c r="B4337" t="str">
        <f>"061923"</f>
        <v>061923</v>
      </c>
      <c r="C4337" t="str">
        <f>"11125"</f>
        <v>11125</v>
      </c>
      <c r="D4337" t="s">
        <v>3763</v>
      </c>
      <c r="E4337" s="3">
        <v>346.98</v>
      </c>
      <c r="F4337">
        <v>20160127</v>
      </c>
      <c r="G4337" t="s">
        <v>2153</v>
      </c>
      <c r="H4337" t="s">
        <v>3764</v>
      </c>
      <c r="I4337">
        <v>0</v>
      </c>
      <c r="J4337" t="s">
        <v>1709</v>
      </c>
      <c r="K4337" t="s">
        <v>290</v>
      </c>
      <c r="L4337" t="s">
        <v>285</v>
      </c>
      <c r="M4337" t="str">
        <f t="shared" si="296"/>
        <v>01</v>
      </c>
      <c r="N4337" t="s">
        <v>12</v>
      </c>
    </row>
    <row r="4338" spans="1:14" x14ac:dyDescent="0.25">
      <c r="A4338">
        <v>20160129</v>
      </c>
      <c r="B4338" t="str">
        <f>"061925"</f>
        <v>061925</v>
      </c>
      <c r="C4338" t="str">
        <f>"12000"</f>
        <v>12000</v>
      </c>
      <c r="D4338" t="s">
        <v>3765</v>
      </c>
      <c r="E4338" s="3">
        <v>847.5</v>
      </c>
      <c r="F4338">
        <v>20160127</v>
      </c>
      <c r="G4338" t="s">
        <v>2226</v>
      </c>
      <c r="H4338" t="s">
        <v>3766</v>
      </c>
      <c r="I4338">
        <v>0</v>
      </c>
      <c r="J4338" t="s">
        <v>1709</v>
      </c>
      <c r="K4338" t="s">
        <v>33</v>
      </c>
      <c r="L4338" t="s">
        <v>285</v>
      </c>
      <c r="M4338" t="str">
        <f t="shared" si="296"/>
        <v>01</v>
      </c>
      <c r="N4338" t="s">
        <v>12</v>
      </c>
    </row>
    <row r="4339" spans="1:14" x14ac:dyDescent="0.25">
      <c r="A4339">
        <v>20160129</v>
      </c>
      <c r="B4339" t="str">
        <f>"061925"</f>
        <v>061925</v>
      </c>
      <c r="C4339" t="str">
        <f>"12000"</f>
        <v>12000</v>
      </c>
      <c r="D4339" t="s">
        <v>3765</v>
      </c>
      <c r="E4339" s="3">
        <v>847.5</v>
      </c>
      <c r="F4339">
        <v>20160127</v>
      </c>
      <c r="G4339" t="s">
        <v>2100</v>
      </c>
      <c r="H4339" t="s">
        <v>3766</v>
      </c>
      <c r="I4339">
        <v>0</v>
      </c>
      <c r="J4339" t="s">
        <v>1709</v>
      </c>
      <c r="K4339" t="s">
        <v>33</v>
      </c>
      <c r="L4339" t="s">
        <v>285</v>
      </c>
      <c r="M4339" t="str">
        <f t="shared" si="296"/>
        <v>01</v>
      </c>
      <c r="N4339" t="s">
        <v>12</v>
      </c>
    </row>
    <row r="4340" spans="1:14" x14ac:dyDescent="0.25">
      <c r="A4340">
        <v>20160129</v>
      </c>
      <c r="B4340" t="str">
        <f>"061926"</f>
        <v>061926</v>
      </c>
      <c r="C4340" t="str">
        <f>"13281"</f>
        <v>13281</v>
      </c>
      <c r="D4340" t="s">
        <v>2092</v>
      </c>
      <c r="E4340" s="3">
        <v>3392</v>
      </c>
      <c r="F4340">
        <v>20160127</v>
      </c>
      <c r="G4340" t="s">
        <v>3767</v>
      </c>
      <c r="H4340" t="s">
        <v>3768</v>
      </c>
      <c r="I4340">
        <v>0</v>
      </c>
      <c r="J4340" t="s">
        <v>1709</v>
      </c>
      <c r="K4340" t="s">
        <v>2194</v>
      </c>
      <c r="L4340" t="s">
        <v>285</v>
      </c>
      <c r="M4340" t="str">
        <f t="shared" si="296"/>
        <v>01</v>
      </c>
      <c r="N4340" t="s">
        <v>12</v>
      </c>
    </row>
    <row r="4341" spans="1:14" x14ac:dyDescent="0.25">
      <c r="A4341">
        <v>20160129</v>
      </c>
      <c r="B4341" t="str">
        <f>"061926"</f>
        <v>061926</v>
      </c>
      <c r="C4341" t="str">
        <f>"13281"</f>
        <v>13281</v>
      </c>
      <c r="D4341" t="s">
        <v>2092</v>
      </c>
      <c r="E4341" s="3">
        <v>75</v>
      </c>
      <c r="F4341">
        <v>20160127</v>
      </c>
      <c r="G4341" t="s">
        <v>3767</v>
      </c>
      <c r="H4341" s="2">
        <v>42325</v>
      </c>
      <c r="I4341">
        <v>0</v>
      </c>
      <c r="J4341" t="s">
        <v>1709</v>
      </c>
      <c r="K4341" t="s">
        <v>2194</v>
      </c>
      <c r="L4341" t="s">
        <v>285</v>
      </c>
      <c r="M4341" t="str">
        <f t="shared" si="296"/>
        <v>01</v>
      </c>
      <c r="N4341" t="s">
        <v>12</v>
      </c>
    </row>
    <row r="4342" spans="1:14" x14ac:dyDescent="0.25">
      <c r="A4342">
        <v>20160129</v>
      </c>
      <c r="B4342" t="str">
        <f>"061926"</f>
        <v>061926</v>
      </c>
      <c r="C4342" t="str">
        <f>"13281"</f>
        <v>13281</v>
      </c>
      <c r="D4342" t="s">
        <v>2092</v>
      </c>
      <c r="E4342" s="3">
        <v>1925</v>
      </c>
      <c r="F4342">
        <v>20160127</v>
      </c>
      <c r="G4342" t="s">
        <v>3767</v>
      </c>
      <c r="H4342" t="s">
        <v>3769</v>
      </c>
      <c r="I4342">
        <v>0</v>
      </c>
      <c r="J4342" t="s">
        <v>1709</v>
      </c>
      <c r="K4342" t="s">
        <v>2194</v>
      </c>
      <c r="L4342" t="s">
        <v>285</v>
      </c>
      <c r="M4342" t="str">
        <f t="shared" si="296"/>
        <v>01</v>
      </c>
      <c r="N4342" t="s">
        <v>12</v>
      </c>
    </row>
    <row r="4343" spans="1:14" x14ac:dyDescent="0.25">
      <c r="A4343">
        <v>20160129</v>
      </c>
      <c r="B4343" t="str">
        <f>"061928"</f>
        <v>061928</v>
      </c>
      <c r="C4343" t="str">
        <f>"19134"</f>
        <v>19134</v>
      </c>
      <c r="D4343" t="s">
        <v>2741</v>
      </c>
      <c r="E4343" s="3">
        <v>55</v>
      </c>
      <c r="F4343">
        <v>20160127</v>
      </c>
      <c r="G4343" t="s">
        <v>3717</v>
      </c>
      <c r="H4343" t="s">
        <v>3770</v>
      </c>
      <c r="I4343">
        <v>0</v>
      </c>
      <c r="J4343" t="s">
        <v>1709</v>
      </c>
      <c r="K4343" t="s">
        <v>290</v>
      </c>
      <c r="L4343" t="s">
        <v>285</v>
      </c>
      <c r="M4343" t="str">
        <f t="shared" si="296"/>
        <v>01</v>
      </c>
      <c r="N4343" t="s">
        <v>12</v>
      </c>
    </row>
    <row r="4344" spans="1:14" x14ac:dyDescent="0.25">
      <c r="A4344">
        <v>20160129</v>
      </c>
      <c r="B4344" t="str">
        <f>"061929"</f>
        <v>061929</v>
      </c>
      <c r="C4344" t="str">
        <f>"16807"</f>
        <v>16807</v>
      </c>
      <c r="D4344" t="s">
        <v>1560</v>
      </c>
      <c r="E4344" s="3">
        <v>217.65</v>
      </c>
      <c r="F4344">
        <v>20160127</v>
      </c>
      <c r="G4344" t="s">
        <v>3659</v>
      </c>
      <c r="H4344" t="s">
        <v>3771</v>
      </c>
      <c r="I4344">
        <v>0</v>
      </c>
      <c r="J4344" t="s">
        <v>1709</v>
      </c>
      <c r="K4344" t="s">
        <v>290</v>
      </c>
      <c r="L4344" t="s">
        <v>285</v>
      </c>
      <c r="M4344" t="str">
        <f t="shared" si="296"/>
        <v>01</v>
      </c>
      <c r="N4344" t="s">
        <v>12</v>
      </c>
    </row>
    <row r="4345" spans="1:14" x14ac:dyDescent="0.25">
      <c r="A4345">
        <v>20160129</v>
      </c>
      <c r="B4345" t="str">
        <f>"061929"</f>
        <v>061929</v>
      </c>
      <c r="C4345" t="str">
        <f>"16807"</f>
        <v>16807</v>
      </c>
      <c r="D4345" t="s">
        <v>1560</v>
      </c>
      <c r="E4345" s="3">
        <v>234.35</v>
      </c>
      <c r="F4345">
        <v>20160127</v>
      </c>
      <c r="G4345" t="s">
        <v>3772</v>
      </c>
      <c r="H4345" t="s">
        <v>3773</v>
      </c>
      <c r="I4345">
        <v>0</v>
      </c>
      <c r="J4345" t="s">
        <v>1709</v>
      </c>
      <c r="K4345" t="s">
        <v>95</v>
      </c>
      <c r="L4345" t="s">
        <v>285</v>
      </c>
      <c r="M4345" t="str">
        <f t="shared" si="296"/>
        <v>01</v>
      </c>
      <c r="N4345" t="s">
        <v>12</v>
      </c>
    </row>
    <row r="4346" spans="1:14" x14ac:dyDescent="0.25">
      <c r="A4346">
        <v>20160129</v>
      </c>
      <c r="B4346" t="str">
        <f>"061929"</f>
        <v>061929</v>
      </c>
      <c r="C4346" t="str">
        <f>"16807"</f>
        <v>16807</v>
      </c>
      <c r="D4346" t="s">
        <v>1560</v>
      </c>
      <c r="E4346" s="3">
        <v>209.96</v>
      </c>
      <c r="F4346">
        <v>20160127</v>
      </c>
      <c r="G4346" t="s">
        <v>1886</v>
      </c>
      <c r="H4346" t="s">
        <v>3774</v>
      </c>
      <c r="I4346">
        <v>0</v>
      </c>
      <c r="J4346" t="s">
        <v>1709</v>
      </c>
      <c r="K4346" t="s">
        <v>290</v>
      </c>
      <c r="L4346" t="s">
        <v>285</v>
      </c>
      <c r="M4346" t="str">
        <f t="shared" si="296"/>
        <v>01</v>
      </c>
      <c r="N4346" t="s">
        <v>12</v>
      </c>
    </row>
    <row r="4347" spans="1:14" x14ac:dyDescent="0.25">
      <c r="A4347">
        <v>20160129</v>
      </c>
      <c r="B4347" t="str">
        <f>"061930"</f>
        <v>061930</v>
      </c>
      <c r="C4347" t="str">
        <f>"20416"</f>
        <v>20416</v>
      </c>
      <c r="D4347" t="s">
        <v>1727</v>
      </c>
      <c r="E4347" s="3">
        <v>380</v>
      </c>
      <c r="F4347">
        <v>20160127</v>
      </c>
      <c r="G4347" t="s">
        <v>1728</v>
      </c>
      <c r="H4347" t="s">
        <v>1711</v>
      </c>
      <c r="I4347">
        <v>0</v>
      </c>
      <c r="J4347" t="s">
        <v>1709</v>
      </c>
      <c r="K4347" t="s">
        <v>290</v>
      </c>
      <c r="L4347" t="s">
        <v>285</v>
      </c>
      <c r="M4347" t="str">
        <f t="shared" si="296"/>
        <v>01</v>
      </c>
      <c r="N4347" t="s">
        <v>12</v>
      </c>
    </row>
    <row r="4348" spans="1:14" x14ac:dyDescent="0.25">
      <c r="A4348">
        <v>20160129</v>
      </c>
      <c r="B4348" t="str">
        <f>"061931"</f>
        <v>061931</v>
      </c>
      <c r="C4348" t="str">
        <f>"21049"</f>
        <v>21049</v>
      </c>
      <c r="D4348" t="s">
        <v>2094</v>
      </c>
      <c r="E4348" s="3">
        <v>30</v>
      </c>
      <c r="F4348">
        <v>20160127</v>
      </c>
      <c r="G4348" t="s">
        <v>1712</v>
      </c>
      <c r="H4348" t="s">
        <v>3775</v>
      </c>
      <c r="I4348">
        <v>0</v>
      </c>
      <c r="J4348" t="s">
        <v>1709</v>
      </c>
      <c r="K4348" t="s">
        <v>290</v>
      </c>
      <c r="L4348" t="s">
        <v>285</v>
      </c>
      <c r="M4348" t="str">
        <f t="shared" si="296"/>
        <v>01</v>
      </c>
      <c r="N4348" t="s">
        <v>12</v>
      </c>
    </row>
    <row r="4349" spans="1:14" x14ac:dyDescent="0.25">
      <c r="A4349">
        <v>20160129</v>
      </c>
      <c r="B4349" t="str">
        <f>"061931"</f>
        <v>061931</v>
      </c>
      <c r="C4349" t="str">
        <f>"21049"</f>
        <v>21049</v>
      </c>
      <c r="D4349" t="s">
        <v>2094</v>
      </c>
      <c r="E4349" s="3">
        <v>360</v>
      </c>
      <c r="F4349">
        <v>20160127</v>
      </c>
      <c r="G4349" t="s">
        <v>1712</v>
      </c>
      <c r="H4349" t="s">
        <v>3776</v>
      </c>
      <c r="I4349">
        <v>0</v>
      </c>
      <c r="J4349" t="s">
        <v>1709</v>
      </c>
      <c r="K4349" t="s">
        <v>290</v>
      </c>
      <c r="L4349" t="s">
        <v>285</v>
      </c>
      <c r="M4349" t="str">
        <f t="shared" si="296"/>
        <v>01</v>
      </c>
      <c r="N4349" t="s">
        <v>12</v>
      </c>
    </row>
    <row r="4350" spans="1:14" x14ac:dyDescent="0.25">
      <c r="A4350">
        <v>20160129</v>
      </c>
      <c r="B4350" t="str">
        <f>"061932"</f>
        <v>061932</v>
      </c>
      <c r="C4350" t="str">
        <f>"21145"</f>
        <v>21145</v>
      </c>
      <c r="D4350" t="s">
        <v>3777</v>
      </c>
      <c r="E4350" s="3">
        <v>45</v>
      </c>
      <c r="F4350">
        <v>20160127</v>
      </c>
      <c r="G4350" t="s">
        <v>2888</v>
      </c>
      <c r="H4350" t="s">
        <v>3775</v>
      </c>
      <c r="I4350">
        <v>0</v>
      </c>
      <c r="J4350" t="s">
        <v>1709</v>
      </c>
      <c r="K4350" t="s">
        <v>290</v>
      </c>
      <c r="L4350" t="s">
        <v>285</v>
      </c>
      <c r="M4350" t="str">
        <f t="shared" si="296"/>
        <v>01</v>
      </c>
      <c r="N4350" t="s">
        <v>12</v>
      </c>
    </row>
    <row r="4351" spans="1:14" x14ac:dyDescent="0.25">
      <c r="A4351">
        <v>20160129</v>
      </c>
      <c r="B4351" t="str">
        <f>"061934"</f>
        <v>061934</v>
      </c>
      <c r="C4351" t="str">
        <f>"21510"</f>
        <v>21510</v>
      </c>
      <c r="D4351" t="s">
        <v>3778</v>
      </c>
      <c r="E4351" s="3">
        <v>135</v>
      </c>
      <c r="F4351">
        <v>20160127</v>
      </c>
      <c r="G4351" t="s">
        <v>3779</v>
      </c>
      <c r="H4351" t="s">
        <v>3780</v>
      </c>
      <c r="I4351">
        <v>0</v>
      </c>
      <c r="J4351" t="s">
        <v>1709</v>
      </c>
      <c r="K4351" t="s">
        <v>95</v>
      </c>
      <c r="L4351" t="s">
        <v>285</v>
      </c>
      <c r="M4351" t="str">
        <f t="shared" si="296"/>
        <v>01</v>
      </c>
      <c r="N4351" t="s">
        <v>12</v>
      </c>
    </row>
    <row r="4352" spans="1:14" x14ac:dyDescent="0.25">
      <c r="A4352">
        <v>20160129</v>
      </c>
      <c r="B4352" t="str">
        <f>"061936"</f>
        <v>061936</v>
      </c>
      <c r="C4352" t="str">
        <f>"24334"</f>
        <v>24334</v>
      </c>
      <c r="D4352" t="s">
        <v>2637</v>
      </c>
      <c r="E4352" s="3">
        <v>1525</v>
      </c>
      <c r="F4352">
        <v>20160127</v>
      </c>
      <c r="G4352" t="s">
        <v>2495</v>
      </c>
      <c r="H4352" t="s">
        <v>3781</v>
      </c>
      <c r="I4352">
        <v>0</v>
      </c>
      <c r="J4352" t="s">
        <v>1709</v>
      </c>
      <c r="K4352" t="s">
        <v>235</v>
      </c>
      <c r="L4352" t="s">
        <v>285</v>
      </c>
      <c r="M4352" t="str">
        <f t="shared" si="296"/>
        <v>01</v>
      </c>
      <c r="N4352" t="s">
        <v>12</v>
      </c>
    </row>
    <row r="4353" spans="1:14" x14ac:dyDescent="0.25">
      <c r="A4353">
        <v>20160129</v>
      </c>
      <c r="B4353" t="str">
        <f>"061937"</f>
        <v>061937</v>
      </c>
      <c r="C4353" t="str">
        <f>"77113"</f>
        <v>77113</v>
      </c>
      <c r="D4353" t="s">
        <v>3679</v>
      </c>
      <c r="E4353" s="3">
        <v>99.17</v>
      </c>
      <c r="F4353">
        <v>20160127</v>
      </c>
      <c r="G4353" t="s">
        <v>3680</v>
      </c>
      <c r="H4353" t="s">
        <v>2868</v>
      </c>
      <c r="I4353">
        <v>0</v>
      </c>
      <c r="J4353" t="s">
        <v>1709</v>
      </c>
      <c r="K4353" t="s">
        <v>1984</v>
      </c>
      <c r="L4353" t="s">
        <v>285</v>
      </c>
      <c r="M4353" t="str">
        <f t="shared" si="296"/>
        <v>01</v>
      </c>
      <c r="N4353" t="s">
        <v>12</v>
      </c>
    </row>
    <row r="4354" spans="1:14" x14ac:dyDescent="0.25">
      <c r="A4354">
        <v>20160129</v>
      </c>
      <c r="B4354" t="str">
        <f>"061938"</f>
        <v>061938</v>
      </c>
      <c r="C4354" t="str">
        <f>"53040"</f>
        <v>53040</v>
      </c>
      <c r="D4354" t="s">
        <v>3215</v>
      </c>
      <c r="E4354" s="3">
        <v>202.5</v>
      </c>
      <c r="F4354">
        <v>20160127</v>
      </c>
      <c r="G4354" t="s">
        <v>3574</v>
      </c>
      <c r="H4354" t="s">
        <v>3782</v>
      </c>
      <c r="I4354">
        <v>0</v>
      </c>
      <c r="J4354" t="s">
        <v>1709</v>
      </c>
      <c r="K4354" t="s">
        <v>95</v>
      </c>
      <c r="L4354" t="s">
        <v>285</v>
      </c>
      <c r="M4354" t="str">
        <f t="shared" si="296"/>
        <v>01</v>
      </c>
      <c r="N4354" t="s">
        <v>12</v>
      </c>
    </row>
    <row r="4355" spans="1:14" x14ac:dyDescent="0.25">
      <c r="A4355">
        <v>20160129</v>
      </c>
      <c r="B4355" t="str">
        <f>"061939"</f>
        <v>061939</v>
      </c>
      <c r="C4355" t="str">
        <f>"54555"</f>
        <v>54555</v>
      </c>
      <c r="D4355" t="s">
        <v>2104</v>
      </c>
      <c r="E4355" s="3">
        <v>309.54000000000002</v>
      </c>
      <c r="F4355">
        <v>20160128</v>
      </c>
      <c r="G4355" t="s">
        <v>2105</v>
      </c>
      <c r="H4355" t="s">
        <v>3639</v>
      </c>
      <c r="I4355">
        <v>0</v>
      </c>
      <c r="J4355" t="s">
        <v>1709</v>
      </c>
      <c r="K4355" t="s">
        <v>1782</v>
      </c>
      <c r="L4355" t="s">
        <v>285</v>
      </c>
      <c r="M4355" t="str">
        <f t="shared" si="296"/>
        <v>01</v>
      </c>
      <c r="N4355" t="s">
        <v>12</v>
      </c>
    </row>
    <row r="4356" spans="1:14" x14ac:dyDescent="0.25">
      <c r="A4356">
        <v>20160129</v>
      </c>
      <c r="B4356" t="str">
        <f>"061942"</f>
        <v>061942</v>
      </c>
      <c r="C4356" t="str">
        <f>"29610"</f>
        <v>29610</v>
      </c>
      <c r="D4356" t="s">
        <v>1867</v>
      </c>
      <c r="E4356" s="3">
        <v>876.62</v>
      </c>
      <c r="F4356">
        <v>20160127</v>
      </c>
      <c r="G4356" t="s">
        <v>2495</v>
      </c>
      <c r="H4356" t="s">
        <v>3783</v>
      </c>
      <c r="I4356">
        <v>0</v>
      </c>
      <c r="J4356" t="s">
        <v>1709</v>
      </c>
      <c r="K4356" t="s">
        <v>235</v>
      </c>
      <c r="L4356" t="s">
        <v>285</v>
      </c>
      <c r="M4356" t="str">
        <f t="shared" si="296"/>
        <v>01</v>
      </c>
      <c r="N4356" t="s">
        <v>12</v>
      </c>
    </row>
    <row r="4357" spans="1:14" x14ac:dyDescent="0.25">
      <c r="A4357">
        <v>20160129</v>
      </c>
      <c r="B4357" t="str">
        <f t="shared" ref="B4357:B4376" si="297">"061943"</f>
        <v>061943</v>
      </c>
      <c r="C4357" t="str">
        <f t="shared" ref="C4357:C4376" si="298">"06470"</f>
        <v>06470</v>
      </c>
      <c r="D4357" t="s">
        <v>2654</v>
      </c>
      <c r="E4357" s="3">
        <v>74.67</v>
      </c>
      <c r="F4357">
        <v>20160127</v>
      </c>
      <c r="G4357" t="s">
        <v>2164</v>
      </c>
      <c r="H4357" t="s">
        <v>3784</v>
      </c>
      <c r="I4357">
        <v>0</v>
      </c>
      <c r="J4357" t="s">
        <v>1709</v>
      </c>
      <c r="K4357" t="s">
        <v>1861</v>
      </c>
      <c r="L4357" t="s">
        <v>285</v>
      </c>
      <c r="M4357" t="str">
        <f t="shared" si="296"/>
        <v>01</v>
      </c>
      <c r="N4357" t="s">
        <v>12</v>
      </c>
    </row>
    <row r="4358" spans="1:14" x14ac:dyDescent="0.25">
      <c r="A4358">
        <v>20160129</v>
      </c>
      <c r="B4358" t="str">
        <f t="shared" si="297"/>
        <v>061943</v>
      </c>
      <c r="C4358" t="str">
        <f t="shared" si="298"/>
        <v>06470</v>
      </c>
      <c r="D4358" t="s">
        <v>2654</v>
      </c>
      <c r="E4358" s="3">
        <v>56.48</v>
      </c>
      <c r="F4358">
        <v>20160127</v>
      </c>
      <c r="G4358" t="s">
        <v>2164</v>
      </c>
      <c r="H4358" t="s">
        <v>3785</v>
      </c>
      <c r="I4358">
        <v>0</v>
      </c>
      <c r="J4358" t="s">
        <v>1709</v>
      </c>
      <c r="K4358" t="s">
        <v>1861</v>
      </c>
      <c r="L4358" t="s">
        <v>285</v>
      </c>
      <c r="M4358" t="str">
        <f t="shared" si="296"/>
        <v>01</v>
      </c>
      <c r="N4358" t="s">
        <v>12</v>
      </c>
    </row>
    <row r="4359" spans="1:14" x14ac:dyDescent="0.25">
      <c r="A4359">
        <v>20160129</v>
      </c>
      <c r="B4359" t="str">
        <f t="shared" si="297"/>
        <v>061943</v>
      </c>
      <c r="C4359" t="str">
        <f t="shared" si="298"/>
        <v>06470</v>
      </c>
      <c r="D4359" t="s">
        <v>2654</v>
      </c>
      <c r="E4359" s="3">
        <v>51.94</v>
      </c>
      <c r="F4359">
        <v>20160127</v>
      </c>
      <c r="G4359" t="s">
        <v>2164</v>
      </c>
      <c r="H4359" t="s">
        <v>3786</v>
      </c>
      <c r="I4359">
        <v>0</v>
      </c>
      <c r="J4359" t="s">
        <v>1709</v>
      </c>
      <c r="K4359" t="s">
        <v>1861</v>
      </c>
      <c r="L4359" t="s">
        <v>285</v>
      </c>
      <c r="M4359" t="str">
        <f t="shared" si="296"/>
        <v>01</v>
      </c>
      <c r="N4359" t="s">
        <v>12</v>
      </c>
    </row>
    <row r="4360" spans="1:14" x14ac:dyDescent="0.25">
      <c r="A4360">
        <v>20160129</v>
      </c>
      <c r="B4360" t="str">
        <f t="shared" si="297"/>
        <v>061943</v>
      </c>
      <c r="C4360" t="str">
        <f t="shared" si="298"/>
        <v>06470</v>
      </c>
      <c r="D4360" t="s">
        <v>2654</v>
      </c>
      <c r="E4360" s="3">
        <v>51.92</v>
      </c>
      <c r="F4360">
        <v>20160127</v>
      </c>
      <c r="G4360" t="s">
        <v>2164</v>
      </c>
      <c r="H4360" t="s">
        <v>3787</v>
      </c>
      <c r="I4360">
        <v>0</v>
      </c>
      <c r="J4360" t="s">
        <v>1709</v>
      </c>
      <c r="K4360" t="s">
        <v>1861</v>
      </c>
      <c r="L4360" t="s">
        <v>285</v>
      </c>
      <c r="M4360" t="str">
        <f t="shared" si="296"/>
        <v>01</v>
      </c>
      <c r="N4360" t="s">
        <v>12</v>
      </c>
    </row>
    <row r="4361" spans="1:14" x14ac:dyDescent="0.25">
      <c r="A4361">
        <v>20160129</v>
      </c>
      <c r="B4361" t="str">
        <f t="shared" si="297"/>
        <v>061943</v>
      </c>
      <c r="C4361" t="str">
        <f t="shared" si="298"/>
        <v>06470</v>
      </c>
      <c r="D4361" t="s">
        <v>2654</v>
      </c>
      <c r="E4361" s="3">
        <v>138.88999999999999</v>
      </c>
      <c r="F4361">
        <v>20160127</v>
      </c>
      <c r="G4361" t="s">
        <v>2164</v>
      </c>
      <c r="H4361" t="s">
        <v>3788</v>
      </c>
      <c r="I4361">
        <v>0</v>
      </c>
      <c r="J4361" t="s">
        <v>1709</v>
      </c>
      <c r="K4361" t="s">
        <v>1861</v>
      </c>
      <c r="L4361" t="s">
        <v>285</v>
      </c>
      <c r="M4361" t="str">
        <f t="shared" si="296"/>
        <v>01</v>
      </c>
      <c r="N4361" t="s">
        <v>12</v>
      </c>
    </row>
    <row r="4362" spans="1:14" x14ac:dyDescent="0.25">
      <c r="A4362">
        <v>20160129</v>
      </c>
      <c r="B4362" t="str">
        <f t="shared" si="297"/>
        <v>061943</v>
      </c>
      <c r="C4362" t="str">
        <f t="shared" si="298"/>
        <v>06470</v>
      </c>
      <c r="D4362" t="s">
        <v>2654</v>
      </c>
      <c r="E4362" s="3">
        <v>40.909999999999997</v>
      </c>
      <c r="F4362">
        <v>20160127</v>
      </c>
      <c r="G4362" t="s">
        <v>2164</v>
      </c>
      <c r="H4362" t="s">
        <v>3789</v>
      </c>
      <c r="I4362">
        <v>0</v>
      </c>
      <c r="J4362" t="s">
        <v>1709</v>
      </c>
      <c r="K4362" t="s">
        <v>1861</v>
      </c>
      <c r="L4362" t="s">
        <v>285</v>
      </c>
      <c r="M4362" t="str">
        <f t="shared" si="296"/>
        <v>01</v>
      </c>
      <c r="N4362" t="s">
        <v>12</v>
      </c>
    </row>
    <row r="4363" spans="1:14" x14ac:dyDescent="0.25">
      <c r="A4363">
        <v>20160129</v>
      </c>
      <c r="B4363" t="str">
        <f t="shared" si="297"/>
        <v>061943</v>
      </c>
      <c r="C4363" t="str">
        <f t="shared" si="298"/>
        <v>06470</v>
      </c>
      <c r="D4363" t="s">
        <v>2654</v>
      </c>
      <c r="E4363" s="3">
        <v>51.44</v>
      </c>
      <c r="F4363">
        <v>20160127</v>
      </c>
      <c r="G4363" t="s">
        <v>2164</v>
      </c>
      <c r="H4363" t="s">
        <v>3790</v>
      </c>
      <c r="I4363">
        <v>0</v>
      </c>
      <c r="J4363" t="s">
        <v>1709</v>
      </c>
      <c r="K4363" t="s">
        <v>1861</v>
      </c>
      <c r="L4363" t="s">
        <v>285</v>
      </c>
      <c r="M4363" t="str">
        <f t="shared" si="296"/>
        <v>01</v>
      </c>
      <c r="N4363" t="s">
        <v>12</v>
      </c>
    </row>
    <row r="4364" spans="1:14" x14ac:dyDescent="0.25">
      <c r="A4364">
        <v>20160129</v>
      </c>
      <c r="B4364" t="str">
        <f t="shared" si="297"/>
        <v>061943</v>
      </c>
      <c r="C4364" t="str">
        <f t="shared" si="298"/>
        <v>06470</v>
      </c>
      <c r="D4364" t="s">
        <v>2654</v>
      </c>
      <c r="E4364" s="3">
        <v>57.44</v>
      </c>
      <c r="F4364">
        <v>20160127</v>
      </c>
      <c r="G4364" t="s">
        <v>2164</v>
      </c>
      <c r="H4364" t="s">
        <v>3791</v>
      </c>
      <c r="I4364">
        <v>0</v>
      </c>
      <c r="J4364" t="s">
        <v>1709</v>
      </c>
      <c r="K4364" t="s">
        <v>1861</v>
      </c>
      <c r="L4364" t="s">
        <v>285</v>
      </c>
      <c r="M4364" t="str">
        <f t="shared" si="296"/>
        <v>01</v>
      </c>
      <c r="N4364" t="s">
        <v>12</v>
      </c>
    </row>
    <row r="4365" spans="1:14" x14ac:dyDescent="0.25">
      <c r="A4365">
        <v>20160129</v>
      </c>
      <c r="B4365" t="str">
        <f t="shared" si="297"/>
        <v>061943</v>
      </c>
      <c r="C4365" t="str">
        <f t="shared" si="298"/>
        <v>06470</v>
      </c>
      <c r="D4365" t="s">
        <v>2654</v>
      </c>
      <c r="E4365" s="3">
        <v>49.15</v>
      </c>
      <c r="F4365">
        <v>20160127</v>
      </c>
      <c r="G4365" t="s">
        <v>2164</v>
      </c>
      <c r="H4365" t="s">
        <v>3792</v>
      </c>
      <c r="I4365">
        <v>0</v>
      </c>
      <c r="J4365" t="s">
        <v>1709</v>
      </c>
      <c r="K4365" t="s">
        <v>1861</v>
      </c>
      <c r="L4365" t="s">
        <v>285</v>
      </c>
      <c r="M4365" t="str">
        <f t="shared" si="296"/>
        <v>01</v>
      </c>
      <c r="N4365" t="s">
        <v>12</v>
      </c>
    </row>
    <row r="4366" spans="1:14" x14ac:dyDescent="0.25">
      <c r="A4366">
        <v>20160129</v>
      </c>
      <c r="B4366" t="str">
        <f t="shared" si="297"/>
        <v>061943</v>
      </c>
      <c r="C4366" t="str">
        <f t="shared" si="298"/>
        <v>06470</v>
      </c>
      <c r="D4366" t="s">
        <v>2654</v>
      </c>
      <c r="E4366" s="3">
        <v>56.48</v>
      </c>
      <c r="F4366">
        <v>20160127</v>
      </c>
      <c r="G4366" t="s">
        <v>2164</v>
      </c>
      <c r="H4366" t="s">
        <v>3793</v>
      </c>
      <c r="I4366">
        <v>0</v>
      </c>
      <c r="J4366" t="s">
        <v>1709</v>
      </c>
      <c r="K4366" t="s">
        <v>1861</v>
      </c>
      <c r="L4366" t="s">
        <v>285</v>
      </c>
      <c r="M4366" t="str">
        <f t="shared" si="296"/>
        <v>01</v>
      </c>
      <c r="N4366" t="s">
        <v>12</v>
      </c>
    </row>
    <row r="4367" spans="1:14" x14ac:dyDescent="0.25">
      <c r="A4367">
        <v>20160129</v>
      </c>
      <c r="B4367" t="str">
        <f t="shared" si="297"/>
        <v>061943</v>
      </c>
      <c r="C4367" t="str">
        <f t="shared" si="298"/>
        <v>06470</v>
      </c>
      <c r="D4367" t="s">
        <v>2654</v>
      </c>
      <c r="E4367" s="3">
        <v>52.1</v>
      </c>
      <c r="F4367">
        <v>20160127</v>
      </c>
      <c r="G4367" t="s">
        <v>2164</v>
      </c>
      <c r="H4367" t="s">
        <v>3794</v>
      </c>
      <c r="I4367">
        <v>0</v>
      </c>
      <c r="J4367" t="s">
        <v>1709</v>
      </c>
      <c r="K4367" t="s">
        <v>1861</v>
      </c>
      <c r="L4367" t="s">
        <v>285</v>
      </c>
      <c r="M4367" t="str">
        <f t="shared" si="296"/>
        <v>01</v>
      </c>
      <c r="N4367" t="s">
        <v>12</v>
      </c>
    </row>
    <row r="4368" spans="1:14" x14ac:dyDescent="0.25">
      <c r="A4368">
        <v>20160129</v>
      </c>
      <c r="B4368" t="str">
        <f t="shared" si="297"/>
        <v>061943</v>
      </c>
      <c r="C4368" t="str">
        <f t="shared" si="298"/>
        <v>06470</v>
      </c>
      <c r="D4368" t="s">
        <v>2654</v>
      </c>
      <c r="E4368" s="3">
        <v>51.92</v>
      </c>
      <c r="F4368">
        <v>20160127</v>
      </c>
      <c r="G4368" t="s">
        <v>2164</v>
      </c>
      <c r="H4368" t="s">
        <v>3795</v>
      </c>
      <c r="I4368">
        <v>0</v>
      </c>
      <c r="J4368" t="s">
        <v>1709</v>
      </c>
      <c r="K4368" t="s">
        <v>1861</v>
      </c>
      <c r="L4368" t="s">
        <v>285</v>
      </c>
      <c r="M4368" t="str">
        <f t="shared" si="296"/>
        <v>01</v>
      </c>
      <c r="N4368" t="s">
        <v>12</v>
      </c>
    </row>
    <row r="4369" spans="1:14" x14ac:dyDescent="0.25">
      <c r="A4369">
        <v>20160129</v>
      </c>
      <c r="B4369" t="str">
        <f t="shared" si="297"/>
        <v>061943</v>
      </c>
      <c r="C4369" t="str">
        <f t="shared" si="298"/>
        <v>06470</v>
      </c>
      <c r="D4369" t="s">
        <v>2654</v>
      </c>
      <c r="E4369" s="3">
        <v>57.68</v>
      </c>
      <c r="F4369">
        <v>20160127</v>
      </c>
      <c r="G4369" t="s">
        <v>2164</v>
      </c>
      <c r="H4369" t="s">
        <v>3796</v>
      </c>
      <c r="I4369">
        <v>0</v>
      </c>
      <c r="J4369" t="s">
        <v>1709</v>
      </c>
      <c r="K4369" t="s">
        <v>1861</v>
      </c>
      <c r="L4369" t="s">
        <v>285</v>
      </c>
      <c r="M4369" t="str">
        <f t="shared" si="296"/>
        <v>01</v>
      </c>
      <c r="N4369" t="s">
        <v>12</v>
      </c>
    </row>
    <row r="4370" spans="1:14" x14ac:dyDescent="0.25">
      <c r="A4370">
        <v>20160129</v>
      </c>
      <c r="B4370" t="str">
        <f t="shared" si="297"/>
        <v>061943</v>
      </c>
      <c r="C4370" t="str">
        <f t="shared" si="298"/>
        <v>06470</v>
      </c>
      <c r="D4370" t="s">
        <v>2654</v>
      </c>
      <c r="E4370" s="3">
        <v>52.1</v>
      </c>
      <c r="F4370">
        <v>20160127</v>
      </c>
      <c r="G4370" t="s">
        <v>2164</v>
      </c>
      <c r="H4370" t="s">
        <v>3797</v>
      </c>
      <c r="I4370">
        <v>0</v>
      </c>
      <c r="J4370" t="s">
        <v>1709</v>
      </c>
      <c r="K4370" t="s">
        <v>1861</v>
      </c>
      <c r="L4370" t="s">
        <v>285</v>
      </c>
      <c r="M4370" t="str">
        <f t="shared" si="296"/>
        <v>01</v>
      </c>
      <c r="N4370" t="s">
        <v>12</v>
      </c>
    </row>
    <row r="4371" spans="1:14" x14ac:dyDescent="0.25">
      <c r="A4371">
        <v>20160129</v>
      </c>
      <c r="B4371" t="str">
        <f t="shared" si="297"/>
        <v>061943</v>
      </c>
      <c r="C4371" t="str">
        <f t="shared" si="298"/>
        <v>06470</v>
      </c>
      <c r="D4371" t="s">
        <v>2654</v>
      </c>
      <c r="E4371" s="3">
        <v>102.42</v>
      </c>
      <c r="F4371">
        <v>20160127</v>
      </c>
      <c r="G4371" t="s">
        <v>2164</v>
      </c>
      <c r="H4371" t="s">
        <v>3798</v>
      </c>
      <c r="I4371">
        <v>0</v>
      </c>
      <c r="J4371" t="s">
        <v>1709</v>
      </c>
      <c r="K4371" t="s">
        <v>1861</v>
      </c>
      <c r="L4371" t="s">
        <v>285</v>
      </c>
      <c r="M4371" t="str">
        <f t="shared" si="296"/>
        <v>01</v>
      </c>
      <c r="N4371" t="s">
        <v>12</v>
      </c>
    </row>
    <row r="4372" spans="1:14" x14ac:dyDescent="0.25">
      <c r="A4372">
        <v>20160129</v>
      </c>
      <c r="B4372" t="str">
        <f t="shared" si="297"/>
        <v>061943</v>
      </c>
      <c r="C4372" t="str">
        <f t="shared" si="298"/>
        <v>06470</v>
      </c>
      <c r="D4372" t="s">
        <v>2654</v>
      </c>
      <c r="E4372" s="3">
        <v>102.42</v>
      </c>
      <c r="F4372">
        <v>20160127</v>
      </c>
      <c r="G4372" t="s">
        <v>2164</v>
      </c>
      <c r="H4372" t="s">
        <v>3799</v>
      </c>
      <c r="I4372">
        <v>0</v>
      </c>
      <c r="J4372" t="s">
        <v>1709</v>
      </c>
      <c r="K4372" t="s">
        <v>1861</v>
      </c>
      <c r="L4372" t="s">
        <v>285</v>
      </c>
      <c r="M4372" t="str">
        <f t="shared" si="296"/>
        <v>01</v>
      </c>
      <c r="N4372" t="s">
        <v>12</v>
      </c>
    </row>
    <row r="4373" spans="1:14" x14ac:dyDescent="0.25">
      <c r="A4373">
        <v>20160129</v>
      </c>
      <c r="B4373" t="str">
        <f t="shared" si="297"/>
        <v>061943</v>
      </c>
      <c r="C4373" t="str">
        <f t="shared" si="298"/>
        <v>06470</v>
      </c>
      <c r="D4373" t="s">
        <v>2654</v>
      </c>
      <c r="E4373" s="3">
        <v>102.42</v>
      </c>
      <c r="F4373">
        <v>20160127</v>
      </c>
      <c r="G4373" t="s">
        <v>2164</v>
      </c>
      <c r="H4373" t="s">
        <v>3800</v>
      </c>
      <c r="I4373">
        <v>0</v>
      </c>
      <c r="J4373" t="s">
        <v>1709</v>
      </c>
      <c r="K4373" t="s">
        <v>1861</v>
      </c>
      <c r="L4373" t="s">
        <v>285</v>
      </c>
      <c r="M4373" t="str">
        <f t="shared" si="296"/>
        <v>01</v>
      </c>
      <c r="N4373" t="s">
        <v>12</v>
      </c>
    </row>
    <row r="4374" spans="1:14" x14ac:dyDescent="0.25">
      <c r="A4374">
        <v>20160129</v>
      </c>
      <c r="B4374" t="str">
        <f t="shared" si="297"/>
        <v>061943</v>
      </c>
      <c r="C4374" t="str">
        <f t="shared" si="298"/>
        <v>06470</v>
      </c>
      <c r="D4374" t="s">
        <v>2654</v>
      </c>
      <c r="E4374" s="3">
        <v>64.650000000000006</v>
      </c>
      <c r="F4374">
        <v>20160127</v>
      </c>
      <c r="G4374" t="s">
        <v>2164</v>
      </c>
      <c r="H4374" t="s">
        <v>3801</v>
      </c>
      <c r="I4374">
        <v>0</v>
      </c>
      <c r="J4374" t="s">
        <v>1709</v>
      </c>
      <c r="K4374" t="s">
        <v>1861</v>
      </c>
      <c r="L4374" t="s">
        <v>285</v>
      </c>
      <c r="M4374" t="str">
        <f t="shared" si="296"/>
        <v>01</v>
      </c>
      <c r="N4374" t="s">
        <v>12</v>
      </c>
    </row>
    <row r="4375" spans="1:14" x14ac:dyDescent="0.25">
      <c r="A4375">
        <v>20160129</v>
      </c>
      <c r="B4375" t="str">
        <f t="shared" si="297"/>
        <v>061943</v>
      </c>
      <c r="C4375" t="str">
        <f t="shared" si="298"/>
        <v>06470</v>
      </c>
      <c r="D4375" t="s">
        <v>2654</v>
      </c>
      <c r="E4375" s="3">
        <v>251.7</v>
      </c>
      <c r="F4375">
        <v>20160127</v>
      </c>
      <c r="G4375" t="s">
        <v>2164</v>
      </c>
      <c r="H4375" t="s">
        <v>3802</v>
      </c>
      <c r="I4375">
        <v>0</v>
      </c>
      <c r="J4375" t="s">
        <v>1709</v>
      </c>
      <c r="K4375" t="s">
        <v>1861</v>
      </c>
      <c r="L4375" t="s">
        <v>285</v>
      </c>
      <c r="M4375" t="str">
        <f t="shared" si="296"/>
        <v>01</v>
      </c>
      <c r="N4375" t="s">
        <v>12</v>
      </c>
    </row>
    <row r="4376" spans="1:14" x14ac:dyDescent="0.25">
      <c r="A4376">
        <v>20160129</v>
      </c>
      <c r="B4376" t="str">
        <f t="shared" si="297"/>
        <v>061943</v>
      </c>
      <c r="C4376" t="str">
        <f t="shared" si="298"/>
        <v>06470</v>
      </c>
      <c r="D4376" t="s">
        <v>2654</v>
      </c>
      <c r="E4376" s="3">
        <v>102.42</v>
      </c>
      <c r="F4376">
        <v>20160127</v>
      </c>
      <c r="G4376" t="s">
        <v>2164</v>
      </c>
      <c r="H4376" t="s">
        <v>3803</v>
      </c>
      <c r="I4376">
        <v>0</v>
      </c>
      <c r="J4376" t="s">
        <v>1709</v>
      </c>
      <c r="K4376" t="s">
        <v>1861</v>
      </c>
      <c r="L4376" t="s">
        <v>285</v>
      </c>
      <c r="M4376" t="str">
        <f t="shared" si="296"/>
        <v>01</v>
      </c>
      <c r="N4376" t="s">
        <v>12</v>
      </c>
    </row>
    <row r="4377" spans="1:14" x14ac:dyDescent="0.25">
      <c r="A4377">
        <v>20160129</v>
      </c>
      <c r="B4377" t="str">
        <f t="shared" ref="B4377:B4402" si="299">"061944"</f>
        <v>061944</v>
      </c>
      <c r="C4377" t="str">
        <f t="shared" ref="C4377:C4402" si="300">"30130"</f>
        <v>30130</v>
      </c>
      <c r="D4377" t="s">
        <v>3082</v>
      </c>
      <c r="E4377" s="3">
        <v>288.63</v>
      </c>
      <c r="F4377">
        <v>20160127</v>
      </c>
      <c r="G4377" t="s">
        <v>1854</v>
      </c>
      <c r="H4377" t="s">
        <v>3804</v>
      </c>
      <c r="I4377">
        <v>0</v>
      </c>
      <c r="J4377" t="s">
        <v>1709</v>
      </c>
      <c r="K4377" t="s">
        <v>1856</v>
      </c>
      <c r="L4377" t="s">
        <v>285</v>
      </c>
      <c r="M4377" t="str">
        <f t="shared" si="296"/>
        <v>01</v>
      </c>
      <c r="N4377" t="s">
        <v>12</v>
      </c>
    </row>
    <row r="4378" spans="1:14" x14ac:dyDescent="0.25">
      <c r="A4378">
        <v>20160129</v>
      </c>
      <c r="B4378" t="str">
        <f t="shared" si="299"/>
        <v>061944</v>
      </c>
      <c r="C4378" t="str">
        <f t="shared" si="300"/>
        <v>30130</v>
      </c>
      <c r="D4378" t="s">
        <v>3082</v>
      </c>
      <c r="E4378" s="3">
        <v>317.07</v>
      </c>
      <c r="F4378">
        <v>20160127</v>
      </c>
      <c r="G4378" t="s">
        <v>1854</v>
      </c>
      <c r="H4378" t="s">
        <v>3805</v>
      </c>
      <c r="I4378">
        <v>0</v>
      </c>
      <c r="J4378" t="s">
        <v>1709</v>
      </c>
      <c r="K4378" t="s">
        <v>1856</v>
      </c>
      <c r="L4378" t="s">
        <v>285</v>
      </c>
      <c r="M4378" t="str">
        <f t="shared" si="296"/>
        <v>01</v>
      </c>
      <c r="N4378" t="s">
        <v>12</v>
      </c>
    </row>
    <row r="4379" spans="1:14" x14ac:dyDescent="0.25">
      <c r="A4379">
        <v>20160129</v>
      </c>
      <c r="B4379" t="str">
        <f t="shared" si="299"/>
        <v>061944</v>
      </c>
      <c r="C4379" t="str">
        <f t="shared" si="300"/>
        <v>30130</v>
      </c>
      <c r="D4379" t="s">
        <v>3082</v>
      </c>
      <c r="E4379" s="3">
        <v>499.96</v>
      </c>
      <c r="F4379">
        <v>20160127</v>
      </c>
      <c r="G4379" t="s">
        <v>1854</v>
      </c>
      <c r="H4379" t="s">
        <v>3806</v>
      </c>
      <c r="I4379">
        <v>0</v>
      </c>
      <c r="J4379" t="s">
        <v>1709</v>
      </c>
      <c r="K4379" t="s">
        <v>1856</v>
      </c>
      <c r="L4379" t="s">
        <v>285</v>
      </c>
      <c r="M4379" t="str">
        <f t="shared" si="296"/>
        <v>01</v>
      </c>
      <c r="N4379" t="s">
        <v>12</v>
      </c>
    </row>
    <row r="4380" spans="1:14" x14ac:dyDescent="0.25">
      <c r="A4380">
        <v>20160129</v>
      </c>
      <c r="B4380" t="str">
        <f t="shared" si="299"/>
        <v>061944</v>
      </c>
      <c r="C4380" t="str">
        <f t="shared" si="300"/>
        <v>30130</v>
      </c>
      <c r="D4380" t="s">
        <v>3082</v>
      </c>
      <c r="E4380" s="3">
        <v>232.23</v>
      </c>
      <c r="F4380">
        <v>20160127</v>
      </c>
      <c r="G4380" t="s">
        <v>1854</v>
      </c>
      <c r="H4380" t="s">
        <v>3807</v>
      </c>
      <c r="I4380">
        <v>0</v>
      </c>
      <c r="J4380" t="s">
        <v>1709</v>
      </c>
      <c r="K4380" t="s">
        <v>1856</v>
      </c>
      <c r="L4380" t="s">
        <v>285</v>
      </c>
      <c r="M4380" t="str">
        <f t="shared" si="296"/>
        <v>01</v>
      </c>
      <c r="N4380" t="s">
        <v>12</v>
      </c>
    </row>
    <row r="4381" spans="1:14" x14ac:dyDescent="0.25">
      <c r="A4381">
        <v>20160129</v>
      </c>
      <c r="B4381" t="str">
        <f t="shared" si="299"/>
        <v>061944</v>
      </c>
      <c r="C4381" t="str">
        <f t="shared" si="300"/>
        <v>30130</v>
      </c>
      <c r="D4381" t="s">
        <v>3082</v>
      </c>
      <c r="E4381" s="3">
        <v>251.66</v>
      </c>
      <c r="F4381">
        <v>20160127</v>
      </c>
      <c r="G4381" t="s">
        <v>1854</v>
      </c>
      <c r="H4381" t="s">
        <v>3808</v>
      </c>
      <c r="I4381">
        <v>0</v>
      </c>
      <c r="J4381" t="s">
        <v>1709</v>
      </c>
      <c r="K4381" t="s">
        <v>1856</v>
      </c>
      <c r="L4381" t="s">
        <v>285</v>
      </c>
      <c r="M4381" t="str">
        <f t="shared" si="296"/>
        <v>01</v>
      </c>
      <c r="N4381" t="s">
        <v>12</v>
      </c>
    </row>
    <row r="4382" spans="1:14" x14ac:dyDescent="0.25">
      <c r="A4382">
        <v>20160129</v>
      </c>
      <c r="B4382" t="str">
        <f t="shared" si="299"/>
        <v>061944</v>
      </c>
      <c r="C4382" t="str">
        <f t="shared" si="300"/>
        <v>30130</v>
      </c>
      <c r="D4382" t="s">
        <v>3082</v>
      </c>
      <c r="E4382" s="3">
        <v>333.19</v>
      </c>
      <c r="F4382">
        <v>20160127</v>
      </c>
      <c r="G4382" t="s">
        <v>1854</v>
      </c>
      <c r="H4382" t="s">
        <v>3809</v>
      </c>
      <c r="I4382">
        <v>0</v>
      </c>
      <c r="J4382" t="s">
        <v>1709</v>
      </c>
      <c r="K4382" t="s">
        <v>1856</v>
      </c>
      <c r="L4382" t="s">
        <v>285</v>
      </c>
      <c r="M4382" t="str">
        <f t="shared" si="296"/>
        <v>01</v>
      </c>
      <c r="N4382" t="s">
        <v>12</v>
      </c>
    </row>
    <row r="4383" spans="1:14" x14ac:dyDescent="0.25">
      <c r="A4383">
        <v>20160129</v>
      </c>
      <c r="B4383" t="str">
        <f t="shared" si="299"/>
        <v>061944</v>
      </c>
      <c r="C4383" t="str">
        <f t="shared" si="300"/>
        <v>30130</v>
      </c>
      <c r="D4383" t="s">
        <v>3082</v>
      </c>
      <c r="E4383" s="3">
        <v>262.86</v>
      </c>
      <c r="F4383">
        <v>20160127</v>
      </c>
      <c r="G4383" t="s">
        <v>1854</v>
      </c>
      <c r="H4383" t="s">
        <v>3810</v>
      </c>
      <c r="I4383">
        <v>0</v>
      </c>
      <c r="J4383" t="s">
        <v>1709</v>
      </c>
      <c r="K4383" t="s">
        <v>1856</v>
      </c>
      <c r="L4383" t="s">
        <v>285</v>
      </c>
      <c r="M4383" t="str">
        <f t="shared" si="296"/>
        <v>01</v>
      </c>
      <c r="N4383" t="s">
        <v>12</v>
      </c>
    </row>
    <row r="4384" spans="1:14" x14ac:dyDescent="0.25">
      <c r="A4384">
        <v>20160129</v>
      </c>
      <c r="B4384" t="str">
        <f t="shared" si="299"/>
        <v>061944</v>
      </c>
      <c r="C4384" t="str">
        <f t="shared" si="300"/>
        <v>30130</v>
      </c>
      <c r="D4384" t="s">
        <v>3082</v>
      </c>
      <c r="E4384" s="3">
        <v>246.07</v>
      </c>
      <c r="F4384">
        <v>20160127</v>
      </c>
      <c r="G4384" t="s">
        <v>1854</v>
      </c>
      <c r="H4384" t="s">
        <v>3811</v>
      </c>
      <c r="I4384">
        <v>0</v>
      </c>
      <c r="J4384" t="s">
        <v>1709</v>
      </c>
      <c r="K4384" t="s">
        <v>1856</v>
      </c>
      <c r="L4384" t="s">
        <v>285</v>
      </c>
      <c r="M4384" t="str">
        <f t="shared" si="296"/>
        <v>01</v>
      </c>
      <c r="N4384" t="s">
        <v>12</v>
      </c>
    </row>
    <row r="4385" spans="1:14" x14ac:dyDescent="0.25">
      <c r="A4385">
        <v>20160129</v>
      </c>
      <c r="B4385" t="str">
        <f t="shared" si="299"/>
        <v>061944</v>
      </c>
      <c r="C4385" t="str">
        <f t="shared" si="300"/>
        <v>30130</v>
      </c>
      <c r="D4385" t="s">
        <v>3082</v>
      </c>
      <c r="E4385" s="3">
        <v>201.06</v>
      </c>
      <c r="F4385">
        <v>20160127</v>
      </c>
      <c r="G4385" t="s">
        <v>1854</v>
      </c>
      <c r="H4385" t="s">
        <v>3812</v>
      </c>
      <c r="I4385">
        <v>0</v>
      </c>
      <c r="J4385" t="s">
        <v>1709</v>
      </c>
      <c r="K4385" t="s">
        <v>1856</v>
      </c>
      <c r="L4385" t="s">
        <v>285</v>
      </c>
      <c r="M4385" t="str">
        <f t="shared" si="296"/>
        <v>01</v>
      </c>
      <c r="N4385" t="s">
        <v>12</v>
      </c>
    </row>
    <row r="4386" spans="1:14" x14ac:dyDescent="0.25">
      <c r="A4386">
        <v>20160129</v>
      </c>
      <c r="B4386" t="str">
        <f t="shared" si="299"/>
        <v>061944</v>
      </c>
      <c r="C4386" t="str">
        <f t="shared" si="300"/>
        <v>30130</v>
      </c>
      <c r="D4386" t="s">
        <v>3082</v>
      </c>
      <c r="E4386" s="3">
        <v>310.08999999999997</v>
      </c>
      <c r="F4386">
        <v>20160127</v>
      </c>
      <c r="G4386" t="s">
        <v>1854</v>
      </c>
      <c r="H4386" t="s">
        <v>3813</v>
      </c>
      <c r="I4386">
        <v>0</v>
      </c>
      <c r="J4386" t="s">
        <v>1709</v>
      </c>
      <c r="K4386" t="s">
        <v>1856</v>
      </c>
      <c r="L4386" t="s">
        <v>285</v>
      </c>
      <c r="M4386" t="str">
        <f t="shared" si="296"/>
        <v>01</v>
      </c>
      <c r="N4386" t="s">
        <v>12</v>
      </c>
    </row>
    <row r="4387" spans="1:14" x14ac:dyDescent="0.25">
      <c r="A4387">
        <v>20160129</v>
      </c>
      <c r="B4387" t="str">
        <f t="shared" si="299"/>
        <v>061944</v>
      </c>
      <c r="C4387" t="str">
        <f t="shared" si="300"/>
        <v>30130</v>
      </c>
      <c r="D4387" t="s">
        <v>3082</v>
      </c>
      <c r="E4387" s="3">
        <v>233.76</v>
      </c>
      <c r="F4387">
        <v>20160127</v>
      </c>
      <c r="G4387" t="s">
        <v>1854</v>
      </c>
      <c r="H4387" t="s">
        <v>3814</v>
      </c>
      <c r="I4387">
        <v>0</v>
      </c>
      <c r="J4387" t="s">
        <v>1709</v>
      </c>
      <c r="K4387" t="s">
        <v>1856</v>
      </c>
      <c r="L4387" t="s">
        <v>285</v>
      </c>
      <c r="M4387" t="str">
        <f t="shared" si="296"/>
        <v>01</v>
      </c>
      <c r="N4387" t="s">
        <v>12</v>
      </c>
    </row>
    <row r="4388" spans="1:14" x14ac:dyDescent="0.25">
      <c r="A4388">
        <v>20160129</v>
      </c>
      <c r="B4388" t="str">
        <f t="shared" si="299"/>
        <v>061944</v>
      </c>
      <c r="C4388" t="str">
        <f t="shared" si="300"/>
        <v>30130</v>
      </c>
      <c r="D4388" t="s">
        <v>3082</v>
      </c>
      <c r="E4388" s="3">
        <v>291.12</v>
      </c>
      <c r="F4388">
        <v>20160127</v>
      </c>
      <c r="G4388" t="s">
        <v>1854</v>
      </c>
      <c r="H4388" t="s">
        <v>3815</v>
      </c>
      <c r="I4388">
        <v>0</v>
      </c>
      <c r="J4388" t="s">
        <v>1709</v>
      </c>
      <c r="K4388" t="s">
        <v>1856</v>
      </c>
      <c r="L4388" t="s">
        <v>285</v>
      </c>
      <c r="M4388" t="str">
        <f t="shared" si="296"/>
        <v>01</v>
      </c>
      <c r="N4388" t="s">
        <v>12</v>
      </c>
    </row>
    <row r="4389" spans="1:14" x14ac:dyDescent="0.25">
      <c r="A4389">
        <v>20160129</v>
      </c>
      <c r="B4389" t="str">
        <f t="shared" si="299"/>
        <v>061944</v>
      </c>
      <c r="C4389" t="str">
        <f t="shared" si="300"/>
        <v>30130</v>
      </c>
      <c r="D4389" t="s">
        <v>3082</v>
      </c>
      <c r="E4389" s="3">
        <v>185.28</v>
      </c>
      <c r="F4389">
        <v>20160127</v>
      </c>
      <c r="G4389" t="s">
        <v>1854</v>
      </c>
      <c r="H4389" t="s">
        <v>3816</v>
      </c>
      <c r="I4389">
        <v>0</v>
      </c>
      <c r="J4389" t="s">
        <v>1709</v>
      </c>
      <c r="K4389" t="s">
        <v>1856</v>
      </c>
      <c r="L4389" t="s">
        <v>285</v>
      </c>
      <c r="M4389" t="str">
        <f t="shared" si="296"/>
        <v>01</v>
      </c>
      <c r="N4389" t="s">
        <v>12</v>
      </c>
    </row>
    <row r="4390" spans="1:14" x14ac:dyDescent="0.25">
      <c r="A4390">
        <v>20160129</v>
      </c>
      <c r="B4390" t="str">
        <f t="shared" si="299"/>
        <v>061944</v>
      </c>
      <c r="C4390" t="str">
        <f t="shared" si="300"/>
        <v>30130</v>
      </c>
      <c r="D4390" t="s">
        <v>3082</v>
      </c>
      <c r="E4390" s="3">
        <v>246.07</v>
      </c>
      <c r="F4390">
        <v>20160127</v>
      </c>
      <c r="G4390" t="s">
        <v>1854</v>
      </c>
      <c r="H4390" t="s">
        <v>3817</v>
      </c>
      <c r="I4390">
        <v>0</v>
      </c>
      <c r="J4390" t="s">
        <v>1709</v>
      </c>
      <c r="K4390" t="s">
        <v>1856</v>
      </c>
      <c r="L4390" t="s">
        <v>285</v>
      </c>
      <c r="M4390" t="str">
        <f t="shared" si="296"/>
        <v>01</v>
      </c>
      <c r="N4390" t="s">
        <v>12</v>
      </c>
    </row>
    <row r="4391" spans="1:14" x14ac:dyDescent="0.25">
      <c r="A4391">
        <v>20160129</v>
      </c>
      <c r="B4391" t="str">
        <f t="shared" si="299"/>
        <v>061944</v>
      </c>
      <c r="C4391" t="str">
        <f t="shared" si="300"/>
        <v>30130</v>
      </c>
      <c r="D4391" t="s">
        <v>3082</v>
      </c>
      <c r="E4391" s="3">
        <v>193.08</v>
      </c>
      <c r="F4391">
        <v>20160127</v>
      </c>
      <c r="G4391" t="s">
        <v>1854</v>
      </c>
      <c r="H4391" t="s">
        <v>3818</v>
      </c>
      <c r="I4391">
        <v>0</v>
      </c>
      <c r="J4391" t="s">
        <v>1709</v>
      </c>
      <c r="K4391" t="s">
        <v>1856</v>
      </c>
      <c r="L4391" t="s">
        <v>285</v>
      </c>
      <c r="M4391" t="str">
        <f t="shared" ref="M4391:M4454" si="301">"01"</f>
        <v>01</v>
      </c>
      <c r="N4391" t="s">
        <v>12</v>
      </c>
    </row>
    <row r="4392" spans="1:14" x14ac:dyDescent="0.25">
      <c r="A4392">
        <v>20160129</v>
      </c>
      <c r="B4392" t="str">
        <f t="shared" si="299"/>
        <v>061944</v>
      </c>
      <c r="C4392" t="str">
        <f t="shared" si="300"/>
        <v>30130</v>
      </c>
      <c r="D4392" t="s">
        <v>3082</v>
      </c>
      <c r="E4392" s="3">
        <v>195.53</v>
      </c>
      <c r="F4392">
        <v>20160127</v>
      </c>
      <c r="G4392" t="s">
        <v>1854</v>
      </c>
      <c r="H4392" t="s">
        <v>3819</v>
      </c>
      <c r="I4392">
        <v>0</v>
      </c>
      <c r="J4392" t="s">
        <v>1709</v>
      </c>
      <c r="K4392" t="s">
        <v>1856</v>
      </c>
      <c r="L4392" t="s">
        <v>285</v>
      </c>
      <c r="M4392" t="str">
        <f t="shared" si="301"/>
        <v>01</v>
      </c>
      <c r="N4392" t="s">
        <v>12</v>
      </c>
    </row>
    <row r="4393" spans="1:14" x14ac:dyDescent="0.25">
      <c r="A4393">
        <v>20160129</v>
      </c>
      <c r="B4393" t="str">
        <f t="shared" si="299"/>
        <v>061944</v>
      </c>
      <c r="C4393" t="str">
        <f t="shared" si="300"/>
        <v>30130</v>
      </c>
      <c r="D4393" t="s">
        <v>3082</v>
      </c>
      <c r="E4393" s="3">
        <v>278.91000000000003</v>
      </c>
      <c r="F4393">
        <v>20160127</v>
      </c>
      <c r="G4393" t="s">
        <v>1854</v>
      </c>
      <c r="H4393" t="s">
        <v>3820</v>
      </c>
      <c r="I4393">
        <v>0</v>
      </c>
      <c r="J4393" t="s">
        <v>1709</v>
      </c>
      <c r="K4393" t="s">
        <v>1856</v>
      </c>
      <c r="L4393" t="s">
        <v>285</v>
      </c>
      <c r="M4393" t="str">
        <f t="shared" si="301"/>
        <v>01</v>
      </c>
      <c r="N4393" t="s">
        <v>12</v>
      </c>
    </row>
    <row r="4394" spans="1:14" x14ac:dyDescent="0.25">
      <c r="A4394">
        <v>20160129</v>
      </c>
      <c r="B4394" t="str">
        <f t="shared" si="299"/>
        <v>061944</v>
      </c>
      <c r="C4394" t="str">
        <f t="shared" si="300"/>
        <v>30130</v>
      </c>
      <c r="D4394" t="s">
        <v>3082</v>
      </c>
      <c r="E4394" s="3">
        <v>194.6</v>
      </c>
      <c r="F4394">
        <v>20160127</v>
      </c>
      <c r="G4394" t="s">
        <v>1854</v>
      </c>
      <c r="H4394" t="s">
        <v>3821</v>
      </c>
      <c r="I4394">
        <v>0</v>
      </c>
      <c r="J4394" t="s">
        <v>1709</v>
      </c>
      <c r="K4394" t="s">
        <v>1856</v>
      </c>
      <c r="L4394" t="s">
        <v>285</v>
      </c>
      <c r="M4394" t="str">
        <f t="shared" si="301"/>
        <v>01</v>
      </c>
      <c r="N4394" t="s">
        <v>12</v>
      </c>
    </row>
    <row r="4395" spans="1:14" x14ac:dyDescent="0.25">
      <c r="A4395">
        <v>20160129</v>
      </c>
      <c r="B4395" t="str">
        <f t="shared" si="299"/>
        <v>061944</v>
      </c>
      <c r="C4395" t="str">
        <f t="shared" si="300"/>
        <v>30130</v>
      </c>
      <c r="D4395" t="s">
        <v>3082</v>
      </c>
      <c r="E4395" s="3">
        <v>255.72</v>
      </c>
      <c r="F4395">
        <v>20160127</v>
      </c>
      <c r="G4395" t="s">
        <v>1854</v>
      </c>
      <c r="H4395" t="s">
        <v>3822</v>
      </c>
      <c r="I4395">
        <v>0</v>
      </c>
      <c r="J4395" t="s">
        <v>1709</v>
      </c>
      <c r="K4395" t="s">
        <v>1856</v>
      </c>
      <c r="L4395" t="s">
        <v>285</v>
      </c>
      <c r="M4395" t="str">
        <f t="shared" si="301"/>
        <v>01</v>
      </c>
      <c r="N4395" t="s">
        <v>12</v>
      </c>
    </row>
    <row r="4396" spans="1:14" x14ac:dyDescent="0.25">
      <c r="A4396">
        <v>20160129</v>
      </c>
      <c r="B4396" t="str">
        <f t="shared" si="299"/>
        <v>061944</v>
      </c>
      <c r="C4396" t="str">
        <f t="shared" si="300"/>
        <v>30130</v>
      </c>
      <c r="D4396" t="s">
        <v>3082</v>
      </c>
      <c r="E4396" s="3">
        <v>288.02</v>
      </c>
      <c r="F4396">
        <v>20160127</v>
      </c>
      <c r="G4396" t="s">
        <v>1854</v>
      </c>
      <c r="H4396" t="s">
        <v>3823</v>
      </c>
      <c r="I4396">
        <v>0</v>
      </c>
      <c r="J4396" t="s">
        <v>1709</v>
      </c>
      <c r="K4396" t="s">
        <v>1856</v>
      </c>
      <c r="L4396" t="s">
        <v>285</v>
      </c>
      <c r="M4396" t="str">
        <f t="shared" si="301"/>
        <v>01</v>
      </c>
      <c r="N4396" t="s">
        <v>12</v>
      </c>
    </row>
    <row r="4397" spans="1:14" x14ac:dyDescent="0.25">
      <c r="A4397">
        <v>20160129</v>
      </c>
      <c r="B4397" t="str">
        <f t="shared" si="299"/>
        <v>061944</v>
      </c>
      <c r="C4397" t="str">
        <f t="shared" si="300"/>
        <v>30130</v>
      </c>
      <c r="D4397" t="s">
        <v>3082</v>
      </c>
      <c r="E4397" s="3">
        <v>346.06</v>
      </c>
      <c r="F4397">
        <v>20160127</v>
      </c>
      <c r="G4397" t="s">
        <v>1854</v>
      </c>
      <c r="H4397" t="s">
        <v>3824</v>
      </c>
      <c r="I4397">
        <v>0</v>
      </c>
      <c r="J4397" t="s">
        <v>1709</v>
      </c>
      <c r="K4397" t="s">
        <v>1856</v>
      </c>
      <c r="L4397" t="s">
        <v>285</v>
      </c>
      <c r="M4397" t="str">
        <f t="shared" si="301"/>
        <v>01</v>
      </c>
      <c r="N4397" t="s">
        <v>12</v>
      </c>
    </row>
    <row r="4398" spans="1:14" x14ac:dyDescent="0.25">
      <c r="A4398">
        <v>20160129</v>
      </c>
      <c r="B4398" t="str">
        <f t="shared" si="299"/>
        <v>061944</v>
      </c>
      <c r="C4398" t="str">
        <f t="shared" si="300"/>
        <v>30130</v>
      </c>
      <c r="D4398" t="s">
        <v>3082</v>
      </c>
      <c r="E4398" s="3">
        <v>311.8</v>
      </c>
      <c r="F4398">
        <v>20160127</v>
      </c>
      <c r="G4398" t="s">
        <v>1854</v>
      </c>
      <c r="H4398" t="s">
        <v>3825</v>
      </c>
      <c r="I4398">
        <v>0</v>
      </c>
      <c r="J4398" t="s">
        <v>1709</v>
      </c>
      <c r="K4398" t="s">
        <v>1856</v>
      </c>
      <c r="L4398" t="s">
        <v>285</v>
      </c>
      <c r="M4398" t="str">
        <f t="shared" si="301"/>
        <v>01</v>
      </c>
      <c r="N4398" t="s">
        <v>12</v>
      </c>
    </row>
    <row r="4399" spans="1:14" x14ac:dyDescent="0.25">
      <c r="A4399">
        <v>20160129</v>
      </c>
      <c r="B4399" t="str">
        <f t="shared" si="299"/>
        <v>061944</v>
      </c>
      <c r="C4399" t="str">
        <f t="shared" si="300"/>
        <v>30130</v>
      </c>
      <c r="D4399" t="s">
        <v>3082</v>
      </c>
      <c r="E4399" s="3">
        <v>1026.6500000000001</v>
      </c>
      <c r="F4399">
        <v>20160127</v>
      </c>
      <c r="G4399" t="s">
        <v>1854</v>
      </c>
      <c r="H4399" t="s">
        <v>3826</v>
      </c>
      <c r="I4399">
        <v>0</v>
      </c>
      <c r="J4399" t="s">
        <v>1709</v>
      </c>
      <c r="K4399" t="s">
        <v>1856</v>
      </c>
      <c r="L4399" t="s">
        <v>285</v>
      </c>
      <c r="M4399" t="str">
        <f t="shared" si="301"/>
        <v>01</v>
      </c>
      <c r="N4399" t="s">
        <v>12</v>
      </c>
    </row>
    <row r="4400" spans="1:14" x14ac:dyDescent="0.25">
      <c r="A4400">
        <v>20160129</v>
      </c>
      <c r="B4400" t="str">
        <f t="shared" si="299"/>
        <v>061944</v>
      </c>
      <c r="C4400" t="str">
        <f t="shared" si="300"/>
        <v>30130</v>
      </c>
      <c r="D4400" t="s">
        <v>3082</v>
      </c>
      <c r="E4400" s="3">
        <v>314.24</v>
      </c>
      <c r="F4400">
        <v>20160127</v>
      </c>
      <c r="G4400" t="s">
        <v>1854</v>
      </c>
      <c r="H4400" t="s">
        <v>3827</v>
      </c>
      <c r="I4400">
        <v>0</v>
      </c>
      <c r="J4400" t="s">
        <v>1709</v>
      </c>
      <c r="K4400" t="s">
        <v>1856</v>
      </c>
      <c r="L4400" t="s">
        <v>285</v>
      </c>
      <c r="M4400" t="str">
        <f t="shared" si="301"/>
        <v>01</v>
      </c>
      <c r="N4400" t="s">
        <v>12</v>
      </c>
    </row>
    <row r="4401" spans="1:14" x14ac:dyDescent="0.25">
      <c r="A4401">
        <v>20160129</v>
      </c>
      <c r="B4401" t="str">
        <f t="shared" si="299"/>
        <v>061944</v>
      </c>
      <c r="C4401" t="str">
        <f t="shared" si="300"/>
        <v>30130</v>
      </c>
      <c r="D4401" t="s">
        <v>3082</v>
      </c>
      <c r="E4401" s="3">
        <v>367.83</v>
      </c>
      <c r="F4401">
        <v>20160127</v>
      </c>
      <c r="G4401" t="s">
        <v>1854</v>
      </c>
      <c r="H4401" t="s">
        <v>3453</v>
      </c>
      <c r="I4401">
        <v>0</v>
      </c>
      <c r="J4401" t="s">
        <v>1709</v>
      </c>
      <c r="K4401" t="s">
        <v>1856</v>
      </c>
      <c r="L4401" t="s">
        <v>285</v>
      </c>
      <c r="M4401" t="str">
        <f t="shared" si="301"/>
        <v>01</v>
      </c>
      <c r="N4401" t="s">
        <v>12</v>
      </c>
    </row>
    <row r="4402" spans="1:14" x14ac:dyDescent="0.25">
      <c r="A4402">
        <v>20160129</v>
      </c>
      <c r="B4402" t="str">
        <f t="shared" si="299"/>
        <v>061944</v>
      </c>
      <c r="C4402" t="str">
        <f t="shared" si="300"/>
        <v>30130</v>
      </c>
      <c r="D4402" t="s">
        <v>3082</v>
      </c>
      <c r="E4402" s="3">
        <v>245.54</v>
      </c>
      <c r="F4402">
        <v>20160127</v>
      </c>
      <c r="G4402" t="s">
        <v>1854</v>
      </c>
      <c r="H4402" t="s">
        <v>3828</v>
      </c>
      <c r="I4402">
        <v>0</v>
      </c>
      <c r="J4402" t="s">
        <v>1709</v>
      </c>
      <c r="K4402" t="s">
        <v>1856</v>
      </c>
      <c r="L4402" t="s">
        <v>285</v>
      </c>
      <c r="M4402" t="str">
        <f t="shared" si="301"/>
        <v>01</v>
      </c>
      <c r="N4402" t="s">
        <v>12</v>
      </c>
    </row>
    <row r="4403" spans="1:14" x14ac:dyDescent="0.25">
      <c r="A4403">
        <v>20160129</v>
      </c>
      <c r="B4403" t="str">
        <f>"061945"</f>
        <v>061945</v>
      </c>
      <c r="C4403" t="str">
        <f>"31294"</f>
        <v>31294</v>
      </c>
      <c r="D4403" t="s">
        <v>3829</v>
      </c>
      <c r="E4403" s="3">
        <v>300</v>
      </c>
      <c r="F4403">
        <v>20160127</v>
      </c>
      <c r="G4403" t="s">
        <v>3830</v>
      </c>
      <c r="H4403" t="s">
        <v>1708</v>
      </c>
      <c r="I4403">
        <v>0</v>
      </c>
      <c r="J4403" t="s">
        <v>1709</v>
      </c>
      <c r="K4403" t="s">
        <v>290</v>
      </c>
      <c r="L4403" t="s">
        <v>285</v>
      </c>
      <c r="M4403" t="str">
        <f t="shared" si="301"/>
        <v>01</v>
      </c>
      <c r="N4403" t="s">
        <v>12</v>
      </c>
    </row>
    <row r="4404" spans="1:14" x14ac:dyDescent="0.25">
      <c r="A4404">
        <v>20160129</v>
      </c>
      <c r="B4404" t="str">
        <f>"061945"</f>
        <v>061945</v>
      </c>
      <c r="C4404" t="str">
        <f>"31294"</f>
        <v>31294</v>
      </c>
      <c r="D4404" t="s">
        <v>3829</v>
      </c>
      <c r="E4404" s="3">
        <v>180</v>
      </c>
      <c r="F4404">
        <v>20160127</v>
      </c>
      <c r="G4404" t="s">
        <v>1707</v>
      </c>
      <c r="H4404" t="s">
        <v>1708</v>
      </c>
      <c r="I4404">
        <v>0</v>
      </c>
      <c r="J4404" t="s">
        <v>1709</v>
      </c>
      <c r="K4404" t="s">
        <v>290</v>
      </c>
      <c r="L4404" t="s">
        <v>285</v>
      </c>
      <c r="M4404" t="str">
        <f t="shared" si="301"/>
        <v>01</v>
      </c>
      <c r="N4404" t="s">
        <v>12</v>
      </c>
    </row>
    <row r="4405" spans="1:14" x14ac:dyDescent="0.25">
      <c r="A4405">
        <v>20160129</v>
      </c>
      <c r="B4405" t="str">
        <f>"061947"</f>
        <v>061947</v>
      </c>
      <c r="C4405" t="str">
        <f>"31500"</f>
        <v>31500</v>
      </c>
      <c r="D4405" t="s">
        <v>1872</v>
      </c>
      <c r="E4405" s="3">
        <v>336.5</v>
      </c>
      <c r="F4405">
        <v>20160127</v>
      </c>
      <c r="G4405" t="s">
        <v>2306</v>
      </c>
      <c r="H4405" t="s">
        <v>3831</v>
      </c>
      <c r="I4405">
        <v>0</v>
      </c>
      <c r="J4405" t="s">
        <v>1709</v>
      </c>
      <c r="K4405" t="s">
        <v>1861</v>
      </c>
      <c r="L4405" t="s">
        <v>285</v>
      </c>
      <c r="M4405" t="str">
        <f t="shared" si="301"/>
        <v>01</v>
      </c>
      <c r="N4405" t="s">
        <v>12</v>
      </c>
    </row>
    <row r="4406" spans="1:14" x14ac:dyDescent="0.25">
      <c r="A4406">
        <v>20160129</v>
      </c>
      <c r="B4406" t="str">
        <f>"061949"</f>
        <v>061949</v>
      </c>
      <c r="C4406" t="str">
        <f>"34575"</f>
        <v>34575</v>
      </c>
      <c r="D4406" t="s">
        <v>3832</v>
      </c>
      <c r="E4406" s="3">
        <v>882.63</v>
      </c>
      <c r="F4406">
        <v>20160127</v>
      </c>
      <c r="G4406" t="s">
        <v>2013</v>
      </c>
      <c r="H4406" t="s">
        <v>3833</v>
      </c>
      <c r="I4406">
        <v>0</v>
      </c>
      <c r="J4406" t="s">
        <v>1709</v>
      </c>
      <c r="K4406" t="s">
        <v>290</v>
      </c>
      <c r="L4406" t="s">
        <v>285</v>
      </c>
      <c r="M4406" t="str">
        <f t="shared" si="301"/>
        <v>01</v>
      </c>
      <c r="N4406" t="s">
        <v>12</v>
      </c>
    </row>
    <row r="4407" spans="1:14" x14ac:dyDescent="0.25">
      <c r="A4407">
        <v>20160129</v>
      </c>
      <c r="B4407" t="str">
        <f>"061950"</f>
        <v>061950</v>
      </c>
      <c r="C4407" t="str">
        <f>"34575"</f>
        <v>34575</v>
      </c>
      <c r="D4407" t="s">
        <v>3832</v>
      </c>
      <c r="E4407" s="3">
        <v>313.98</v>
      </c>
      <c r="F4407">
        <v>20160128</v>
      </c>
      <c r="G4407" t="s">
        <v>3834</v>
      </c>
      <c r="H4407" t="s">
        <v>3835</v>
      </c>
      <c r="I4407">
        <v>0</v>
      </c>
      <c r="J4407" t="s">
        <v>1709</v>
      </c>
      <c r="K4407" t="s">
        <v>95</v>
      </c>
      <c r="L4407" t="s">
        <v>285</v>
      </c>
      <c r="M4407" t="str">
        <f t="shared" si="301"/>
        <v>01</v>
      </c>
      <c r="N4407" t="s">
        <v>12</v>
      </c>
    </row>
    <row r="4408" spans="1:14" x14ac:dyDescent="0.25">
      <c r="A4408">
        <v>20160129</v>
      </c>
      <c r="B4408" t="str">
        <f>"061954"</f>
        <v>061954</v>
      </c>
      <c r="C4408" t="str">
        <f>"36780"</f>
        <v>36780</v>
      </c>
      <c r="D4408" t="s">
        <v>3836</v>
      </c>
      <c r="E4408" s="3">
        <v>220</v>
      </c>
      <c r="F4408">
        <v>20160127</v>
      </c>
      <c r="G4408" t="s">
        <v>2537</v>
      </c>
      <c r="H4408" t="s">
        <v>3448</v>
      </c>
      <c r="I4408">
        <v>0</v>
      </c>
      <c r="J4408" t="s">
        <v>1709</v>
      </c>
      <c r="K4408" t="s">
        <v>290</v>
      </c>
      <c r="L4408" t="s">
        <v>285</v>
      </c>
      <c r="M4408" t="str">
        <f t="shared" si="301"/>
        <v>01</v>
      </c>
      <c r="N4408" t="s">
        <v>12</v>
      </c>
    </row>
    <row r="4409" spans="1:14" x14ac:dyDescent="0.25">
      <c r="A4409">
        <v>20160129</v>
      </c>
      <c r="B4409" t="str">
        <f>"061955"</f>
        <v>061955</v>
      </c>
      <c r="C4409" t="str">
        <f>"45665"</f>
        <v>45665</v>
      </c>
      <c r="D4409" t="s">
        <v>2887</v>
      </c>
      <c r="E4409" s="3">
        <v>540</v>
      </c>
      <c r="F4409">
        <v>20160127</v>
      </c>
      <c r="G4409" t="s">
        <v>2888</v>
      </c>
      <c r="H4409" t="s">
        <v>3776</v>
      </c>
      <c r="I4409">
        <v>0</v>
      </c>
      <c r="J4409" t="s">
        <v>1709</v>
      </c>
      <c r="K4409" t="s">
        <v>290</v>
      </c>
      <c r="L4409" t="s">
        <v>285</v>
      </c>
      <c r="M4409" t="str">
        <f t="shared" si="301"/>
        <v>01</v>
      </c>
      <c r="N4409" t="s">
        <v>12</v>
      </c>
    </row>
    <row r="4410" spans="1:14" x14ac:dyDescent="0.25">
      <c r="A4410">
        <v>20160129</v>
      </c>
      <c r="B4410" t="str">
        <f t="shared" ref="B4410:B4417" si="302">"061960"</f>
        <v>061960</v>
      </c>
      <c r="C4410" t="str">
        <f t="shared" ref="C4410:C4417" si="303">"39572"</f>
        <v>39572</v>
      </c>
      <c r="D4410" t="s">
        <v>2112</v>
      </c>
      <c r="E4410" s="3">
        <v>155</v>
      </c>
      <c r="F4410">
        <v>20160128</v>
      </c>
      <c r="G4410" t="s">
        <v>2113</v>
      </c>
      <c r="H4410" t="s">
        <v>3837</v>
      </c>
      <c r="I4410">
        <v>0</v>
      </c>
      <c r="J4410" t="s">
        <v>1709</v>
      </c>
      <c r="K4410" t="s">
        <v>290</v>
      </c>
      <c r="L4410" t="s">
        <v>285</v>
      </c>
      <c r="M4410" t="str">
        <f t="shared" si="301"/>
        <v>01</v>
      </c>
      <c r="N4410" t="s">
        <v>12</v>
      </c>
    </row>
    <row r="4411" spans="1:14" x14ac:dyDescent="0.25">
      <c r="A4411">
        <v>20160129</v>
      </c>
      <c r="B4411" t="str">
        <f t="shared" si="302"/>
        <v>061960</v>
      </c>
      <c r="C4411" t="str">
        <f t="shared" si="303"/>
        <v>39572</v>
      </c>
      <c r="D4411" t="s">
        <v>2112</v>
      </c>
      <c r="E4411" s="3">
        <v>105</v>
      </c>
      <c r="F4411">
        <v>20160128</v>
      </c>
      <c r="G4411" t="s">
        <v>2113</v>
      </c>
      <c r="H4411" t="s">
        <v>3838</v>
      </c>
      <c r="I4411">
        <v>0</v>
      </c>
      <c r="J4411" t="s">
        <v>1709</v>
      </c>
      <c r="K4411" t="s">
        <v>290</v>
      </c>
      <c r="L4411" t="s">
        <v>285</v>
      </c>
      <c r="M4411" t="str">
        <f t="shared" si="301"/>
        <v>01</v>
      </c>
      <c r="N4411" t="s">
        <v>12</v>
      </c>
    </row>
    <row r="4412" spans="1:14" x14ac:dyDescent="0.25">
      <c r="A4412">
        <v>20160129</v>
      </c>
      <c r="B4412" t="str">
        <f t="shared" si="302"/>
        <v>061960</v>
      </c>
      <c r="C4412" t="str">
        <f t="shared" si="303"/>
        <v>39572</v>
      </c>
      <c r="D4412" t="s">
        <v>2112</v>
      </c>
      <c r="E4412" s="3">
        <v>105</v>
      </c>
      <c r="F4412">
        <v>20160128</v>
      </c>
      <c r="G4412" t="s">
        <v>2113</v>
      </c>
      <c r="H4412" t="s">
        <v>3839</v>
      </c>
      <c r="I4412">
        <v>0</v>
      </c>
      <c r="J4412" t="s">
        <v>1709</v>
      </c>
      <c r="K4412" t="s">
        <v>290</v>
      </c>
      <c r="L4412" t="s">
        <v>285</v>
      </c>
      <c r="M4412" t="str">
        <f t="shared" si="301"/>
        <v>01</v>
      </c>
      <c r="N4412" t="s">
        <v>12</v>
      </c>
    </row>
    <row r="4413" spans="1:14" x14ac:dyDescent="0.25">
      <c r="A4413">
        <v>20160129</v>
      </c>
      <c r="B4413" t="str">
        <f t="shared" si="302"/>
        <v>061960</v>
      </c>
      <c r="C4413" t="str">
        <f t="shared" si="303"/>
        <v>39572</v>
      </c>
      <c r="D4413" t="s">
        <v>2112</v>
      </c>
      <c r="E4413" s="3">
        <v>50</v>
      </c>
      <c r="F4413">
        <v>20160128</v>
      </c>
      <c r="G4413" t="s">
        <v>2113</v>
      </c>
      <c r="H4413" t="s">
        <v>3840</v>
      </c>
      <c r="I4413">
        <v>0</v>
      </c>
      <c r="J4413" t="s">
        <v>1709</v>
      </c>
      <c r="K4413" t="s">
        <v>290</v>
      </c>
      <c r="L4413" t="s">
        <v>285</v>
      </c>
      <c r="M4413" t="str">
        <f t="shared" si="301"/>
        <v>01</v>
      </c>
      <c r="N4413" t="s">
        <v>12</v>
      </c>
    </row>
    <row r="4414" spans="1:14" x14ac:dyDescent="0.25">
      <c r="A4414">
        <v>20160129</v>
      </c>
      <c r="B4414" t="str">
        <f t="shared" si="302"/>
        <v>061960</v>
      </c>
      <c r="C4414" t="str">
        <f t="shared" si="303"/>
        <v>39572</v>
      </c>
      <c r="D4414" t="s">
        <v>2112</v>
      </c>
      <c r="E4414" s="3">
        <v>366.2</v>
      </c>
      <c r="F4414">
        <v>20160128</v>
      </c>
      <c r="G4414" t="s">
        <v>2115</v>
      </c>
      <c r="H4414" t="s">
        <v>3841</v>
      </c>
      <c r="I4414">
        <v>0</v>
      </c>
      <c r="J4414" t="s">
        <v>1709</v>
      </c>
      <c r="K4414" t="s">
        <v>290</v>
      </c>
      <c r="L4414" t="s">
        <v>285</v>
      </c>
      <c r="M4414" t="str">
        <f t="shared" si="301"/>
        <v>01</v>
      </c>
      <c r="N4414" t="s">
        <v>12</v>
      </c>
    </row>
    <row r="4415" spans="1:14" x14ac:dyDescent="0.25">
      <c r="A4415">
        <v>20160129</v>
      </c>
      <c r="B4415" t="str">
        <f t="shared" si="302"/>
        <v>061960</v>
      </c>
      <c r="C4415" t="str">
        <f t="shared" si="303"/>
        <v>39572</v>
      </c>
      <c r="D4415" t="s">
        <v>2112</v>
      </c>
      <c r="E4415" s="3">
        <v>252</v>
      </c>
      <c r="F4415">
        <v>20160128</v>
      </c>
      <c r="G4415" t="s">
        <v>2115</v>
      </c>
      <c r="H4415" t="s">
        <v>3842</v>
      </c>
      <c r="I4415">
        <v>0</v>
      </c>
      <c r="J4415" t="s">
        <v>1709</v>
      </c>
      <c r="K4415" t="s">
        <v>290</v>
      </c>
      <c r="L4415" t="s">
        <v>285</v>
      </c>
      <c r="M4415" t="str">
        <f t="shared" si="301"/>
        <v>01</v>
      </c>
      <c r="N4415" t="s">
        <v>12</v>
      </c>
    </row>
    <row r="4416" spans="1:14" x14ac:dyDescent="0.25">
      <c r="A4416">
        <v>20160129</v>
      </c>
      <c r="B4416" t="str">
        <f t="shared" si="302"/>
        <v>061960</v>
      </c>
      <c r="C4416" t="str">
        <f t="shared" si="303"/>
        <v>39572</v>
      </c>
      <c r="D4416" t="s">
        <v>2112</v>
      </c>
      <c r="E4416" s="3">
        <v>614.66999999999996</v>
      </c>
      <c r="F4416">
        <v>20160128</v>
      </c>
      <c r="G4416" t="s">
        <v>2115</v>
      </c>
      <c r="H4416" t="s">
        <v>3843</v>
      </c>
      <c r="I4416">
        <v>0</v>
      </c>
      <c r="J4416" t="s">
        <v>1709</v>
      </c>
      <c r="K4416" t="s">
        <v>290</v>
      </c>
      <c r="L4416" t="s">
        <v>285</v>
      </c>
      <c r="M4416" t="str">
        <f t="shared" si="301"/>
        <v>01</v>
      </c>
      <c r="N4416" t="s">
        <v>12</v>
      </c>
    </row>
    <row r="4417" spans="1:14" x14ac:dyDescent="0.25">
      <c r="A4417">
        <v>20160129</v>
      </c>
      <c r="B4417" t="str">
        <f t="shared" si="302"/>
        <v>061960</v>
      </c>
      <c r="C4417" t="str">
        <f t="shared" si="303"/>
        <v>39572</v>
      </c>
      <c r="D4417" t="s">
        <v>2112</v>
      </c>
      <c r="E4417" s="3">
        <v>119.9</v>
      </c>
      <c r="F4417">
        <v>20160128</v>
      </c>
      <c r="G4417" t="s">
        <v>2115</v>
      </c>
      <c r="H4417" t="s">
        <v>3844</v>
      </c>
      <c r="I4417">
        <v>0</v>
      </c>
      <c r="J4417" t="s">
        <v>1709</v>
      </c>
      <c r="K4417" t="s">
        <v>290</v>
      </c>
      <c r="L4417" t="s">
        <v>285</v>
      </c>
      <c r="M4417" t="str">
        <f t="shared" si="301"/>
        <v>01</v>
      </c>
      <c r="N4417" t="s">
        <v>12</v>
      </c>
    </row>
    <row r="4418" spans="1:14" x14ac:dyDescent="0.25">
      <c r="A4418">
        <v>20160129</v>
      </c>
      <c r="B4418" t="str">
        <f>"061964"</f>
        <v>061964</v>
      </c>
      <c r="C4418" t="str">
        <f>"42212"</f>
        <v>42212</v>
      </c>
      <c r="D4418" t="s">
        <v>2513</v>
      </c>
      <c r="E4418" s="3">
        <v>23</v>
      </c>
      <c r="F4418">
        <v>20160128</v>
      </c>
      <c r="G4418" t="s">
        <v>3845</v>
      </c>
      <c r="H4418" t="s">
        <v>3213</v>
      </c>
      <c r="I4418">
        <v>0</v>
      </c>
      <c r="J4418" t="s">
        <v>1709</v>
      </c>
      <c r="K4418" t="s">
        <v>290</v>
      </c>
      <c r="L4418" t="s">
        <v>285</v>
      </c>
      <c r="M4418" t="str">
        <f t="shared" si="301"/>
        <v>01</v>
      </c>
      <c r="N4418" t="s">
        <v>12</v>
      </c>
    </row>
    <row r="4419" spans="1:14" x14ac:dyDescent="0.25">
      <c r="A4419">
        <v>20160129</v>
      </c>
      <c r="B4419" t="str">
        <f>"061964"</f>
        <v>061964</v>
      </c>
      <c r="C4419" t="str">
        <f>"42212"</f>
        <v>42212</v>
      </c>
      <c r="D4419" t="s">
        <v>2513</v>
      </c>
      <c r="E4419" s="3">
        <v>300</v>
      </c>
      <c r="F4419">
        <v>20160128</v>
      </c>
      <c r="G4419" t="s">
        <v>3846</v>
      </c>
      <c r="H4419" t="s">
        <v>3535</v>
      </c>
      <c r="I4419">
        <v>0</v>
      </c>
      <c r="J4419" t="s">
        <v>1709</v>
      </c>
      <c r="K4419" t="s">
        <v>290</v>
      </c>
      <c r="L4419" t="s">
        <v>285</v>
      </c>
      <c r="M4419" t="str">
        <f t="shared" si="301"/>
        <v>01</v>
      </c>
      <c r="N4419" t="s">
        <v>12</v>
      </c>
    </row>
    <row r="4420" spans="1:14" x14ac:dyDescent="0.25">
      <c r="A4420">
        <v>20160129</v>
      </c>
      <c r="B4420" t="str">
        <f>"061965"</f>
        <v>061965</v>
      </c>
      <c r="C4420" t="str">
        <f>"42212"</f>
        <v>42212</v>
      </c>
      <c r="D4420" t="s">
        <v>2513</v>
      </c>
      <c r="E4420" s="3">
        <v>18.5</v>
      </c>
      <c r="F4420">
        <v>20160128</v>
      </c>
      <c r="G4420" t="s">
        <v>3358</v>
      </c>
      <c r="H4420" t="s">
        <v>3213</v>
      </c>
      <c r="I4420">
        <v>0</v>
      </c>
      <c r="J4420" t="s">
        <v>1709</v>
      </c>
      <c r="K4420" t="s">
        <v>290</v>
      </c>
      <c r="L4420" t="s">
        <v>285</v>
      </c>
      <c r="M4420" t="str">
        <f t="shared" si="301"/>
        <v>01</v>
      </c>
      <c r="N4420" t="s">
        <v>12</v>
      </c>
    </row>
    <row r="4421" spans="1:14" x14ac:dyDescent="0.25">
      <c r="A4421">
        <v>20160129</v>
      </c>
      <c r="B4421" t="str">
        <f>"061966"</f>
        <v>061966</v>
      </c>
      <c r="C4421" t="str">
        <f>"42257"</f>
        <v>42257</v>
      </c>
      <c r="D4421" t="s">
        <v>3847</v>
      </c>
      <c r="E4421" s="3">
        <v>1028.0999999999999</v>
      </c>
      <c r="F4421">
        <v>20160128</v>
      </c>
      <c r="G4421" t="s">
        <v>1707</v>
      </c>
      <c r="H4421" t="s">
        <v>1708</v>
      </c>
      <c r="I4421">
        <v>0</v>
      </c>
      <c r="J4421" t="s">
        <v>1709</v>
      </c>
      <c r="K4421" t="s">
        <v>290</v>
      </c>
      <c r="L4421" t="s">
        <v>285</v>
      </c>
      <c r="M4421" t="str">
        <f t="shared" si="301"/>
        <v>01</v>
      </c>
      <c r="N4421" t="s">
        <v>12</v>
      </c>
    </row>
    <row r="4422" spans="1:14" x14ac:dyDescent="0.25">
      <c r="A4422">
        <v>20160129</v>
      </c>
      <c r="B4422" t="str">
        <f>"061970"</f>
        <v>061970</v>
      </c>
      <c r="C4422" t="str">
        <f>"46351"</f>
        <v>46351</v>
      </c>
      <c r="D4422" t="s">
        <v>2518</v>
      </c>
      <c r="E4422" s="3">
        <v>664.99</v>
      </c>
      <c r="F4422">
        <v>20160128</v>
      </c>
      <c r="G4422" t="s">
        <v>1995</v>
      </c>
      <c r="H4422" t="s">
        <v>3848</v>
      </c>
      <c r="I4422">
        <v>0</v>
      </c>
      <c r="J4422" t="s">
        <v>1709</v>
      </c>
      <c r="K4422" t="s">
        <v>235</v>
      </c>
      <c r="L4422" t="s">
        <v>285</v>
      </c>
      <c r="M4422" t="str">
        <f t="shared" si="301"/>
        <v>01</v>
      </c>
      <c r="N4422" t="s">
        <v>12</v>
      </c>
    </row>
    <row r="4423" spans="1:14" x14ac:dyDescent="0.25">
      <c r="A4423">
        <v>20160129</v>
      </c>
      <c r="B4423" t="str">
        <f>"061971"</f>
        <v>061971</v>
      </c>
      <c r="C4423" t="str">
        <f>"48958"</f>
        <v>48958</v>
      </c>
      <c r="D4423" t="s">
        <v>3849</v>
      </c>
      <c r="E4423" s="3">
        <v>57.71</v>
      </c>
      <c r="F4423">
        <v>20160128</v>
      </c>
      <c r="G4423" t="s">
        <v>3850</v>
      </c>
      <c r="H4423" t="s">
        <v>3851</v>
      </c>
      <c r="I4423">
        <v>0</v>
      </c>
      <c r="J4423" t="s">
        <v>1709</v>
      </c>
      <c r="K4423" t="s">
        <v>2194</v>
      </c>
      <c r="L4423" t="s">
        <v>285</v>
      </c>
      <c r="M4423" t="str">
        <f t="shared" si="301"/>
        <v>01</v>
      </c>
      <c r="N4423" t="s">
        <v>12</v>
      </c>
    </row>
    <row r="4424" spans="1:14" x14ac:dyDescent="0.25">
      <c r="A4424">
        <v>20160129</v>
      </c>
      <c r="B4424" t="str">
        <f>"061972"</f>
        <v>061972</v>
      </c>
      <c r="C4424" t="str">
        <f>"49748"</f>
        <v>49748</v>
      </c>
      <c r="D4424" t="s">
        <v>1885</v>
      </c>
      <c r="E4424" s="3">
        <v>27.16</v>
      </c>
      <c r="F4424">
        <v>20160128</v>
      </c>
      <c r="G4424" t="s">
        <v>1974</v>
      </c>
      <c r="H4424" t="s">
        <v>3852</v>
      </c>
      <c r="I4424">
        <v>0</v>
      </c>
      <c r="J4424" t="s">
        <v>1709</v>
      </c>
      <c r="K4424" t="s">
        <v>290</v>
      </c>
      <c r="L4424" t="s">
        <v>285</v>
      </c>
      <c r="M4424" t="str">
        <f t="shared" si="301"/>
        <v>01</v>
      </c>
      <c r="N4424" t="s">
        <v>12</v>
      </c>
    </row>
    <row r="4425" spans="1:14" x14ac:dyDescent="0.25">
      <c r="A4425">
        <v>20160129</v>
      </c>
      <c r="B4425" t="str">
        <f>"061972"</f>
        <v>061972</v>
      </c>
      <c r="C4425" t="str">
        <f>"49748"</f>
        <v>49748</v>
      </c>
      <c r="D4425" t="s">
        <v>1885</v>
      </c>
      <c r="E4425" s="3">
        <v>89.85</v>
      </c>
      <c r="F4425">
        <v>20160128</v>
      </c>
      <c r="G4425" t="s">
        <v>3853</v>
      </c>
      <c r="H4425" t="s">
        <v>3854</v>
      </c>
      <c r="I4425">
        <v>0</v>
      </c>
      <c r="J4425" t="s">
        <v>1709</v>
      </c>
      <c r="K4425" t="s">
        <v>290</v>
      </c>
      <c r="L4425" t="s">
        <v>285</v>
      </c>
      <c r="M4425" t="str">
        <f t="shared" si="301"/>
        <v>01</v>
      </c>
      <c r="N4425" t="s">
        <v>12</v>
      </c>
    </row>
    <row r="4426" spans="1:14" x14ac:dyDescent="0.25">
      <c r="A4426">
        <v>20160129</v>
      </c>
      <c r="B4426" t="str">
        <f>"061974"</f>
        <v>061974</v>
      </c>
      <c r="C4426" t="str">
        <f>"63707"</f>
        <v>63707</v>
      </c>
      <c r="D4426" t="s">
        <v>3855</v>
      </c>
      <c r="E4426" s="3">
        <v>106</v>
      </c>
      <c r="F4426">
        <v>20160128</v>
      </c>
      <c r="G4426" t="s">
        <v>3856</v>
      </c>
      <c r="H4426" t="s">
        <v>3857</v>
      </c>
      <c r="I4426">
        <v>0</v>
      </c>
      <c r="J4426" t="s">
        <v>1709</v>
      </c>
      <c r="K4426" t="s">
        <v>2194</v>
      </c>
      <c r="L4426" t="s">
        <v>285</v>
      </c>
      <c r="M4426" t="str">
        <f t="shared" si="301"/>
        <v>01</v>
      </c>
      <c r="N4426" t="s">
        <v>12</v>
      </c>
    </row>
    <row r="4427" spans="1:14" x14ac:dyDescent="0.25">
      <c r="A4427">
        <v>20160129</v>
      </c>
      <c r="B4427" t="str">
        <f>"061975"</f>
        <v>061975</v>
      </c>
      <c r="C4427" t="str">
        <f>"49992"</f>
        <v>49992</v>
      </c>
      <c r="D4427" t="s">
        <v>3858</v>
      </c>
      <c r="E4427" s="3">
        <v>2492.5</v>
      </c>
      <c r="F4427">
        <v>20160128</v>
      </c>
      <c r="G4427" t="s">
        <v>3859</v>
      </c>
      <c r="H4427" t="s">
        <v>3860</v>
      </c>
      <c r="I4427">
        <v>0</v>
      </c>
      <c r="J4427" t="s">
        <v>1709</v>
      </c>
      <c r="K4427" t="s">
        <v>1782</v>
      </c>
      <c r="L4427" t="s">
        <v>285</v>
      </c>
      <c r="M4427" t="str">
        <f t="shared" si="301"/>
        <v>01</v>
      </c>
      <c r="N4427" t="s">
        <v>12</v>
      </c>
    </row>
    <row r="4428" spans="1:14" x14ac:dyDescent="0.25">
      <c r="A4428">
        <v>20160129</v>
      </c>
      <c r="B4428" t="str">
        <f>"061976"</f>
        <v>061976</v>
      </c>
      <c r="C4428" t="str">
        <f>"49959"</f>
        <v>49959</v>
      </c>
      <c r="D4428" t="s">
        <v>361</v>
      </c>
      <c r="E4428" s="3">
        <v>240</v>
      </c>
      <c r="F4428">
        <v>20160128</v>
      </c>
      <c r="G4428" t="s">
        <v>1788</v>
      </c>
      <c r="H4428" t="s">
        <v>3861</v>
      </c>
      <c r="I4428">
        <v>0</v>
      </c>
      <c r="J4428" t="s">
        <v>1709</v>
      </c>
      <c r="K4428" t="s">
        <v>1643</v>
      </c>
      <c r="L4428" t="s">
        <v>285</v>
      </c>
      <c r="M4428" t="str">
        <f t="shared" si="301"/>
        <v>01</v>
      </c>
      <c r="N4428" t="s">
        <v>12</v>
      </c>
    </row>
    <row r="4429" spans="1:14" x14ac:dyDescent="0.25">
      <c r="A4429">
        <v>20160129</v>
      </c>
      <c r="B4429" t="str">
        <f>"061978"</f>
        <v>061978</v>
      </c>
      <c r="C4429" t="str">
        <f>"51475"</f>
        <v>51475</v>
      </c>
      <c r="D4429" t="s">
        <v>2352</v>
      </c>
      <c r="E4429" s="3">
        <v>14.62</v>
      </c>
      <c r="F4429">
        <v>20160128</v>
      </c>
      <c r="G4429" t="s">
        <v>2525</v>
      </c>
      <c r="H4429" t="s">
        <v>3862</v>
      </c>
      <c r="I4429">
        <v>0</v>
      </c>
      <c r="J4429" t="s">
        <v>1709</v>
      </c>
      <c r="K4429" t="s">
        <v>2194</v>
      </c>
      <c r="L4429" t="s">
        <v>285</v>
      </c>
      <c r="M4429" t="str">
        <f t="shared" si="301"/>
        <v>01</v>
      </c>
      <c r="N4429" t="s">
        <v>12</v>
      </c>
    </row>
    <row r="4430" spans="1:14" x14ac:dyDescent="0.25">
      <c r="A4430">
        <v>20160129</v>
      </c>
      <c r="B4430" t="str">
        <f>"061978"</f>
        <v>061978</v>
      </c>
      <c r="C4430" t="str">
        <f>"51475"</f>
        <v>51475</v>
      </c>
      <c r="D4430" t="s">
        <v>2352</v>
      </c>
      <c r="E4430" s="3">
        <v>1529.91</v>
      </c>
      <c r="F4430">
        <v>20160128</v>
      </c>
      <c r="G4430" t="s">
        <v>2525</v>
      </c>
      <c r="H4430" t="s">
        <v>3863</v>
      </c>
      <c r="I4430">
        <v>0</v>
      </c>
      <c r="J4430" t="s">
        <v>1709</v>
      </c>
      <c r="K4430" t="s">
        <v>2194</v>
      </c>
      <c r="L4430" t="s">
        <v>285</v>
      </c>
      <c r="M4430" t="str">
        <f t="shared" si="301"/>
        <v>01</v>
      </c>
      <c r="N4430" t="s">
        <v>12</v>
      </c>
    </row>
    <row r="4431" spans="1:14" x14ac:dyDescent="0.25">
      <c r="A4431">
        <v>20160129</v>
      </c>
      <c r="B4431" t="str">
        <f>"061981"</f>
        <v>061981</v>
      </c>
      <c r="C4431" t="str">
        <f>"53995"</f>
        <v>53995</v>
      </c>
      <c r="D4431" t="s">
        <v>1999</v>
      </c>
      <c r="E4431" s="3">
        <v>414</v>
      </c>
      <c r="F4431">
        <v>20160128</v>
      </c>
      <c r="G4431" t="s">
        <v>3864</v>
      </c>
      <c r="H4431" t="s">
        <v>3865</v>
      </c>
      <c r="I4431">
        <v>0</v>
      </c>
      <c r="J4431" t="s">
        <v>1709</v>
      </c>
      <c r="K4431" t="s">
        <v>1643</v>
      </c>
      <c r="L4431" t="s">
        <v>285</v>
      </c>
      <c r="M4431" t="str">
        <f t="shared" si="301"/>
        <v>01</v>
      </c>
      <c r="N4431" t="s">
        <v>12</v>
      </c>
    </row>
    <row r="4432" spans="1:14" x14ac:dyDescent="0.25">
      <c r="A4432">
        <v>20160129</v>
      </c>
      <c r="B4432" t="str">
        <f>"061984"</f>
        <v>061984</v>
      </c>
      <c r="C4432" t="str">
        <f>"54495"</f>
        <v>54495</v>
      </c>
      <c r="D4432" t="s">
        <v>2756</v>
      </c>
      <c r="E4432" s="3">
        <v>150</v>
      </c>
      <c r="F4432">
        <v>20160128</v>
      </c>
      <c r="G4432" t="s">
        <v>3731</v>
      </c>
      <c r="H4432" t="s">
        <v>3866</v>
      </c>
      <c r="I4432">
        <v>0</v>
      </c>
      <c r="J4432" t="s">
        <v>1709</v>
      </c>
      <c r="K4432" t="s">
        <v>95</v>
      </c>
      <c r="L4432" t="s">
        <v>285</v>
      </c>
      <c r="M4432" t="str">
        <f t="shared" si="301"/>
        <v>01</v>
      </c>
      <c r="N4432" t="s">
        <v>12</v>
      </c>
    </row>
    <row r="4433" spans="1:14" x14ac:dyDescent="0.25">
      <c r="A4433">
        <v>20160129</v>
      </c>
      <c r="B4433" t="str">
        <f>"061987"</f>
        <v>061987</v>
      </c>
      <c r="C4433" t="str">
        <f>"61166"</f>
        <v>61166</v>
      </c>
      <c r="D4433" t="s">
        <v>3269</v>
      </c>
      <c r="E4433" s="3">
        <v>1153.28</v>
      </c>
      <c r="F4433">
        <v>20160128</v>
      </c>
      <c r="G4433" t="s">
        <v>3270</v>
      </c>
      <c r="H4433" t="s">
        <v>3271</v>
      </c>
      <c r="I4433">
        <v>0</v>
      </c>
      <c r="J4433" t="s">
        <v>1709</v>
      </c>
      <c r="K4433" t="s">
        <v>1750</v>
      </c>
      <c r="L4433" t="s">
        <v>285</v>
      </c>
      <c r="M4433" t="str">
        <f t="shared" si="301"/>
        <v>01</v>
      </c>
      <c r="N4433" t="s">
        <v>12</v>
      </c>
    </row>
    <row r="4434" spans="1:14" x14ac:dyDescent="0.25">
      <c r="A4434">
        <v>20160129</v>
      </c>
      <c r="B4434" t="str">
        <f>"061988"</f>
        <v>061988</v>
      </c>
      <c r="C4434" t="str">
        <f>"56013"</f>
        <v>56013</v>
      </c>
      <c r="D4434" t="s">
        <v>2355</v>
      </c>
      <c r="E4434" s="3">
        <v>320</v>
      </c>
      <c r="F4434">
        <v>20160128</v>
      </c>
      <c r="G4434" t="s">
        <v>2356</v>
      </c>
      <c r="H4434" t="s">
        <v>3867</v>
      </c>
      <c r="I4434">
        <v>0</v>
      </c>
      <c r="J4434" t="s">
        <v>1709</v>
      </c>
      <c r="K4434" t="s">
        <v>1861</v>
      </c>
      <c r="L4434" t="s">
        <v>285</v>
      </c>
      <c r="M4434" t="str">
        <f t="shared" si="301"/>
        <v>01</v>
      </c>
      <c r="N4434" t="s">
        <v>12</v>
      </c>
    </row>
    <row r="4435" spans="1:14" x14ac:dyDescent="0.25">
      <c r="A4435">
        <v>20160129</v>
      </c>
      <c r="B4435" t="str">
        <f>"061994"</f>
        <v>061994</v>
      </c>
      <c r="C4435" t="str">
        <f>"58965"</f>
        <v>58965</v>
      </c>
      <c r="D4435" t="s">
        <v>3868</v>
      </c>
      <c r="E4435" s="3">
        <v>453.96</v>
      </c>
      <c r="F4435">
        <v>20160128</v>
      </c>
      <c r="G4435" t="s">
        <v>2706</v>
      </c>
      <c r="H4435" t="s">
        <v>3869</v>
      </c>
      <c r="I4435">
        <v>0</v>
      </c>
      <c r="J4435" t="s">
        <v>1709</v>
      </c>
      <c r="K4435" t="s">
        <v>33</v>
      </c>
      <c r="L4435" t="s">
        <v>285</v>
      </c>
      <c r="M4435" t="str">
        <f t="shared" si="301"/>
        <v>01</v>
      </c>
      <c r="N4435" t="s">
        <v>12</v>
      </c>
    </row>
    <row r="4436" spans="1:14" x14ac:dyDescent="0.25">
      <c r="A4436">
        <v>20160129</v>
      </c>
      <c r="B4436" t="str">
        <f>"061995"</f>
        <v>061995</v>
      </c>
      <c r="C4436" t="str">
        <f>"59097"</f>
        <v>59097</v>
      </c>
      <c r="D4436" t="s">
        <v>1755</v>
      </c>
      <c r="E4436" s="3">
        <v>536.57000000000005</v>
      </c>
      <c r="F4436">
        <v>20160128</v>
      </c>
      <c r="G4436" t="s">
        <v>2339</v>
      </c>
      <c r="H4436" t="s">
        <v>3719</v>
      </c>
      <c r="I4436">
        <v>0</v>
      </c>
      <c r="J4436" t="s">
        <v>1709</v>
      </c>
      <c r="K4436" t="s">
        <v>290</v>
      </c>
      <c r="L4436" t="s">
        <v>285</v>
      </c>
      <c r="M4436" t="str">
        <f t="shared" si="301"/>
        <v>01</v>
      </c>
      <c r="N4436" t="s">
        <v>12</v>
      </c>
    </row>
    <row r="4437" spans="1:14" x14ac:dyDescent="0.25">
      <c r="A4437">
        <v>20160129</v>
      </c>
      <c r="B4437" t="str">
        <f>"062001"</f>
        <v>062001</v>
      </c>
      <c r="C4437" t="str">
        <f>"63053"</f>
        <v>63053</v>
      </c>
      <c r="D4437" t="s">
        <v>2012</v>
      </c>
      <c r="E4437" s="3">
        <v>225</v>
      </c>
      <c r="F4437">
        <v>20160128</v>
      </c>
      <c r="G4437" t="s">
        <v>2553</v>
      </c>
      <c r="H4437" t="s">
        <v>3870</v>
      </c>
      <c r="I4437">
        <v>0</v>
      </c>
      <c r="J4437" t="s">
        <v>1709</v>
      </c>
      <c r="K4437" t="s">
        <v>290</v>
      </c>
      <c r="L4437" t="s">
        <v>285</v>
      </c>
      <c r="M4437" t="str">
        <f t="shared" si="301"/>
        <v>01</v>
      </c>
      <c r="N4437" t="s">
        <v>12</v>
      </c>
    </row>
    <row r="4438" spans="1:14" x14ac:dyDescent="0.25">
      <c r="A4438">
        <v>20160129</v>
      </c>
      <c r="B4438" t="str">
        <f>"062005"</f>
        <v>062005</v>
      </c>
      <c r="C4438" t="str">
        <f>"64004"</f>
        <v>64004</v>
      </c>
      <c r="D4438" t="s">
        <v>398</v>
      </c>
      <c r="E4438" s="3">
        <v>120</v>
      </c>
      <c r="F4438">
        <v>20160128</v>
      </c>
      <c r="G4438" t="s">
        <v>1725</v>
      </c>
      <c r="H4438" t="s">
        <v>3871</v>
      </c>
      <c r="I4438">
        <v>0</v>
      </c>
      <c r="J4438" t="s">
        <v>1709</v>
      </c>
      <c r="K4438" t="s">
        <v>290</v>
      </c>
      <c r="L4438" t="s">
        <v>285</v>
      </c>
      <c r="M4438" t="str">
        <f t="shared" si="301"/>
        <v>01</v>
      </c>
      <c r="N4438" t="s">
        <v>12</v>
      </c>
    </row>
    <row r="4439" spans="1:14" x14ac:dyDescent="0.25">
      <c r="A4439">
        <v>20160129</v>
      </c>
      <c r="B4439" t="str">
        <f>"062006"</f>
        <v>062006</v>
      </c>
      <c r="C4439" t="str">
        <f>"64955"</f>
        <v>64955</v>
      </c>
      <c r="D4439" t="s">
        <v>3872</v>
      </c>
      <c r="E4439" s="3">
        <v>125</v>
      </c>
      <c r="F4439">
        <v>20160128</v>
      </c>
      <c r="G4439" t="s">
        <v>2339</v>
      </c>
      <c r="H4439" t="s">
        <v>3873</v>
      </c>
      <c r="I4439">
        <v>0</v>
      </c>
      <c r="J4439" t="s">
        <v>1709</v>
      </c>
      <c r="K4439" t="s">
        <v>290</v>
      </c>
      <c r="L4439" t="s">
        <v>285</v>
      </c>
      <c r="M4439" t="str">
        <f t="shared" si="301"/>
        <v>01</v>
      </c>
      <c r="N4439" t="s">
        <v>12</v>
      </c>
    </row>
    <row r="4440" spans="1:14" x14ac:dyDescent="0.25">
      <c r="A4440">
        <v>20160129</v>
      </c>
      <c r="B4440" t="str">
        <f>"062007"</f>
        <v>062007</v>
      </c>
      <c r="C4440" t="str">
        <f>"49900"</f>
        <v>49900</v>
      </c>
      <c r="D4440" t="s">
        <v>3874</v>
      </c>
      <c r="E4440" s="3">
        <v>900.37</v>
      </c>
      <c r="F4440">
        <v>20160128</v>
      </c>
      <c r="G4440" t="s">
        <v>3556</v>
      </c>
      <c r="H4440" t="s">
        <v>3833</v>
      </c>
      <c r="I4440">
        <v>0</v>
      </c>
      <c r="J4440" t="s">
        <v>1709</v>
      </c>
      <c r="K4440" t="s">
        <v>290</v>
      </c>
      <c r="L4440" t="s">
        <v>285</v>
      </c>
      <c r="M4440" t="str">
        <f t="shared" si="301"/>
        <v>01</v>
      </c>
      <c r="N4440" t="s">
        <v>12</v>
      </c>
    </row>
    <row r="4441" spans="1:14" x14ac:dyDescent="0.25">
      <c r="A4441">
        <v>20160129</v>
      </c>
      <c r="B4441" t="str">
        <f>"062008"</f>
        <v>062008</v>
      </c>
      <c r="C4441" t="str">
        <f>"49900"</f>
        <v>49900</v>
      </c>
      <c r="D4441" t="s">
        <v>3874</v>
      </c>
      <c r="E4441" s="3">
        <v>900.37</v>
      </c>
      <c r="F4441">
        <v>20160128</v>
      </c>
      <c r="G4441" t="s">
        <v>3556</v>
      </c>
      <c r="H4441" t="s">
        <v>3833</v>
      </c>
      <c r="I4441">
        <v>0</v>
      </c>
      <c r="J4441" t="s">
        <v>1709</v>
      </c>
      <c r="K4441" t="s">
        <v>290</v>
      </c>
      <c r="L4441" t="s">
        <v>285</v>
      </c>
      <c r="M4441" t="str">
        <f t="shared" si="301"/>
        <v>01</v>
      </c>
      <c r="N4441" t="s">
        <v>12</v>
      </c>
    </row>
    <row r="4442" spans="1:14" x14ac:dyDescent="0.25">
      <c r="A4442">
        <v>20160129</v>
      </c>
      <c r="B4442" t="str">
        <f>"062009"</f>
        <v>062009</v>
      </c>
      <c r="C4442" t="str">
        <f>"49900"</f>
        <v>49900</v>
      </c>
      <c r="D4442" t="s">
        <v>3874</v>
      </c>
      <c r="E4442" s="3">
        <v>600.25</v>
      </c>
      <c r="F4442">
        <v>20160128</v>
      </c>
      <c r="G4442" t="s">
        <v>3554</v>
      </c>
      <c r="H4442" t="s">
        <v>3875</v>
      </c>
      <c r="I4442">
        <v>0</v>
      </c>
      <c r="J4442" t="s">
        <v>1709</v>
      </c>
      <c r="K4442" t="s">
        <v>1643</v>
      </c>
      <c r="L4442" t="s">
        <v>285</v>
      </c>
      <c r="M4442" t="str">
        <f t="shared" si="301"/>
        <v>01</v>
      </c>
      <c r="N4442" t="s">
        <v>12</v>
      </c>
    </row>
    <row r="4443" spans="1:14" x14ac:dyDescent="0.25">
      <c r="A4443">
        <v>20160129</v>
      </c>
      <c r="B4443" t="str">
        <f>"062010"</f>
        <v>062010</v>
      </c>
      <c r="C4443" t="str">
        <f>"65197"</f>
        <v>65197</v>
      </c>
      <c r="D4443" t="s">
        <v>3874</v>
      </c>
      <c r="E4443" s="3">
        <v>682.97</v>
      </c>
      <c r="F4443">
        <v>20160128</v>
      </c>
      <c r="G4443" t="s">
        <v>2040</v>
      </c>
      <c r="H4443" t="s">
        <v>3870</v>
      </c>
      <c r="I4443">
        <v>0</v>
      </c>
      <c r="J4443" t="s">
        <v>1709</v>
      </c>
      <c r="K4443" t="s">
        <v>290</v>
      </c>
      <c r="L4443" t="s">
        <v>285</v>
      </c>
      <c r="M4443" t="str">
        <f t="shared" si="301"/>
        <v>01</v>
      </c>
      <c r="N4443" t="s">
        <v>12</v>
      </c>
    </row>
    <row r="4444" spans="1:14" x14ac:dyDescent="0.25">
      <c r="A4444">
        <v>20160129</v>
      </c>
      <c r="B4444" t="str">
        <f>"062016"</f>
        <v>062016</v>
      </c>
      <c r="C4444" t="str">
        <f>"72093"</f>
        <v>72093</v>
      </c>
      <c r="D4444" t="s">
        <v>3876</v>
      </c>
      <c r="E4444" s="3">
        <v>300</v>
      </c>
      <c r="F4444">
        <v>20160128</v>
      </c>
      <c r="G4444" t="s">
        <v>1707</v>
      </c>
      <c r="H4444" t="s">
        <v>1708</v>
      </c>
      <c r="I4444">
        <v>0</v>
      </c>
      <c r="J4444" t="s">
        <v>1709</v>
      </c>
      <c r="K4444" t="s">
        <v>290</v>
      </c>
      <c r="L4444" t="s">
        <v>285</v>
      </c>
      <c r="M4444" t="str">
        <f t="shared" si="301"/>
        <v>01</v>
      </c>
      <c r="N4444" t="s">
        <v>12</v>
      </c>
    </row>
    <row r="4445" spans="1:14" x14ac:dyDescent="0.25">
      <c r="A4445">
        <v>20160129</v>
      </c>
      <c r="B4445" t="str">
        <f t="shared" ref="B4445:B4451" si="304">"062017"</f>
        <v>062017</v>
      </c>
      <c r="C4445" t="str">
        <f t="shared" ref="C4445:C4451" si="305">"72730"</f>
        <v>72730</v>
      </c>
      <c r="D4445" t="s">
        <v>1926</v>
      </c>
      <c r="E4445" s="3">
        <v>24.1</v>
      </c>
      <c r="F4445">
        <v>20160128</v>
      </c>
      <c r="G4445" t="s">
        <v>1974</v>
      </c>
      <c r="H4445" t="s">
        <v>595</v>
      </c>
      <c r="I4445">
        <v>0</v>
      </c>
      <c r="J4445" t="s">
        <v>1709</v>
      </c>
      <c r="K4445" t="s">
        <v>290</v>
      </c>
      <c r="L4445" t="s">
        <v>285</v>
      </c>
      <c r="M4445" t="str">
        <f t="shared" si="301"/>
        <v>01</v>
      </c>
      <c r="N4445" t="s">
        <v>12</v>
      </c>
    </row>
    <row r="4446" spans="1:14" x14ac:dyDescent="0.25">
      <c r="A4446">
        <v>20160129</v>
      </c>
      <c r="B4446" t="str">
        <f t="shared" si="304"/>
        <v>062017</v>
      </c>
      <c r="C4446" t="str">
        <f t="shared" si="305"/>
        <v>72730</v>
      </c>
      <c r="D4446" t="s">
        <v>1926</v>
      </c>
      <c r="E4446" s="3">
        <v>136.38</v>
      </c>
      <c r="F4446">
        <v>20160128</v>
      </c>
      <c r="G4446" t="s">
        <v>1974</v>
      </c>
      <c r="H4446" t="s">
        <v>3877</v>
      </c>
      <c r="I4446">
        <v>0</v>
      </c>
      <c r="J4446" t="s">
        <v>1709</v>
      </c>
      <c r="K4446" t="s">
        <v>290</v>
      </c>
      <c r="L4446" t="s">
        <v>285</v>
      </c>
      <c r="M4446" t="str">
        <f t="shared" si="301"/>
        <v>01</v>
      </c>
      <c r="N4446" t="s">
        <v>12</v>
      </c>
    </row>
    <row r="4447" spans="1:14" x14ac:dyDescent="0.25">
      <c r="A4447">
        <v>20160129</v>
      </c>
      <c r="B4447" t="str">
        <f t="shared" si="304"/>
        <v>062017</v>
      </c>
      <c r="C4447" t="str">
        <f t="shared" si="305"/>
        <v>72730</v>
      </c>
      <c r="D4447" t="s">
        <v>1926</v>
      </c>
      <c r="E4447" s="3">
        <v>28.7</v>
      </c>
      <c r="F4447">
        <v>20160128</v>
      </c>
      <c r="G4447" t="s">
        <v>1974</v>
      </c>
      <c r="H4447" t="s">
        <v>3878</v>
      </c>
      <c r="I4447">
        <v>0</v>
      </c>
      <c r="J4447" t="s">
        <v>1709</v>
      </c>
      <c r="K4447" t="s">
        <v>290</v>
      </c>
      <c r="L4447" t="s">
        <v>285</v>
      </c>
      <c r="M4447" t="str">
        <f t="shared" si="301"/>
        <v>01</v>
      </c>
      <c r="N4447" t="s">
        <v>12</v>
      </c>
    </row>
    <row r="4448" spans="1:14" x14ac:dyDescent="0.25">
      <c r="A4448">
        <v>20160129</v>
      </c>
      <c r="B4448" t="str">
        <f t="shared" si="304"/>
        <v>062017</v>
      </c>
      <c r="C4448" t="str">
        <f t="shared" si="305"/>
        <v>72730</v>
      </c>
      <c r="D4448" t="s">
        <v>1926</v>
      </c>
      <c r="E4448" s="3">
        <v>40.6</v>
      </c>
      <c r="F4448">
        <v>20160128</v>
      </c>
      <c r="G4448" t="s">
        <v>1974</v>
      </c>
      <c r="H4448" t="s">
        <v>3879</v>
      </c>
      <c r="I4448">
        <v>0</v>
      </c>
      <c r="J4448" t="s">
        <v>1709</v>
      </c>
      <c r="K4448" t="s">
        <v>290</v>
      </c>
      <c r="L4448" t="s">
        <v>285</v>
      </c>
      <c r="M4448" t="str">
        <f t="shared" si="301"/>
        <v>01</v>
      </c>
      <c r="N4448" t="s">
        <v>12</v>
      </c>
    </row>
    <row r="4449" spans="1:14" x14ac:dyDescent="0.25">
      <c r="A4449">
        <v>20160129</v>
      </c>
      <c r="B4449" t="str">
        <f t="shared" si="304"/>
        <v>062017</v>
      </c>
      <c r="C4449" t="str">
        <f t="shared" si="305"/>
        <v>72730</v>
      </c>
      <c r="D4449" t="s">
        <v>1926</v>
      </c>
      <c r="E4449" s="3">
        <v>61.76</v>
      </c>
      <c r="F4449">
        <v>20160128</v>
      </c>
      <c r="G4449" t="s">
        <v>1974</v>
      </c>
      <c r="H4449" t="s">
        <v>3880</v>
      </c>
      <c r="I4449">
        <v>0</v>
      </c>
      <c r="J4449" t="s">
        <v>1709</v>
      </c>
      <c r="K4449" t="s">
        <v>290</v>
      </c>
      <c r="L4449" t="s">
        <v>285</v>
      </c>
      <c r="M4449" t="str">
        <f t="shared" si="301"/>
        <v>01</v>
      </c>
      <c r="N4449" t="s">
        <v>12</v>
      </c>
    </row>
    <row r="4450" spans="1:14" x14ac:dyDescent="0.25">
      <c r="A4450">
        <v>20160129</v>
      </c>
      <c r="B4450" t="str">
        <f t="shared" si="304"/>
        <v>062017</v>
      </c>
      <c r="C4450" t="str">
        <f t="shared" si="305"/>
        <v>72730</v>
      </c>
      <c r="D4450" t="s">
        <v>1926</v>
      </c>
      <c r="E4450" s="3">
        <v>84.9</v>
      </c>
      <c r="F4450">
        <v>20160128</v>
      </c>
      <c r="G4450" t="s">
        <v>1974</v>
      </c>
      <c r="H4450" t="s">
        <v>3881</v>
      </c>
      <c r="I4450">
        <v>0</v>
      </c>
      <c r="J4450" t="s">
        <v>1709</v>
      </c>
      <c r="K4450" t="s">
        <v>290</v>
      </c>
      <c r="L4450" t="s">
        <v>285</v>
      </c>
      <c r="M4450" t="str">
        <f t="shared" si="301"/>
        <v>01</v>
      </c>
      <c r="N4450" t="s">
        <v>12</v>
      </c>
    </row>
    <row r="4451" spans="1:14" x14ac:dyDescent="0.25">
      <c r="A4451">
        <v>20160129</v>
      </c>
      <c r="B4451" t="str">
        <f t="shared" si="304"/>
        <v>062017</v>
      </c>
      <c r="C4451" t="str">
        <f t="shared" si="305"/>
        <v>72730</v>
      </c>
      <c r="D4451" t="s">
        <v>1926</v>
      </c>
      <c r="E4451" s="3">
        <v>900</v>
      </c>
      <c r="F4451">
        <v>20160128</v>
      </c>
      <c r="G4451" t="s">
        <v>3882</v>
      </c>
      <c r="H4451" t="s">
        <v>595</v>
      </c>
      <c r="I4451">
        <v>0</v>
      </c>
      <c r="J4451" t="s">
        <v>1709</v>
      </c>
      <c r="K4451" t="s">
        <v>290</v>
      </c>
      <c r="L4451" t="s">
        <v>285</v>
      </c>
      <c r="M4451" t="str">
        <f t="shared" si="301"/>
        <v>01</v>
      </c>
      <c r="N4451" t="s">
        <v>12</v>
      </c>
    </row>
    <row r="4452" spans="1:14" x14ac:dyDescent="0.25">
      <c r="A4452">
        <v>20160129</v>
      </c>
      <c r="B4452" t="str">
        <f>"062018"</f>
        <v>062018</v>
      </c>
      <c r="C4452" t="str">
        <f>"73610"</f>
        <v>73610</v>
      </c>
      <c r="D4452" t="s">
        <v>2578</v>
      </c>
      <c r="E4452" s="3">
        <v>349.5</v>
      </c>
      <c r="F4452">
        <v>20160128</v>
      </c>
      <c r="G4452" t="s">
        <v>1859</v>
      </c>
      <c r="H4452" t="s">
        <v>3883</v>
      </c>
      <c r="I4452">
        <v>0</v>
      </c>
      <c r="J4452" t="s">
        <v>1709</v>
      </c>
      <c r="K4452" t="s">
        <v>1861</v>
      </c>
      <c r="L4452" t="s">
        <v>285</v>
      </c>
      <c r="M4452" t="str">
        <f t="shared" si="301"/>
        <v>01</v>
      </c>
      <c r="N4452" t="s">
        <v>12</v>
      </c>
    </row>
    <row r="4453" spans="1:14" x14ac:dyDescent="0.25">
      <c r="A4453">
        <v>20160129</v>
      </c>
      <c r="B4453" t="str">
        <f>"062019"</f>
        <v>062019</v>
      </c>
      <c r="C4453" t="str">
        <f>"74351"</f>
        <v>74351</v>
      </c>
      <c r="D4453" t="s">
        <v>3884</v>
      </c>
      <c r="E4453" s="3">
        <v>345</v>
      </c>
      <c r="F4453">
        <v>20160128</v>
      </c>
      <c r="G4453" t="s">
        <v>3885</v>
      </c>
      <c r="H4453" t="s">
        <v>3886</v>
      </c>
      <c r="I4453">
        <v>0</v>
      </c>
      <c r="J4453" t="s">
        <v>1709</v>
      </c>
      <c r="K4453" t="s">
        <v>290</v>
      </c>
      <c r="L4453" t="s">
        <v>285</v>
      </c>
      <c r="M4453" t="str">
        <f t="shared" si="301"/>
        <v>01</v>
      </c>
      <c r="N4453" t="s">
        <v>12</v>
      </c>
    </row>
    <row r="4454" spans="1:14" x14ac:dyDescent="0.25">
      <c r="A4454">
        <v>20160129</v>
      </c>
      <c r="B4454" t="str">
        <f>"062019"</f>
        <v>062019</v>
      </c>
      <c r="C4454" t="str">
        <f>"74351"</f>
        <v>74351</v>
      </c>
      <c r="D4454" t="s">
        <v>3884</v>
      </c>
      <c r="E4454" s="3">
        <v>120</v>
      </c>
      <c r="F4454">
        <v>20160128</v>
      </c>
      <c r="G4454" t="s">
        <v>3885</v>
      </c>
      <c r="H4454" t="s">
        <v>3886</v>
      </c>
      <c r="I4454">
        <v>0</v>
      </c>
      <c r="J4454" t="s">
        <v>1709</v>
      </c>
      <c r="K4454" t="s">
        <v>290</v>
      </c>
      <c r="L4454" t="s">
        <v>285</v>
      </c>
      <c r="M4454" t="str">
        <f t="shared" si="301"/>
        <v>01</v>
      </c>
      <c r="N4454" t="s">
        <v>12</v>
      </c>
    </row>
    <row r="4455" spans="1:14" x14ac:dyDescent="0.25">
      <c r="A4455">
        <v>20160129</v>
      </c>
      <c r="B4455" t="str">
        <f>"062020"</f>
        <v>062020</v>
      </c>
      <c r="C4455" t="str">
        <f>"78311"</f>
        <v>78311</v>
      </c>
      <c r="D4455" t="s">
        <v>458</v>
      </c>
      <c r="E4455" s="3">
        <v>24.71</v>
      </c>
      <c r="F4455">
        <v>20160128</v>
      </c>
      <c r="G4455" t="s">
        <v>1880</v>
      </c>
      <c r="H4455" t="s">
        <v>3524</v>
      </c>
      <c r="I4455">
        <v>0</v>
      </c>
      <c r="J4455" t="s">
        <v>1709</v>
      </c>
      <c r="K4455" t="s">
        <v>1882</v>
      </c>
      <c r="L4455" t="s">
        <v>285</v>
      </c>
      <c r="M4455" t="str">
        <f t="shared" ref="M4455:M4470" si="306">"01"</f>
        <v>01</v>
      </c>
      <c r="N4455" t="s">
        <v>12</v>
      </c>
    </row>
    <row r="4456" spans="1:14" x14ac:dyDescent="0.25">
      <c r="A4456">
        <v>20160129</v>
      </c>
      <c r="B4456" t="str">
        <f>"062021"</f>
        <v>062021</v>
      </c>
      <c r="C4456" t="str">
        <f>"78726"</f>
        <v>78726</v>
      </c>
      <c r="D4456" t="s">
        <v>2772</v>
      </c>
      <c r="E4456" s="3">
        <v>1691.95</v>
      </c>
      <c r="F4456">
        <v>20160128</v>
      </c>
      <c r="G4456" t="s">
        <v>2773</v>
      </c>
      <c r="H4456" t="s">
        <v>3887</v>
      </c>
      <c r="I4456">
        <v>0</v>
      </c>
      <c r="J4456" t="s">
        <v>1709</v>
      </c>
      <c r="K4456" t="s">
        <v>2252</v>
      </c>
      <c r="L4456" t="s">
        <v>285</v>
      </c>
      <c r="M4456" t="str">
        <f t="shared" si="306"/>
        <v>01</v>
      </c>
      <c r="N4456" t="s">
        <v>12</v>
      </c>
    </row>
    <row r="4457" spans="1:14" x14ac:dyDescent="0.25">
      <c r="A4457">
        <v>20160129</v>
      </c>
      <c r="B4457" t="str">
        <f>"062022"</f>
        <v>062022</v>
      </c>
      <c r="C4457" t="str">
        <f>"80500"</f>
        <v>80500</v>
      </c>
      <c r="D4457" t="s">
        <v>2409</v>
      </c>
      <c r="E4457" s="3">
        <v>79.95</v>
      </c>
      <c r="F4457">
        <v>20160128</v>
      </c>
      <c r="G4457" t="s">
        <v>2349</v>
      </c>
      <c r="H4457" t="s">
        <v>3258</v>
      </c>
      <c r="I4457">
        <v>0</v>
      </c>
      <c r="J4457" t="s">
        <v>1709</v>
      </c>
      <c r="K4457" t="s">
        <v>1558</v>
      </c>
      <c r="L4457" t="s">
        <v>285</v>
      </c>
      <c r="M4457" t="str">
        <f t="shared" si="306"/>
        <v>01</v>
      </c>
      <c r="N4457" t="s">
        <v>12</v>
      </c>
    </row>
    <row r="4458" spans="1:14" x14ac:dyDescent="0.25">
      <c r="A4458">
        <v>20160129</v>
      </c>
      <c r="B4458" t="str">
        <f>"062024"</f>
        <v>062024</v>
      </c>
      <c r="C4458" t="str">
        <f>"82126"</f>
        <v>82126</v>
      </c>
      <c r="D4458" t="s">
        <v>1800</v>
      </c>
      <c r="E4458" s="3">
        <v>531</v>
      </c>
      <c r="F4458">
        <v>20160128</v>
      </c>
      <c r="G4458" t="s">
        <v>2040</v>
      </c>
      <c r="H4458" t="s">
        <v>3516</v>
      </c>
      <c r="I4458">
        <v>0</v>
      </c>
      <c r="J4458" t="s">
        <v>1709</v>
      </c>
      <c r="K4458" t="s">
        <v>290</v>
      </c>
      <c r="L4458" t="s">
        <v>285</v>
      </c>
      <c r="M4458" t="str">
        <f t="shared" si="306"/>
        <v>01</v>
      </c>
      <c r="N4458" t="s">
        <v>12</v>
      </c>
    </row>
    <row r="4459" spans="1:14" x14ac:dyDescent="0.25">
      <c r="A4459">
        <v>20160129</v>
      </c>
      <c r="B4459" t="str">
        <f t="shared" ref="B4459:B4470" si="307">"062026"</f>
        <v>062026</v>
      </c>
      <c r="C4459" t="str">
        <f t="shared" ref="C4459:C4470" si="308">"83022"</f>
        <v>83022</v>
      </c>
      <c r="D4459" t="s">
        <v>394</v>
      </c>
      <c r="E4459" s="3">
        <v>204.76</v>
      </c>
      <c r="F4459">
        <v>20160128</v>
      </c>
      <c r="G4459" t="s">
        <v>3888</v>
      </c>
      <c r="H4459" t="s">
        <v>3889</v>
      </c>
      <c r="I4459">
        <v>0</v>
      </c>
      <c r="J4459" t="s">
        <v>1709</v>
      </c>
      <c r="K4459" t="s">
        <v>95</v>
      </c>
      <c r="L4459" t="s">
        <v>285</v>
      </c>
      <c r="M4459" t="str">
        <f t="shared" si="306"/>
        <v>01</v>
      </c>
      <c r="N4459" t="s">
        <v>12</v>
      </c>
    </row>
    <row r="4460" spans="1:14" x14ac:dyDescent="0.25">
      <c r="A4460">
        <v>20160129</v>
      </c>
      <c r="B4460" t="str">
        <f t="shared" si="307"/>
        <v>062026</v>
      </c>
      <c r="C4460" t="str">
        <f t="shared" si="308"/>
        <v>83022</v>
      </c>
      <c r="D4460" t="s">
        <v>394</v>
      </c>
      <c r="E4460" s="3">
        <v>51.81</v>
      </c>
      <c r="F4460">
        <v>20160128</v>
      </c>
      <c r="G4460" t="s">
        <v>3888</v>
      </c>
      <c r="H4460" t="s">
        <v>3890</v>
      </c>
      <c r="I4460">
        <v>0</v>
      </c>
      <c r="J4460" t="s">
        <v>1709</v>
      </c>
      <c r="K4460" t="s">
        <v>95</v>
      </c>
      <c r="L4460" t="s">
        <v>285</v>
      </c>
      <c r="M4460" t="str">
        <f t="shared" si="306"/>
        <v>01</v>
      </c>
      <c r="N4460" t="s">
        <v>12</v>
      </c>
    </row>
    <row r="4461" spans="1:14" x14ac:dyDescent="0.25">
      <c r="A4461">
        <v>20160129</v>
      </c>
      <c r="B4461" t="str">
        <f t="shared" si="307"/>
        <v>062026</v>
      </c>
      <c r="C4461" t="str">
        <f t="shared" si="308"/>
        <v>83022</v>
      </c>
      <c r="D4461" t="s">
        <v>394</v>
      </c>
      <c r="E4461" s="3">
        <v>34.979999999999997</v>
      </c>
      <c r="F4461">
        <v>20160128</v>
      </c>
      <c r="G4461" t="s">
        <v>2168</v>
      </c>
      <c r="H4461" t="s">
        <v>2169</v>
      </c>
      <c r="I4461">
        <v>0</v>
      </c>
      <c r="J4461" t="s">
        <v>1709</v>
      </c>
      <c r="K4461" t="s">
        <v>33</v>
      </c>
      <c r="L4461" t="s">
        <v>285</v>
      </c>
      <c r="M4461" t="str">
        <f t="shared" si="306"/>
        <v>01</v>
      </c>
      <c r="N4461" t="s">
        <v>12</v>
      </c>
    </row>
    <row r="4462" spans="1:14" x14ac:dyDescent="0.25">
      <c r="A4462">
        <v>20160129</v>
      </c>
      <c r="B4462" t="str">
        <f t="shared" si="307"/>
        <v>062026</v>
      </c>
      <c r="C4462" t="str">
        <f t="shared" si="308"/>
        <v>83022</v>
      </c>
      <c r="D4462" t="s">
        <v>394</v>
      </c>
      <c r="E4462" s="3">
        <v>44.46</v>
      </c>
      <c r="F4462">
        <v>20160128</v>
      </c>
      <c r="G4462" t="s">
        <v>2168</v>
      </c>
      <c r="H4462" t="s">
        <v>2169</v>
      </c>
      <c r="I4462">
        <v>0</v>
      </c>
      <c r="J4462" t="s">
        <v>1709</v>
      </c>
      <c r="K4462" t="s">
        <v>33</v>
      </c>
      <c r="L4462" t="s">
        <v>285</v>
      </c>
      <c r="M4462" t="str">
        <f t="shared" si="306"/>
        <v>01</v>
      </c>
      <c r="N4462" t="s">
        <v>12</v>
      </c>
    </row>
    <row r="4463" spans="1:14" x14ac:dyDescent="0.25">
      <c r="A4463">
        <v>20160129</v>
      </c>
      <c r="B4463" t="str">
        <f t="shared" si="307"/>
        <v>062026</v>
      </c>
      <c r="C4463" t="str">
        <f t="shared" si="308"/>
        <v>83022</v>
      </c>
      <c r="D4463" t="s">
        <v>394</v>
      </c>
      <c r="E4463" s="3">
        <v>22.73</v>
      </c>
      <c r="F4463">
        <v>20160128</v>
      </c>
      <c r="G4463" t="s">
        <v>2226</v>
      </c>
      <c r="H4463" t="s">
        <v>2779</v>
      </c>
      <c r="I4463">
        <v>0</v>
      </c>
      <c r="J4463" t="s">
        <v>1709</v>
      </c>
      <c r="K4463" t="s">
        <v>33</v>
      </c>
      <c r="L4463" t="s">
        <v>285</v>
      </c>
      <c r="M4463" t="str">
        <f t="shared" si="306"/>
        <v>01</v>
      </c>
      <c r="N4463" t="s">
        <v>12</v>
      </c>
    </row>
    <row r="4464" spans="1:14" x14ac:dyDescent="0.25">
      <c r="A4464">
        <v>20160129</v>
      </c>
      <c r="B4464" t="str">
        <f t="shared" si="307"/>
        <v>062026</v>
      </c>
      <c r="C4464" t="str">
        <f t="shared" si="308"/>
        <v>83022</v>
      </c>
      <c r="D4464" t="s">
        <v>394</v>
      </c>
      <c r="E4464" s="3">
        <v>60.68</v>
      </c>
      <c r="F4464">
        <v>20160128</v>
      </c>
      <c r="G4464" t="s">
        <v>2226</v>
      </c>
      <c r="H4464" t="s">
        <v>2779</v>
      </c>
      <c r="I4464">
        <v>0</v>
      </c>
      <c r="J4464" t="s">
        <v>1709</v>
      </c>
      <c r="K4464" t="s">
        <v>33</v>
      </c>
      <c r="L4464" t="s">
        <v>285</v>
      </c>
      <c r="M4464" t="str">
        <f t="shared" si="306"/>
        <v>01</v>
      </c>
      <c r="N4464" t="s">
        <v>12</v>
      </c>
    </row>
    <row r="4465" spans="1:14" x14ac:dyDescent="0.25">
      <c r="A4465">
        <v>20160129</v>
      </c>
      <c r="B4465" t="str">
        <f t="shared" si="307"/>
        <v>062026</v>
      </c>
      <c r="C4465" t="str">
        <f t="shared" si="308"/>
        <v>83022</v>
      </c>
      <c r="D4465" t="s">
        <v>394</v>
      </c>
      <c r="E4465" s="3">
        <v>11.36</v>
      </c>
      <c r="F4465">
        <v>20160128</v>
      </c>
      <c r="G4465" t="s">
        <v>2100</v>
      </c>
      <c r="H4465" t="s">
        <v>2779</v>
      </c>
      <c r="I4465">
        <v>0</v>
      </c>
      <c r="J4465" t="s">
        <v>1709</v>
      </c>
      <c r="K4465" t="s">
        <v>33</v>
      </c>
      <c r="L4465" t="s">
        <v>285</v>
      </c>
      <c r="M4465" t="str">
        <f t="shared" si="306"/>
        <v>01</v>
      </c>
      <c r="N4465" t="s">
        <v>12</v>
      </c>
    </row>
    <row r="4466" spans="1:14" x14ac:dyDescent="0.25">
      <c r="A4466">
        <v>20160129</v>
      </c>
      <c r="B4466" t="str">
        <f t="shared" si="307"/>
        <v>062026</v>
      </c>
      <c r="C4466" t="str">
        <f t="shared" si="308"/>
        <v>83022</v>
      </c>
      <c r="D4466" t="s">
        <v>394</v>
      </c>
      <c r="E4466" s="3">
        <v>68.89</v>
      </c>
      <c r="F4466">
        <v>20160128</v>
      </c>
      <c r="G4466" t="s">
        <v>1974</v>
      </c>
      <c r="H4466" t="s">
        <v>2169</v>
      </c>
      <c r="I4466">
        <v>0</v>
      </c>
      <c r="J4466" t="s">
        <v>1709</v>
      </c>
      <c r="K4466" t="s">
        <v>290</v>
      </c>
      <c r="L4466" t="s">
        <v>285</v>
      </c>
      <c r="M4466" t="str">
        <f t="shared" si="306"/>
        <v>01</v>
      </c>
      <c r="N4466" t="s">
        <v>12</v>
      </c>
    </row>
    <row r="4467" spans="1:14" x14ac:dyDescent="0.25">
      <c r="A4467">
        <v>20160129</v>
      </c>
      <c r="B4467" t="str">
        <f t="shared" si="307"/>
        <v>062026</v>
      </c>
      <c r="C4467" t="str">
        <f t="shared" si="308"/>
        <v>83022</v>
      </c>
      <c r="D4467" t="s">
        <v>394</v>
      </c>
      <c r="E4467" s="3">
        <v>31.08</v>
      </c>
      <c r="F4467">
        <v>20160128</v>
      </c>
      <c r="G4467" t="s">
        <v>2275</v>
      </c>
      <c r="H4467" t="s">
        <v>595</v>
      </c>
      <c r="I4467">
        <v>0</v>
      </c>
      <c r="J4467" t="s">
        <v>1709</v>
      </c>
      <c r="K4467" t="s">
        <v>95</v>
      </c>
      <c r="L4467" t="s">
        <v>285</v>
      </c>
      <c r="M4467" t="str">
        <f t="shared" si="306"/>
        <v>01</v>
      </c>
      <c r="N4467" t="s">
        <v>12</v>
      </c>
    </row>
    <row r="4468" spans="1:14" x14ac:dyDescent="0.25">
      <c r="A4468">
        <v>20160129</v>
      </c>
      <c r="B4468" t="str">
        <f t="shared" si="307"/>
        <v>062026</v>
      </c>
      <c r="C4468" t="str">
        <f t="shared" si="308"/>
        <v>83022</v>
      </c>
      <c r="D4468" t="s">
        <v>394</v>
      </c>
      <c r="E4468" s="3">
        <v>14.27</v>
      </c>
      <c r="F4468">
        <v>20160128</v>
      </c>
      <c r="G4468" t="s">
        <v>2795</v>
      </c>
      <c r="H4468" t="s">
        <v>3196</v>
      </c>
      <c r="I4468">
        <v>0</v>
      </c>
      <c r="J4468" t="s">
        <v>1709</v>
      </c>
      <c r="K4468" t="s">
        <v>95</v>
      </c>
      <c r="L4468" t="s">
        <v>285</v>
      </c>
      <c r="M4468" t="str">
        <f t="shared" si="306"/>
        <v>01</v>
      </c>
      <c r="N4468" t="s">
        <v>12</v>
      </c>
    </row>
    <row r="4469" spans="1:14" x14ac:dyDescent="0.25">
      <c r="A4469">
        <v>20160129</v>
      </c>
      <c r="B4469" t="str">
        <f t="shared" si="307"/>
        <v>062026</v>
      </c>
      <c r="C4469" t="str">
        <f t="shared" si="308"/>
        <v>83022</v>
      </c>
      <c r="D4469" t="s">
        <v>394</v>
      </c>
      <c r="E4469" s="3">
        <v>62.85</v>
      </c>
      <c r="F4469">
        <v>20160128</v>
      </c>
      <c r="G4469" t="s">
        <v>2172</v>
      </c>
      <c r="H4469" t="s">
        <v>595</v>
      </c>
      <c r="I4469">
        <v>0</v>
      </c>
      <c r="J4469" t="s">
        <v>1709</v>
      </c>
      <c r="K4469" t="s">
        <v>95</v>
      </c>
      <c r="L4469" t="s">
        <v>285</v>
      </c>
      <c r="M4469" t="str">
        <f t="shared" si="306"/>
        <v>01</v>
      </c>
      <c r="N4469" t="s">
        <v>12</v>
      </c>
    </row>
    <row r="4470" spans="1:14" x14ac:dyDescent="0.25">
      <c r="A4470">
        <v>20160129</v>
      </c>
      <c r="B4470" t="str">
        <f t="shared" si="307"/>
        <v>062026</v>
      </c>
      <c r="C4470" t="str">
        <f t="shared" si="308"/>
        <v>83022</v>
      </c>
      <c r="D4470" t="s">
        <v>394</v>
      </c>
      <c r="E4470" s="3">
        <v>29.86</v>
      </c>
      <c r="F4470">
        <v>20160128</v>
      </c>
      <c r="G4470" t="s">
        <v>2172</v>
      </c>
      <c r="H4470" t="s">
        <v>595</v>
      </c>
      <c r="I4470">
        <v>0</v>
      </c>
      <c r="J4470" t="s">
        <v>1709</v>
      </c>
      <c r="K4470" t="s">
        <v>95</v>
      </c>
      <c r="L4470" t="s">
        <v>285</v>
      </c>
      <c r="M4470" t="str">
        <f t="shared" si="306"/>
        <v>01</v>
      </c>
      <c r="N4470" t="s">
        <v>12</v>
      </c>
    </row>
    <row r="4471" spans="1:14" x14ac:dyDescent="0.25">
      <c r="A4471">
        <v>20160203</v>
      </c>
      <c r="B4471" t="str">
        <f>"062031"</f>
        <v>062031</v>
      </c>
      <c r="C4471" t="str">
        <f>"31294"</f>
        <v>31294</v>
      </c>
      <c r="D4471" t="s">
        <v>3829</v>
      </c>
      <c r="E4471" s="3">
        <v>360</v>
      </c>
      <c r="F4471">
        <v>20160203</v>
      </c>
      <c r="G4471" t="s">
        <v>1707</v>
      </c>
      <c r="H4471" t="s">
        <v>1708</v>
      </c>
      <c r="I4471">
        <v>0</v>
      </c>
      <c r="J4471" t="s">
        <v>1709</v>
      </c>
      <c r="K4471" t="s">
        <v>290</v>
      </c>
      <c r="L4471" t="s">
        <v>17</v>
      </c>
      <c r="M4471" t="str">
        <f t="shared" ref="M4471:M4534" si="309">"02"</f>
        <v>02</v>
      </c>
      <c r="N4471" t="s">
        <v>12</v>
      </c>
    </row>
    <row r="4472" spans="1:14" x14ac:dyDescent="0.25">
      <c r="A4472">
        <v>20160205</v>
      </c>
      <c r="B4472" t="str">
        <f>"062181"</f>
        <v>062181</v>
      </c>
      <c r="C4472" t="str">
        <f>"07699"</f>
        <v>07699</v>
      </c>
      <c r="D4472" t="s">
        <v>2822</v>
      </c>
      <c r="E4472" s="3">
        <v>444.66</v>
      </c>
      <c r="F4472">
        <v>20160203</v>
      </c>
      <c r="G4472" t="s">
        <v>2339</v>
      </c>
      <c r="H4472" t="s">
        <v>3719</v>
      </c>
      <c r="I4472">
        <v>0</v>
      </c>
      <c r="J4472" t="s">
        <v>1709</v>
      </c>
      <c r="K4472" t="s">
        <v>290</v>
      </c>
      <c r="L4472" t="s">
        <v>285</v>
      </c>
      <c r="M4472" t="str">
        <f t="shared" si="309"/>
        <v>02</v>
      </c>
      <c r="N4472" t="s">
        <v>12</v>
      </c>
    </row>
    <row r="4473" spans="1:14" x14ac:dyDescent="0.25">
      <c r="A4473">
        <v>20160205</v>
      </c>
      <c r="B4473" t="str">
        <f t="shared" ref="B4473:B4504" si="310">"062183"</f>
        <v>062183</v>
      </c>
      <c r="C4473" t="str">
        <f t="shared" ref="C4473:C4504" si="311">"09170"</f>
        <v>09170</v>
      </c>
      <c r="D4473" t="s">
        <v>596</v>
      </c>
      <c r="E4473" s="3">
        <v>36.96</v>
      </c>
      <c r="F4473">
        <v>20160203</v>
      </c>
      <c r="G4473" t="s">
        <v>3888</v>
      </c>
      <c r="H4473" t="s">
        <v>3891</v>
      </c>
      <c r="I4473">
        <v>0</v>
      </c>
      <c r="J4473" t="s">
        <v>1709</v>
      </c>
      <c r="K4473" t="s">
        <v>95</v>
      </c>
      <c r="L4473" t="s">
        <v>285</v>
      </c>
      <c r="M4473" t="str">
        <f t="shared" si="309"/>
        <v>02</v>
      </c>
      <c r="N4473" t="s">
        <v>12</v>
      </c>
    </row>
    <row r="4474" spans="1:14" x14ac:dyDescent="0.25">
      <c r="A4474">
        <v>20160205</v>
      </c>
      <c r="B4474" t="str">
        <f t="shared" si="310"/>
        <v>062183</v>
      </c>
      <c r="C4474" t="str">
        <f t="shared" si="311"/>
        <v>09170</v>
      </c>
      <c r="D4474" t="s">
        <v>596</v>
      </c>
      <c r="E4474" s="3">
        <v>390</v>
      </c>
      <c r="F4474">
        <v>20160203</v>
      </c>
      <c r="G4474" t="s">
        <v>3892</v>
      </c>
      <c r="H4474" t="s">
        <v>3893</v>
      </c>
      <c r="I4474">
        <v>0</v>
      </c>
      <c r="J4474" t="s">
        <v>1709</v>
      </c>
      <c r="K4474" t="s">
        <v>290</v>
      </c>
      <c r="L4474" t="s">
        <v>285</v>
      </c>
      <c r="M4474" t="str">
        <f t="shared" si="309"/>
        <v>02</v>
      </c>
      <c r="N4474" t="s">
        <v>12</v>
      </c>
    </row>
    <row r="4475" spans="1:14" x14ac:dyDescent="0.25">
      <c r="A4475">
        <v>20160205</v>
      </c>
      <c r="B4475" t="str">
        <f t="shared" si="310"/>
        <v>062183</v>
      </c>
      <c r="C4475" t="str">
        <f t="shared" si="311"/>
        <v>09170</v>
      </c>
      <c r="D4475" t="s">
        <v>596</v>
      </c>
      <c r="E4475" s="3">
        <v>41.4</v>
      </c>
      <c r="F4475">
        <v>20160203</v>
      </c>
      <c r="G4475" t="s">
        <v>2333</v>
      </c>
      <c r="H4475" t="s">
        <v>3894</v>
      </c>
      <c r="I4475">
        <v>0</v>
      </c>
      <c r="J4475" t="s">
        <v>1709</v>
      </c>
      <c r="K4475" t="s">
        <v>290</v>
      </c>
      <c r="L4475" t="s">
        <v>285</v>
      </c>
      <c r="M4475" t="str">
        <f t="shared" si="309"/>
        <v>02</v>
      </c>
      <c r="N4475" t="s">
        <v>12</v>
      </c>
    </row>
    <row r="4476" spans="1:14" x14ac:dyDescent="0.25">
      <c r="A4476">
        <v>20160205</v>
      </c>
      <c r="B4476" t="str">
        <f t="shared" si="310"/>
        <v>062183</v>
      </c>
      <c r="C4476" t="str">
        <f t="shared" si="311"/>
        <v>09170</v>
      </c>
      <c r="D4476" t="s">
        <v>596</v>
      </c>
      <c r="E4476" s="3">
        <v>1943.1</v>
      </c>
      <c r="F4476">
        <v>20160203</v>
      </c>
      <c r="G4476" t="s">
        <v>3895</v>
      </c>
      <c r="H4476" t="s">
        <v>3896</v>
      </c>
      <c r="I4476">
        <v>0</v>
      </c>
      <c r="J4476" t="s">
        <v>1709</v>
      </c>
      <c r="K4476" t="s">
        <v>95</v>
      </c>
      <c r="L4476" t="s">
        <v>285</v>
      </c>
      <c r="M4476" t="str">
        <f t="shared" si="309"/>
        <v>02</v>
      </c>
      <c r="N4476" t="s">
        <v>12</v>
      </c>
    </row>
    <row r="4477" spans="1:14" x14ac:dyDescent="0.25">
      <c r="A4477">
        <v>20160205</v>
      </c>
      <c r="B4477" t="str">
        <f t="shared" si="310"/>
        <v>062183</v>
      </c>
      <c r="C4477" t="str">
        <f t="shared" si="311"/>
        <v>09170</v>
      </c>
      <c r="D4477" t="s">
        <v>596</v>
      </c>
      <c r="E4477" s="3">
        <v>325</v>
      </c>
      <c r="F4477">
        <v>20160203</v>
      </c>
      <c r="G4477" t="s">
        <v>2585</v>
      </c>
      <c r="H4477" t="s">
        <v>3897</v>
      </c>
      <c r="I4477">
        <v>0</v>
      </c>
      <c r="J4477" t="s">
        <v>1709</v>
      </c>
      <c r="K4477" t="s">
        <v>290</v>
      </c>
      <c r="L4477" t="s">
        <v>285</v>
      </c>
      <c r="M4477" t="str">
        <f t="shared" si="309"/>
        <v>02</v>
      </c>
      <c r="N4477" t="s">
        <v>12</v>
      </c>
    </row>
    <row r="4478" spans="1:14" x14ac:dyDescent="0.25">
      <c r="A4478">
        <v>20160205</v>
      </c>
      <c r="B4478" t="str">
        <f t="shared" si="310"/>
        <v>062183</v>
      </c>
      <c r="C4478" t="str">
        <f t="shared" si="311"/>
        <v>09170</v>
      </c>
      <c r="D4478" t="s">
        <v>596</v>
      </c>
      <c r="E4478" s="3">
        <v>315</v>
      </c>
      <c r="F4478">
        <v>20160203</v>
      </c>
      <c r="G4478" t="s">
        <v>3898</v>
      </c>
      <c r="H4478" t="s">
        <v>3897</v>
      </c>
      <c r="I4478">
        <v>0</v>
      </c>
      <c r="J4478" t="s">
        <v>1709</v>
      </c>
      <c r="K4478" t="s">
        <v>95</v>
      </c>
      <c r="L4478" t="s">
        <v>285</v>
      </c>
      <c r="M4478" t="str">
        <f t="shared" si="309"/>
        <v>02</v>
      </c>
      <c r="N4478" t="s">
        <v>12</v>
      </c>
    </row>
    <row r="4479" spans="1:14" x14ac:dyDescent="0.25">
      <c r="A4479">
        <v>20160205</v>
      </c>
      <c r="B4479" t="str">
        <f t="shared" si="310"/>
        <v>062183</v>
      </c>
      <c r="C4479" t="str">
        <f t="shared" si="311"/>
        <v>09170</v>
      </c>
      <c r="D4479" t="s">
        <v>596</v>
      </c>
      <c r="E4479" s="3">
        <v>335</v>
      </c>
      <c r="F4479">
        <v>20160203</v>
      </c>
      <c r="G4479" t="s">
        <v>3899</v>
      </c>
      <c r="H4479" t="s">
        <v>3897</v>
      </c>
      <c r="I4479">
        <v>0</v>
      </c>
      <c r="J4479" t="s">
        <v>1709</v>
      </c>
      <c r="K4479" t="s">
        <v>1643</v>
      </c>
      <c r="L4479" t="s">
        <v>285</v>
      </c>
      <c r="M4479" t="str">
        <f t="shared" si="309"/>
        <v>02</v>
      </c>
      <c r="N4479" t="s">
        <v>12</v>
      </c>
    </row>
    <row r="4480" spans="1:14" x14ac:dyDescent="0.25">
      <c r="A4480">
        <v>20160205</v>
      </c>
      <c r="B4480" t="str">
        <f t="shared" si="310"/>
        <v>062183</v>
      </c>
      <c r="C4480" t="str">
        <f t="shared" si="311"/>
        <v>09170</v>
      </c>
      <c r="D4480" t="s">
        <v>596</v>
      </c>
      <c r="E4480" s="3">
        <v>335</v>
      </c>
      <c r="F4480">
        <v>20160203</v>
      </c>
      <c r="G4480" t="s">
        <v>3064</v>
      </c>
      <c r="H4480" t="s">
        <v>3897</v>
      </c>
      <c r="I4480">
        <v>0</v>
      </c>
      <c r="J4480" t="s">
        <v>1709</v>
      </c>
      <c r="K4480" t="s">
        <v>33</v>
      </c>
      <c r="L4480" t="s">
        <v>285</v>
      </c>
      <c r="M4480" t="str">
        <f t="shared" si="309"/>
        <v>02</v>
      </c>
      <c r="N4480" t="s">
        <v>12</v>
      </c>
    </row>
    <row r="4481" spans="1:14" x14ac:dyDescent="0.25">
      <c r="A4481">
        <v>20160205</v>
      </c>
      <c r="B4481" t="str">
        <f t="shared" si="310"/>
        <v>062183</v>
      </c>
      <c r="C4481" t="str">
        <f t="shared" si="311"/>
        <v>09170</v>
      </c>
      <c r="D4481" t="s">
        <v>596</v>
      </c>
      <c r="E4481" s="3">
        <v>160</v>
      </c>
      <c r="F4481">
        <v>20160203</v>
      </c>
      <c r="G4481" t="s">
        <v>1794</v>
      </c>
      <c r="H4481" t="s">
        <v>3900</v>
      </c>
      <c r="I4481">
        <v>0</v>
      </c>
      <c r="J4481" t="s">
        <v>1709</v>
      </c>
      <c r="K4481" t="s">
        <v>290</v>
      </c>
      <c r="L4481" t="s">
        <v>285</v>
      </c>
      <c r="M4481" t="str">
        <f t="shared" si="309"/>
        <v>02</v>
      </c>
      <c r="N4481" t="s">
        <v>12</v>
      </c>
    </row>
    <row r="4482" spans="1:14" x14ac:dyDescent="0.25">
      <c r="A4482">
        <v>20160205</v>
      </c>
      <c r="B4482" t="str">
        <f t="shared" si="310"/>
        <v>062183</v>
      </c>
      <c r="C4482" t="str">
        <f t="shared" si="311"/>
        <v>09170</v>
      </c>
      <c r="D4482" t="s">
        <v>596</v>
      </c>
      <c r="E4482" s="3">
        <v>27.72</v>
      </c>
      <c r="F4482">
        <v>20160203</v>
      </c>
      <c r="G4482" t="s">
        <v>2339</v>
      </c>
      <c r="H4482" t="s">
        <v>3901</v>
      </c>
      <c r="I4482">
        <v>0</v>
      </c>
      <c r="J4482" t="s">
        <v>1709</v>
      </c>
      <c r="K4482" t="s">
        <v>290</v>
      </c>
      <c r="L4482" t="s">
        <v>285</v>
      </c>
      <c r="M4482" t="str">
        <f t="shared" si="309"/>
        <v>02</v>
      </c>
      <c r="N4482" t="s">
        <v>12</v>
      </c>
    </row>
    <row r="4483" spans="1:14" x14ac:dyDescent="0.25">
      <c r="A4483">
        <v>20160205</v>
      </c>
      <c r="B4483" t="str">
        <f t="shared" si="310"/>
        <v>062183</v>
      </c>
      <c r="C4483" t="str">
        <f t="shared" si="311"/>
        <v>09170</v>
      </c>
      <c r="D4483" t="s">
        <v>596</v>
      </c>
      <c r="E4483" s="3">
        <v>34</v>
      </c>
      <c r="F4483">
        <v>20160203</v>
      </c>
      <c r="G4483" t="s">
        <v>2339</v>
      </c>
      <c r="H4483" t="s">
        <v>3902</v>
      </c>
      <c r="I4483">
        <v>0</v>
      </c>
      <c r="J4483" t="s">
        <v>1709</v>
      </c>
      <c r="K4483" t="s">
        <v>290</v>
      </c>
      <c r="L4483" t="s">
        <v>285</v>
      </c>
      <c r="M4483" t="str">
        <f t="shared" si="309"/>
        <v>02</v>
      </c>
      <c r="N4483" t="s">
        <v>12</v>
      </c>
    </row>
    <row r="4484" spans="1:14" x14ac:dyDescent="0.25">
      <c r="A4484">
        <v>20160205</v>
      </c>
      <c r="B4484" t="str">
        <f t="shared" si="310"/>
        <v>062183</v>
      </c>
      <c r="C4484" t="str">
        <f t="shared" si="311"/>
        <v>09170</v>
      </c>
      <c r="D4484" t="s">
        <v>596</v>
      </c>
      <c r="E4484" s="3">
        <v>500.5</v>
      </c>
      <c r="F4484">
        <v>20160203</v>
      </c>
      <c r="G4484" t="s">
        <v>2339</v>
      </c>
      <c r="H4484" t="s">
        <v>3903</v>
      </c>
      <c r="I4484">
        <v>0</v>
      </c>
      <c r="J4484" t="s">
        <v>1709</v>
      </c>
      <c r="K4484" t="s">
        <v>290</v>
      </c>
      <c r="L4484" t="s">
        <v>285</v>
      </c>
      <c r="M4484" t="str">
        <f t="shared" si="309"/>
        <v>02</v>
      </c>
      <c r="N4484" t="s">
        <v>12</v>
      </c>
    </row>
    <row r="4485" spans="1:14" x14ac:dyDescent="0.25">
      <c r="A4485">
        <v>20160205</v>
      </c>
      <c r="B4485" t="str">
        <f t="shared" si="310"/>
        <v>062183</v>
      </c>
      <c r="C4485" t="str">
        <f t="shared" si="311"/>
        <v>09170</v>
      </c>
      <c r="D4485" t="s">
        <v>596</v>
      </c>
      <c r="E4485" s="3">
        <v>11.97</v>
      </c>
      <c r="F4485">
        <v>20160203</v>
      </c>
      <c r="G4485" t="s">
        <v>2339</v>
      </c>
      <c r="H4485" t="s">
        <v>3904</v>
      </c>
      <c r="I4485">
        <v>0</v>
      </c>
      <c r="J4485" t="s">
        <v>1709</v>
      </c>
      <c r="K4485" t="s">
        <v>290</v>
      </c>
      <c r="L4485" t="s">
        <v>285</v>
      </c>
      <c r="M4485" t="str">
        <f t="shared" si="309"/>
        <v>02</v>
      </c>
      <c r="N4485" t="s">
        <v>12</v>
      </c>
    </row>
    <row r="4486" spans="1:14" x14ac:dyDescent="0.25">
      <c r="A4486">
        <v>20160205</v>
      </c>
      <c r="B4486" t="str">
        <f t="shared" si="310"/>
        <v>062183</v>
      </c>
      <c r="C4486" t="str">
        <f t="shared" si="311"/>
        <v>09170</v>
      </c>
      <c r="D4486" t="s">
        <v>596</v>
      </c>
      <c r="E4486" s="3">
        <v>44.66</v>
      </c>
      <c r="F4486">
        <v>20160203</v>
      </c>
      <c r="G4486" t="s">
        <v>2339</v>
      </c>
      <c r="H4486" t="s">
        <v>3905</v>
      </c>
      <c r="I4486">
        <v>0</v>
      </c>
      <c r="J4486" t="s">
        <v>1709</v>
      </c>
      <c r="K4486" t="s">
        <v>290</v>
      </c>
      <c r="L4486" t="s">
        <v>285</v>
      </c>
      <c r="M4486" t="str">
        <f t="shared" si="309"/>
        <v>02</v>
      </c>
      <c r="N4486" t="s">
        <v>12</v>
      </c>
    </row>
    <row r="4487" spans="1:14" x14ac:dyDescent="0.25">
      <c r="A4487">
        <v>20160205</v>
      </c>
      <c r="B4487" t="str">
        <f t="shared" si="310"/>
        <v>062183</v>
      </c>
      <c r="C4487" t="str">
        <f t="shared" si="311"/>
        <v>09170</v>
      </c>
      <c r="D4487" t="s">
        <v>596</v>
      </c>
      <c r="E4487" s="3">
        <v>300</v>
      </c>
      <c r="F4487">
        <v>20160203</v>
      </c>
      <c r="G4487" t="s">
        <v>3478</v>
      </c>
      <c r="H4487" t="s">
        <v>3906</v>
      </c>
      <c r="I4487">
        <v>0</v>
      </c>
      <c r="J4487" t="s">
        <v>1709</v>
      </c>
      <c r="K4487" t="s">
        <v>290</v>
      </c>
      <c r="L4487" t="s">
        <v>285</v>
      </c>
      <c r="M4487" t="str">
        <f t="shared" si="309"/>
        <v>02</v>
      </c>
      <c r="N4487" t="s">
        <v>12</v>
      </c>
    </row>
    <row r="4488" spans="1:14" x14ac:dyDescent="0.25">
      <c r="A4488">
        <v>20160205</v>
      </c>
      <c r="B4488" t="str">
        <f t="shared" si="310"/>
        <v>062183</v>
      </c>
      <c r="C4488" t="str">
        <f t="shared" si="311"/>
        <v>09170</v>
      </c>
      <c r="D4488" t="s">
        <v>596</v>
      </c>
      <c r="E4488" s="3">
        <v>290</v>
      </c>
      <c r="F4488">
        <v>20160203</v>
      </c>
      <c r="G4488" t="s">
        <v>1880</v>
      </c>
      <c r="H4488" t="s">
        <v>3524</v>
      </c>
      <c r="I4488">
        <v>0</v>
      </c>
      <c r="J4488" t="s">
        <v>1709</v>
      </c>
      <c r="K4488" t="s">
        <v>1882</v>
      </c>
      <c r="L4488" t="s">
        <v>285</v>
      </c>
      <c r="M4488" t="str">
        <f t="shared" si="309"/>
        <v>02</v>
      </c>
      <c r="N4488" t="s">
        <v>12</v>
      </c>
    </row>
    <row r="4489" spans="1:14" x14ac:dyDescent="0.25">
      <c r="A4489">
        <v>20160205</v>
      </c>
      <c r="B4489" t="str">
        <f t="shared" si="310"/>
        <v>062183</v>
      </c>
      <c r="C4489" t="str">
        <f t="shared" si="311"/>
        <v>09170</v>
      </c>
      <c r="D4489" t="s">
        <v>596</v>
      </c>
      <c r="E4489" s="3">
        <v>16.53</v>
      </c>
      <c r="F4489">
        <v>20160203</v>
      </c>
      <c r="G4489" t="s">
        <v>1916</v>
      </c>
      <c r="H4489" t="s">
        <v>3907</v>
      </c>
      <c r="I4489">
        <v>0</v>
      </c>
      <c r="J4489" t="s">
        <v>1709</v>
      </c>
      <c r="K4489" t="s">
        <v>1782</v>
      </c>
      <c r="L4489" t="s">
        <v>285</v>
      </c>
      <c r="M4489" t="str">
        <f t="shared" si="309"/>
        <v>02</v>
      </c>
      <c r="N4489" t="s">
        <v>12</v>
      </c>
    </row>
    <row r="4490" spans="1:14" x14ac:dyDescent="0.25">
      <c r="A4490">
        <v>20160205</v>
      </c>
      <c r="B4490" t="str">
        <f t="shared" si="310"/>
        <v>062183</v>
      </c>
      <c r="C4490" t="str">
        <f t="shared" si="311"/>
        <v>09170</v>
      </c>
      <c r="D4490" t="s">
        <v>596</v>
      </c>
      <c r="E4490" s="3">
        <v>29</v>
      </c>
      <c r="F4490">
        <v>20160203</v>
      </c>
      <c r="G4490" t="s">
        <v>1916</v>
      </c>
      <c r="H4490" t="s">
        <v>3907</v>
      </c>
      <c r="I4490">
        <v>0</v>
      </c>
      <c r="J4490" t="s">
        <v>1709</v>
      </c>
      <c r="K4490" t="s">
        <v>1782</v>
      </c>
      <c r="L4490" t="s">
        <v>285</v>
      </c>
      <c r="M4490" t="str">
        <f t="shared" si="309"/>
        <v>02</v>
      </c>
      <c r="N4490" t="s">
        <v>12</v>
      </c>
    </row>
    <row r="4491" spans="1:14" x14ac:dyDescent="0.25">
      <c r="A4491">
        <v>20160205</v>
      </c>
      <c r="B4491" t="str">
        <f t="shared" si="310"/>
        <v>062183</v>
      </c>
      <c r="C4491" t="str">
        <f t="shared" si="311"/>
        <v>09170</v>
      </c>
      <c r="D4491" t="s">
        <v>596</v>
      </c>
      <c r="E4491" s="3">
        <v>292.32</v>
      </c>
      <c r="F4491">
        <v>20160203</v>
      </c>
      <c r="G4491" t="s">
        <v>3908</v>
      </c>
      <c r="H4491" t="s">
        <v>3909</v>
      </c>
      <c r="I4491">
        <v>0</v>
      </c>
      <c r="J4491" t="s">
        <v>1709</v>
      </c>
      <c r="K4491" t="s">
        <v>1861</v>
      </c>
      <c r="L4491" t="s">
        <v>285</v>
      </c>
      <c r="M4491" t="str">
        <f t="shared" si="309"/>
        <v>02</v>
      </c>
      <c r="N4491" t="s">
        <v>12</v>
      </c>
    </row>
    <row r="4492" spans="1:14" x14ac:dyDescent="0.25">
      <c r="A4492">
        <v>20160205</v>
      </c>
      <c r="B4492" t="str">
        <f t="shared" si="310"/>
        <v>062183</v>
      </c>
      <c r="C4492" t="str">
        <f t="shared" si="311"/>
        <v>09170</v>
      </c>
      <c r="D4492" t="s">
        <v>596</v>
      </c>
      <c r="E4492" s="3">
        <v>7.56</v>
      </c>
      <c r="F4492">
        <v>20160203</v>
      </c>
      <c r="G4492" t="s">
        <v>2074</v>
      </c>
      <c r="H4492" t="s">
        <v>3910</v>
      </c>
      <c r="I4492">
        <v>0</v>
      </c>
      <c r="J4492" t="s">
        <v>1709</v>
      </c>
      <c r="K4492" t="s">
        <v>1861</v>
      </c>
      <c r="L4492" t="s">
        <v>285</v>
      </c>
      <c r="M4492" t="str">
        <f t="shared" si="309"/>
        <v>02</v>
      </c>
      <c r="N4492" t="s">
        <v>12</v>
      </c>
    </row>
    <row r="4493" spans="1:14" x14ac:dyDescent="0.25">
      <c r="A4493">
        <v>20160205</v>
      </c>
      <c r="B4493" t="str">
        <f t="shared" si="310"/>
        <v>062183</v>
      </c>
      <c r="C4493" t="str">
        <f t="shared" si="311"/>
        <v>09170</v>
      </c>
      <c r="D4493" t="s">
        <v>596</v>
      </c>
      <c r="E4493" s="3">
        <v>224.58</v>
      </c>
      <c r="F4493">
        <v>20160203</v>
      </c>
      <c r="G4493" t="s">
        <v>1859</v>
      </c>
      <c r="H4493" t="s">
        <v>2295</v>
      </c>
      <c r="I4493">
        <v>0</v>
      </c>
      <c r="J4493" t="s">
        <v>1709</v>
      </c>
      <c r="K4493" t="s">
        <v>1861</v>
      </c>
      <c r="L4493" t="s">
        <v>285</v>
      </c>
      <c r="M4493" t="str">
        <f t="shared" si="309"/>
        <v>02</v>
      </c>
      <c r="N4493" t="s">
        <v>12</v>
      </c>
    </row>
    <row r="4494" spans="1:14" x14ac:dyDescent="0.25">
      <c r="A4494">
        <v>20160205</v>
      </c>
      <c r="B4494" t="str">
        <f t="shared" si="310"/>
        <v>062183</v>
      </c>
      <c r="C4494" t="str">
        <f t="shared" si="311"/>
        <v>09170</v>
      </c>
      <c r="D4494" t="s">
        <v>596</v>
      </c>
      <c r="E4494" s="3">
        <v>6.98</v>
      </c>
      <c r="F4494">
        <v>20160203</v>
      </c>
      <c r="G4494" t="s">
        <v>1859</v>
      </c>
      <c r="H4494" t="s">
        <v>3911</v>
      </c>
      <c r="I4494">
        <v>0</v>
      </c>
      <c r="J4494" t="s">
        <v>1709</v>
      </c>
      <c r="K4494" t="s">
        <v>1861</v>
      </c>
      <c r="L4494" t="s">
        <v>285</v>
      </c>
      <c r="M4494" t="str">
        <f t="shared" si="309"/>
        <v>02</v>
      </c>
      <c r="N4494" t="s">
        <v>12</v>
      </c>
    </row>
    <row r="4495" spans="1:14" x14ac:dyDescent="0.25">
      <c r="A4495">
        <v>20160205</v>
      </c>
      <c r="B4495" t="str">
        <f t="shared" si="310"/>
        <v>062183</v>
      </c>
      <c r="C4495" t="str">
        <f t="shared" si="311"/>
        <v>09170</v>
      </c>
      <c r="D4495" t="s">
        <v>596</v>
      </c>
      <c r="E4495" s="3">
        <v>36.49</v>
      </c>
      <c r="F4495">
        <v>20160203</v>
      </c>
      <c r="G4495" t="s">
        <v>1859</v>
      </c>
      <c r="H4495" t="s">
        <v>2295</v>
      </c>
      <c r="I4495">
        <v>0</v>
      </c>
      <c r="J4495" t="s">
        <v>1709</v>
      </c>
      <c r="K4495" t="s">
        <v>1861</v>
      </c>
      <c r="L4495" t="s">
        <v>285</v>
      </c>
      <c r="M4495" t="str">
        <f t="shared" si="309"/>
        <v>02</v>
      </c>
      <c r="N4495" t="s">
        <v>12</v>
      </c>
    </row>
    <row r="4496" spans="1:14" x14ac:dyDescent="0.25">
      <c r="A4496">
        <v>20160205</v>
      </c>
      <c r="B4496" t="str">
        <f t="shared" si="310"/>
        <v>062183</v>
      </c>
      <c r="C4496" t="str">
        <f t="shared" si="311"/>
        <v>09170</v>
      </c>
      <c r="D4496" t="s">
        <v>596</v>
      </c>
      <c r="E4496" s="3">
        <v>32</v>
      </c>
      <c r="F4496">
        <v>20160203</v>
      </c>
      <c r="G4496" t="s">
        <v>3912</v>
      </c>
      <c r="H4496" t="s">
        <v>3913</v>
      </c>
      <c r="I4496">
        <v>0</v>
      </c>
      <c r="J4496" t="s">
        <v>1709</v>
      </c>
      <c r="K4496" t="s">
        <v>1861</v>
      </c>
      <c r="L4496" t="s">
        <v>285</v>
      </c>
      <c r="M4496" t="str">
        <f t="shared" si="309"/>
        <v>02</v>
      </c>
      <c r="N4496" t="s">
        <v>12</v>
      </c>
    </row>
    <row r="4497" spans="1:14" x14ac:dyDescent="0.25">
      <c r="A4497">
        <v>20160205</v>
      </c>
      <c r="B4497" t="str">
        <f t="shared" si="310"/>
        <v>062183</v>
      </c>
      <c r="C4497" t="str">
        <f t="shared" si="311"/>
        <v>09170</v>
      </c>
      <c r="D4497" t="s">
        <v>596</v>
      </c>
      <c r="E4497" s="3">
        <v>305.24</v>
      </c>
      <c r="F4497">
        <v>20160203</v>
      </c>
      <c r="G4497" t="s">
        <v>2583</v>
      </c>
      <c r="H4497" t="s">
        <v>3914</v>
      </c>
      <c r="I4497">
        <v>0</v>
      </c>
      <c r="J4497" t="s">
        <v>1709</v>
      </c>
      <c r="K4497" t="s">
        <v>1861</v>
      </c>
      <c r="L4497" t="s">
        <v>285</v>
      </c>
      <c r="M4497" t="str">
        <f t="shared" si="309"/>
        <v>02</v>
      </c>
      <c r="N4497" t="s">
        <v>12</v>
      </c>
    </row>
    <row r="4498" spans="1:14" x14ac:dyDescent="0.25">
      <c r="A4498">
        <v>20160205</v>
      </c>
      <c r="B4498" t="str">
        <f t="shared" si="310"/>
        <v>062183</v>
      </c>
      <c r="C4498" t="str">
        <f t="shared" si="311"/>
        <v>09170</v>
      </c>
      <c r="D4498" t="s">
        <v>596</v>
      </c>
      <c r="E4498" s="3">
        <v>305</v>
      </c>
      <c r="F4498">
        <v>20160203</v>
      </c>
      <c r="G4498" t="s">
        <v>2799</v>
      </c>
      <c r="H4498" t="s">
        <v>3915</v>
      </c>
      <c r="I4498">
        <v>0</v>
      </c>
      <c r="J4498" t="s">
        <v>1709</v>
      </c>
      <c r="K4498" t="s">
        <v>1861</v>
      </c>
      <c r="L4498" t="s">
        <v>285</v>
      </c>
      <c r="M4498" t="str">
        <f t="shared" si="309"/>
        <v>02</v>
      </c>
      <c r="N4498" t="s">
        <v>12</v>
      </c>
    </row>
    <row r="4499" spans="1:14" x14ac:dyDescent="0.25">
      <c r="A4499">
        <v>20160205</v>
      </c>
      <c r="B4499" t="str">
        <f t="shared" si="310"/>
        <v>062183</v>
      </c>
      <c r="C4499" t="str">
        <f t="shared" si="311"/>
        <v>09170</v>
      </c>
      <c r="D4499" t="s">
        <v>596</v>
      </c>
      <c r="E4499" s="3">
        <v>26.5</v>
      </c>
      <c r="F4499">
        <v>20160203</v>
      </c>
      <c r="G4499" t="s">
        <v>2799</v>
      </c>
      <c r="H4499" t="s">
        <v>3915</v>
      </c>
      <c r="I4499">
        <v>0</v>
      </c>
      <c r="J4499" t="s">
        <v>1709</v>
      </c>
      <c r="K4499" t="s">
        <v>1861</v>
      </c>
      <c r="L4499" t="s">
        <v>285</v>
      </c>
      <c r="M4499" t="str">
        <f t="shared" si="309"/>
        <v>02</v>
      </c>
      <c r="N4499" t="s">
        <v>12</v>
      </c>
    </row>
    <row r="4500" spans="1:14" x14ac:dyDescent="0.25">
      <c r="A4500">
        <v>20160205</v>
      </c>
      <c r="B4500" t="str">
        <f t="shared" si="310"/>
        <v>062183</v>
      </c>
      <c r="C4500" t="str">
        <f t="shared" si="311"/>
        <v>09170</v>
      </c>
      <c r="D4500" t="s">
        <v>596</v>
      </c>
      <c r="E4500" s="3">
        <v>21.45</v>
      </c>
      <c r="F4500">
        <v>20160203</v>
      </c>
      <c r="G4500" t="s">
        <v>2799</v>
      </c>
      <c r="H4500" t="s">
        <v>3915</v>
      </c>
      <c r="I4500">
        <v>0</v>
      </c>
      <c r="J4500" t="s">
        <v>1709</v>
      </c>
      <c r="K4500" t="s">
        <v>1861</v>
      </c>
      <c r="L4500" t="s">
        <v>285</v>
      </c>
      <c r="M4500" t="str">
        <f t="shared" si="309"/>
        <v>02</v>
      </c>
      <c r="N4500" t="s">
        <v>12</v>
      </c>
    </row>
    <row r="4501" spans="1:14" x14ac:dyDescent="0.25">
      <c r="A4501">
        <v>20160205</v>
      </c>
      <c r="B4501" t="str">
        <f t="shared" si="310"/>
        <v>062183</v>
      </c>
      <c r="C4501" t="str">
        <f t="shared" si="311"/>
        <v>09170</v>
      </c>
      <c r="D4501" t="s">
        <v>596</v>
      </c>
      <c r="E4501" s="3">
        <v>8.01</v>
      </c>
      <c r="F4501">
        <v>20160203</v>
      </c>
      <c r="G4501" t="s">
        <v>2799</v>
      </c>
      <c r="H4501" t="s">
        <v>3915</v>
      </c>
      <c r="I4501">
        <v>0</v>
      </c>
      <c r="J4501" t="s">
        <v>1709</v>
      </c>
      <c r="K4501" t="s">
        <v>1861</v>
      </c>
      <c r="L4501" t="s">
        <v>285</v>
      </c>
      <c r="M4501" t="str">
        <f t="shared" si="309"/>
        <v>02</v>
      </c>
      <c r="N4501" t="s">
        <v>12</v>
      </c>
    </row>
    <row r="4502" spans="1:14" x14ac:dyDescent="0.25">
      <c r="A4502">
        <v>20160205</v>
      </c>
      <c r="B4502" t="str">
        <f t="shared" si="310"/>
        <v>062183</v>
      </c>
      <c r="C4502" t="str">
        <f t="shared" si="311"/>
        <v>09170</v>
      </c>
      <c r="D4502" t="s">
        <v>596</v>
      </c>
      <c r="E4502" s="3">
        <v>18</v>
      </c>
      <c r="F4502">
        <v>20160203</v>
      </c>
      <c r="G4502" t="s">
        <v>2799</v>
      </c>
      <c r="H4502" t="s">
        <v>3915</v>
      </c>
      <c r="I4502">
        <v>0</v>
      </c>
      <c r="J4502" t="s">
        <v>1709</v>
      </c>
      <c r="K4502" t="s">
        <v>1861</v>
      </c>
      <c r="L4502" t="s">
        <v>285</v>
      </c>
      <c r="M4502" t="str">
        <f t="shared" si="309"/>
        <v>02</v>
      </c>
      <c r="N4502" t="s">
        <v>12</v>
      </c>
    </row>
    <row r="4503" spans="1:14" x14ac:dyDescent="0.25">
      <c r="A4503">
        <v>20160205</v>
      </c>
      <c r="B4503" t="str">
        <f t="shared" si="310"/>
        <v>062183</v>
      </c>
      <c r="C4503" t="str">
        <f t="shared" si="311"/>
        <v>09170</v>
      </c>
      <c r="D4503" t="s">
        <v>596</v>
      </c>
      <c r="E4503" s="3">
        <v>194.85</v>
      </c>
      <c r="F4503">
        <v>20160203</v>
      </c>
      <c r="G4503" t="s">
        <v>2314</v>
      </c>
      <c r="H4503" t="s">
        <v>3916</v>
      </c>
      <c r="I4503">
        <v>0</v>
      </c>
      <c r="J4503" t="s">
        <v>1709</v>
      </c>
      <c r="K4503" t="s">
        <v>1984</v>
      </c>
      <c r="L4503" t="s">
        <v>285</v>
      </c>
      <c r="M4503" t="str">
        <f t="shared" si="309"/>
        <v>02</v>
      </c>
      <c r="N4503" t="s">
        <v>12</v>
      </c>
    </row>
    <row r="4504" spans="1:14" x14ac:dyDescent="0.25">
      <c r="A4504">
        <v>20160205</v>
      </c>
      <c r="B4504" t="str">
        <f t="shared" si="310"/>
        <v>062183</v>
      </c>
      <c r="C4504" t="str">
        <f t="shared" si="311"/>
        <v>09170</v>
      </c>
      <c r="D4504" t="s">
        <v>596</v>
      </c>
      <c r="E4504" s="3">
        <v>72.7</v>
      </c>
      <c r="F4504">
        <v>20160203</v>
      </c>
      <c r="G4504" t="s">
        <v>2314</v>
      </c>
      <c r="H4504" t="s">
        <v>3917</v>
      </c>
      <c r="I4504">
        <v>0</v>
      </c>
      <c r="J4504" t="s">
        <v>1709</v>
      </c>
      <c r="K4504" t="s">
        <v>1984</v>
      </c>
      <c r="L4504" t="s">
        <v>285</v>
      </c>
      <c r="M4504" t="str">
        <f t="shared" si="309"/>
        <v>02</v>
      </c>
      <c r="N4504" t="s">
        <v>12</v>
      </c>
    </row>
    <row r="4505" spans="1:14" x14ac:dyDescent="0.25">
      <c r="A4505">
        <v>20160205</v>
      </c>
      <c r="B4505" t="str">
        <f>"062184"</f>
        <v>062184</v>
      </c>
      <c r="C4505" t="str">
        <f>"08600"</f>
        <v>08600</v>
      </c>
      <c r="D4505" t="s">
        <v>3918</v>
      </c>
      <c r="E4505" s="3">
        <v>176000</v>
      </c>
      <c r="F4505">
        <v>20160203</v>
      </c>
      <c r="G4505" t="s">
        <v>3919</v>
      </c>
      <c r="H4505" t="s">
        <v>3920</v>
      </c>
      <c r="I4505">
        <v>0</v>
      </c>
      <c r="J4505" t="s">
        <v>1709</v>
      </c>
      <c r="K4505" t="s">
        <v>1519</v>
      </c>
      <c r="L4505" t="s">
        <v>285</v>
      </c>
      <c r="M4505" t="str">
        <f t="shared" si="309"/>
        <v>02</v>
      </c>
      <c r="N4505" t="s">
        <v>12</v>
      </c>
    </row>
    <row r="4506" spans="1:14" x14ac:dyDescent="0.25">
      <c r="A4506">
        <v>20160205</v>
      </c>
      <c r="B4506" t="str">
        <f>"062184"</f>
        <v>062184</v>
      </c>
      <c r="C4506" t="str">
        <f>"08600"</f>
        <v>08600</v>
      </c>
      <c r="D4506" t="s">
        <v>3918</v>
      </c>
      <c r="E4506" s="3">
        <v>22765.06</v>
      </c>
      <c r="F4506">
        <v>20160203</v>
      </c>
      <c r="G4506" t="s">
        <v>3921</v>
      </c>
      <c r="H4506" t="s">
        <v>3920</v>
      </c>
      <c r="I4506">
        <v>0</v>
      </c>
      <c r="J4506" t="s">
        <v>1709</v>
      </c>
      <c r="K4506" t="s">
        <v>1519</v>
      </c>
      <c r="L4506" t="s">
        <v>285</v>
      </c>
      <c r="M4506" t="str">
        <f t="shared" si="309"/>
        <v>02</v>
      </c>
      <c r="N4506" t="s">
        <v>12</v>
      </c>
    </row>
    <row r="4507" spans="1:14" x14ac:dyDescent="0.25">
      <c r="A4507">
        <v>20160205</v>
      </c>
      <c r="B4507" t="str">
        <f>"062191"</f>
        <v>062191</v>
      </c>
      <c r="C4507" t="str">
        <f>"21049"</f>
        <v>21049</v>
      </c>
      <c r="D4507" t="s">
        <v>2094</v>
      </c>
      <c r="E4507" s="3">
        <v>25</v>
      </c>
      <c r="F4507">
        <v>20160203</v>
      </c>
      <c r="G4507" t="s">
        <v>1712</v>
      </c>
      <c r="H4507" t="s">
        <v>3922</v>
      </c>
      <c r="I4507">
        <v>0</v>
      </c>
      <c r="J4507" t="s">
        <v>1709</v>
      </c>
      <c r="K4507" t="s">
        <v>290</v>
      </c>
      <c r="L4507" t="s">
        <v>285</v>
      </c>
      <c r="M4507" t="str">
        <f t="shared" si="309"/>
        <v>02</v>
      </c>
      <c r="N4507" t="s">
        <v>12</v>
      </c>
    </row>
    <row r="4508" spans="1:14" x14ac:dyDescent="0.25">
      <c r="A4508">
        <v>20160205</v>
      </c>
      <c r="B4508" t="str">
        <f t="shared" ref="B4508:B4513" si="312">"062192"</f>
        <v>062192</v>
      </c>
      <c r="C4508" t="str">
        <f t="shared" ref="C4508:C4513" si="313">"21091"</f>
        <v>21091</v>
      </c>
      <c r="D4508" t="s">
        <v>2855</v>
      </c>
      <c r="E4508" s="3">
        <v>303.24</v>
      </c>
      <c r="F4508">
        <v>20160203</v>
      </c>
      <c r="G4508" t="s">
        <v>1854</v>
      </c>
      <c r="H4508" t="s">
        <v>3923</v>
      </c>
      <c r="I4508">
        <v>0</v>
      </c>
      <c r="J4508" t="s">
        <v>1709</v>
      </c>
      <c r="K4508" t="s">
        <v>1856</v>
      </c>
      <c r="L4508" t="s">
        <v>285</v>
      </c>
      <c r="M4508" t="str">
        <f t="shared" si="309"/>
        <v>02</v>
      </c>
      <c r="N4508" t="s">
        <v>12</v>
      </c>
    </row>
    <row r="4509" spans="1:14" x14ac:dyDescent="0.25">
      <c r="A4509">
        <v>20160205</v>
      </c>
      <c r="B4509" t="str">
        <f t="shared" si="312"/>
        <v>062192</v>
      </c>
      <c r="C4509" t="str">
        <f t="shared" si="313"/>
        <v>21091</v>
      </c>
      <c r="D4509" t="s">
        <v>2855</v>
      </c>
      <c r="E4509" s="3">
        <v>177.5</v>
      </c>
      <c r="F4509">
        <v>20160203</v>
      </c>
      <c r="G4509" t="s">
        <v>1854</v>
      </c>
      <c r="H4509" t="s">
        <v>3924</v>
      </c>
      <c r="I4509">
        <v>0</v>
      </c>
      <c r="J4509" t="s">
        <v>1709</v>
      </c>
      <c r="K4509" t="s">
        <v>1856</v>
      </c>
      <c r="L4509" t="s">
        <v>285</v>
      </c>
      <c r="M4509" t="str">
        <f t="shared" si="309"/>
        <v>02</v>
      </c>
      <c r="N4509" t="s">
        <v>12</v>
      </c>
    </row>
    <row r="4510" spans="1:14" x14ac:dyDescent="0.25">
      <c r="A4510">
        <v>20160205</v>
      </c>
      <c r="B4510" t="str">
        <f t="shared" si="312"/>
        <v>062192</v>
      </c>
      <c r="C4510" t="str">
        <f t="shared" si="313"/>
        <v>21091</v>
      </c>
      <c r="D4510" t="s">
        <v>2855</v>
      </c>
      <c r="E4510" s="3">
        <v>598.21</v>
      </c>
      <c r="F4510">
        <v>20160203</v>
      </c>
      <c r="G4510" t="s">
        <v>1854</v>
      </c>
      <c r="H4510" t="s">
        <v>3925</v>
      </c>
      <c r="I4510">
        <v>0</v>
      </c>
      <c r="J4510" t="s">
        <v>1709</v>
      </c>
      <c r="K4510" t="s">
        <v>1856</v>
      </c>
      <c r="L4510" t="s">
        <v>285</v>
      </c>
      <c r="M4510" t="str">
        <f t="shared" si="309"/>
        <v>02</v>
      </c>
      <c r="N4510" t="s">
        <v>12</v>
      </c>
    </row>
    <row r="4511" spans="1:14" x14ac:dyDescent="0.25">
      <c r="A4511">
        <v>20160205</v>
      </c>
      <c r="B4511" t="str">
        <f t="shared" si="312"/>
        <v>062192</v>
      </c>
      <c r="C4511" t="str">
        <f t="shared" si="313"/>
        <v>21091</v>
      </c>
      <c r="D4511" t="s">
        <v>2855</v>
      </c>
      <c r="E4511" s="3">
        <v>698.38</v>
      </c>
      <c r="F4511">
        <v>20160203</v>
      </c>
      <c r="G4511" t="s">
        <v>1854</v>
      </c>
      <c r="H4511" t="s">
        <v>3926</v>
      </c>
      <c r="I4511">
        <v>0</v>
      </c>
      <c r="J4511" t="s">
        <v>1709</v>
      </c>
      <c r="K4511" t="s">
        <v>1856</v>
      </c>
      <c r="L4511" t="s">
        <v>285</v>
      </c>
      <c r="M4511" t="str">
        <f t="shared" si="309"/>
        <v>02</v>
      </c>
      <c r="N4511" t="s">
        <v>12</v>
      </c>
    </row>
    <row r="4512" spans="1:14" x14ac:dyDescent="0.25">
      <c r="A4512">
        <v>20160205</v>
      </c>
      <c r="B4512" t="str">
        <f t="shared" si="312"/>
        <v>062192</v>
      </c>
      <c r="C4512" t="str">
        <f t="shared" si="313"/>
        <v>21091</v>
      </c>
      <c r="D4512" t="s">
        <v>2855</v>
      </c>
      <c r="E4512" s="3">
        <v>868.58</v>
      </c>
      <c r="F4512">
        <v>20160203</v>
      </c>
      <c r="G4512" t="s">
        <v>1854</v>
      </c>
      <c r="H4512" t="s">
        <v>3926</v>
      </c>
      <c r="I4512">
        <v>0</v>
      </c>
      <c r="J4512" t="s">
        <v>1709</v>
      </c>
      <c r="K4512" t="s">
        <v>1856</v>
      </c>
      <c r="L4512" t="s">
        <v>285</v>
      </c>
      <c r="M4512" t="str">
        <f t="shared" si="309"/>
        <v>02</v>
      </c>
      <c r="N4512" t="s">
        <v>12</v>
      </c>
    </row>
    <row r="4513" spans="1:14" x14ac:dyDescent="0.25">
      <c r="A4513">
        <v>20160205</v>
      </c>
      <c r="B4513" t="str">
        <f t="shared" si="312"/>
        <v>062192</v>
      </c>
      <c r="C4513" t="str">
        <f t="shared" si="313"/>
        <v>21091</v>
      </c>
      <c r="D4513" t="s">
        <v>2855</v>
      </c>
      <c r="E4513" s="3">
        <v>235.44</v>
      </c>
      <c r="F4513">
        <v>20160203</v>
      </c>
      <c r="G4513" t="s">
        <v>1854</v>
      </c>
      <c r="H4513" t="s">
        <v>3927</v>
      </c>
      <c r="I4513">
        <v>0</v>
      </c>
      <c r="J4513" t="s">
        <v>1709</v>
      </c>
      <c r="K4513" t="s">
        <v>1856</v>
      </c>
      <c r="L4513" t="s">
        <v>285</v>
      </c>
      <c r="M4513" t="str">
        <f t="shared" si="309"/>
        <v>02</v>
      </c>
      <c r="N4513" t="s">
        <v>12</v>
      </c>
    </row>
    <row r="4514" spans="1:14" x14ac:dyDescent="0.25">
      <c r="A4514">
        <v>20160205</v>
      </c>
      <c r="B4514" t="str">
        <f>"062195"</f>
        <v>062195</v>
      </c>
      <c r="C4514" t="str">
        <f>"24130"</f>
        <v>24130</v>
      </c>
      <c r="D4514" t="s">
        <v>2278</v>
      </c>
      <c r="E4514" s="3">
        <v>1500</v>
      </c>
      <c r="F4514">
        <v>20160203</v>
      </c>
      <c r="G4514" t="s">
        <v>3574</v>
      </c>
      <c r="H4514" t="s">
        <v>3928</v>
      </c>
      <c r="I4514">
        <v>0</v>
      </c>
      <c r="J4514" t="s">
        <v>1709</v>
      </c>
      <c r="K4514" t="s">
        <v>95</v>
      </c>
      <c r="L4514" t="s">
        <v>285</v>
      </c>
      <c r="M4514" t="str">
        <f t="shared" si="309"/>
        <v>02</v>
      </c>
      <c r="N4514" t="s">
        <v>12</v>
      </c>
    </row>
    <row r="4515" spans="1:14" x14ac:dyDescent="0.25">
      <c r="A4515">
        <v>20160205</v>
      </c>
      <c r="B4515" t="str">
        <f>"062195"</f>
        <v>062195</v>
      </c>
      <c r="C4515" t="str">
        <f>"24130"</f>
        <v>24130</v>
      </c>
      <c r="D4515" t="s">
        <v>2278</v>
      </c>
      <c r="E4515" s="3">
        <v>3179.32</v>
      </c>
      <c r="F4515">
        <v>20160203</v>
      </c>
      <c r="G4515" t="s">
        <v>3574</v>
      </c>
      <c r="H4515" t="s">
        <v>3928</v>
      </c>
      <c r="I4515">
        <v>0</v>
      </c>
      <c r="J4515" t="s">
        <v>1709</v>
      </c>
      <c r="K4515" t="s">
        <v>95</v>
      </c>
      <c r="L4515" t="s">
        <v>285</v>
      </c>
      <c r="M4515" t="str">
        <f t="shared" si="309"/>
        <v>02</v>
      </c>
      <c r="N4515" t="s">
        <v>12</v>
      </c>
    </row>
    <row r="4516" spans="1:14" x14ac:dyDescent="0.25">
      <c r="A4516">
        <v>20160205</v>
      </c>
      <c r="B4516" t="str">
        <f>"062197"</f>
        <v>062197</v>
      </c>
      <c r="C4516" t="str">
        <f>"24973"</f>
        <v>24973</v>
      </c>
      <c r="D4516" t="s">
        <v>1968</v>
      </c>
      <c r="E4516" s="3">
        <v>450</v>
      </c>
      <c r="F4516">
        <v>20160203</v>
      </c>
      <c r="G4516" t="s">
        <v>3929</v>
      </c>
      <c r="H4516" t="s">
        <v>3930</v>
      </c>
      <c r="I4516">
        <v>0</v>
      </c>
      <c r="J4516" t="s">
        <v>1709</v>
      </c>
      <c r="K4516" t="s">
        <v>290</v>
      </c>
      <c r="L4516" t="s">
        <v>285</v>
      </c>
      <c r="M4516" t="str">
        <f t="shared" si="309"/>
        <v>02</v>
      </c>
      <c r="N4516" t="s">
        <v>12</v>
      </c>
    </row>
    <row r="4517" spans="1:14" x14ac:dyDescent="0.25">
      <c r="A4517">
        <v>20160205</v>
      </c>
      <c r="B4517" t="str">
        <f>"062197"</f>
        <v>062197</v>
      </c>
      <c r="C4517" t="str">
        <f>"24973"</f>
        <v>24973</v>
      </c>
      <c r="D4517" t="s">
        <v>1968</v>
      </c>
      <c r="E4517" s="3">
        <v>925.88</v>
      </c>
      <c r="F4517">
        <v>20160203</v>
      </c>
      <c r="G4517" t="s">
        <v>3929</v>
      </c>
      <c r="H4517" t="s">
        <v>3930</v>
      </c>
      <c r="I4517">
        <v>0</v>
      </c>
      <c r="J4517" t="s">
        <v>1709</v>
      </c>
      <c r="K4517" t="s">
        <v>290</v>
      </c>
      <c r="L4517" t="s">
        <v>285</v>
      </c>
      <c r="M4517" t="str">
        <f t="shared" si="309"/>
        <v>02</v>
      </c>
      <c r="N4517" t="s">
        <v>12</v>
      </c>
    </row>
    <row r="4518" spans="1:14" x14ac:dyDescent="0.25">
      <c r="A4518">
        <v>20160205</v>
      </c>
      <c r="B4518" t="str">
        <f>"062197"</f>
        <v>062197</v>
      </c>
      <c r="C4518" t="str">
        <f>"24973"</f>
        <v>24973</v>
      </c>
      <c r="D4518" t="s">
        <v>1968</v>
      </c>
      <c r="E4518" s="3">
        <v>90</v>
      </c>
      <c r="F4518">
        <v>20160203</v>
      </c>
      <c r="G4518" t="s">
        <v>2642</v>
      </c>
      <c r="H4518" t="s">
        <v>3930</v>
      </c>
      <c r="I4518">
        <v>0</v>
      </c>
      <c r="J4518" t="s">
        <v>1709</v>
      </c>
      <c r="K4518" t="s">
        <v>290</v>
      </c>
      <c r="L4518" t="s">
        <v>285</v>
      </c>
      <c r="M4518" t="str">
        <f t="shared" si="309"/>
        <v>02</v>
      </c>
      <c r="N4518" t="s">
        <v>12</v>
      </c>
    </row>
    <row r="4519" spans="1:14" x14ac:dyDescent="0.25">
      <c r="A4519">
        <v>20160205</v>
      </c>
      <c r="B4519" t="str">
        <f>"062197"</f>
        <v>062197</v>
      </c>
      <c r="C4519" t="str">
        <f>"24973"</f>
        <v>24973</v>
      </c>
      <c r="D4519" t="s">
        <v>1968</v>
      </c>
      <c r="E4519" s="3">
        <v>462.94</v>
      </c>
      <c r="F4519">
        <v>20160203</v>
      </c>
      <c r="G4519" t="s">
        <v>2642</v>
      </c>
      <c r="H4519" t="s">
        <v>3930</v>
      </c>
      <c r="I4519">
        <v>0</v>
      </c>
      <c r="J4519" t="s">
        <v>1709</v>
      </c>
      <c r="K4519" t="s">
        <v>290</v>
      </c>
      <c r="L4519" t="s">
        <v>285</v>
      </c>
      <c r="M4519" t="str">
        <f t="shared" si="309"/>
        <v>02</v>
      </c>
      <c r="N4519" t="s">
        <v>12</v>
      </c>
    </row>
    <row r="4520" spans="1:14" x14ac:dyDescent="0.25">
      <c r="A4520">
        <v>20160205</v>
      </c>
      <c r="B4520" t="str">
        <f>"062199"</f>
        <v>062199</v>
      </c>
      <c r="C4520" t="str">
        <f>"28644"</f>
        <v>28644</v>
      </c>
      <c r="D4520" t="s">
        <v>3931</v>
      </c>
      <c r="E4520" s="3">
        <v>390.22</v>
      </c>
      <c r="F4520">
        <v>20160204</v>
      </c>
      <c r="G4520" t="s">
        <v>3127</v>
      </c>
      <c r="H4520" t="s">
        <v>3932</v>
      </c>
      <c r="I4520">
        <v>0</v>
      </c>
      <c r="J4520" t="s">
        <v>1709</v>
      </c>
      <c r="K4520" t="s">
        <v>95</v>
      </c>
      <c r="L4520" t="s">
        <v>285</v>
      </c>
      <c r="M4520" t="str">
        <f t="shared" si="309"/>
        <v>02</v>
      </c>
      <c r="N4520" t="s">
        <v>12</v>
      </c>
    </row>
    <row r="4521" spans="1:14" x14ac:dyDescent="0.25">
      <c r="A4521">
        <v>20160205</v>
      </c>
      <c r="B4521" t="str">
        <f>"062200"</f>
        <v>062200</v>
      </c>
      <c r="C4521" t="str">
        <f>"06470"</f>
        <v>06470</v>
      </c>
      <c r="D4521" t="s">
        <v>2654</v>
      </c>
      <c r="E4521" s="3">
        <v>41.77</v>
      </c>
      <c r="F4521">
        <v>20160204</v>
      </c>
      <c r="G4521" t="s">
        <v>2164</v>
      </c>
      <c r="H4521" t="s">
        <v>2656</v>
      </c>
      <c r="I4521">
        <v>0</v>
      </c>
      <c r="J4521" t="s">
        <v>1709</v>
      </c>
      <c r="K4521" t="s">
        <v>1861</v>
      </c>
      <c r="L4521" t="s">
        <v>285</v>
      </c>
      <c r="M4521" t="str">
        <f t="shared" si="309"/>
        <v>02</v>
      </c>
      <c r="N4521" t="s">
        <v>12</v>
      </c>
    </row>
    <row r="4522" spans="1:14" x14ac:dyDescent="0.25">
      <c r="A4522">
        <v>20160205</v>
      </c>
      <c r="B4522" t="str">
        <f>"062201"</f>
        <v>062201</v>
      </c>
      <c r="C4522" t="str">
        <f>"30132"</f>
        <v>30132</v>
      </c>
      <c r="D4522" t="s">
        <v>2878</v>
      </c>
      <c r="E4522" s="3">
        <v>926.38</v>
      </c>
      <c r="F4522">
        <v>20160204</v>
      </c>
      <c r="G4522" t="s">
        <v>2307</v>
      </c>
      <c r="H4522" t="s">
        <v>3933</v>
      </c>
      <c r="I4522">
        <v>0</v>
      </c>
      <c r="J4522" t="s">
        <v>1709</v>
      </c>
      <c r="K4522" t="s">
        <v>95</v>
      </c>
      <c r="L4522" t="s">
        <v>285</v>
      </c>
      <c r="M4522" t="str">
        <f t="shared" si="309"/>
        <v>02</v>
      </c>
      <c r="N4522" t="s">
        <v>12</v>
      </c>
    </row>
    <row r="4523" spans="1:14" x14ac:dyDescent="0.25">
      <c r="A4523">
        <v>20160205</v>
      </c>
      <c r="B4523" t="str">
        <f>"062203"</f>
        <v>062203</v>
      </c>
      <c r="C4523" t="str">
        <f>"30608"</f>
        <v>30608</v>
      </c>
      <c r="D4523" t="s">
        <v>3934</v>
      </c>
      <c r="E4523" s="3">
        <v>42.28</v>
      </c>
      <c r="F4523">
        <v>20160204</v>
      </c>
      <c r="G4523" t="s">
        <v>2770</v>
      </c>
      <c r="H4523" t="s">
        <v>1592</v>
      </c>
      <c r="I4523">
        <v>0</v>
      </c>
      <c r="J4523" t="s">
        <v>1709</v>
      </c>
      <c r="K4523" t="s">
        <v>1643</v>
      </c>
      <c r="L4523" t="s">
        <v>285</v>
      </c>
      <c r="M4523" t="str">
        <f t="shared" si="309"/>
        <v>02</v>
      </c>
      <c r="N4523" t="s">
        <v>12</v>
      </c>
    </row>
    <row r="4524" spans="1:14" x14ac:dyDescent="0.25">
      <c r="A4524">
        <v>20160205</v>
      </c>
      <c r="B4524" t="str">
        <f>"062206"</f>
        <v>062206</v>
      </c>
      <c r="C4524" t="str">
        <f>"00230"</f>
        <v>00230</v>
      </c>
      <c r="D4524" t="s">
        <v>3935</v>
      </c>
      <c r="E4524" s="3">
        <v>577.20000000000005</v>
      </c>
      <c r="F4524">
        <v>20160204</v>
      </c>
      <c r="G4524" t="s">
        <v>2000</v>
      </c>
      <c r="H4524" t="s">
        <v>3936</v>
      </c>
      <c r="I4524">
        <v>0</v>
      </c>
      <c r="J4524" t="s">
        <v>1709</v>
      </c>
      <c r="K4524" t="s">
        <v>290</v>
      </c>
      <c r="L4524" t="s">
        <v>285</v>
      </c>
      <c r="M4524" t="str">
        <f t="shared" si="309"/>
        <v>02</v>
      </c>
      <c r="N4524" t="s">
        <v>12</v>
      </c>
    </row>
    <row r="4525" spans="1:14" x14ac:dyDescent="0.25">
      <c r="A4525">
        <v>20160205</v>
      </c>
      <c r="B4525" t="str">
        <f>"062208"</f>
        <v>062208</v>
      </c>
      <c r="C4525" t="str">
        <f>"34680"</f>
        <v>34680</v>
      </c>
      <c r="D4525" t="s">
        <v>1683</v>
      </c>
      <c r="E4525" s="3">
        <v>951.66</v>
      </c>
      <c r="F4525">
        <v>20160204</v>
      </c>
      <c r="G4525" t="s">
        <v>2228</v>
      </c>
      <c r="H4525" t="s">
        <v>1661</v>
      </c>
      <c r="I4525">
        <v>0</v>
      </c>
      <c r="J4525" t="s">
        <v>1709</v>
      </c>
      <c r="K4525" t="s">
        <v>290</v>
      </c>
      <c r="L4525" t="s">
        <v>285</v>
      </c>
      <c r="M4525" t="str">
        <f t="shared" si="309"/>
        <v>02</v>
      </c>
      <c r="N4525" t="s">
        <v>12</v>
      </c>
    </row>
    <row r="4526" spans="1:14" x14ac:dyDescent="0.25">
      <c r="A4526">
        <v>20160205</v>
      </c>
      <c r="B4526" t="str">
        <f>"062208"</f>
        <v>062208</v>
      </c>
      <c r="C4526" t="str">
        <f>"34680"</f>
        <v>34680</v>
      </c>
      <c r="D4526" t="s">
        <v>1683</v>
      </c>
      <c r="E4526" s="3">
        <v>1.57</v>
      </c>
      <c r="F4526">
        <v>20160204</v>
      </c>
      <c r="G4526" t="s">
        <v>2228</v>
      </c>
      <c r="H4526" t="s">
        <v>3937</v>
      </c>
      <c r="I4526">
        <v>0</v>
      </c>
      <c r="J4526" t="s">
        <v>1709</v>
      </c>
      <c r="K4526" t="s">
        <v>290</v>
      </c>
      <c r="L4526" t="s">
        <v>285</v>
      </c>
      <c r="M4526" t="str">
        <f t="shared" si="309"/>
        <v>02</v>
      </c>
      <c r="N4526" t="s">
        <v>12</v>
      </c>
    </row>
    <row r="4527" spans="1:14" x14ac:dyDescent="0.25">
      <c r="A4527">
        <v>20160205</v>
      </c>
      <c r="B4527" t="str">
        <f>"062211"</f>
        <v>062211</v>
      </c>
      <c r="C4527" t="str">
        <f>"35740"</f>
        <v>35740</v>
      </c>
      <c r="D4527" t="s">
        <v>2305</v>
      </c>
      <c r="E4527" s="3">
        <v>29520</v>
      </c>
      <c r="F4527">
        <v>20160204</v>
      </c>
      <c r="G4527" t="s">
        <v>3938</v>
      </c>
      <c r="H4527" t="s">
        <v>3939</v>
      </c>
      <c r="I4527">
        <v>0</v>
      </c>
      <c r="J4527" t="s">
        <v>1709</v>
      </c>
      <c r="K4527" t="s">
        <v>1861</v>
      </c>
      <c r="L4527" t="s">
        <v>285</v>
      </c>
      <c r="M4527" t="str">
        <f t="shared" si="309"/>
        <v>02</v>
      </c>
      <c r="N4527" t="s">
        <v>12</v>
      </c>
    </row>
    <row r="4528" spans="1:14" x14ac:dyDescent="0.25">
      <c r="A4528">
        <v>20160205</v>
      </c>
      <c r="B4528" t="str">
        <f>"062211"</f>
        <v>062211</v>
      </c>
      <c r="C4528" t="str">
        <f>"35740"</f>
        <v>35740</v>
      </c>
      <c r="D4528" t="s">
        <v>2305</v>
      </c>
      <c r="E4528" s="3">
        <v>878</v>
      </c>
      <c r="F4528">
        <v>20160204</v>
      </c>
      <c r="G4528" t="s">
        <v>2306</v>
      </c>
      <c r="H4528" t="s">
        <v>3940</v>
      </c>
      <c r="I4528">
        <v>0</v>
      </c>
      <c r="J4528" t="s">
        <v>1709</v>
      </c>
      <c r="K4528" t="s">
        <v>1861</v>
      </c>
      <c r="L4528" t="s">
        <v>285</v>
      </c>
      <c r="M4528" t="str">
        <f t="shared" si="309"/>
        <v>02</v>
      </c>
      <c r="N4528" t="s">
        <v>12</v>
      </c>
    </row>
    <row r="4529" spans="1:14" x14ac:dyDescent="0.25">
      <c r="A4529">
        <v>20160205</v>
      </c>
      <c r="B4529" t="str">
        <f>"062212"</f>
        <v>062212</v>
      </c>
      <c r="C4529" t="str">
        <f>"45665"</f>
        <v>45665</v>
      </c>
      <c r="D4529" t="s">
        <v>2887</v>
      </c>
      <c r="E4529" s="3">
        <v>240</v>
      </c>
      <c r="F4529">
        <v>20160204</v>
      </c>
      <c r="G4529" t="s">
        <v>2888</v>
      </c>
      <c r="H4529" t="s">
        <v>1713</v>
      </c>
      <c r="I4529">
        <v>0</v>
      </c>
      <c r="J4529" t="s">
        <v>1709</v>
      </c>
      <c r="K4529" t="s">
        <v>290</v>
      </c>
      <c r="L4529" t="s">
        <v>285</v>
      </c>
      <c r="M4529" t="str">
        <f t="shared" si="309"/>
        <v>02</v>
      </c>
      <c r="N4529" t="s">
        <v>12</v>
      </c>
    </row>
    <row r="4530" spans="1:14" x14ac:dyDescent="0.25">
      <c r="A4530">
        <v>20160205</v>
      </c>
      <c r="B4530" t="str">
        <f>"062213"</f>
        <v>062213</v>
      </c>
      <c r="C4530" t="str">
        <f>"45665"</f>
        <v>45665</v>
      </c>
      <c r="D4530" t="s">
        <v>2887</v>
      </c>
      <c r="E4530" s="3">
        <v>60</v>
      </c>
      <c r="F4530">
        <v>20160204</v>
      </c>
      <c r="G4530" t="s">
        <v>2888</v>
      </c>
      <c r="H4530" t="s">
        <v>3941</v>
      </c>
      <c r="I4530">
        <v>0</v>
      </c>
      <c r="J4530" t="s">
        <v>1709</v>
      </c>
      <c r="K4530" t="s">
        <v>290</v>
      </c>
      <c r="L4530" t="s">
        <v>285</v>
      </c>
      <c r="M4530" t="str">
        <f t="shared" si="309"/>
        <v>02</v>
      </c>
      <c r="N4530" t="s">
        <v>12</v>
      </c>
    </row>
    <row r="4531" spans="1:14" x14ac:dyDescent="0.25">
      <c r="A4531">
        <v>20160205</v>
      </c>
      <c r="B4531" t="str">
        <f>"062215"</f>
        <v>062215</v>
      </c>
      <c r="C4531" t="str">
        <f>"41230"</f>
        <v>41230</v>
      </c>
      <c r="D4531" t="s">
        <v>604</v>
      </c>
      <c r="E4531" s="3">
        <v>255.01</v>
      </c>
      <c r="F4531">
        <v>20160204</v>
      </c>
      <c r="G4531" t="s">
        <v>1859</v>
      </c>
      <c r="H4531" t="s">
        <v>2295</v>
      </c>
      <c r="I4531">
        <v>0</v>
      </c>
      <c r="J4531" t="s">
        <v>1709</v>
      </c>
      <c r="K4531" t="s">
        <v>1861</v>
      </c>
      <c r="L4531" t="s">
        <v>285</v>
      </c>
      <c r="M4531" t="str">
        <f t="shared" si="309"/>
        <v>02</v>
      </c>
      <c r="N4531" t="s">
        <v>12</v>
      </c>
    </row>
    <row r="4532" spans="1:14" x14ac:dyDescent="0.25">
      <c r="A4532">
        <v>20160205</v>
      </c>
      <c r="B4532" t="str">
        <f>"062216"</f>
        <v>062216</v>
      </c>
      <c r="C4532" t="str">
        <f>"55929"</f>
        <v>55929</v>
      </c>
      <c r="D4532" t="s">
        <v>1003</v>
      </c>
      <c r="E4532" s="3">
        <v>839.4</v>
      </c>
      <c r="F4532">
        <v>20160204</v>
      </c>
      <c r="G4532" t="s">
        <v>3942</v>
      </c>
      <c r="H4532" t="s">
        <v>3943</v>
      </c>
      <c r="I4532">
        <v>0</v>
      </c>
      <c r="J4532" t="s">
        <v>1709</v>
      </c>
      <c r="K4532" t="s">
        <v>95</v>
      </c>
      <c r="L4532" t="s">
        <v>285</v>
      </c>
      <c r="M4532" t="str">
        <f t="shared" si="309"/>
        <v>02</v>
      </c>
      <c r="N4532" t="s">
        <v>12</v>
      </c>
    </row>
    <row r="4533" spans="1:14" x14ac:dyDescent="0.25">
      <c r="A4533">
        <v>20160205</v>
      </c>
      <c r="B4533" t="str">
        <f>"062216"</f>
        <v>062216</v>
      </c>
      <c r="C4533" t="str">
        <f>"55929"</f>
        <v>55929</v>
      </c>
      <c r="D4533" t="s">
        <v>1003</v>
      </c>
      <c r="E4533" s="3">
        <v>2238.4</v>
      </c>
      <c r="F4533">
        <v>20160204</v>
      </c>
      <c r="G4533" t="s">
        <v>3427</v>
      </c>
      <c r="H4533" t="s">
        <v>3943</v>
      </c>
      <c r="I4533">
        <v>0</v>
      </c>
      <c r="J4533" t="s">
        <v>1709</v>
      </c>
      <c r="K4533" t="s">
        <v>33</v>
      </c>
      <c r="L4533" t="s">
        <v>285</v>
      </c>
      <c r="M4533" t="str">
        <f t="shared" si="309"/>
        <v>02</v>
      </c>
      <c r="N4533" t="s">
        <v>12</v>
      </c>
    </row>
    <row r="4534" spans="1:14" x14ac:dyDescent="0.25">
      <c r="A4534">
        <v>20160205</v>
      </c>
      <c r="B4534" t="str">
        <f>"062216"</f>
        <v>062216</v>
      </c>
      <c r="C4534" t="str">
        <f>"55929"</f>
        <v>55929</v>
      </c>
      <c r="D4534" t="s">
        <v>1003</v>
      </c>
      <c r="E4534" s="3">
        <v>284.85000000000002</v>
      </c>
      <c r="F4534">
        <v>20160204</v>
      </c>
      <c r="G4534" t="s">
        <v>3944</v>
      </c>
      <c r="H4534" t="s">
        <v>3945</v>
      </c>
      <c r="I4534">
        <v>0</v>
      </c>
      <c r="J4534" t="s">
        <v>1709</v>
      </c>
      <c r="K4534" t="s">
        <v>95</v>
      </c>
      <c r="L4534" t="s">
        <v>285</v>
      </c>
      <c r="M4534" t="str">
        <f t="shared" si="309"/>
        <v>02</v>
      </c>
      <c r="N4534" t="s">
        <v>12</v>
      </c>
    </row>
    <row r="4535" spans="1:14" x14ac:dyDescent="0.25">
      <c r="A4535">
        <v>20160205</v>
      </c>
      <c r="B4535" t="str">
        <f>"062217"</f>
        <v>062217</v>
      </c>
      <c r="C4535" t="str">
        <f>"40781"</f>
        <v>40781</v>
      </c>
      <c r="D4535" t="s">
        <v>3946</v>
      </c>
      <c r="E4535" s="3">
        <v>515.54999999999995</v>
      </c>
      <c r="F4535">
        <v>20160204</v>
      </c>
      <c r="G4535" t="s">
        <v>2110</v>
      </c>
      <c r="H4535" t="s">
        <v>3947</v>
      </c>
      <c r="I4535">
        <v>0</v>
      </c>
      <c r="J4535" t="s">
        <v>1709</v>
      </c>
      <c r="K4535" t="s">
        <v>33</v>
      </c>
      <c r="L4535" t="s">
        <v>285</v>
      </c>
      <c r="M4535" t="str">
        <f t="shared" ref="M4535:M4598" si="314">"02"</f>
        <v>02</v>
      </c>
      <c r="N4535" t="s">
        <v>12</v>
      </c>
    </row>
    <row r="4536" spans="1:14" x14ac:dyDescent="0.25">
      <c r="A4536">
        <v>20160205</v>
      </c>
      <c r="B4536" t="str">
        <f>"062218"</f>
        <v>062218</v>
      </c>
      <c r="C4536" t="str">
        <f>"57791"</f>
        <v>57791</v>
      </c>
      <c r="D4536" t="s">
        <v>1878</v>
      </c>
      <c r="E4536" s="3">
        <v>300</v>
      </c>
      <c r="F4536">
        <v>20160204</v>
      </c>
      <c r="G4536" t="s">
        <v>2124</v>
      </c>
      <c r="H4536" t="s">
        <v>3948</v>
      </c>
      <c r="I4536">
        <v>0</v>
      </c>
      <c r="J4536" t="s">
        <v>1709</v>
      </c>
      <c r="K4536" t="s">
        <v>290</v>
      </c>
      <c r="L4536" t="s">
        <v>285</v>
      </c>
      <c r="M4536" t="str">
        <f t="shared" si="314"/>
        <v>02</v>
      </c>
      <c r="N4536" t="s">
        <v>12</v>
      </c>
    </row>
    <row r="4537" spans="1:14" x14ac:dyDescent="0.25">
      <c r="A4537">
        <v>20160205</v>
      </c>
      <c r="B4537" t="str">
        <f>"062218"</f>
        <v>062218</v>
      </c>
      <c r="C4537" t="str">
        <f>"57791"</f>
        <v>57791</v>
      </c>
      <c r="D4537" t="s">
        <v>1878</v>
      </c>
      <c r="E4537" s="3">
        <v>517.38</v>
      </c>
      <c r="F4537">
        <v>20160204</v>
      </c>
      <c r="G4537" t="s">
        <v>2785</v>
      </c>
      <c r="H4537" t="s">
        <v>3949</v>
      </c>
      <c r="I4537">
        <v>0</v>
      </c>
      <c r="J4537" t="s">
        <v>1709</v>
      </c>
      <c r="K4537" t="s">
        <v>95</v>
      </c>
      <c r="L4537" t="s">
        <v>285</v>
      </c>
      <c r="M4537" t="str">
        <f t="shared" si="314"/>
        <v>02</v>
      </c>
      <c r="N4537" t="s">
        <v>12</v>
      </c>
    </row>
    <row r="4538" spans="1:14" x14ac:dyDescent="0.25">
      <c r="A4538">
        <v>20160205</v>
      </c>
      <c r="B4538" t="str">
        <f>"062218"</f>
        <v>062218</v>
      </c>
      <c r="C4538" t="str">
        <f>"57791"</f>
        <v>57791</v>
      </c>
      <c r="D4538" t="s">
        <v>1878</v>
      </c>
      <c r="E4538" s="3">
        <v>84.96</v>
      </c>
      <c r="F4538">
        <v>20160204</v>
      </c>
      <c r="G4538" t="s">
        <v>2785</v>
      </c>
      <c r="H4538" t="s">
        <v>3950</v>
      </c>
      <c r="I4538">
        <v>0</v>
      </c>
      <c r="J4538" t="s">
        <v>1709</v>
      </c>
      <c r="K4538" t="s">
        <v>95</v>
      </c>
      <c r="L4538" t="s">
        <v>285</v>
      </c>
      <c r="M4538" t="str">
        <f t="shared" si="314"/>
        <v>02</v>
      </c>
      <c r="N4538" t="s">
        <v>12</v>
      </c>
    </row>
    <row r="4539" spans="1:14" x14ac:dyDescent="0.25">
      <c r="A4539">
        <v>20160205</v>
      </c>
      <c r="B4539" t="str">
        <f>"062219"</f>
        <v>062219</v>
      </c>
      <c r="C4539" t="str">
        <f>"46369"</f>
        <v>46369</v>
      </c>
      <c r="D4539" t="s">
        <v>1991</v>
      </c>
      <c r="E4539" s="3">
        <v>743.24</v>
      </c>
      <c r="F4539">
        <v>20160204</v>
      </c>
      <c r="G4539" t="s">
        <v>1992</v>
      </c>
      <c r="H4539" t="s">
        <v>3951</v>
      </c>
      <c r="I4539">
        <v>0</v>
      </c>
      <c r="J4539" t="s">
        <v>1709</v>
      </c>
      <c r="K4539" t="s">
        <v>1861</v>
      </c>
      <c r="L4539" t="s">
        <v>285</v>
      </c>
      <c r="M4539" t="str">
        <f t="shared" si="314"/>
        <v>02</v>
      </c>
      <c r="N4539" t="s">
        <v>12</v>
      </c>
    </row>
    <row r="4540" spans="1:14" x14ac:dyDescent="0.25">
      <c r="A4540">
        <v>20160205</v>
      </c>
      <c r="B4540" t="str">
        <f>"062219"</f>
        <v>062219</v>
      </c>
      <c r="C4540" t="str">
        <f>"46369"</f>
        <v>46369</v>
      </c>
      <c r="D4540" t="s">
        <v>1991</v>
      </c>
      <c r="E4540" s="3">
        <v>423.27</v>
      </c>
      <c r="F4540">
        <v>20160204</v>
      </c>
      <c r="G4540" t="s">
        <v>1992</v>
      </c>
      <c r="H4540" t="s">
        <v>3951</v>
      </c>
      <c r="I4540">
        <v>0</v>
      </c>
      <c r="J4540" t="s">
        <v>1709</v>
      </c>
      <c r="K4540" t="s">
        <v>1861</v>
      </c>
      <c r="L4540" t="s">
        <v>285</v>
      </c>
      <c r="M4540" t="str">
        <f t="shared" si="314"/>
        <v>02</v>
      </c>
      <c r="N4540" t="s">
        <v>12</v>
      </c>
    </row>
    <row r="4541" spans="1:14" x14ac:dyDescent="0.25">
      <c r="A4541">
        <v>20160205</v>
      </c>
      <c r="B4541" t="str">
        <f>"062222"</f>
        <v>062222</v>
      </c>
      <c r="C4541" t="str">
        <f>"47725"</f>
        <v>47725</v>
      </c>
      <c r="D4541" t="s">
        <v>1883</v>
      </c>
      <c r="E4541" s="3">
        <v>32.79</v>
      </c>
      <c r="F4541">
        <v>20160204</v>
      </c>
      <c r="G4541" t="s">
        <v>1859</v>
      </c>
      <c r="H4541" t="s">
        <v>3952</v>
      </c>
      <c r="I4541">
        <v>0</v>
      </c>
      <c r="J4541" t="s">
        <v>1709</v>
      </c>
      <c r="K4541" t="s">
        <v>1861</v>
      </c>
      <c r="L4541" t="s">
        <v>285</v>
      </c>
      <c r="M4541" t="str">
        <f t="shared" si="314"/>
        <v>02</v>
      </c>
      <c r="N4541" t="s">
        <v>12</v>
      </c>
    </row>
    <row r="4542" spans="1:14" x14ac:dyDescent="0.25">
      <c r="A4542">
        <v>20160205</v>
      </c>
      <c r="B4542" t="str">
        <f>"062224"</f>
        <v>062224</v>
      </c>
      <c r="C4542" t="str">
        <f>"49959"</f>
        <v>49959</v>
      </c>
      <c r="D4542" t="s">
        <v>361</v>
      </c>
      <c r="E4542" s="3">
        <v>300</v>
      </c>
      <c r="F4542">
        <v>20160204</v>
      </c>
      <c r="G4542" t="s">
        <v>1788</v>
      </c>
      <c r="H4542" t="s">
        <v>3953</v>
      </c>
      <c r="I4542">
        <v>0</v>
      </c>
      <c r="J4542" t="s">
        <v>1709</v>
      </c>
      <c r="K4542" t="s">
        <v>1643</v>
      </c>
      <c r="L4542" t="s">
        <v>285</v>
      </c>
      <c r="M4542" t="str">
        <f t="shared" si="314"/>
        <v>02</v>
      </c>
      <c r="N4542" t="s">
        <v>12</v>
      </c>
    </row>
    <row r="4543" spans="1:14" x14ac:dyDescent="0.25">
      <c r="A4543">
        <v>20160205</v>
      </c>
      <c r="B4543" t="str">
        <f>"062229"</f>
        <v>062229</v>
      </c>
      <c r="C4543" t="str">
        <f>"20916"</f>
        <v>20916</v>
      </c>
      <c r="D4543" t="s">
        <v>3954</v>
      </c>
      <c r="E4543" s="3">
        <v>285.35000000000002</v>
      </c>
      <c r="F4543">
        <v>20160204</v>
      </c>
      <c r="G4543" t="s">
        <v>3888</v>
      </c>
      <c r="H4543" t="s">
        <v>3955</v>
      </c>
      <c r="I4543">
        <v>0</v>
      </c>
      <c r="J4543" t="s">
        <v>1709</v>
      </c>
      <c r="K4543" t="s">
        <v>95</v>
      </c>
      <c r="L4543" t="s">
        <v>285</v>
      </c>
      <c r="M4543" t="str">
        <f t="shared" si="314"/>
        <v>02</v>
      </c>
      <c r="N4543" t="s">
        <v>12</v>
      </c>
    </row>
    <row r="4544" spans="1:14" x14ac:dyDescent="0.25">
      <c r="A4544">
        <v>20160205</v>
      </c>
      <c r="B4544" t="str">
        <f>"062230"</f>
        <v>062230</v>
      </c>
      <c r="C4544" t="str">
        <f>"58204"</f>
        <v>58204</v>
      </c>
      <c r="D4544" t="s">
        <v>1816</v>
      </c>
      <c r="E4544" s="3">
        <v>41.87</v>
      </c>
      <c r="F4544">
        <v>20160204</v>
      </c>
      <c r="G4544" t="s">
        <v>3031</v>
      </c>
      <c r="H4544" t="s">
        <v>1618</v>
      </c>
      <c r="I4544">
        <v>0</v>
      </c>
      <c r="J4544" t="s">
        <v>1709</v>
      </c>
      <c r="K4544" t="s">
        <v>290</v>
      </c>
      <c r="L4544" t="s">
        <v>285</v>
      </c>
      <c r="M4544" t="str">
        <f t="shared" si="314"/>
        <v>02</v>
      </c>
      <c r="N4544" t="s">
        <v>12</v>
      </c>
    </row>
    <row r="4545" spans="1:14" x14ac:dyDescent="0.25">
      <c r="A4545">
        <v>20160205</v>
      </c>
      <c r="B4545" t="str">
        <f>"062230"</f>
        <v>062230</v>
      </c>
      <c r="C4545" t="str">
        <f>"58204"</f>
        <v>58204</v>
      </c>
      <c r="D4545" t="s">
        <v>1816</v>
      </c>
      <c r="E4545" s="3">
        <v>58.98</v>
      </c>
      <c r="F4545">
        <v>20160204</v>
      </c>
      <c r="G4545" t="s">
        <v>2153</v>
      </c>
      <c r="H4545" t="s">
        <v>3933</v>
      </c>
      <c r="I4545">
        <v>0</v>
      </c>
      <c r="J4545" t="s">
        <v>1709</v>
      </c>
      <c r="K4545" t="s">
        <v>290</v>
      </c>
      <c r="L4545" t="s">
        <v>285</v>
      </c>
      <c r="M4545" t="str">
        <f t="shared" si="314"/>
        <v>02</v>
      </c>
      <c r="N4545" t="s">
        <v>12</v>
      </c>
    </row>
    <row r="4546" spans="1:14" x14ac:dyDescent="0.25">
      <c r="A4546">
        <v>20160205</v>
      </c>
      <c r="B4546" t="str">
        <f>"062230"</f>
        <v>062230</v>
      </c>
      <c r="C4546" t="str">
        <f>"58204"</f>
        <v>58204</v>
      </c>
      <c r="D4546" t="s">
        <v>1816</v>
      </c>
      <c r="E4546" s="3">
        <v>19.77</v>
      </c>
      <c r="F4546">
        <v>20160204</v>
      </c>
      <c r="G4546" t="s">
        <v>3956</v>
      </c>
      <c r="H4546" t="s">
        <v>3957</v>
      </c>
      <c r="I4546">
        <v>0</v>
      </c>
      <c r="J4546" t="s">
        <v>1709</v>
      </c>
      <c r="K4546" t="s">
        <v>290</v>
      </c>
      <c r="L4546" t="s">
        <v>285</v>
      </c>
      <c r="M4546" t="str">
        <f t="shared" si="314"/>
        <v>02</v>
      </c>
      <c r="N4546" t="s">
        <v>12</v>
      </c>
    </row>
    <row r="4547" spans="1:14" x14ac:dyDescent="0.25">
      <c r="A4547">
        <v>20160205</v>
      </c>
      <c r="B4547" t="str">
        <f>"062230"</f>
        <v>062230</v>
      </c>
      <c r="C4547" t="str">
        <f>"58204"</f>
        <v>58204</v>
      </c>
      <c r="D4547" t="s">
        <v>1816</v>
      </c>
      <c r="E4547" s="3">
        <v>27.54</v>
      </c>
      <c r="F4547">
        <v>20160204</v>
      </c>
      <c r="G4547" t="s">
        <v>2626</v>
      </c>
      <c r="H4547" t="s">
        <v>3958</v>
      </c>
      <c r="I4547">
        <v>0</v>
      </c>
      <c r="J4547" t="s">
        <v>1709</v>
      </c>
      <c r="K4547" t="s">
        <v>290</v>
      </c>
      <c r="L4547" t="s">
        <v>285</v>
      </c>
      <c r="M4547" t="str">
        <f t="shared" si="314"/>
        <v>02</v>
      </c>
      <c r="N4547" t="s">
        <v>12</v>
      </c>
    </row>
    <row r="4548" spans="1:14" x14ac:dyDescent="0.25">
      <c r="A4548">
        <v>20160205</v>
      </c>
      <c r="B4548" t="str">
        <f>"062230"</f>
        <v>062230</v>
      </c>
      <c r="C4548" t="str">
        <f>"58204"</f>
        <v>58204</v>
      </c>
      <c r="D4548" t="s">
        <v>1816</v>
      </c>
      <c r="E4548" s="3">
        <v>12.28</v>
      </c>
      <c r="F4548">
        <v>20160204</v>
      </c>
      <c r="G4548" t="s">
        <v>2339</v>
      </c>
      <c r="H4548" t="s">
        <v>3959</v>
      </c>
      <c r="I4548">
        <v>0</v>
      </c>
      <c r="J4548" t="s">
        <v>1709</v>
      </c>
      <c r="K4548" t="s">
        <v>290</v>
      </c>
      <c r="L4548" t="s">
        <v>285</v>
      </c>
      <c r="M4548" t="str">
        <f t="shared" si="314"/>
        <v>02</v>
      </c>
      <c r="N4548" t="s">
        <v>12</v>
      </c>
    </row>
    <row r="4549" spans="1:14" x14ac:dyDescent="0.25">
      <c r="A4549">
        <v>20160205</v>
      </c>
      <c r="B4549" t="str">
        <f t="shared" ref="B4549:B4554" si="315">"062231"</f>
        <v>062231</v>
      </c>
      <c r="C4549" t="str">
        <f t="shared" ref="C4549:C4554" si="316">"58202"</f>
        <v>58202</v>
      </c>
      <c r="D4549" t="s">
        <v>2695</v>
      </c>
      <c r="E4549" s="3">
        <v>67.89</v>
      </c>
      <c r="F4549">
        <v>20160204</v>
      </c>
      <c r="G4549" t="s">
        <v>3960</v>
      </c>
      <c r="H4549" t="s">
        <v>2295</v>
      </c>
      <c r="I4549">
        <v>0</v>
      </c>
      <c r="J4549" t="s">
        <v>1709</v>
      </c>
      <c r="K4549" t="s">
        <v>95</v>
      </c>
      <c r="L4549" t="s">
        <v>285</v>
      </c>
      <c r="M4549" t="str">
        <f t="shared" si="314"/>
        <v>02</v>
      </c>
      <c r="N4549" t="s">
        <v>12</v>
      </c>
    </row>
    <row r="4550" spans="1:14" x14ac:dyDescent="0.25">
      <c r="A4550">
        <v>20160205</v>
      </c>
      <c r="B4550" t="str">
        <f t="shared" si="315"/>
        <v>062231</v>
      </c>
      <c r="C4550" t="str">
        <f t="shared" si="316"/>
        <v>58202</v>
      </c>
      <c r="D4550" t="s">
        <v>2695</v>
      </c>
      <c r="E4550" s="3">
        <v>119</v>
      </c>
      <c r="F4550">
        <v>20160204</v>
      </c>
      <c r="G4550" t="s">
        <v>3960</v>
      </c>
      <c r="H4550" t="s">
        <v>3961</v>
      </c>
      <c r="I4550">
        <v>0</v>
      </c>
      <c r="J4550" t="s">
        <v>1709</v>
      </c>
      <c r="K4550" t="s">
        <v>95</v>
      </c>
      <c r="L4550" t="s">
        <v>285</v>
      </c>
      <c r="M4550" t="str">
        <f t="shared" si="314"/>
        <v>02</v>
      </c>
      <c r="N4550" t="s">
        <v>12</v>
      </c>
    </row>
    <row r="4551" spans="1:14" x14ac:dyDescent="0.25">
      <c r="A4551">
        <v>20160205</v>
      </c>
      <c r="B4551" t="str">
        <f t="shared" si="315"/>
        <v>062231</v>
      </c>
      <c r="C4551" t="str">
        <f t="shared" si="316"/>
        <v>58202</v>
      </c>
      <c r="D4551" t="s">
        <v>2695</v>
      </c>
      <c r="E4551" s="3">
        <v>7</v>
      </c>
      <c r="F4551">
        <v>20160204</v>
      </c>
      <c r="G4551" t="s">
        <v>2275</v>
      </c>
      <c r="H4551" t="s">
        <v>3962</v>
      </c>
      <c r="I4551">
        <v>0</v>
      </c>
      <c r="J4551" t="s">
        <v>1709</v>
      </c>
      <c r="K4551" t="s">
        <v>95</v>
      </c>
      <c r="L4551" t="s">
        <v>285</v>
      </c>
      <c r="M4551" t="str">
        <f t="shared" si="314"/>
        <v>02</v>
      </c>
      <c r="N4551" t="s">
        <v>12</v>
      </c>
    </row>
    <row r="4552" spans="1:14" x14ac:dyDescent="0.25">
      <c r="A4552">
        <v>20160205</v>
      </c>
      <c r="B4552" t="str">
        <f t="shared" si="315"/>
        <v>062231</v>
      </c>
      <c r="C4552" t="str">
        <f t="shared" si="316"/>
        <v>58202</v>
      </c>
      <c r="D4552" t="s">
        <v>2695</v>
      </c>
      <c r="E4552" s="3">
        <v>60.12</v>
      </c>
      <c r="F4552">
        <v>20160204</v>
      </c>
      <c r="G4552" t="s">
        <v>2307</v>
      </c>
      <c r="H4552" t="s">
        <v>3933</v>
      </c>
      <c r="I4552">
        <v>0</v>
      </c>
      <c r="J4552" t="s">
        <v>1709</v>
      </c>
      <c r="K4552" t="s">
        <v>95</v>
      </c>
      <c r="L4552" t="s">
        <v>285</v>
      </c>
      <c r="M4552" t="str">
        <f t="shared" si="314"/>
        <v>02</v>
      </c>
      <c r="N4552" t="s">
        <v>12</v>
      </c>
    </row>
    <row r="4553" spans="1:14" x14ac:dyDescent="0.25">
      <c r="A4553">
        <v>20160205</v>
      </c>
      <c r="B4553" t="str">
        <f t="shared" si="315"/>
        <v>062231</v>
      </c>
      <c r="C4553" t="str">
        <f t="shared" si="316"/>
        <v>58202</v>
      </c>
      <c r="D4553" t="s">
        <v>2695</v>
      </c>
      <c r="E4553" s="3">
        <v>22.96</v>
      </c>
      <c r="F4553">
        <v>20160204</v>
      </c>
      <c r="G4553" t="s">
        <v>2172</v>
      </c>
      <c r="H4553" t="s">
        <v>3963</v>
      </c>
      <c r="I4553">
        <v>0</v>
      </c>
      <c r="J4553" t="s">
        <v>1709</v>
      </c>
      <c r="K4553" t="s">
        <v>95</v>
      </c>
      <c r="L4553" t="s">
        <v>285</v>
      </c>
      <c r="M4553" t="str">
        <f t="shared" si="314"/>
        <v>02</v>
      </c>
      <c r="N4553" t="s">
        <v>12</v>
      </c>
    </row>
    <row r="4554" spans="1:14" x14ac:dyDescent="0.25">
      <c r="A4554">
        <v>20160205</v>
      </c>
      <c r="B4554" t="str">
        <f t="shared" si="315"/>
        <v>062231</v>
      </c>
      <c r="C4554" t="str">
        <f t="shared" si="316"/>
        <v>58202</v>
      </c>
      <c r="D4554" t="s">
        <v>2695</v>
      </c>
      <c r="E4554" s="3">
        <v>5.12</v>
      </c>
      <c r="F4554">
        <v>20160204</v>
      </c>
      <c r="G4554" t="s">
        <v>2172</v>
      </c>
      <c r="H4554" t="s">
        <v>3963</v>
      </c>
      <c r="I4554">
        <v>0</v>
      </c>
      <c r="J4554" t="s">
        <v>1709</v>
      </c>
      <c r="K4554" t="s">
        <v>95</v>
      </c>
      <c r="L4554" t="s">
        <v>285</v>
      </c>
      <c r="M4554" t="str">
        <f t="shared" si="314"/>
        <v>02</v>
      </c>
      <c r="N4554" t="s">
        <v>12</v>
      </c>
    </row>
    <row r="4555" spans="1:14" x14ac:dyDescent="0.25">
      <c r="A4555">
        <v>20160205</v>
      </c>
      <c r="B4555" t="str">
        <f>"062233"</f>
        <v>062233</v>
      </c>
      <c r="C4555" t="str">
        <f>"61912"</f>
        <v>61912</v>
      </c>
      <c r="D4555" t="s">
        <v>2374</v>
      </c>
      <c r="E4555" s="3">
        <v>371.42</v>
      </c>
      <c r="F4555">
        <v>20160204</v>
      </c>
      <c r="G4555" t="s">
        <v>2706</v>
      </c>
      <c r="H4555" t="s">
        <v>3964</v>
      </c>
      <c r="I4555">
        <v>0</v>
      </c>
      <c r="J4555" t="s">
        <v>1709</v>
      </c>
      <c r="K4555" t="s">
        <v>33</v>
      </c>
      <c r="L4555" t="s">
        <v>285</v>
      </c>
      <c r="M4555" t="str">
        <f t="shared" si="314"/>
        <v>02</v>
      </c>
      <c r="N4555" t="s">
        <v>12</v>
      </c>
    </row>
    <row r="4556" spans="1:14" x14ac:dyDescent="0.25">
      <c r="A4556">
        <v>20160205</v>
      </c>
      <c r="B4556" t="str">
        <f>"062234"</f>
        <v>062234</v>
      </c>
      <c r="C4556" t="str">
        <f>"62340"</f>
        <v>62340</v>
      </c>
      <c r="D4556" t="s">
        <v>1911</v>
      </c>
      <c r="E4556" s="3">
        <v>4135.32</v>
      </c>
      <c r="F4556">
        <v>20160204</v>
      </c>
      <c r="G4556" t="s">
        <v>1912</v>
      </c>
      <c r="H4556" t="s">
        <v>3676</v>
      </c>
      <c r="I4556">
        <v>0</v>
      </c>
      <c r="J4556" t="s">
        <v>1709</v>
      </c>
      <c r="K4556" t="s">
        <v>1861</v>
      </c>
      <c r="L4556" t="s">
        <v>285</v>
      </c>
      <c r="M4556" t="str">
        <f t="shared" si="314"/>
        <v>02</v>
      </c>
      <c r="N4556" t="s">
        <v>12</v>
      </c>
    </row>
    <row r="4557" spans="1:14" x14ac:dyDescent="0.25">
      <c r="A4557">
        <v>20160205</v>
      </c>
      <c r="B4557" t="str">
        <f>"062235"</f>
        <v>062235</v>
      </c>
      <c r="C4557" t="str">
        <f>"63053"</f>
        <v>63053</v>
      </c>
      <c r="D4557" t="s">
        <v>2012</v>
      </c>
      <c r="E4557" s="3">
        <v>60</v>
      </c>
      <c r="F4557">
        <v>20160204</v>
      </c>
      <c r="G4557" t="s">
        <v>2013</v>
      </c>
      <c r="H4557" t="s">
        <v>3870</v>
      </c>
      <c r="I4557">
        <v>0</v>
      </c>
      <c r="J4557" t="s">
        <v>1709</v>
      </c>
      <c r="K4557" t="s">
        <v>290</v>
      </c>
      <c r="L4557" t="s">
        <v>285</v>
      </c>
      <c r="M4557" t="str">
        <f t="shared" si="314"/>
        <v>02</v>
      </c>
      <c r="N4557" t="s">
        <v>12</v>
      </c>
    </row>
    <row r="4558" spans="1:14" x14ac:dyDescent="0.25">
      <c r="A4558">
        <v>20160205</v>
      </c>
      <c r="B4558" t="str">
        <f>"062236"</f>
        <v>062236</v>
      </c>
      <c r="C4558" t="str">
        <f>"64935"</f>
        <v>64935</v>
      </c>
      <c r="D4558" t="s">
        <v>2560</v>
      </c>
      <c r="E4558" s="3">
        <v>601.25</v>
      </c>
      <c r="F4558">
        <v>20160204</v>
      </c>
      <c r="G4558" t="s">
        <v>2192</v>
      </c>
      <c r="H4558" t="s">
        <v>3965</v>
      </c>
      <c r="I4558">
        <v>0</v>
      </c>
      <c r="J4558" t="s">
        <v>1709</v>
      </c>
      <c r="K4558" t="s">
        <v>2194</v>
      </c>
      <c r="L4558" t="s">
        <v>285</v>
      </c>
      <c r="M4558" t="str">
        <f t="shared" si="314"/>
        <v>02</v>
      </c>
      <c r="N4558" t="s">
        <v>12</v>
      </c>
    </row>
    <row r="4559" spans="1:14" x14ac:dyDescent="0.25">
      <c r="A4559">
        <v>20160205</v>
      </c>
      <c r="B4559" t="str">
        <f>"062238"</f>
        <v>062238</v>
      </c>
      <c r="C4559" t="str">
        <f>"67740"</f>
        <v>67740</v>
      </c>
      <c r="D4559" t="s">
        <v>2149</v>
      </c>
      <c r="E4559" s="3">
        <v>2797.54</v>
      </c>
      <c r="F4559">
        <v>20160204</v>
      </c>
      <c r="G4559" t="s">
        <v>1859</v>
      </c>
      <c r="H4559" t="s">
        <v>3966</v>
      </c>
      <c r="I4559">
        <v>0</v>
      </c>
      <c r="J4559" t="s">
        <v>1709</v>
      </c>
      <c r="K4559" t="s">
        <v>1861</v>
      </c>
      <c r="L4559" t="s">
        <v>285</v>
      </c>
      <c r="M4559" t="str">
        <f t="shared" si="314"/>
        <v>02</v>
      </c>
      <c r="N4559" t="s">
        <v>12</v>
      </c>
    </row>
    <row r="4560" spans="1:14" x14ac:dyDescent="0.25">
      <c r="A4560">
        <v>20160205</v>
      </c>
      <c r="B4560" t="str">
        <f>"062238"</f>
        <v>062238</v>
      </c>
      <c r="C4560" t="str">
        <f>"67740"</f>
        <v>67740</v>
      </c>
      <c r="D4560" t="s">
        <v>2149</v>
      </c>
      <c r="E4560" s="3">
        <v>915.61</v>
      </c>
      <c r="F4560">
        <v>20160204</v>
      </c>
      <c r="G4560" t="s">
        <v>1859</v>
      </c>
      <c r="H4560" t="s">
        <v>3966</v>
      </c>
      <c r="I4560">
        <v>0</v>
      </c>
      <c r="J4560" t="s">
        <v>1709</v>
      </c>
      <c r="K4560" t="s">
        <v>1861</v>
      </c>
      <c r="L4560" t="s">
        <v>285</v>
      </c>
      <c r="M4560" t="str">
        <f t="shared" si="314"/>
        <v>02</v>
      </c>
      <c r="N4560" t="s">
        <v>12</v>
      </c>
    </row>
    <row r="4561" spans="1:14" x14ac:dyDescent="0.25">
      <c r="A4561">
        <v>20160205</v>
      </c>
      <c r="B4561" t="str">
        <f>"062239"</f>
        <v>062239</v>
      </c>
      <c r="C4561" t="str">
        <f>"69025"</f>
        <v>69025</v>
      </c>
      <c r="D4561" t="s">
        <v>3967</v>
      </c>
      <c r="E4561" s="3">
        <v>32</v>
      </c>
      <c r="F4561">
        <v>20160204</v>
      </c>
      <c r="G4561" t="s">
        <v>3968</v>
      </c>
      <c r="H4561" t="s">
        <v>3969</v>
      </c>
      <c r="I4561">
        <v>0</v>
      </c>
      <c r="J4561" t="s">
        <v>1709</v>
      </c>
      <c r="K4561" t="s">
        <v>290</v>
      </c>
      <c r="L4561" t="s">
        <v>285</v>
      </c>
      <c r="M4561" t="str">
        <f t="shared" si="314"/>
        <v>02</v>
      </c>
      <c r="N4561" t="s">
        <v>12</v>
      </c>
    </row>
    <row r="4562" spans="1:14" x14ac:dyDescent="0.25">
      <c r="A4562">
        <v>20160205</v>
      </c>
      <c r="B4562" t="str">
        <f>"062239"</f>
        <v>062239</v>
      </c>
      <c r="C4562" t="str">
        <f>"69025"</f>
        <v>69025</v>
      </c>
      <c r="D4562" t="s">
        <v>3967</v>
      </c>
      <c r="E4562" s="3">
        <v>16</v>
      </c>
      <c r="F4562">
        <v>20160204</v>
      </c>
      <c r="G4562" t="s">
        <v>3970</v>
      </c>
      <c r="H4562" t="s">
        <v>3969</v>
      </c>
      <c r="I4562">
        <v>0</v>
      </c>
      <c r="J4562" t="s">
        <v>1709</v>
      </c>
      <c r="K4562" t="s">
        <v>290</v>
      </c>
      <c r="L4562" t="s">
        <v>285</v>
      </c>
      <c r="M4562" t="str">
        <f t="shared" si="314"/>
        <v>02</v>
      </c>
      <c r="N4562" t="s">
        <v>12</v>
      </c>
    </row>
    <row r="4563" spans="1:14" x14ac:dyDescent="0.25">
      <c r="A4563">
        <v>20160205</v>
      </c>
      <c r="B4563" t="str">
        <f>"062239"</f>
        <v>062239</v>
      </c>
      <c r="C4563" t="str">
        <f>"69025"</f>
        <v>69025</v>
      </c>
      <c r="D4563" t="s">
        <v>3967</v>
      </c>
      <c r="E4563" s="3">
        <v>16</v>
      </c>
      <c r="F4563">
        <v>20160204</v>
      </c>
      <c r="G4563" t="s">
        <v>3970</v>
      </c>
      <c r="H4563" t="s">
        <v>3969</v>
      </c>
      <c r="I4563">
        <v>0</v>
      </c>
      <c r="J4563" t="s">
        <v>1709</v>
      </c>
      <c r="K4563" t="s">
        <v>290</v>
      </c>
      <c r="L4563" t="s">
        <v>285</v>
      </c>
      <c r="M4563" t="str">
        <f t="shared" si="314"/>
        <v>02</v>
      </c>
      <c r="N4563" t="s">
        <v>12</v>
      </c>
    </row>
    <row r="4564" spans="1:14" x14ac:dyDescent="0.25">
      <c r="A4564">
        <v>20160205</v>
      </c>
      <c r="B4564" t="str">
        <f>"062239"</f>
        <v>062239</v>
      </c>
      <c r="C4564" t="str">
        <f>"69025"</f>
        <v>69025</v>
      </c>
      <c r="D4564" t="s">
        <v>3967</v>
      </c>
      <c r="E4564" s="3">
        <v>28</v>
      </c>
      <c r="F4564">
        <v>20160204</v>
      </c>
      <c r="G4564" t="s">
        <v>3971</v>
      </c>
      <c r="H4564" t="s">
        <v>3969</v>
      </c>
      <c r="I4564">
        <v>0</v>
      </c>
      <c r="J4564" t="s">
        <v>1709</v>
      </c>
      <c r="K4564" t="s">
        <v>290</v>
      </c>
      <c r="L4564" t="s">
        <v>285</v>
      </c>
      <c r="M4564" t="str">
        <f t="shared" si="314"/>
        <v>02</v>
      </c>
      <c r="N4564" t="s">
        <v>12</v>
      </c>
    </row>
    <row r="4565" spans="1:14" x14ac:dyDescent="0.25">
      <c r="A4565">
        <v>20160205</v>
      </c>
      <c r="B4565" t="str">
        <f>"062240"</f>
        <v>062240</v>
      </c>
      <c r="C4565" t="str">
        <f>"79765"</f>
        <v>79765</v>
      </c>
      <c r="D4565" t="s">
        <v>3972</v>
      </c>
      <c r="E4565" s="3">
        <v>50</v>
      </c>
      <c r="F4565">
        <v>20160204</v>
      </c>
      <c r="G4565" t="s">
        <v>3968</v>
      </c>
      <c r="H4565" t="s">
        <v>3969</v>
      </c>
      <c r="I4565">
        <v>0</v>
      </c>
      <c r="J4565" t="s">
        <v>1709</v>
      </c>
      <c r="K4565" t="s">
        <v>290</v>
      </c>
      <c r="L4565" t="s">
        <v>285</v>
      </c>
      <c r="M4565" t="str">
        <f t="shared" si="314"/>
        <v>02</v>
      </c>
      <c r="N4565" t="s">
        <v>12</v>
      </c>
    </row>
    <row r="4566" spans="1:14" x14ac:dyDescent="0.25">
      <c r="A4566">
        <v>20160205</v>
      </c>
      <c r="B4566" t="str">
        <f>"062240"</f>
        <v>062240</v>
      </c>
      <c r="C4566" t="str">
        <f>"79765"</f>
        <v>79765</v>
      </c>
      <c r="D4566" t="s">
        <v>3972</v>
      </c>
      <c r="E4566" s="3">
        <v>50</v>
      </c>
      <c r="F4566">
        <v>20160204</v>
      </c>
      <c r="G4566" t="s">
        <v>3970</v>
      </c>
      <c r="H4566" t="s">
        <v>3969</v>
      </c>
      <c r="I4566">
        <v>0</v>
      </c>
      <c r="J4566" t="s">
        <v>1709</v>
      </c>
      <c r="K4566" t="s">
        <v>290</v>
      </c>
      <c r="L4566" t="s">
        <v>285</v>
      </c>
      <c r="M4566" t="str">
        <f t="shared" si="314"/>
        <v>02</v>
      </c>
      <c r="N4566" t="s">
        <v>12</v>
      </c>
    </row>
    <row r="4567" spans="1:14" x14ac:dyDescent="0.25">
      <c r="A4567">
        <v>20160205</v>
      </c>
      <c r="B4567" t="str">
        <f t="shared" ref="B4567:B4573" si="317">"062241"</f>
        <v>062241</v>
      </c>
      <c r="C4567" t="str">
        <f t="shared" ref="C4567:C4573" si="318">"71225"</f>
        <v>71225</v>
      </c>
      <c r="D4567" t="s">
        <v>1920</v>
      </c>
      <c r="E4567" s="3">
        <v>844.36</v>
      </c>
      <c r="F4567">
        <v>20160204</v>
      </c>
      <c r="G4567" t="s">
        <v>1854</v>
      </c>
      <c r="H4567" t="s">
        <v>3973</v>
      </c>
      <c r="I4567">
        <v>0</v>
      </c>
      <c r="J4567" t="s">
        <v>1709</v>
      </c>
      <c r="K4567" t="s">
        <v>1856</v>
      </c>
      <c r="L4567" t="s">
        <v>285</v>
      </c>
      <c r="M4567" t="str">
        <f t="shared" si="314"/>
        <v>02</v>
      </c>
      <c r="N4567" t="s">
        <v>12</v>
      </c>
    </row>
    <row r="4568" spans="1:14" x14ac:dyDescent="0.25">
      <c r="A4568">
        <v>20160205</v>
      </c>
      <c r="B4568" t="str">
        <f t="shared" si="317"/>
        <v>062241</v>
      </c>
      <c r="C4568" t="str">
        <f t="shared" si="318"/>
        <v>71225</v>
      </c>
      <c r="D4568" t="s">
        <v>1920</v>
      </c>
      <c r="E4568" s="3">
        <v>1543.76</v>
      </c>
      <c r="F4568">
        <v>20160204</v>
      </c>
      <c r="G4568" t="s">
        <v>1854</v>
      </c>
      <c r="H4568" t="s">
        <v>3974</v>
      </c>
      <c r="I4568">
        <v>0</v>
      </c>
      <c r="J4568" t="s">
        <v>1709</v>
      </c>
      <c r="K4568" t="s">
        <v>1856</v>
      </c>
      <c r="L4568" t="s">
        <v>285</v>
      </c>
      <c r="M4568" t="str">
        <f t="shared" si="314"/>
        <v>02</v>
      </c>
      <c r="N4568" t="s">
        <v>12</v>
      </c>
    </row>
    <row r="4569" spans="1:14" x14ac:dyDescent="0.25">
      <c r="A4569">
        <v>20160205</v>
      </c>
      <c r="B4569" t="str">
        <f t="shared" si="317"/>
        <v>062241</v>
      </c>
      <c r="C4569" t="str">
        <f t="shared" si="318"/>
        <v>71225</v>
      </c>
      <c r="D4569" t="s">
        <v>1920</v>
      </c>
      <c r="E4569" s="3">
        <v>736.92</v>
      </c>
      <c r="F4569">
        <v>20160204</v>
      </c>
      <c r="G4569" t="s">
        <v>1854</v>
      </c>
      <c r="H4569" t="s">
        <v>3975</v>
      </c>
      <c r="I4569">
        <v>0</v>
      </c>
      <c r="J4569" t="s">
        <v>1709</v>
      </c>
      <c r="K4569" t="s">
        <v>1856</v>
      </c>
      <c r="L4569" t="s">
        <v>285</v>
      </c>
      <c r="M4569" t="str">
        <f t="shared" si="314"/>
        <v>02</v>
      </c>
      <c r="N4569" t="s">
        <v>12</v>
      </c>
    </row>
    <row r="4570" spans="1:14" x14ac:dyDescent="0.25">
      <c r="A4570">
        <v>20160205</v>
      </c>
      <c r="B4570" t="str">
        <f t="shared" si="317"/>
        <v>062241</v>
      </c>
      <c r="C4570" t="str">
        <f t="shared" si="318"/>
        <v>71225</v>
      </c>
      <c r="D4570" t="s">
        <v>1920</v>
      </c>
      <c r="E4570" s="3">
        <v>1063</v>
      </c>
      <c r="F4570">
        <v>20160204</v>
      </c>
      <c r="G4570" t="s">
        <v>1854</v>
      </c>
      <c r="H4570" t="s">
        <v>3976</v>
      </c>
      <c r="I4570">
        <v>0</v>
      </c>
      <c r="J4570" t="s">
        <v>1709</v>
      </c>
      <c r="K4570" t="s">
        <v>1856</v>
      </c>
      <c r="L4570" t="s">
        <v>285</v>
      </c>
      <c r="M4570" t="str">
        <f t="shared" si="314"/>
        <v>02</v>
      </c>
      <c r="N4570" t="s">
        <v>12</v>
      </c>
    </row>
    <row r="4571" spans="1:14" x14ac:dyDescent="0.25">
      <c r="A4571">
        <v>20160205</v>
      </c>
      <c r="B4571" t="str">
        <f t="shared" si="317"/>
        <v>062241</v>
      </c>
      <c r="C4571" t="str">
        <f t="shared" si="318"/>
        <v>71225</v>
      </c>
      <c r="D4571" t="s">
        <v>1920</v>
      </c>
      <c r="E4571" s="3">
        <v>946.64</v>
      </c>
      <c r="F4571">
        <v>20160204</v>
      </c>
      <c r="G4571" t="s">
        <v>1854</v>
      </c>
      <c r="H4571" t="s">
        <v>3976</v>
      </c>
      <c r="I4571">
        <v>0</v>
      </c>
      <c r="J4571" t="s">
        <v>1709</v>
      </c>
      <c r="K4571" t="s">
        <v>1856</v>
      </c>
      <c r="L4571" t="s">
        <v>285</v>
      </c>
      <c r="M4571" t="str">
        <f t="shared" si="314"/>
        <v>02</v>
      </c>
      <c r="N4571" t="s">
        <v>12</v>
      </c>
    </row>
    <row r="4572" spans="1:14" x14ac:dyDescent="0.25">
      <c r="A4572">
        <v>20160205</v>
      </c>
      <c r="B4572" t="str">
        <f t="shared" si="317"/>
        <v>062241</v>
      </c>
      <c r="C4572" t="str">
        <f t="shared" si="318"/>
        <v>71225</v>
      </c>
      <c r="D4572" t="s">
        <v>1920</v>
      </c>
      <c r="E4572" s="3">
        <v>142.75</v>
      </c>
      <c r="F4572">
        <v>20160204</v>
      </c>
      <c r="G4572" t="s">
        <v>2883</v>
      </c>
      <c r="H4572" t="s">
        <v>3977</v>
      </c>
      <c r="I4572">
        <v>0</v>
      </c>
      <c r="J4572" t="s">
        <v>1709</v>
      </c>
      <c r="K4572" t="s">
        <v>1861</v>
      </c>
      <c r="L4572" t="s">
        <v>285</v>
      </c>
      <c r="M4572" t="str">
        <f t="shared" si="314"/>
        <v>02</v>
      </c>
      <c r="N4572" t="s">
        <v>12</v>
      </c>
    </row>
    <row r="4573" spans="1:14" x14ac:dyDescent="0.25">
      <c r="A4573">
        <v>20160205</v>
      </c>
      <c r="B4573" t="str">
        <f t="shared" si="317"/>
        <v>062241</v>
      </c>
      <c r="C4573" t="str">
        <f t="shared" si="318"/>
        <v>71225</v>
      </c>
      <c r="D4573" t="s">
        <v>1920</v>
      </c>
      <c r="E4573" s="3">
        <v>391</v>
      </c>
      <c r="F4573">
        <v>20160204</v>
      </c>
      <c r="G4573" t="s">
        <v>2164</v>
      </c>
      <c r="H4573" t="s">
        <v>3978</v>
      </c>
      <c r="I4573">
        <v>0</v>
      </c>
      <c r="J4573" t="s">
        <v>1709</v>
      </c>
      <c r="K4573" t="s">
        <v>1861</v>
      </c>
      <c r="L4573" t="s">
        <v>285</v>
      </c>
      <c r="M4573" t="str">
        <f t="shared" si="314"/>
        <v>02</v>
      </c>
      <c r="N4573" t="s">
        <v>12</v>
      </c>
    </row>
    <row r="4574" spans="1:14" x14ac:dyDescent="0.25">
      <c r="A4574">
        <v>20160205</v>
      </c>
      <c r="B4574" t="str">
        <f>"062242"</f>
        <v>062242</v>
      </c>
      <c r="C4574" t="str">
        <f>"72340"</f>
        <v>72340</v>
      </c>
      <c r="D4574" t="s">
        <v>1762</v>
      </c>
      <c r="E4574" s="3">
        <v>305.24</v>
      </c>
      <c r="F4574">
        <v>20160204</v>
      </c>
      <c r="G4574" t="s">
        <v>2768</v>
      </c>
      <c r="H4574" t="s">
        <v>3979</v>
      </c>
      <c r="I4574">
        <v>0</v>
      </c>
      <c r="J4574" t="s">
        <v>1709</v>
      </c>
      <c r="K4574" t="s">
        <v>1861</v>
      </c>
      <c r="L4574" t="s">
        <v>285</v>
      </c>
      <c r="M4574" t="str">
        <f t="shared" si="314"/>
        <v>02</v>
      </c>
      <c r="N4574" t="s">
        <v>12</v>
      </c>
    </row>
    <row r="4575" spans="1:14" x14ac:dyDescent="0.25">
      <c r="A4575">
        <v>20160205</v>
      </c>
      <c r="B4575" t="str">
        <f>"062243"</f>
        <v>062243</v>
      </c>
      <c r="C4575" t="str">
        <f>"72605"</f>
        <v>72605</v>
      </c>
      <c r="D4575" t="s">
        <v>3980</v>
      </c>
      <c r="E4575" s="3">
        <v>687.25</v>
      </c>
      <c r="F4575">
        <v>20160204</v>
      </c>
      <c r="G4575" t="s">
        <v>3981</v>
      </c>
      <c r="H4575" t="s">
        <v>3982</v>
      </c>
      <c r="I4575">
        <v>0</v>
      </c>
      <c r="J4575" t="s">
        <v>1709</v>
      </c>
      <c r="K4575" t="s">
        <v>2247</v>
      </c>
      <c r="L4575" t="s">
        <v>285</v>
      </c>
      <c r="M4575" t="str">
        <f t="shared" si="314"/>
        <v>02</v>
      </c>
      <c r="N4575" t="s">
        <v>12</v>
      </c>
    </row>
    <row r="4576" spans="1:14" x14ac:dyDescent="0.25">
      <c r="A4576">
        <v>20160205</v>
      </c>
      <c r="B4576" t="str">
        <f>"062245"</f>
        <v>062245</v>
      </c>
      <c r="C4576" t="str">
        <f>"75515"</f>
        <v>75515</v>
      </c>
      <c r="D4576" t="s">
        <v>2729</v>
      </c>
      <c r="E4576" s="3">
        <v>38.82</v>
      </c>
      <c r="F4576">
        <v>20160204</v>
      </c>
      <c r="G4576" t="s">
        <v>3983</v>
      </c>
      <c r="H4576" t="s">
        <v>3531</v>
      </c>
      <c r="I4576">
        <v>0</v>
      </c>
      <c r="J4576" t="s">
        <v>1709</v>
      </c>
      <c r="K4576" t="s">
        <v>290</v>
      </c>
      <c r="L4576" t="s">
        <v>285</v>
      </c>
      <c r="M4576" t="str">
        <f t="shared" si="314"/>
        <v>02</v>
      </c>
      <c r="N4576" t="s">
        <v>12</v>
      </c>
    </row>
    <row r="4577" spans="1:14" x14ac:dyDescent="0.25">
      <c r="A4577">
        <v>20160205</v>
      </c>
      <c r="B4577" t="str">
        <f>"062247"</f>
        <v>062247</v>
      </c>
      <c r="C4577" t="str">
        <f>"75735"</f>
        <v>75735</v>
      </c>
      <c r="D4577" t="s">
        <v>3146</v>
      </c>
      <c r="E4577" s="3">
        <v>290.3</v>
      </c>
      <c r="F4577">
        <v>20160204</v>
      </c>
      <c r="G4577" t="s">
        <v>3888</v>
      </c>
      <c r="H4577" t="s">
        <v>3984</v>
      </c>
      <c r="I4577">
        <v>0</v>
      </c>
      <c r="J4577" t="s">
        <v>1709</v>
      </c>
      <c r="K4577" t="s">
        <v>95</v>
      </c>
      <c r="L4577" t="s">
        <v>285</v>
      </c>
      <c r="M4577" t="str">
        <f t="shared" si="314"/>
        <v>02</v>
      </c>
      <c r="N4577" t="s">
        <v>12</v>
      </c>
    </row>
    <row r="4578" spans="1:14" x14ac:dyDescent="0.25">
      <c r="A4578">
        <v>20160205</v>
      </c>
      <c r="B4578" t="str">
        <f>"062248"</f>
        <v>062248</v>
      </c>
      <c r="C4578" t="str">
        <f>"80611"</f>
        <v>80611</v>
      </c>
      <c r="D4578" t="s">
        <v>1796</v>
      </c>
      <c r="E4578" s="3">
        <v>2208.33</v>
      </c>
      <c r="F4578">
        <v>20160204</v>
      </c>
      <c r="G4578" t="s">
        <v>2414</v>
      </c>
      <c r="H4578" t="s">
        <v>3336</v>
      </c>
      <c r="I4578">
        <v>0</v>
      </c>
      <c r="J4578" t="s">
        <v>1709</v>
      </c>
      <c r="K4578" t="s">
        <v>133</v>
      </c>
      <c r="L4578" t="s">
        <v>285</v>
      </c>
      <c r="M4578" t="str">
        <f t="shared" si="314"/>
        <v>02</v>
      </c>
      <c r="N4578" t="s">
        <v>12</v>
      </c>
    </row>
    <row r="4579" spans="1:14" x14ac:dyDescent="0.25">
      <c r="A4579">
        <v>20160205</v>
      </c>
      <c r="B4579" t="str">
        <f>"062249"</f>
        <v>062249</v>
      </c>
      <c r="C4579" t="str">
        <f>"58985"</f>
        <v>58985</v>
      </c>
      <c r="D4579" t="s">
        <v>3985</v>
      </c>
      <c r="E4579" s="3">
        <v>225</v>
      </c>
      <c r="F4579">
        <v>20160204</v>
      </c>
      <c r="G4579" t="s">
        <v>3986</v>
      </c>
      <c r="H4579" t="s">
        <v>3987</v>
      </c>
      <c r="I4579">
        <v>0</v>
      </c>
      <c r="J4579" t="s">
        <v>1709</v>
      </c>
      <c r="K4579" t="s">
        <v>1754</v>
      </c>
      <c r="L4579" t="s">
        <v>285</v>
      </c>
      <c r="M4579" t="str">
        <f t="shared" si="314"/>
        <v>02</v>
      </c>
      <c r="N4579" t="s">
        <v>12</v>
      </c>
    </row>
    <row r="4580" spans="1:14" x14ac:dyDescent="0.25">
      <c r="A4580">
        <v>20160212</v>
      </c>
      <c r="B4580" t="str">
        <f>"062254"</f>
        <v>062254</v>
      </c>
      <c r="C4580" t="str">
        <f>"01196"</f>
        <v>01196</v>
      </c>
      <c r="D4580" t="s">
        <v>2421</v>
      </c>
      <c r="E4580" s="3">
        <v>27.18</v>
      </c>
      <c r="F4580">
        <v>20160211</v>
      </c>
      <c r="G4580" t="s">
        <v>2333</v>
      </c>
      <c r="H4580" t="s">
        <v>3988</v>
      </c>
      <c r="I4580">
        <v>0</v>
      </c>
      <c r="J4580" t="s">
        <v>1709</v>
      </c>
      <c r="K4580" t="s">
        <v>290</v>
      </c>
      <c r="L4580" t="s">
        <v>285</v>
      </c>
      <c r="M4580" t="str">
        <f t="shared" si="314"/>
        <v>02</v>
      </c>
      <c r="N4580" t="s">
        <v>12</v>
      </c>
    </row>
    <row r="4581" spans="1:14" x14ac:dyDescent="0.25">
      <c r="A4581">
        <v>20160212</v>
      </c>
      <c r="B4581" t="str">
        <f>"062254"</f>
        <v>062254</v>
      </c>
      <c r="C4581" t="str">
        <f>"01196"</f>
        <v>01196</v>
      </c>
      <c r="D4581" t="s">
        <v>2421</v>
      </c>
      <c r="E4581" s="3">
        <v>10.17</v>
      </c>
      <c r="F4581">
        <v>20160211</v>
      </c>
      <c r="G4581" t="s">
        <v>2333</v>
      </c>
      <c r="H4581" t="s">
        <v>3989</v>
      </c>
      <c r="I4581">
        <v>0</v>
      </c>
      <c r="J4581" t="s">
        <v>1709</v>
      </c>
      <c r="K4581" t="s">
        <v>290</v>
      </c>
      <c r="L4581" t="s">
        <v>285</v>
      </c>
      <c r="M4581" t="str">
        <f t="shared" si="314"/>
        <v>02</v>
      </c>
      <c r="N4581" t="s">
        <v>12</v>
      </c>
    </row>
    <row r="4582" spans="1:14" x14ac:dyDescent="0.25">
      <c r="A4582">
        <v>20160212</v>
      </c>
      <c r="B4582" t="str">
        <f>"062254"</f>
        <v>062254</v>
      </c>
      <c r="C4582" t="str">
        <f>"01196"</f>
        <v>01196</v>
      </c>
      <c r="D4582" t="s">
        <v>2421</v>
      </c>
      <c r="E4582" s="3">
        <v>16.91</v>
      </c>
      <c r="F4582">
        <v>20160211</v>
      </c>
      <c r="G4582" t="s">
        <v>2333</v>
      </c>
      <c r="H4582" t="s">
        <v>3990</v>
      </c>
      <c r="I4582">
        <v>0</v>
      </c>
      <c r="J4582" t="s">
        <v>1709</v>
      </c>
      <c r="K4582" t="s">
        <v>290</v>
      </c>
      <c r="L4582" t="s">
        <v>285</v>
      </c>
      <c r="M4582" t="str">
        <f t="shared" si="314"/>
        <v>02</v>
      </c>
      <c r="N4582" t="s">
        <v>12</v>
      </c>
    </row>
    <row r="4583" spans="1:14" x14ac:dyDescent="0.25">
      <c r="A4583">
        <v>20160212</v>
      </c>
      <c r="B4583" t="str">
        <f>"062254"</f>
        <v>062254</v>
      </c>
      <c r="C4583" t="str">
        <f>"01196"</f>
        <v>01196</v>
      </c>
      <c r="D4583" t="s">
        <v>2421</v>
      </c>
      <c r="E4583" s="3">
        <v>23.72</v>
      </c>
      <c r="F4583">
        <v>20160211</v>
      </c>
      <c r="G4583" t="s">
        <v>2333</v>
      </c>
      <c r="H4583" t="s">
        <v>3991</v>
      </c>
      <c r="I4583">
        <v>0</v>
      </c>
      <c r="J4583" t="s">
        <v>1709</v>
      </c>
      <c r="K4583" t="s">
        <v>290</v>
      </c>
      <c r="L4583" t="s">
        <v>285</v>
      </c>
      <c r="M4583" t="str">
        <f t="shared" si="314"/>
        <v>02</v>
      </c>
      <c r="N4583" t="s">
        <v>12</v>
      </c>
    </row>
    <row r="4584" spans="1:14" x14ac:dyDescent="0.25">
      <c r="A4584">
        <v>20160212</v>
      </c>
      <c r="B4584" t="str">
        <f>"062254"</f>
        <v>062254</v>
      </c>
      <c r="C4584" t="str">
        <f>"01196"</f>
        <v>01196</v>
      </c>
      <c r="D4584" t="s">
        <v>2421</v>
      </c>
      <c r="E4584" s="3">
        <v>8.48</v>
      </c>
      <c r="F4584">
        <v>20160211</v>
      </c>
      <c r="G4584" t="s">
        <v>2333</v>
      </c>
      <c r="H4584" t="s">
        <v>3992</v>
      </c>
      <c r="I4584">
        <v>0</v>
      </c>
      <c r="J4584" t="s">
        <v>1709</v>
      </c>
      <c r="K4584" t="s">
        <v>290</v>
      </c>
      <c r="L4584" t="s">
        <v>285</v>
      </c>
      <c r="M4584" t="str">
        <f t="shared" si="314"/>
        <v>02</v>
      </c>
      <c r="N4584" t="s">
        <v>12</v>
      </c>
    </row>
    <row r="4585" spans="1:14" x14ac:dyDescent="0.25">
      <c r="A4585">
        <v>20160212</v>
      </c>
      <c r="B4585" t="str">
        <f>"062256"</f>
        <v>062256</v>
      </c>
      <c r="C4585" t="str">
        <f>"29779"</f>
        <v>29779</v>
      </c>
      <c r="D4585" t="s">
        <v>1806</v>
      </c>
      <c r="E4585" s="3">
        <v>550</v>
      </c>
      <c r="F4585">
        <v>20160211</v>
      </c>
      <c r="G4585" t="s">
        <v>2192</v>
      </c>
      <c r="H4585" t="s">
        <v>3993</v>
      </c>
      <c r="I4585">
        <v>0</v>
      </c>
      <c r="J4585" t="s">
        <v>1709</v>
      </c>
      <c r="K4585" t="s">
        <v>2194</v>
      </c>
      <c r="L4585" t="s">
        <v>285</v>
      </c>
      <c r="M4585" t="str">
        <f t="shared" si="314"/>
        <v>02</v>
      </c>
      <c r="N4585" t="s">
        <v>12</v>
      </c>
    </row>
    <row r="4586" spans="1:14" x14ac:dyDescent="0.25">
      <c r="A4586">
        <v>20160212</v>
      </c>
      <c r="B4586" t="str">
        <f>"062256"</f>
        <v>062256</v>
      </c>
      <c r="C4586" t="str">
        <f>"29779"</f>
        <v>29779</v>
      </c>
      <c r="D4586" t="s">
        <v>1806</v>
      </c>
      <c r="E4586" s="3">
        <v>468.74</v>
      </c>
      <c r="F4586">
        <v>20160211</v>
      </c>
      <c r="G4586" t="s">
        <v>2192</v>
      </c>
      <c r="H4586" t="s">
        <v>2051</v>
      </c>
      <c r="I4586">
        <v>0</v>
      </c>
      <c r="J4586" t="s">
        <v>1709</v>
      </c>
      <c r="K4586" t="s">
        <v>2194</v>
      </c>
      <c r="L4586" t="s">
        <v>285</v>
      </c>
      <c r="M4586" t="str">
        <f t="shared" si="314"/>
        <v>02</v>
      </c>
      <c r="N4586" t="s">
        <v>12</v>
      </c>
    </row>
    <row r="4587" spans="1:14" x14ac:dyDescent="0.25">
      <c r="A4587">
        <v>20160212</v>
      </c>
      <c r="B4587" t="str">
        <f>"062257"</f>
        <v>062257</v>
      </c>
      <c r="C4587" t="str">
        <f>"03829"</f>
        <v>03829</v>
      </c>
      <c r="D4587" t="s">
        <v>1808</v>
      </c>
      <c r="E4587" s="3">
        <v>188.72</v>
      </c>
      <c r="F4587">
        <v>20160211</v>
      </c>
      <c r="G4587" t="s">
        <v>2427</v>
      </c>
      <c r="H4587" t="s">
        <v>2428</v>
      </c>
      <c r="I4587">
        <v>0</v>
      </c>
      <c r="J4587" t="s">
        <v>1709</v>
      </c>
      <c r="K4587" t="s">
        <v>1861</v>
      </c>
      <c r="L4587" t="s">
        <v>285</v>
      </c>
      <c r="M4587" t="str">
        <f t="shared" si="314"/>
        <v>02</v>
      </c>
      <c r="N4587" t="s">
        <v>12</v>
      </c>
    </row>
    <row r="4588" spans="1:14" x14ac:dyDescent="0.25">
      <c r="A4588">
        <v>20160212</v>
      </c>
      <c r="B4588" t="str">
        <f>"062257"</f>
        <v>062257</v>
      </c>
      <c r="C4588" t="str">
        <f>"03829"</f>
        <v>03829</v>
      </c>
      <c r="D4588" t="s">
        <v>1808</v>
      </c>
      <c r="E4588" s="3">
        <v>186.25</v>
      </c>
      <c r="F4588">
        <v>20160211</v>
      </c>
      <c r="G4588" t="s">
        <v>2427</v>
      </c>
      <c r="H4588" t="s">
        <v>2430</v>
      </c>
      <c r="I4588">
        <v>0</v>
      </c>
      <c r="J4588" t="s">
        <v>1709</v>
      </c>
      <c r="K4588" t="s">
        <v>1861</v>
      </c>
      <c r="L4588" t="s">
        <v>285</v>
      </c>
      <c r="M4588" t="str">
        <f t="shared" si="314"/>
        <v>02</v>
      </c>
      <c r="N4588" t="s">
        <v>12</v>
      </c>
    </row>
    <row r="4589" spans="1:14" x14ac:dyDescent="0.25">
      <c r="A4589">
        <v>20160212</v>
      </c>
      <c r="B4589" t="str">
        <f>"062257"</f>
        <v>062257</v>
      </c>
      <c r="C4589" t="str">
        <f>"03829"</f>
        <v>03829</v>
      </c>
      <c r="D4589" t="s">
        <v>1808</v>
      </c>
      <c r="E4589" s="3">
        <v>222.29</v>
      </c>
      <c r="F4589">
        <v>20160211</v>
      </c>
      <c r="G4589" t="s">
        <v>2427</v>
      </c>
      <c r="H4589" t="s">
        <v>3994</v>
      </c>
      <c r="I4589">
        <v>0</v>
      </c>
      <c r="J4589" t="s">
        <v>1709</v>
      </c>
      <c r="K4589" t="s">
        <v>1861</v>
      </c>
      <c r="L4589" t="s">
        <v>285</v>
      </c>
      <c r="M4589" t="str">
        <f t="shared" si="314"/>
        <v>02</v>
      </c>
      <c r="N4589" t="s">
        <v>12</v>
      </c>
    </row>
    <row r="4590" spans="1:14" x14ac:dyDescent="0.25">
      <c r="A4590">
        <v>20160212</v>
      </c>
      <c r="B4590" t="str">
        <f>"062257"</f>
        <v>062257</v>
      </c>
      <c r="C4590" t="str">
        <f>"03829"</f>
        <v>03829</v>
      </c>
      <c r="D4590" t="s">
        <v>1808</v>
      </c>
      <c r="E4590" s="3">
        <v>255.78</v>
      </c>
      <c r="F4590">
        <v>20160211</v>
      </c>
      <c r="G4590" t="s">
        <v>2427</v>
      </c>
      <c r="H4590" t="s">
        <v>3995</v>
      </c>
      <c r="I4590">
        <v>0</v>
      </c>
      <c r="J4590" t="s">
        <v>1709</v>
      </c>
      <c r="K4590" t="s">
        <v>1861</v>
      </c>
      <c r="L4590" t="s">
        <v>285</v>
      </c>
      <c r="M4590" t="str">
        <f t="shared" si="314"/>
        <v>02</v>
      </c>
      <c r="N4590" t="s">
        <v>12</v>
      </c>
    </row>
    <row r="4591" spans="1:14" x14ac:dyDescent="0.25">
      <c r="A4591">
        <v>20160212</v>
      </c>
      <c r="B4591" t="str">
        <f>"062257"</f>
        <v>062257</v>
      </c>
      <c r="C4591" t="str">
        <f>"03829"</f>
        <v>03829</v>
      </c>
      <c r="D4591" t="s">
        <v>1808</v>
      </c>
      <c r="E4591" s="3">
        <v>32.94</v>
      </c>
      <c r="F4591">
        <v>20160211</v>
      </c>
      <c r="G4591" t="s">
        <v>1859</v>
      </c>
      <c r="H4591" t="s">
        <v>3996</v>
      </c>
      <c r="I4591">
        <v>0</v>
      </c>
      <c r="J4591" t="s">
        <v>1709</v>
      </c>
      <c r="K4591" t="s">
        <v>1861</v>
      </c>
      <c r="L4591" t="s">
        <v>285</v>
      </c>
      <c r="M4591" t="str">
        <f t="shared" si="314"/>
        <v>02</v>
      </c>
      <c r="N4591" t="s">
        <v>12</v>
      </c>
    </row>
    <row r="4592" spans="1:14" x14ac:dyDescent="0.25">
      <c r="A4592">
        <v>20160212</v>
      </c>
      <c r="B4592" t="str">
        <f>"062258"</f>
        <v>062258</v>
      </c>
      <c r="C4592" t="str">
        <f>"04240"</f>
        <v>04240</v>
      </c>
      <c r="D4592" t="s">
        <v>2432</v>
      </c>
      <c r="E4592" s="3">
        <v>23.9</v>
      </c>
      <c r="F4592">
        <v>20160211</v>
      </c>
      <c r="G4592" t="s">
        <v>3942</v>
      </c>
      <c r="H4592" t="s">
        <v>3997</v>
      </c>
      <c r="I4592">
        <v>0</v>
      </c>
      <c r="J4592" t="s">
        <v>1709</v>
      </c>
      <c r="K4592" t="s">
        <v>95</v>
      </c>
      <c r="L4592" t="s">
        <v>285</v>
      </c>
      <c r="M4592" t="str">
        <f t="shared" si="314"/>
        <v>02</v>
      </c>
      <c r="N4592" t="s">
        <v>12</v>
      </c>
    </row>
    <row r="4593" spans="1:14" x14ac:dyDescent="0.25">
      <c r="A4593">
        <v>20160212</v>
      </c>
      <c r="B4593" t="str">
        <f>"062258"</f>
        <v>062258</v>
      </c>
      <c r="C4593" t="str">
        <f>"04240"</f>
        <v>04240</v>
      </c>
      <c r="D4593" t="s">
        <v>2432</v>
      </c>
      <c r="E4593" s="3">
        <v>389.65</v>
      </c>
      <c r="F4593">
        <v>20160211</v>
      </c>
      <c r="G4593" t="s">
        <v>3013</v>
      </c>
      <c r="H4593" t="s">
        <v>1661</v>
      </c>
      <c r="I4593">
        <v>0</v>
      </c>
      <c r="J4593" t="s">
        <v>1709</v>
      </c>
      <c r="K4593" t="s">
        <v>1984</v>
      </c>
      <c r="L4593" t="s">
        <v>285</v>
      </c>
      <c r="M4593" t="str">
        <f t="shared" si="314"/>
        <v>02</v>
      </c>
      <c r="N4593" t="s">
        <v>12</v>
      </c>
    </row>
    <row r="4594" spans="1:14" x14ac:dyDescent="0.25">
      <c r="A4594">
        <v>20160212</v>
      </c>
      <c r="B4594" t="str">
        <f>"062259"</f>
        <v>062259</v>
      </c>
      <c r="C4594" t="str">
        <f>"00349"</f>
        <v>00349</v>
      </c>
      <c r="D4594" t="s">
        <v>3998</v>
      </c>
      <c r="E4594" s="3">
        <v>172.82</v>
      </c>
      <c r="F4594">
        <v>20160211</v>
      </c>
      <c r="G4594" t="s">
        <v>2789</v>
      </c>
      <c r="H4594" t="s">
        <v>2790</v>
      </c>
      <c r="I4594">
        <v>0</v>
      </c>
      <c r="J4594" t="s">
        <v>1709</v>
      </c>
      <c r="K4594" t="s">
        <v>290</v>
      </c>
      <c r="L4594" t="s">
        <v>285</v>
      </c>
      <c r="M4594" t="str">
        <f t="shared" si="314"/>
        <v>02</v>
      </c>
      <c r="N4594" t="s">
        <v>12</v>
      </c>
    </row>
    <row r="4595" spans="1:14" x14ac:dyDescent="0.25">
      <c r="A4595">
        <v>20160212</v>
      </c>
      <c r="B4595" t="str">
        <f>"062261"</f>
        <v>062261</v>
      </c>
      <c r="C4595" t="str">
        <f>"24208"</f>
        <v>24208</v>
      </c>
      <c r="D4595" t="s">
        <v>1541</v>
      </c>
      <c r="E4595" s="3">
        <v>95</v>
      </c>
      <c r="F4595">
        <v>20160211</v>
      </c>
      <c r="G4595" t="s">
        <v>1854</v>
      </c>
      <c r="H4595" t="s">
        <v>3999</v>
      </c>
      <c r="I4595">
        <v>0</v>
      </c>
      <c r="J4595" t="s">
        <v>1709</v>
      </c>
      <c r="K4595" t="s">
        <v>1856</v>
      </c>
      <c r="L4595" t="s">
        <v>285</v>
      </c>
      <c r="M4595" t="str">
        <f t="shared" si="314"/>
        <v>02</v>
      </c>
      <c r="N4595" t="s">
        <v>12</v>
      </c>
    </row>
    <row r="4596" spans="1:14" x14ac:dyDescent="0.25">
      <c r="A4596">
        <v>20160212</v>
      </c>
      <c r="B4596" t="str">
        <f>"062261"</f>
        <v>062261</v>
      </c>
      <c r="C4596" t="str">
        <f>"24208"</f>
        <v>24208</v>
      </c>
      <c r="D4596" t="s">
        <v>1541</v>
      </c>
      <c r="E4596" s="3">
        <v>95</v>
      </c>
      <c r="F4596">
        <v>20160211</v>
      </c>
      <c r="G4596" t="s">
        <v>1854</v>
      </c>
      <c r="H4596" t="s">
        <v>4000</v>
      </c>
      <c r="I4596">
        <v>0</v>
      </c>
      <c r="J4596" t="s">
        <v>1709</v>
      </c>
      <c r="K4596" t="s">
        <v>1856</v>
      </c>
      <c r="L4596" t="s">
        <v>285</v>
      </c>
      <c r="M4596" t="str">
        <f t="shared" si="314"/>
        <v>02</v>
      </c>
      <c r="N4596" t="s">
        <v>12</v>
      </c>
    </row>
    <row r="4597" spans="1:14" x14ac:dyDescent="0.25">
      <c r="A4597">
        <v>20160212</v>
      </c>
      <c r="B4597" t="str">
        <f>"062261"</f>
        <v>062261</v>
      </c>
      <c r="C4597" t="str">
        <f>"24208"</f>
        <v>24208</v>
      </c>
      <c r="D4597" t="s">
        <v>1541</v>
      </c>
      <c r="E4597" s="3">
        <v>80</v>
      </c>
      <c r="F4597">
        <v>20160211</v>
      </c>
      <c r="G4597" t="s">
        <v>2164</v>
      </c>
      <c r="H4597" t="s">
        <v>4001</v>
      </c>
      <c r="I4597">
        <v>0</v>
      </c>
      <c r="J4597" t="s">
        <v>1709</v>
      </c>
      <c r="K4597" t="s">
        <v>1861</v>
      </c>
      <c r="L4597" t="s">
        <v>285</v>
      </c>
      <c r="M4597" t="str">
        <f t="shared" si="314"/>
        <v>02</v>
      </c>
      <c r="N4597" t="s">
        <v>12</v>
      </c>
    </row>
    <row r="4598" spans="1:14" x14ac:dyDescent="0.25">
      <c r="A4598">
        <v>20160212</v>
      </c>
      <c r="B4598" t="str">
        <f>"062261"</f>
        <v>062261</v>
      </c>
      <c r="C4598" t="str">
        <f>"24208"</f>
        <v>24208</v>
      </c>
      <c r="D4598" t="s">
        <v>1541</v>
      </c>
      <c r="E4598" s="3">
        <v>80</v>
      </c>
      <c r="F4598">
        <v>20160211</v>
      </c>
      <c r="G4598" t="s">
        <v>2164</v>
      </c>
      <c r="H4598" t="s">
        <v>4001</v>
      </c>
      <c r="I4598">
        <v>0</v>
      </c>
      <c r="J4598" t="s">
        <v>1709</v>
      </c>
      <c r="K4598" t="s">
        <v>1861</v>
      </c>
      <c r="L4598" t="s">
        <v>285</v>
      </c>
      <c r="M4598" t="str">
        <f t="shared" si="314"/>
        <v>02</v>
      </c>
      <c r="N4598" t="s">
        <v>12</v>
      </c>
    </row>
    <row r="4599" spans="1:14" x14ac:dyDescent="0.25">
      <c r="A4599">
        <v>20160212</v>
      </c>
      <c r="B4599" t="str">
        <f>"062263"</f>
        <v>062263</v>
      </c>
      <c r="C4599" t="str">
        <f>"08132"</f>
        <v>08132</v>
      </c>
      <c r="D4599" t="s">
        <v>2436</v>
      </c>
      <c r="E4599" s="3">
        <v>57</v>
      </c>
      <c r="F4599">
        <v>20160211</v>
      </c>
      <c r="G4599" t="s">
        <v>2074</v>
      </c>
      <c r="H4599" t="s">
        <v>4002</v>
      </c>
      <c r="I4599">
        <v>0</v>
      </c>
      <c r="J4599" t="s">
        <v>1709</v>
      </c>
      <c r="K4599" t="s">
        <v>1861</v>
      </c>
      <c r="L4599" t="s">
        <v>285</v>
      </c>
      <c r="M4599" t="str">
        <f t="shared" ref="M4599:M4662" si="319">"02"</f>
        <v>02</v>
      </c>
      <c r="N4599" t="s">
        <v>12</v>
      </c>
    </row>
    <row r="4600" spans="1:14" x14ac:dyDescent="0.25">
      <c r="A4600">
        <v>20160212</v>
      </c>
      <c r="B4600" t="str">
        <f>"062263"</f>
        <v>062263</v>
      </c>
      <c r="C4600" t="str">
        <f>"08132"</f>
        <v>08132</v>
      </c>
      <c r="D4600" t="s">
        <v>2436</v>
      </c>
      <c r="E4600" s="3">
        <v>198</v>
      </c>
      <c r="F4600">
        <v>20160211</v>
      </c>
      <c r="G4600" t="s">
        <v>1859</v>
      </c>
      <c r="H4600" t="s">
        <v>4003</v>
      </c>
      <c r="I4600">
        <v>0</v>
      </c>
      <c r="J4600" t="s">
        <v>1709</v>
      </c>
      <c r="K4600" t="s">
        <v>1861</v>
      </c>
      <c r="L4600" t="s">
        <v>285</v>
      </c>
      <c r="M4600" t="str">
        <f t="shared" si="319"/>
        <v>02</v>
      </c>
      <c r="N4600" t="s">
        <v>12</v>
      </c>
    </row>
    <row r="4601" spans="1:14" x14ac:dyDescent="0.25">
      <c r="A4601">
        <v>20160212</v>
      </c>
      <c r="B4601" t="str">
        <f>"062272"</f>
        <v>062272</v>
      </c>
      <c r="C4601" t="str">
        <f>"19101"</f>
        <v>19101</v>
      </c>
      <c r="D4601" t="s">
        <v>4004</v>
      </c>
      <c r="E4601" s="3">
        <v>1190</v>
      </c>
      <c r="F4601">
        <v>20160211</v>
      </c>
      <c r="G4601" t="s">
        <v>4005</v>
      </c>
      <c r="H4601" t="s">
        <v>3523</v>
      </c>
      <c r="I4601">
        <v>0</v>
      </c>
      <c r="J4601" t="s">
        <v>1709</v>
      </c>
      <c r="K4601" t="s">
        <v>290</v>
      </c>
      <c r="L4601" t="s">
        <v>285</v>
      </c>
      <c r="M4601" t="str">
        <f t="shared" si="319"/>
        <v>02</v>
      </c>
      <c r="N4601" t="s">
        <v>12</v>
      </c>
    </row>
    <row r="4602" spans="1:14" x14ac:dyDescent="0.25">
      <c r="A4602">
        <v>20160212</v>
      </c>
      <c r="B4602" t="str">
        <f>"062273"</f>
        <v>062273</v>
      </c>
      <c r="C4602" t="str">
        <f>"19160"</f>
        <v>19160</v>
      </c>
      <c r="D4602" t="s">
        <v>4006</v>
      </c>
      <c r="E4602" s="3">
        <v>3099.75</v>
      </c>
      <c r="F4602">
        <v>20160211</v>
      </c>
      <c r="G4602" t="s">
        <v>4007</v>
      </c>
      <c r="H4602" t="s">
        <v>4008</v>
      </c>
      <c r="I4602">
        <v>0</v>
      </c>
      <c r="J4602" t="s">
        <v>1709</v>
      </c>
      <c r="K4602" t="s">
        <v>290</v>
      </c>
      <c r="L4602" t="s">
        <v>285</v>
      </c>
      <c r="M4602" t="str">
        <f t="shared" si="319"/>
        <v>02</v>
      </c>
      <c r="N4602" t="s">
        <v>12</v>
      </c>
    </row>
    <row r="4603" spans="1:14" x14ac:dyDescent="0.25">
      <c r="A4603">
        <v>20160212</v>
      </c>
      <c r="B4603" t="str">
        <f>"062273"</f>
        <v>062273</v>
      </c>
      <c r="C4603" t="str">
        <f>"19160"</f>
        <v>19160</v>
      </c>
      <c r="D4603" t="s">
        <v>4006</v>
      </c>
      <c r="E4603" s="3">
        <v>168.68</v>
      </c>
      <c r="F4603">
        <v>20160211</v>
      </c>
      <c r="G4603" t="s">
        <v>4007</v>
      </c>
      <c r="H4603" t="s">
        <v>4009</v>
      </c>
      <c r="I4603">
        <v>0</v>
      </c>
      <c r="J4603" t="s">
        <v>1709</v>
      </c>
      <c r="K4603" t="s">
        <v>290</v>
      </c>
      <c r="L4603" t="s">
        <v>285</v>
      </c>
      <c r="M4603" t="str">
        <f t="shared" si="319"/>
        <v>02</v>
      </c>
      <c r="N4603" t="s">
        <v>12</v>
      </c>
    </row>
    <row r="4604" spans="1:14" x14ac:dyDescent="0.25">
      <c r="A4604">
        <v>20160212</v>
      </c>
      <c r="B4604" t="str">
        <f>"062275"</f>
        <v>062275</v>
      </c>
      <c r="C4604" t="str">
        <f>"21842"</f>
        <v>21842</v>
      </c>
      <c r="D4604" t="s">
        <v>2455</v>
      </c>
      <c r="E4604" s="3">
        <v>185.9</v>
      </c>
      <c r="F4604">
        <v>20160211</v>
      </c>
      <c r="G4604" t="s">
        <v>2360</v>
      </c>
      <c r="H4604" t="s">
        <v>4010</v>
      </c>
      <c r="I4604">
        <v>0</v>
      </c>
      <c r="J4604" t="s">
        <v>1709</v>
      </c>
      <c r="K4604" t="s">
        <v>1856</v>
      </c>
      <c r="L4604" t="s">
        <v>285</v>
      </c>
      <c r="M4604" t="str">
        <f t="shared" si="319"/>
        <v>02</v>
      </c>
      <c r="N4604" t="s">
        <v>12</v>
      </c>
    </row>
    <row r="4605" spans="1:14" x14ac:dyDescent="0.25">
      <c r="A4605">
        <v>20160212</v>
      </c>
      <c r="B4605" t="str">
        <f>"062275"</f>
        <v>062275</v>
      </c>
      <c r="C4605" t="str">
        <f>"21842"</f>
        <v>21842</v>
      </c>
      <c r="D4605" t="s">
        <v>2455</v>
      </c>
      <c r="E4605" s="3">
        <v>88</v>
      </c>
      <c r="F4605">
        <v>20160211</v>
      </c>
      <c r="G4605" t="s">
        <v>2080</v>
      </c>
      <c r="H4605" t="s">
        <v>4011</v>
      </c>
      <c r="I4605">
        <v>0</v>
      </c>
      <c r="J4605" t="s">
        <v>1709</v>
      </c>
      <c r="K4605" t="s">
        <v>1861</v>
      </c>
      <c r="L4605" t="s">
        <v>285</v>
      </c>
      <c r="M4605" t="str">
        <f t="shared" si="319"/>
        <v>02</v>
      </c>
      <c r="N4605" t="s">
        <v>12</v>
      </c>
    </row>
    <row r="4606" spans="1:14" x14ac:dyDescent="0.25">
      <c r="A4606">
        <v>20160212</v>
      </c>
      <c r="B4606" t="str">
        <f t="shared" ref="B4606:B4613" si="320">"062277"</f>
        <v>062277</v>
      </c>
      <c r="C4606" t="str">
        <f t="shared" ref="C4606:C4613" si="321">"20683"</f>
        <v>20683</v>
      </c>
      <c r="D4606" t="s">
        <v>1818</v>
      </c>
      <c r="E4606" s="3">
        <v>47.56</v>
      </c>
      <c r="F4606">
        <v>20160211</v>
      </c>
      <c r="G4606" t="s">
        <v>2469</v>
      </c>
      <c r="H4606" t="s">
        <v>4012</v>
      </c>
      <c r="I4606">
        <v>0</v>
      </c>
      <c r="J4606" t="s">
        <v>1709</v>
      </c>
      <c r="K4606" t="s">
        <v>290</v>
      </c>
      <c r="L4606" t="s">
        <v>285</v>
      </c>
      <c r="M4606" t="str">
        <f t="shared" si="319"/>
        <v>02</v>
      </c>
      <c r="N4606" t="s">
        <v>12</v>
      </c>
    </row>
    <row r="4607" spans="1:14" x14ac:dyDescent="0.25">
      <c r="A4607">
        <v>20160212</v>
      </c>
      <c r="B4607" t="str">
        <f t="shared" si="320"/>
        <v>062277</v>
      </c>
      <c r="C4607" t="str">
        <f t="shared" si="321"/>
        <v>20683</v>
      </c>
      <c r="D4607" t="s">
        <v>1818</v>
      </c>
      <c r="E4607" s="3">
        <v>47.56</v>
      </c>
      <c r="F4607">
        <v>20160211</v>
      </c>
      <c r="G4607" t="s">
        <v>2469</v>
      </c>
      <c r="H4607" t="s">
        <v>4013</v>
      </c>
      <c r="I4607">
        <v>0</v>
      </c>
      <c r="J4607" t="s">
        <v>1709</v>
      </c>
      <c r="K4607" t="s">
        <v>290</v>
      </c>
      <c r="L4607" t="s">
        <v>285</v>
      </c>
      <c r="M4607" t="str">
        <f t="shared" si="319"/>
        <v>02</v>
      </c>
      <c r="N4607" t="s">
        <v>12</v>
      </c>
    </row>
    <row r="4608" spans="1:14" x14ac:dyDescent="0.25">
      <c r="A4608">
        <v>20160212</v>
      </c>
      <c r="B4608" t="str">
        <f t="shared" si="320"/>
        <v>062277</v>
      </c>
      <c r="C4608" t="str">
        <f t="shared" si="321"/>
        <v>20683</v>
      </c>
      <c r="D4608" t="s">
        <v>1818</v>
      </c>
      <c r="E4608" s="3">
        <v>47.55</v>
      </c>
      <c r="F4608">
        <v>20160211</v>
      </c>
      <c r="G4608" t="s">
        <v>2469</v>
      </c>
      <c r="H4608" t="s">
        <v>4014</v>
      </c>
      <c r="I4608">
        <v>0</v>
      </c>
      <c r="J4608" t="s">
        <v>1709</v>
      </c>
      <c r="K4608" t="s">
        <v>290</v>
      </c>
      <c r="L4608" t="s">
        <v>285</v>
      </c>
      <c r="M4608" t="str">
        <f t="shared" si="319"/>
        <v>02</v>
      </c>
      <c r="N4608" t="s">
        <v>12</v>
      </c>
    </row>
    <row r="4609" spans="1:14" x14ac:dyDescent="0.25">
      <c r="A4609">
        <v>20160212</v>
      </c>
      <c r="B4609" t="str">
        <f t="shared" si="320"/>
        <v>062277</v>
      </c>
      <c r="C4609" t="str">
        <f t="shared" si="321"/>
        <v>20683</v>
      </c>
      <c r="D4609" t="s">
        <v>1818</v>
      </c>
      <c r="E4609" s="3">
        <v>47.54</v>
      </c>
      <c r="F4609">
        <v>20160211</v>
      </c>
      <c r="G4609" t="s">
        <v>2469</v>
      </c>
      <c r="H4609" t="s">
        <v>4015</v>
      </c>
      <c r="I4609">
        <v>0</v>
      </c>
      <c r="J4609" t="s">
        <v>1709</v>
      </c>
      <c r="K4609" t="s">
        <v>290</v>
      </c>
      <c r="L4609" t="s">
        <v>285</v>
      </c>
      <c r="M4609" t="str">
        <f t="shared" si="319"/>
        <v>02</v>
      </c>
      <c r="N4609" t="s">
        <v>12</v>
      </c>
    </row>
    <row r="4610" spans="1:14" x14ac:dyDescent="0.25">
      <c r="A4610">
        <v>20160212</v>
      </c>
      <c r="B4610" t="str">
        <f t="shared" si="320"/>
        <v>062277</v>
      </c>
      <c r="C4610" t="str">
        <f t="shared" si="321"/>
        <v>20683</v>
      </c>
      <c r="D4610" t="s">
        <v>1818</v>
      </c>
      <c r="E4610" s="3">
        <v>12.43</v>
      </c>
      <c r="F4610">
        <v>20160211</v>
      </c>
      <c r="G4610" t="s">
        <v>2333</v>
      </c>
      <c r="H4610" t="s">
        <v>4012</v>
      </c>
      <c r="I4610">
        <v>0</v>
      </c>
      <c r="J4610" t="s">
        <v>1709</v>
      </c>
      <c r="K4610" t="s">
        <v>290</v>
      </c>
      <c r="L4610" t="s">
        <v>285</v>
      </c>
      <c r="M4610" t="str">
        <f t="shared" si="319"/>
        <v>02</v>
      </c>
      <c r="N4610" t="s">
        <v>12</v>
      </c>
    </row>
    <row r="4611" spans="1:14" x14ac:dyDescent="0.25">
      <c r="A4611">
        <v>20160212</v>
      </c>
      <c r="B4611" t="str">
        <f t="shared" si="320"/>
        <v>062277</v>
      </c>
      <c r="C4611" t="str">
        <f t="shared" si="321"/>
        <v>20683</v>
      </c>
      <c r="D4611" t="s">
        <v>1818</v>
      </c>
      <c r="E4611" s="3">
        <v>12.43</v>
      </c>
      <c r="F4611">
        <v>20160211</v>
      </c>
      <c r="G4611" t="s">
        <v>2333</v>
      </c>
      <c r="H4611" t="s">
        <v>4013</v>
      </c>
      <c r="I4611">
        <v>0</v>
      </c>
      <c r="J4611" t="s">
        <v>1709</v>
      </c>
      <c r="K4611" t="s">
        <v>290</v>
      </c>
      <c r="L4611" t="s">
        <v>285</v>
      </c>
      <c r="M4611" t="str">
        <f t="shared" si="319"/>
        <v>02</v>
      </c>
      <c r="N4611" t="s">
        <v>12</v>
      </c>
    </row>
    <row r="4612" spans="1:14" x14ac:dyDescent="0.25">
      <c r="A4612">
        <v>20160212</v>
      </c>
      <c r="B4612" t="str">
        <f t="shared" si="320"/>
        <v>062277</v>
      </c>
      <c r="C4612" t="str">
        <f t="shared" si="321"/>
        <v>20683</v>
      </c>
      <c r="D4612" t="s">
        <v>1818</v>
      </c>
      <c r="E4612" s="3">
        <v>12.44</v>
      </c>
      <c r="F4612">
        <v>20160211</v>
      </c>
      <c r="G4612" t="s">
        <v>2333</v>
      </c>
      <c r="H4612" t="s">
        <v>4014</v>
      </c>
      <c r="I4612">
        <v>0</v>
      </c>
      <c r="J4612" t="s">
        <v>1709</v>
      </c>
      <c r="K4612" t="s">
        <v>290</v>
      </c>
      <c r="L4612" t="s">
        <v>285</v>
      </c>
      <c r="M4612" t="str">
        <f t="shared" si="319"/>
        <v>02</v>
      </c>
      <c r="N4612" t="s">
        <v>12</v>
      </c>
    </row>
    <row r="4613" spans="1:14" x14ac:dyDescent="0.25">
      <c r="A4613">
        <v>20160212</v>
      </c>
      <c r="B4613" t="str">
        <f t="shared" si="320"/>
        <v>062277</v>
      </c>
      <c r="C4613" t="str">
        <f t="shared" si="321"/>
        <v>20683</v>
      </c>
      <c r="D4613" t="s">
        <v>1818</v>
      </c>
      <c r="E4613" s="3">
        <v>12.45</v>
      </c>
      <c r="F4613">
        <v>20160211</v>
      </c>
      <c r="G4613" t="s">
        <v>2333</v>
      </c>
      <c r="H4613" t="s">
        <v>4015</v>
      </c>
      <c r="I4613">
        <v>0</v>
      </c>
      <c r="J4613" t="s">
        <v>1709</v>
      </c>
      <c r="K4613" t="s">
        <v>290</v>
      </c>
      <c r="L4613" t="s">
        <v>285</v>
      </c>
      <c r="M4613" t="str">
        <f t="shared" si="319"/>
        <v>02</v>
      </c>
      <c r="N4613" t="s">
        <v>12</v>
      </c>
    </row>
    <row r="4614" spans="1:14" x14ac:dyDescent="0.25">
      <c r="A4614">
        <v>20160212</v>
      </c>
      <c r="B4614" t="str">
        <f t="shared" ref="B4614:B4625" si="322">"062278"</f>
        <v>062278</v>
      </c>
      <c r="C4614" t="str">
        <f t="shared" ref="C4614:C4625" si="323">"20706"</f>
        <v>20706</v>
      </c>
      <c r="D4614" t="s">
        <v>1823</v>
      </c>
      <c r="E4614" s="3">
        <v>8777.11</v>
      </c>
      <c r="F4614">
        <v>20160211</v>
      </c>
      <c r="G4614" t="s">
        <v>2235</v>
      </c>
      <c r="H4614" t="s">
        <v>4016</v>
      </c>
      <c r="I4614">
        <v>0</v>
      </c>
      <c r="J4614" t="s">
        <v>1709</v>
      </c>
      <c r="K4614" t="s">
        <v>290</v>
      </c>
      <c r="L4614" t="s">
        <v>285</v>
      </c>
      <c r="M4614" t="str">
        <f t="shared" si="319"/>
        <v>02</v>
      </c>
      <c r="N4614" t="s">
        <v>12</v>
      </c>
    </row>
    <row r="4615" spans="1:14" x14ac:dyDescent="0.25">
      <c r="A4615">
        <v>20160212</v>
      </c>
      <c r="B4615" t="str">
        <f t="shared" si="322"/>
        <v>062278</v>
      </c>
      <c r="C4615" t="str">
        <f t="shared" si="323"/>
        <v>20706</v>
      </c>
      <c r="D4615" t="s">
        <v>1823</v>
      </c>
      <c r="E4615" s="3">
        <v>36.86</v>
      </c>
      <c r="F4615">
        <v>20160211</v>
      </c>
      <c r="G4615" t="s">
        <v>2237</v>
      </c>
      <c r="H4615" t="s">
        <v>4017</v>
      </c>
      <c r="I4615">
        <v>0</v>
      </c>
      <c r="J4615" t="s">
        <v>1709</v>
      </c>
      <c r="K4615" t="s">
        <v>1558</v>
      </c>
      <c r="L4615" t="s">
        <v>285</v>
      </c>
      <c r="M4615" t="str">
        <f t="shared" si="319"/>
        <v>02</v>
      </c>
      <c r="N4615" t="s">
        <v>12</v>
      </c>
    </row>
    <row r="4616" spans="1:14" x14ac:dyDescent="0.25">
      <c r="A4616">
        <v>20160212</v>
      </c>
      <c r="B4616" t="str">
        <f t="shared" si="322"/>
        <v>062278</v>
      </c>
      <c r="C4616" t="str">
        <f t="shared" si="323"/>
        <v>20706</v>
      </c>
      <c r="D4616" t="s">
        <v>1823</v>
      </c>
      <c r="E4616" s="3">
        <v>9622.82</v>
      </c>
      <c r="F4616">
        <v>20160211</v>
      </c>
      <c r="G4616" t="s">
        <v>2239</v>
      </c>
      <c r="H4616" t="s">
        <v>4018</v>
      </c>
      <c r="I4616">
        <v>0</v>
      </c>
      <c r="J4616" t="s">
        <v>1709</v>
      </c>
      <c r="K4616" t="s">
        <v>95</v>
      </c>
      <c r="L4616" t="s">
        <v>285</v>
      </c>
      <c r="M4616" t="str">
        <f t="shared" si="319"/>
        <v>02</v>
      </c>
      <c r="N4616" t="s">
        <v>12</v>
      </c>
    </row>
    <row r="4617" spans="1:14" x14ac:dyDescent="0.25">
      <c r="A4617">
        <v>20160212</v>
      </c>
      <c r="B4617" t="str">
        <f t="shared" si="322"/>
        <v>062278</v>
      </c>
      <c r="C4617" t="str">
        <f t="shared" si="323"/>
        <v>20706</v>
      </c>
      <c r="D4617" t="s">
        <v>1823</v>
      </c>
      <c r="E4617" s="3">
        <v>1835.43</v>
      </c>
      <c r="F4617">
        <v>20160211</v>
      </c>
      <c r="G4617" t="s">
        <v>2241</v>
      </c>
      <c r="H4617" t="s">
        <v>4019</v>
      </c>
      <c r="I4617">
        <v>0</v>
      </c>
      <c r="J4617" t="s">
        <v>1709</v>
      </c>
      <c r="K4617" t="s">
        <v>1643</v>
      </c>
      <c r="L4617" t="s">
        <v>285</v>
      </c>
      <c r="M4617" t="str">
        <f t="shared" si="319"/>
        <v>02</v>
      </c>
      <c r="N4617" t="s">
        <v>12</v>
      </c>
    </row>
    <row r="4618" spans="1:14" x14ac:dyDescent="0.25">
      <c r="A4618">
        <v>20160212</v>
      </c>
      <c r="B4618" t="str">
        <f t="shared" si="322"/>
        <v>062278</v>
      </c>
      <c r="C4618" t="str">
        <f t="shared" si="323"/>
        <v>20706</v>
      </c>
      <c r="D4618" t="s">
        <v>1823</v>
      </c>
      <c r="E4618" s="3">
        <v>641.85</v>
      </c>
      <c r="F4618">
        <v>20160211</v>
      </c>
      <c r="G4618" t="s">
        <v>2243</v>
      </c>
      <c r="H4618" t="s">
        <v>4020</v>
      </c>
      <c r="I4618">
        <v>0</v>
      </c>
      <c r="J4618" t="s">
        <v>1709</v>
      </c>
      <c r="K4618" t="s">
        <v>33</v>
      </c>
      <c r="L4618" t="s">
        <v>285</v>
      </c>
      <c r="M4618" t="str">
        <f t="shared" si="319"/>
        <v>02</v>
      </c>
      <c r="N4618" t="s">
        <v>12</v>
      </c>
    </row>
    <row r="4619" spans="1:14" x14ac:dyDescent="0.25">
      <c r="A4619">
        <v>20160212</v>
      </c>
      <c r="B4619" t="str">
        <f t="shared" si="322"/>
        <v>062278</v>
      </c>
      <c r="C4619" t="str">
        <f t="shared" si="323"/>
        <v>20706</v>
      </c>
      <c r="D4619" t="s">
        <v>1823</v>
      </c>
      <c r="E4619" s="3">
        <v>285.58999999999997</v>
      </c>
      <c r="F4619">
        <v>20160211</v>
      </c>
      <c r="G4619" t="s">
        <v>2245</v>
      </c>
      <c r="H4619" t="s">
        <v>4021</v>
      </c>
      <c r="I4619">
        <v>0</v>
      </c>
      <c r="J4619" t="s">
        <v>1709</v>
      </c>
      <c r="K4619" t="s">
        <v>2247</v>
      </c>
      <c r="L4619" t="s">
        <v>285</v>
      </c>
      <c r="M4619" t="str">
        <f t="shared" si="319"/>
        <v>02</v>
      </c>
      <c r="N4619" t="s">
        <v>12</v>
      </c>
    </row>
    <row r="4620" spans="1:14" x14ac:dyDescent="0.25">
      <c r="A4620">
        <v>20160212</v>
      </c>
      <c r="B4620" t="str">
        <f t="shared" si="322"/>
        <v>062278</v>
      </c>
      <c r="C4620" t="str">
        <f t="shared" si="323"/>
        <v>20706</v>
      </c>
      <c r="D4620" t="s">
        <v>1823</v>
      </c>
      <c r="E4620" s="3">
        <v>95.38</v>
      </c>
      <c r="F4620">
        <v>20160211</v>
      </c>
      <c r="G4620" t="s">
        <v>2248</v>
      </c>
      <c r="H4620" t="s">
        <v>4022</v>
      </c>
      <c r="I4620">
        <v>0</v>
      </c>
      <c r="J4620" t="s">
        <v>1709</v>
      </c>
      <c r="K4620" t="s">
        <v>1861</v>
      </c>
      <c r="L4620" t="s">
        <v>285</v>
      </c>
      <c r="M4620" t="str">
        <f t="shared" si="319"/>
        <v>02</v>
      </c>
      <c r="N4620" t="s">
        <v>12</v>
      </c>
    </row>
    <row r="4621" spans="1:14" x14ac:dyDescent="0.25">
      <c r="A4621">
        <v>20160212</v>
      </c>
      <c r="B4621" t="str">
        <f t="shared" si="322"/>
        <v>062278</v>
      </c>
      <c r="C4621" t="str">
        <f t="shared" si="323"/>
        <v>20706</v>
      </c>
      <c r="D4621" t="s">
        <v>1823</v>
      </c>
      <c r="E4621" s="3">
        <v>7244.78</v>
      </c>
      <c r="F4621">
        <v>20160211</v>
      </c>
      <c r="G4621" t="s">
        <v>2250</v>
      </c>
      <c r="H4621" t="s">
        <v>4023</v>
      </c>
      <c r="I4621">
        <v>0</v>
      </c>
      <c r="J4621" t="s">
        <v>1709</v>
      </c>
      <c r="K4621" t="s">
        <v>2252</v>
      </c>
      <c r="L4621" t="s">
        <v>285</v>
      </c>
      <c r="M4621" t="str">
        <f t="shared" si="319"/>
        <v>02</v>
      </c>
      <c r="N4621" t="s">
        <v>12</v>
      </c>
    </row>
    <row r="4622" spans="1:14" x14ac:dyDescent="0.25">
      <c r="A4622">
        <v>20160212</v>
      </c>
      <c r="B4622" t="str">
        <f t="shared" si="322"/>
        <v>062278</v>
      </c>
      <c r="C4622" t="str">
        <f t="shared" si="323"/>
        <v>20706</v>
      </c>
      <c r="D4622" t="s">
        <v>1823</v>
      </c>
      <c r="E4622" s="3">
        <v>2508.69</v>
      </c>
      <c r="F4622">
        <v>20160211</v>
      </c>
      <c r="G4622" t="s">
        <v>2253</v>
      </c>
      <c r="H4622" t="s">
        <v>4024</v>
      </c>
      <c r="I4622">
        <v>0</v>
      </c>
      <c r="J4622" t="s">
        <v>1709</v>
      </c>
      <c r="K4622" t="s">
        <v>290</v>
      </c>
      <c r="L4622" t="s">
        <v>285</v>
      </c>
      <c r="M4622" t="str">
        <f t="shared" si="319"/>
        <v>02</v>
      </c>
      <c r="N4622" t="s">
        <v>12</v>
      </c>
    </row>
    <row r="4623" spans="1:14" x14ac:dyDescent="0.25">
      <c r="A4623">
        <v>20160212</v>
      </c>
      <c r="B4623" t="str">
        <f t="shared" si="322"/>
        <v>062278</v>
      </c>
      <c r="C4623" t="str">
        <f t="shared" si="323"/>
        <v>20706</v>
      </c>
      <c r="D4623" t="s">
        <v>1823</v>
      </c>
      <c r="E4623" s="3">
        <v>775.2</v>
      </c>
      <c r="F4623">
        <v>20160211</v>
      </c>
      <c r="G4623" t="s">
        <v>2255</v>
      </c>
      <c r="H4623" t="s">
        <v>4025</v>
      </c>
      <c r="I4623">
        <v>0</v>
      </c>
      <c r="J4623" t="s">
        <v>1709</v>
      </c>
      <c r="K4623" t="s">
        <v>95</v>
      </c>
      <c r="L4623" t="s">
        <v>285</v>
      </c>
      <c r="M4623" t="str">
        <f t="shared" si="319"/>
        <v>02</v>
      </c>
      <c r="N4623" t="s">
        <v>12</v>
      </c>
    </row>
    <row r="4624" spans="1:14" x14ac:dyDescent="0.25">
      <c r="A4624">
        <v>20160212</v>
      </c>
      <c r="B4624" t="str">
        <f t="shared" si="322"/>
        <v>062278</v>
      </c>
      <c r="C4624" t="str">
        <f t="shared" si="323"/>
        <v>20706</v>
      </c>
      <c r="D4624" t="s">
        <v>1823</v>
      </c>
      <c r="E4624" s="3">
        <v>235.92</v>
      </c>
      <c r="F4624">
        <v>20160211</v>
      </c>
      <c r="G4624" t="s">
        <v>2257</v>
      </c>
      <c r="H4624" t="s">
        <v>4026</v>
      </c>
      <c r="I4624">
        <v>0</v>
      </c>
      <c r="J4624" t="s">
        <v>1709</v>
      </c>
      <c r="K4624" t="s">
        <v>1643</v>
      </c>
      <c r="L4624" t="s">
        <v>285</v>
      </c>
      <c r="M4624" t="str">
        <f t="shared" si="319"/>
        <v>02</v>
      </c>
      <c r="N4624" t="s">
        <v>12</v>
      </c>
    </row>
    <row r="4625" spans="1:14" x14ac:dyDescent="0.25">
      <c r="A4625">
        <v>20160212</v>
      </c>
      <c r="B4625" t="str">
        <f t="shared" si="322"/>
        <v>062278</v>
      </c>
      <c r="C4625" t="str">
        <f t="shared" si="323"/>
        <v>20706</v>
      </c>
      <c r="D4625" t="s">
        <v>1823</v>
      </c>
      <c r="E4625" s="3">
        <v>105.34</v>
      </c>
      <c r="F4625">
        <v>20160211</v>
      </c>
      <c r="G4625" t="s">
        <v>2259</v>
      </c>
      <c r="H4625" t="s">
        <v>4027</v>
      </c>
      <c r="I4625">
        <v>0</v>
      </c>
      <c r="J4625" t="s">
        <v>1709</v>
      </c>
      <c r="K4625" t="s">
        <v>33</v>
      </c>
      <c r="L4625" t="s">
        <v>285</v>
      </c>
      <c r="M4625" t="str">
        <f t="shared" si="319"/>
        <v>02</v>
      </c>
      <c r="N4625" t="s">
        <v>12</v>
      </c>
    </row>
    <row r="4626" spans="1:14" x14ac:dyDescent="0.25">
      <c r="A4626">
        <v>20160212</v>
      </c>
      <c r="B4626" t="str">
        <f>"062279"</f>
        <v>062279</v>
      </c>
      <c r="C4626" t="str">
        <f>"21091"</f>
        <v>21091</v>
      </c>
      <c r="D4626" t="s">
        <v>2855</v>
      </c>
      <c r="E4626" s="3">
        <v>591.25</v>
      </c>
      <c r="F4626">
        <v>20160211</v>
      </c>
      <c r="G4626" t="s">
        <v>1854</v>
      </c>
      <c r="H4626" t="s">
        <v>4028</v>
      </c>
      <c r="I4626">
        <v>0</v>
      </c>
      <c r="J4626" t="s">
        <v>1709</v>
      </c>
      <c r="K4626" t="s">
        <v>1856</v>
      </c>
      <c r="L4626" t="s">
        <v>285</v>
      </c>
      <c r="M4626" t="str">
        <f t="shared" si="319"/>
        <v>02</v>
      </c>
      <c r="N4626" t="s">
        <v>12</v>
      </c>
    </row>
    <row r="4627" spans="1:14" x14ac:dyDescent="0.25">
      <c r="A4627">
        <v>20160212</v>
      </c>
      <c r="B4627" t="str">
        <f>"062279"</f>
        <v>062279</v>
      </c>
      <c r="C4627" t="str">
        <f>"21091"</f>
        <v>21091</v>
      </c>
      <c r="D4627" t="s">
        <v>2855</v>
      </c>
      <c r="E4627" s="3">
        <v>695.1</v>
      </c>
      <c r="F4627">
        <v>20160211</v>
      </c>
      <c r="G4627" t="s">
        <v>1854</v>
      </c>
      <c r="H4627" t="s">
        <v>4029</v>
      </c>
      <c r="I4627">
        <v>0</v>
      </c>
      <c r="J4627" t="s">
        <v>1709</v>
      </c>
      <c r="K4627" t="s">
        <v>1856</v>
      </c>
      <c r="L4627" t="s">
        <v>285</v>
      </c>
      <c r="M4627" t="str">
        <f t="shared" si="319"/>
        <v>02</v>
      </c>
      <c r="N4627" t="s">
        <v>12</v>
      </c>
    </row>
    <row r="4628" spans="1:14" x14ac:dyDescent="0.25">
      <c r="A4628">
        <v>20160212</v>
      </c>
      <c r="B4628" t="str">
        <f>"062280"</f>
        <v>062280</v>
      </c>
      <c r="C4628" t="str">
        <f>"21860"</f>
        <v>21860</v>
      </c>
      <c r="D4628" t="s">
        <v>1838</v>
      </c>
      <c r="E4628" s="3">
        <v>312.8</v>
      </c>
      <c r="F4628">
        <v>20160211</v>
      </c>
      <c r="G4628" t="s">
        <v>2475</v>
      </c>
      <c r="H4628" t="s">
        <v>4030</v>
      </c>
      <c r="I4628">
        <v>0</v>
      </c>
      <c r="J4628" t="s">
        <v>1709</v>
      </c>
      <c r="K4628" t="s">
        <v>1775</v>
      </c>
      <c r="L4628" t="s">
        <v>285</v>
      </c>
      <c r="M4628" t="str">
        <f t="shared" si="319"/>
        <v>02</v>
      </c>
      <c r="N4628" t="s">
        <v>12</v>
      </c>
    </row>
    <row r="4629" spans="1:14" x14ac:dyDescent="0.25">
      <c r="A4629">
        <v>20160212</v>
      </c>
      <c r="B4629" t="str">
        <f>"062280"</f>
        <v>062280</v>
      </c>
      <c r="C4629" t="str">
        <f>"21860"</f>
        <v>21860</v>
      </c>
      <c r="D4629" t="s">
        <v>1838</v>
      </c>
      <c r="E4629" s="3">
        <v>334.8</v>
      </c>
      <c r="F4629">
        <v>20160211</v>
      </c>
      <c r="G4629" t="s">
        <v>4031</v>
      </c>
      <c r="H4629" t="s">
        <v>4032</v>
      </c>
      <c r="I4629">
        <v>0</v>
      </c>
      <c r="J4629" t="s">
        <v>1709</v>
      </c>
      <c r="K4629" t="s">
        <v>1984</v>
      </c>
      <c r="L4629" t="s">
        <v>285</v>
      </c>
      <c r="M4629" t="str">
        <f t="shared" si="319"/>
        <v>02</v>
      </c>
      <c r="N4629" t="s">
        <v>12</v>
      </c>
    </row>
    <row r="4630" spans="1:14" x14ac:dyDescent="0.25">
      <c r="A4630">
        <v>20160212</v>
      </c>
      <c r="B4630" t="str">
        <f>"062281"</f>
        <v>062281</v>
      </c>
      <c r="C4630" t="str">
        <f>"37511"</f>
        <v>37511</v>
      </c>
      <c r="D4630" t="s">
        <v>4033</v>
      </c>
      <c r="E4630" s="3">
        <v>235.44</v>
      </c>
      <c r="F4630">
        <v>20160211</v>
      </c>
      <c r="G4630" t="s">
        <v>3968</v>
      </c>
      <c r="H4630" t="s">
        <v>3969</v>
      </c>
      <c r="I4630">
        <v>0</v>
      </c>
      <c r="J4630" t="s">
        <v>1709</v>
      </c>
      <c r="K4630" t="s">
        <v>290</v>
      </c>
      <c r="L4630" t="s">
        <v>285</v>
      </c>
      <c r="M4630" t="str">
        <f t="shared" si="319"/>
        <v>02</v>
      </c>
      <c r="N4630" t="s">
        <v>12</v>
      </c>
    </row>
    <row r="4631" spans="1:14" x14ac:dyDescent="0.25">
      <c r="A4631">
        <v>20160212</v>
      </c>
      <c r="B4631" t="str">
        <f>"062281"</f>
        <v>062281</v>
      </c>
      <c r="C4631" t="str">
        <f>"37511"</f>
        <v>37511</v>
      </c>
      <c r="D4631" t="s">
        <v>4033</v>
      </c>
      <c r="E4631" s="3">
        <v>235.44</v>
      </c>
      <c r="F4631">
        <v>20160211</v>
      </c>
      <c r="G4631" t="s">
        <v>3970</v>
      </c>
      <c r="H4631" t="s">
        <v>3969</v>
      </c>
      <c r="I4631">
        <v>0</v>
      </c>
      <c r="J4631" t="s">
        <v>1709</v>
      </c>
      <c r="K4631" t="s">
        <v>290</v>
      </c>
      <c r="L4631" t="s">
        <v>285</v>
      </c>
      <c r="M4631" t="str">
        <f t="shared" si="319"/>
        <v>02</v>
      </c>
      <c r="N4631" t="s">
        <v>12</v>
      </c>
    </row>
    <row r="4632" spans="1:14" x14ac:dyDescent="0.25">
      <c r="A4632">
        <v>20160212</v>
      </c>
      <c r="B4632" t="str">
        <f>"062281"</f>
        <v>062281</v>
      </c>
      <c r="C4632" t="str">
        <f>"37511"</f>
        <v>37511</v>
      </c>
      <c r="D4632" t="s">
        <v>4033</v>
      </c>
      <c r="E4632" s="3">
        <v>235.44</v>
      </c>
      <c r="F4632">
        <v>20160211</v>
      </c>
      <c r="G4632" t="s">
        <v>3971</v>
      </c>
      <c r="H4632" t="s">
        <v>3969</v>
      </c>
      <c r="I4632">
        <v>0</v>
      </c>
      <c r="J4632" t="s">
        <v>1709</v>
      </c>
      <c r="K4632" t="s">
        <v>290</v>
      </c>
      <c r="L4632" t="s">
        <v>285</v>
      </c>
      <c r="M4632" t="str">
        <f t="shared" si="319"/>
        <v>02</v>
      </c>
      <c r="N4632" t="s">
        <v>12</v>
      </c>
    </row>
    <row r="4633" spans="1:14" x14ac:dyDescent="0.25">
      <c r="A4633">
        <v>20160212</v>
      </c>
      <c r="B4633" t="str">
        <f>"062286"</f>
        <v>062286</v>
      </c>
      <c r="C4633" t="str">
        <f>"26876"</f>
        <v>26876</v>
      </c>
      <c r="D4633" t="s">
        <v>3439</v>
      </c>
      <c r="E4633" s="3">
        <v>120</v>
      </c>
      <c r="F4633">
        <v>20160211</v>
      </c>
      <c r="G4633" t="s">
        <v>2529</v>
      </c>
      <c r="H4633" t="s">
        <v>4034</v>
      </c>
      <c r="I4633">
        <v>0</v>
      </c>
      <c r="J4633" t="s">
        <v>1709</v>
      </c>
      <c r="K4633" t="s">
        <v>95</v>
      </c>
      <c r="L4633" t="s">
        <v>285</v>
      </c>
      <c r="M4633" t="str">
        <f t="shared" si="319"/>
        <v>02</v>
      </c>
      <c r="N4633" t="s">
        <v>12</v>
      </c>
    </row>
    <row r="4634" spans="1:14" x14ac:dyDescent="0.25">
      <c r="A4634">
        <v>20160212</v>
      </c>
      <c r="B4634" t="str">
        <f>"062286"</f>
        <v>062286</v>
      </c>
      <c r="C4634" t="str">
        <f>"26876"</f>
        <v>26876</v>
      </c>
      <c r="D4634" t="s">
        <v>3439</v>
      </c>
      <c r="E4634" s="3">
        <v>128.44999999999999</v>
      </c>
      <c r="F4634">
        <v>20160211</v>
      </c>
      <c r="G4634" t="s">
        <v>2529</v>
      </c>
      <c r="H4634" t="s">
        <v>4035</v>
      </c>
      <c r="I4634">
        <v>0</v>
      </c>
      <c r="J4634" t="s">
        <v>1709</v>
      </c>
      <c r="K4634" t="s">
        <v>95</v>
      </c>
      <c r="L4634" t="s">
        <v>285</v>
      </c>
      <c r="M4634" t="str">
        <f t="shared" si="319"/>
        <v>02</v>
      </c>
      <c r="N4634" t="s">
        <v>12</v>
      </c>
    </row>
    <row r="4635" spans="1:14" x14ac:dyDescent="0.25">
      <c r="A4635">
        <v>20160212</v>
      </c>
      <c r="B4635" t="str">
        <f t="shared" ref="B4635:B4643" si="324">"062288"</f>
        <v>062288</v>
      </c>
      <c r="C4635" t="str">
        <f t="shared" ref="C4635:C4643" si="325">"27900"</f>
        <v>27900</v>
      </c>
      <c r="D4635" t="s">
        <v>1596</v>
      </c>
      <c r="E4635" s="3">
        <v>3042.47</v>
      </c>
      <c r="F4635">
        <v>20160211</v>
      </c>
      <c r="G4635" t="s">
        <v>4036</v>
      </c>
      <c r="H4635" t="s">
        <v>4037</v>
      </c>
      <c r="I4635">
        <v>0</v>
      </c>
      <c r="J4635" t="s">
        <v>1709</v>
      </c>
      <c r="K4635" t="s">
        <v>95</v>
      </c>
      <c r="L4635" t="s">
        <v>285</v>
      </c>
      <c r="M4635" t="str">
        <f t="shared" si="319"/>
        <v>02</v>
      </c>
      <c r="N4635" t="s">
        <v>12</v>
      </c>
    </row>
    <row r="4636" spans="1:14" x14ac:dyDescent="0.25">
      <c r="A4636">
        <v>20160212</v>
      </c>
      <c r="B4636" t="str">
        <f t="shared" si="324"/>
        <v>062288</v>
      </c>
      <c r="C4636" t="str">
        <f t="shared" si="325"/>
        <v>27900</v>
      </c>
      <c r="D4636" t="s">
        <v>1596</v>
      </c>
      <c r="E4636" s="3">
        <v>6356.21</v>
      </c>
      <c r="F4636">
        <v>20160211</v>
      </c>
      <c r="G4636" t="s">
        <v>4038</v>
      </c>
      <c r="H4636" t="s">
        <v>1628</v>
      </c>
      <c r="I4636">
        <v>0</v>
      </c>
      <c r="J4636" t="s">
        <v>1709</v>
      </c>
      <c r="K4636" t="s">
        <v>290</v>
      </c>
      <c r="L4636" t="s">
        <v>285</v>
      </c>
      <c r="M4636" t="str">
        <f t="shared" si="319"/>
        <v>02</v>
      </c>
      <c r="N4636" t="s">
        <v>12</v>
      </c>
    </row>
    <row r="4637" spans="1:14" x14ac:dyDescent="0.25">
      <c r="A4637">
        <v>20160212</v>
      </c>
      <c r="B4637" t="str">
        <f t="shared" si="324"/>
        <v>062288</v>
      </c>
      <c r="C4637" t="str">
        <f t="shared" si="325"/>
        <v>27900</v>
      </c>
      <c r="D4637" t="s">
        <v>1596</v>
      </c>
      <c r="E4637" s="3">
        <v>2160</v>
      </c>
      <c r="F4637">
        <v>20160211</v>
      </c>
      <c r="G4637" t="s">
        <v>4039</v>
      </c>
      <c r="H4637" t="s">
        <v>4040</v>
      </c>
      <c r="I4637">
        <v>0</v>
      </c>
      <c r="J4637" t="s">
        <v>1709</v>
      </c>
      <c r="K4637" t="s">
        <v>95</v>
      </c>
      <c r="L4637" t="s">
        <v>285</v>
      </c>
      <c r="M4637" t="str">
        <f t="shared" si="319"/>
        <v>02</v>
      </c>
      <c r="N4637" t="s">
        <v>12</v>
      </c>
    </row>
    <row r="4638" spans="1:14" x14ac:dyDescent="0.25">
      <c r="A4638">
        <v>20160212</v>
      </c>
      <c r="B4638" t="str">
        <f t="shared" si="324"/>
        <v>062288</v>
      </c>
      <c r="C4638" t="str">
        <f t="shared" si="325"/>
        <v>27900</v>
      </c>
      <c r="D4638" t="s">
        <v>1596</v>
      </c>
      <c r="E4638" s="3">
        <v>3007.2</v>
      </c>
      <c r="F4638">
        <v>20160211</v>
      </c>
      <c r="G4638" t="s">
        <v>4039</v>
      </c>
      <c r="H4638" t="s">
        <v>1628</v>
      </c>
      <c r="I4638">
        <v>0</v>
      </c>
      <c r="J4638" t="s">
        <v>1709</v>
      </c>
      <c r="K4638" t="s">
        <v>95</v>
      </c>
      <c r="L4638" t="s">
        <v>285</v>
      </c>
      <c r="M4638" t="str">
        <f t="shared" si="319"/>
        <v>02</v>
      </c>
      <c r="N4638" t="s">
        <v>12</v>
      </c>
    </row>
    <row r="4639" spans="1:14" x14ac:dyDescent="0.25">
      <c r="A4639">
        <v>20160212</v>
      </c>
      <c r="B4639" t="str">
        <f t="shared" si="324"/>
        <v>062288</v>
      </c>
      <c r="C4639" t="str">
        <f t="shared" si="325"/>
        <v>27900</v>
      </c>
      <c r="D4639" t="s">
        <v>1596</v>
      </c>
      <c r="E4639" s="3">
        <v>40</v>
      </c>
      <c r="F4639">
        <v>20160211</v>
      </c>
      <c r="G4639" t="s">
        <v>2925</v>
      </c>
      <c r="H4639" t="s">
        <v>4041</v>
      </c>
      <c r="I4639">
        <v>0</v>
      </c>
      <c r="J4639" t="s">
        <v>1709</v>
      </c>
      <c r="K4639" t="s">
        <v>33</v>
      </c>
      <c r="L4639" t="s">
        <v>285</v>
      </c>
      <c r="M4639" t="str">
        <f t="shared" si="319"/>
        <v>02</v>
      </c>
      <c r="N4639" t="s">
        <v>12</v>
      </c>
    </row>
    <row r="4640" spans="1:14" x14ac:dyDescent="0.25">
      <c r="A4640">
        <v>20160212</v>
      </c>
      <c r="B4640" t="str">
        <f t="shared" si="324"/>
        <v>062288</v>
      </c>
      <c r="C4640" t="str">
        <f t="shared" si="325"/>
        <v>27900</v>
      </c>
      <c r="D4640" t="s">
        <v>1596</v>
      </c>
      <c r="E4640" s="3">
        <v>110</v>
      </c>
      <c r="F4640">
        <v>20160211</v>
      </c>
      <c r="G4640" t="s">
        <v>2490</v>
      </c>
      <c r="H4640" t="s">
        <v>4042</v>
      </c>
      <c r="I4640">
        <v>0</v>
      </c>
      <c r="J4640" t="s">
        <v>1709</v>
      </c>
      <c r="K4640" t="s">
        <v>1856</v>
      </c>
      <c r="L4640" t="s">
        <v>285</v>
      </c>
      <c r="M4640" t="str">
        <f t="shared" si="319"/>
        <v>02</v>
      </c>
      <c r="N4640" t="s">
        <v>12</v>
      </c>
    </row>
    <row r="4641" spans="1:14" x14ac:dyDescent="0.25">
      <c r="A4641">
        <v>20160212</v>
      </c>
      <c r="B4641" t="str">
        <f t="shared" si="324"/>
        <v>062288</v>
      </c>
      <c r="C4641" t="str">
        <f t="shared" si="325"/>
        <v>27900</v>
      </c>
      <c r="D4641" t="s">
        <v>1596</v>
      </c>
      <c r="E4641" s="3">
        <v>110</v>
      </c>
      <c r="F4641">
        <v>20160212</v>
      </c>
      <c r="G4641" t="s">
        <v>2490</v>
      </c>
      <c r="H4641" t="s">
        <v>4043</v>
      </c>
      <c r="I4641">
        <v>0</v>
      </c>
      <c r="J4641" t="s">
        <v>1709</v>
      </c>
      <c r="K4641" t="s">
        <v>1856</v>
      </c>
      <c r="L4641" t="s">
        <v>285</v>
      </c>
      <c r="M4641" t="str">
        <f t="shared" si="319"/>
        <v>02</v>
      </c>
      <c r="N4641" t="s">
        <v>12</v>
      </c>
    </row>
    <row r="4642" spans="1:14" x14ac:dyDescent="0.25">
      <c r="A4642">
        <v>20160212</v>
      </c>
      <c r="B4642" t="str">
        <f t="shared" si="324"/>
        <v>062288</v>
      </c>
      <c r="C4642" t="str">
        <f t="shared" si="325"/>
        <v>27900</v>
      </c>
      <c r="D4642" t="s">
        <v>1596</v>
      </c>
      <c r="E4642" s="3">
        <v>2282.5</v>
      </c>
      <c r="F4642">
        <v>20160212</v>
      </c>
      <c r="G4642" t="s">
        <v>4044</v>
      </c>
      <c r="H4642" t="s">
        <v>4045</v>
      </c>
      <c r="I4642">
        <v>0</v>
      </c>
      <c r="J4642" t="s">
        <v>1709</v>
      </c>
      <c r="K4642" t="s">
        <v>1775</v>
      </c>
      <c r="L4642" t="s">
        <v>285</v>
      </c>
      <c r="M4642" t="str">
        <f t="shared" si="319"/>
        <v>02</v>
      </c>
      <c r="N4642" t="s">
        <v>12</v>
      </c>
    </row>
    <row r="4643" spans="1:14" x14ac:dyDescent="0.25">
      <c r="A4643">
        <v>20160212</v>
      </c>
      <c r="B4643" t="str">
        <f t="shared" si="324"/>
        <v>062288</v>
      </c>
      <c r="C4643" t="str">
        <f t="shared" si="325"/>
        <v>27900</v>
      </c>
      <c r="D4643" t="s">
        <v>1596</v>
      </c>
      <c r="E4643" s="3">
        <v>14190.02</v>
      </c>
      <c r="F4643">
        <v>20160211</v>
      </c>
      <c r="G4643" t="s">
        <v>4046</v>
      </c>
      <c r="H4643" t="s">
        <v>4047</v>
      </c>
      <c r="I4643">
        <v>0</v>
      </c>
      <c r="J4643" t="s">
        <v>1709</v>
      </c>
      <c r="K4643" t="s">
        <v>1882</v>
      </c>
      <c r="L4643" t="s">
        <v>285</v>
      </c>
      <c r="M4643" t="str">
        <f t="shared" si="319"/>
        <v>02</v>
      </c>
      <c r="N4643" t="s">
        <v>12</v>
      </c>
    </row>
    <row r="4644" spans="1:14" x14ac:dyDescent="0.25">
      <c r="A4644">
        <v>20160212</v>
      </c>
      <c r="B4644" t="str">
        <f>"062289"</f>
        <v>062289</v>
      </c>
      <c r="C4644" t="str">
        <f>"28680"</f>
        <v>28680</v>
      </c>
      <c r="D4644" t="s">
        <v>422</v>
      </c>
      <c r="E4644" s="3">
        <v>95.23</v>
      </c>
      <c r="F4644">
        <v>20160211</v>
      </c>
      <c r="G4644" t="s">
        <v>2040</v>
      </c>
      <c r="H4644" t="s">
        <v>4048</v>
      </c>
      <c r="I4644">
        <v>0</v>
      </c>
      <c r="J4644" t="s">
        <v>1709</v>
      </c>
      <c r="K4644" t="s">
        <v>290</v>
      </c>
      <c r="L4644" t="s">
        <v>285</v>
      </c>
      <c r="M4644" t="str">
        <f t="shared" si="319"/>
        <v>02</v>
      </c>
      <c r="N4644" t="s">
        <v>12</v>
      </c>
    </row>
    <row r="4645" spans="1:14" x14ac:dyDescent="0.25">
      <c r="A4645">
        <v>20160212</v>
      </c>
      <c r="B4645" t="str">
        <f>"062289"</f>
        <v>062289</v>
      </c>
      <c r="C4645" t="str">
        <f>"28680"</f>
        <v>28680</v>
      </c>
      <c r="D4645" t="s">
        <v>422</v>
      </c>
      <c r="E4645" s="3">
        <v>148</v>
      </c>
      <c r="F4645">
        <v>20160211</v>
      </c>
      <c r="G4645" t="s">
        <v>1880</v>
      </c>
      <c r="H4645" t="s">
        <v>3072</v>
      </c>
      <c r="I4645">
        <v>0</v>
      </c>
      <c r="J4645" t="s">
        <v>1709</v>
      </c>
      <c r="K4645" t="s">
        <v>1882</v>
      </c>
      <c r="L4645" t="s">
        <v>285</v>
      </c>
      <c r="M4645" t="str">
        <f t="shared" si="319"/>
        <v>02</v>
      </c>
      <c r="N4645" t="s">
        <v>12</v>
      </c>
    </row>
    <row r="4646" spans="1:14" x14ac:dyDescent="0.25">
      <c r="A4646">
        <v>20160212</v>
      </c>
      <c r="B4646" t="str">
        <f>"062291"</f>
        <v>062291</v>
      </c>
      <c r="C4646" t="str">
        <f>"28733"</f>
        <v>28733</v>
      </c>
      <c r="D4646" t="s">
        <v>4049</v>
      </c>
      <c r="E4646" s="3">
        <v>384.91</v>
      </c>
      <c r="F4646">
        <v>20160211</v>
      </c>
      <c r="G4646" t="s">
        <v>2529</v>
      </c>
      <c r="H4646" t="s">
        <v>4050</v>
      </c>
      <c r="I4646">
        <v>0</v>
      </c>
      <c r="J4646" t="s">
        <v>1709</v>
      </c>
      <c r="K4646" t="s">
        <v>95</v>
      </c>
      <c r="L4646" t="s">
        <v>285</v>
      </c>
      <c r="M4646" t="str">
        <f t="shared" si="319"/>
        <v>02</v>
      </c>
      <c r="N4646" t="s">
        <v>12</v>
      </c>
    </row>
    <row r="4647" spans="1:14" x14ac:dyDescent="0.25">
      <c r="A4647">
        <v>20160212</v>
      </c>
      <c r="B4647" t="str">
        <f>"062293"</f>
        <v>062293</v>
      </c>
      <c r="C4647" t="str">
        <f>"28820"</f>
        <v>28820</v>
      </c>
      <c r="D4647" t="s">
        <v>2647</v>
      </c>
      <c r="E4647" s="3">
        <v>7.35</v>
      </c>
      <c r="F4647">
        <v>20160211</v>
      </c>
      <c r="G4647" t="s">
        <v>2648</v>
      </c>
      <c r="H4647" t="s">
        <v>4051</v>
      </c>
      <c r="I4647">
        <v>0</v>
      </c>
      <c r="J4647" t="s">
        <v>1709</v>
      </c>
      <c r="K4647" t="s">
        <v>2377</v>
      </c>
      <c r="L4647" t="s">
        <v>285</v>
      </c>
      <c r="M4647" t="str">
        <f t="shared" si="319"/>
        <v>02</v>
      </c>
      <c r="N4647" t="s">
        <v>12</v>
      </c>
    </row>
    <row r="4648" spans="1:14" x14ac:dyDescent="0.25">
      <c r="A4648">
        <v>20160212</v>
      </c>
      <c r="B4648" t="str">
        <f>"062293"</f>
        <v>062293</v>
      </c>
      <c r="C4648" t="str">
        <f>"28820"</f>
        <v>28820</v>
      </c>
      <c r="D4648" t="s">
        <v>2647</v>
      </c>
      <c r="E4648" s="3">
        <v>57.5</v>
      </c>
      <c r="F4648">
        <v>20160211</v>
      </c>
      <c r="G4648" t="s">
        <v>2648</v>
      </c>
      <c r="H4648" t="s">
        <v>4052</v>
      </c>
      <c r="I4648">
        <v>0</v>
      </c>
      <c r="J4648" t="s">
        <v>1709</v>
      </c>
      <c r="K4648" t="s">
        <v>2377</v>
      </c>
      <c r="L4648" t="s">
        <v>285</v>
      </c>
      <c r="M4648" t="str">
        <f t="shared" si="319"/>
        <v>02</v>
      </c>
      <c r="N4648" t="s">
        <v>12</v>
      </c>
    </row>
    <row r="4649" spans="1:14" x14ac:dyDescent="0.25">
      <c r="A4649">
        <v>20160212</v>
      </c>
      <c r="B4649" t="str">
        <f>"062297"</f>
        <v>062297</v>
      </c>
      <c r="C4649" t="str">
        <f>"31500"</f>
        <v>31500</v>
      </c>
      <c r="D4649" t="s">
        <v>1872</v>
      </c>
      <c r="E4649" s="3">
        <v>235.92</v>
      </c>
      <c r="F4649">
        <v>20160211</v>
      </c>
      <c r="G4649" t="s">
        <v>2074</v>
      </c>
      <c r="H4649" t="s">
        <v>4053</v>
      </c>
      <c r="I4649">
        <v>0</v>
      </c>
      <c r="J4649" t="s">
        <v>1709</v>
      </c>
      <c r="K4649" t="s">
        <v>1861</v>
      </c>
      <c r="L4649" t="s">
        <v>285</v>
      </c>
      <c r="M4649" t="str">
        <f t="shared" si="319"/>
        <v>02</v>
      </c>
      <c r="N4649" t="s">
        <v>12</v>
      </c>
    </row>
    <row r="4650" spans="1:14" x14ac:dyDescent="0.25">
      <c r="A4650">
        <v>20160212</v>
      </c>
      <c r="B4650" t="str">
        <f>"062297"</f>
        <v>062297</v>
      </c>
      <c r="C4650" t="str">
        <f>"31500"</f>
        <v>31500</v>
      </c>
      <c r="D4650" t="s">
        <v>1872</v>
      </c>
      <c r="E4650" s="3">
        <v>102.78</v>
      </c>
      <c r="F4650">
        <v>20160211</v>
      </c>
      <c r="G4650" t="s">
        <v>2074</v>
      </c>
      <c r="H4650" t="s">
        <v>4054</v>
      </c>
      <c r="I4650">
        <v>0</v>
      </c>
      <c r="J4650" t="s">
        <v>1709</v>
      </c>
      <c r="K4650" t="s">
        <v>1861</v>
      </c>
      <c r="L4650" t="s">
        <v>285</v>
      </c>
      <c r="M4650" t="str">
        <f t="shared" si="319"/>
        <v>02</v>
      </c>
      <c r="N4650" t="s">
        <v>12</v>
      </c>
    </row>
    <row r="4651" spans="1:14" x14ac:dyDescent="0.25">
      <c r="A4651">
        <v>20160212</v>
      </c>
      <c r="B4651" t="str">
        <f>"062298"</f>
        <v>062298</v>
      </c>
      <c r="C4651" t="str">
        <f>"33742"</f>
        <v>33742</v>
      </c>
      <c r="D4651" t="s">
        <v>4055</v>
      </c>
      <c r="E4651" s="3">
        <v>355</v>
      </c>
      <c r="F4651">
        <v>20160211</v>
      </c>
      <c r="G4651" t="s">
        <v>3856</v>
      </c>
      <c r="H4651" t="s">
        <v>4056</v>
      </c>
      <c r="I4651">
        <v>0</v>
      </c>
      <c r="J4651" t="s">
        <v>1709</v>
      </c>
      <c r="K4651" t="s">
        <v>2194</v>
      </c>
      <c r="L4651" t="s">
        <v>285</v>
      </c>
      <c r="M4651" t="str">
        <f t="shared" si="319"/>
        <v>02</v>
      </c>
      <c r="N4651" t="s">
        <v>12</v>
      </c>
    </row>
    <row r="4652" spans="1:14" x14ac:dyDescent="0.25">
      <c r="A4652">
        <v>20160212</v>
      </c>
      <c r="B4652" t="str">
        <f>"062300"</f>
        <v>062300</v>
      </c>
      <c r="C4652" t="str">
        <f>"34530"</f>
        <v>34530</v>
      </c>
      <c r="D4652" t="s">
        <v>4057</v>
      </c>
      <c r="E4652" s="3">
        <v>340.2</v>
      </c>
      <c r="F4652">
        <v>20160211</v>
      </c>
      <c r="G4652" t="s">
        <v>1859</v>
      </c>
      <c r="H4652" t="s">
        <v>4058</v>
      </c>
      <c r="I4652">
        <v>0</v>
      </c>
      <c r="J4652" t="s">
        <v>1709</v>
      </c>
      <c r="K4652" t="s">
        <v>1861</v>
      </c>
      <c r="L4652" t="s">
        <v>285</v>
      </c>
      <c r="M4652" t="str">
        <f t="shared" si="319"/>
        <v>02</v>
      </c>
      <c r="N4652" t="s">
        <v>12</v>
      </c>
    </row>
    <row r="4653" spans="1:14" x14ac:dyDescent="0.25">
      <c r="A4653">
        <v>20160212</v>
      </c>
      <c r="B4653" t="str">
        <f>"062303"</f>
        <v>062303</v>
      </c>
      <c r="C4653" t="str">
        <f>"35430"</f>
        <v>35430</v>
      </c>
      <c r="D4653" t="s">
        <v>2302</v>
      </c>
      <c r="E4653" s="3">
        <v>405.84</v>
      </c>
      <c r="F4653">
        <v>20160211</v>
      </c>
      <c r="G4653" t="s">
        <v>2303</v>
      </c>
      <c r="H4653" t="s">
        <v>4059</v>
      </c>
      <c r="I4653">
        <v>0</v>
      </c>
      <c r="J4653" t="s">
        <v>1709</v>
      </c>
      <c r="K4653" t="s">
        <v>235</v>
      </c>
      <c r="L4653" t="s">
        <v>285</v>
      </c>
      <c r="M4653" t="str">
        <f t="shared" si="319"/>
        <v>02</v>
      </c>
      <c r="N4653" t="s">
        <v>12</v>
      </c>
    </row>
    <row r="4654" spans="1:14" x14ac:dyDescent="0.25">
      <c r="A4654">
        <v>20160212</v>
      </c>
      <c r="B4654" t="str">
        <f>"062304"</f>
        <v>062304</v>
      </c>
      <c r="C4654" t="str">
        <f>"37805"</f>
        <v>37805</v>
      </c>
      <c r="D4654" t="s">
        <v>2669</v>
      </c>
      <c r="E4654" s="3">
        <v>8.33</v>
      </c>
      <c r="F4654">
        <v>20160211</v>
      </c>
      <c r="G4654" t="s">
        <v>1738</v>
      </c>
      <c r="H4654" t="s">
        <v>3871</v>
      </c>
      <c r="I4654">
        <v>0</v>
      </c>
      <c r="J4654" t="s">
        <v>1709</v>
      </c>
      <c r="K4654" t="s">
        <v>290</v>
      </c>
      <c r="L4654" t="s">
        <v>285</v>
      </c>
      <c r="M4654" t="str">
        <f t="shared" si="319"/>
        <v>02</v>
      </c>
      <c r="N4654" t="s">
        <v>12</v>
      </c>
    </row>
    <row r="4655" spans="1:14" x14ac:dyDescent="0.25">
      <c r="A4655">
        <v>20160212</v>
      </c>
      <c r="B4655" t="str">
        <f>"062304"</f>
        <v>062304</v>
      </c>
      <c r="C4655" t="str">
        <f>"37805"</f>
        <v>37805</v>
      </c>
      <c r="D4655" t="s">
        <v>2669</v>
      </c>
      <c r="E4655" s="3">
        <v>65</v>
      </c>
      <c r="F4655">
        <v>20160211</v>
      </c>
      <c r="G4655" t="s">
        <v>1739</v>
      </c>
      <c r="H4655" t="s">
        <v>3871</v>
      </c>
      <c r="I4655">
        <v>0</v>
      </c>
      <c r="J4655" t="s">
        <v>1709</v>
      </c>
      <c r="K4655" t="s">
        <v>290</v>
      </c>
      <c r="L4655" t="s">
        <v>285</v>
      </c>
      <c r="M4655" t="str">
        <f t="shared" si="319"/>
        <v>02</v>
      </c>
      <c r="N4655" t="s">
        <v>12</v>
      </c>
    </row>
    <row r="4656" spans="1:14" x14ac:dyDescent="0.25">
      <c r="A4656">
        <v>20160212</v>
      </c>
      <c r="B4656" t="str">
        <f t="shared" ref="B4656:B4666" si="326">"062306"</f>
        <v>062306</v>
      </c>
      <c r="C4656" t="str">
        <f t="shared" ref="C4656:C4666" si="327">"37500"</f>
        <v>37500</v>
      </c>
      <c r="D4656" t="s">
        <v>1652</v>
      </c>
      <c r="E4656" s="3">
        <v>79.61</v>
      </c>
      <c r="F4656">
        <v>20160211</v>
      </c>
      <c r="G4656" t="s">
        <v>2547</v>
      </c>
      <c r="H4656" t="s">
        <v>2169</v>
      </c>
      <c r="I4656">
        <v>0</v>
      </c>
      <c r="J4656" t="s">
        <v>1709</v>
      </c>
      <c r="K4656" t="s">
        <v>1643</v>
      </c>
      <c r="L4656" t="s">
        <v>285</v>
      </c>
      <c r="M4656" t="str">
        <f t="shared" si="319"/>
        <v>02</v>
      </c>
      <c r="N4656" t="s">
        <v>12</v>
      </c>
    </row>
    <row r="4657" spans="1:14" x14ac:dyDescent="0.25">
      <c r="A4657">
        <v>20160212</v>
      </c>
      <c r="B4657" t="str">
        <f t="shared" si="326"/>
        <v>062306</v>
      </c>
      <c r="C4657" t="str">
        <f t="shared" si="327"/>
        <v>37500</v>
      </c>
      <c r="D4657" t="s">
        <v>1652</v>
      </c>
      <c r="E4657" s="3">
        <v>44.8</v>
      </c>
      <c r="F4657">
        <v>20160211</v>
      </c>
      <c r="G4657" t="s">
        <v>2792</v>
      </c>
      <c r="H4657" t="s">
        <v>4060</v>
      </c>
      <c r="I4657">
        <v>0</v>
      </c>
      <c r="J4657" t="s">
        <v>1709</v>
      </c>
      <c r="K4657" t="s">
        <v>33</v>
      </c>
      <c r="L4657" t="s">
        <v>285</v>
      </c>
      <c r="M4657" t="str">
        <f t="shared" si="319"/>
        <v>02</v>
      </c>
      <c r="N4657" t="s">
        <v>12</v>
      </c>
    </row>
    <row r="4658" spans="1:14" x14ac:dyDescent="0.25">
      <c r="A4658">
        <v>20160212</v>
      </c>
      <c r="B4658" t="str">
        <f t="shared" si="326"/>
        <v>062306</v>
      </c>
      <c r="C4658" t="str">
        <f t="shared" si="327"/>
        <v>37500</v>
      </c>
      <c r="D4658" t="s">
        <v>1652</v>
      </c>
      <c r="E4658" s="3">
        <v>32.01</v>
      </c>
      <c r="F4658">
        <v>20160211</v>
      </c>
      <c r="G4658" t="s">
        <v>2762</v>
      </c>
      <c r="H4658" t="s">
        <v>2987</v>
      </c>
      <c r="I4658">
        <v>0</v>
      </c>
      <c r="J4658" t="s">
        <v>1709</v>
      </c>
      <c r="K4658" t="s">
        <v>2764</v>
      </c>
      <c r="L4658" t="s">
        <v>285</v>
      </c>
      <c r="M4658" t="str">
        <f t="shared" si="319"/>
        <v>02</v>
      </c>
      <c r="N4658" t="s">
        <v>12</v>
      </c>
    </row>
    <row r="4659" spans="1:14" x14ac:dyDescent="0.25">
      <c r="A4659">
        <v>20160212</v>
      </c>
      <c r="B4659" t="str">
        <f t="shared" si="326"/>
        <v>062306</v>
      </c>
      <c r="C4659" t="str">
        <f t="shared" si="327"/>
        <v>37500</v>
      </c>
      <c r="D4659" t="s">
        <v>1652</v>
      </c>
      <c r="E4659" s="3">
        <v>34.03</v>
      </c>
      <c r="F4659">
        <v>20160211</v>
      </c>
      <c r="G4659" t="s">
        <v>2762</v>
      </c>
      <c r="H4659" t="s">
        <v>2987</v>
      </c>
      <c r="I4659">
        <v>0</v>
      </c>
      <c r="J4659" t="s">
        <v>1709</v>
      </c>
      <c r="K4659" t="s">
        <v>2764</v>
      </c>
      <c r="L4659" t="s">
        <v>285</v>
      </c>
      <c r="M4659" t="str">
        <f t="shared" si="319"/>
        <v>02</v>
      </c>
      <c r="N4659" t="s">
        <v>12</v>
      </c>
    </row>
    <row r="4660" spans="1:14" x14ac:dyDescent="0.25">
      <c r="A4660">
        <v>20160212</v>
      </c>
      <c r="B4660" t="str">
        <f t="shared" si="326"/>
        <v>062306</v>
      </c>
      <c r="C4660" t="str">
        <f t="shared" si="327"/>
        <v>37500</v>
      </c>
      <c r="D4660" t="s">
        <v>1652</v>
      </c>
      <c r="E4660" s="3">
        <v>5.76</v>
      </c>
      <c r="F4660">
        <v>20160211</v>
      </c>
      <c r="G4660" t="s">
        <v>2172</v>
      </c>
      <c r="H4660" t="s">
        <v>3963</v>
      </c>
      <c r="I4660">
        <v>0</v>
      </c>
      <c r="J4660" t="s">
        <v>1709</v>
      </c>
      <c r="K4660" t="s">
        <v>95</v>
      </c>
      <c r="L4660" t="s">
        <v>285</v>
      </c>
      <c r="M4660" t="str">
        <f t="shared" si="319"/>
        <v>02</v>
      </c>
      <c r="N4660" t="s">
        <v>12</v>
      </c>
    </row>
    <row r="4661" spans="1:14" x14ac:dyDescent="0.25">
      <c r="A4661">
        <v>20160212</v>
      </c>
      <c r="B4661" t="str">
        <f t="shared" si="326"/>
        <v>062306</v>
      </c>
      <c r="C4661" t="str">
        <f t="shared" si="327"/>
        <v>37500</v>
      </c>
      <c r="D4661" t="s">
        <v>1652</v>
      </c>
      <c r="E4661" s="3">
        <v>16.96</v>
      </c>
      <c r="F4661">
        <v>20160211</v>
      </c>
      <c r="G4661" t="s">
        <v>4061</v>
      </c>
      <c r="H4661" t="s">
        <v>4062</v>
      </c>
      <c r="I4661">
        <v>0</v>
      </c>
      <c r="J4661" t="s">
        <v>1709</v>
      </c>
      <c r="K4661" t="s">
        <v>2923</v>
      </c>
      <c r="L4661" t="s">
        <v>285</v>
      </c>
      <c r="M4661" t="str">
        <f t="shared" si="319"/>
        <v>02</v>
      </c>
      <c r="N4661" t="s">
        <v>12</v>
      </c>
    </row>
    <row r="4662" spans="1:14" x14ac:dyDescent="0.25">
      <c r="A4662">
        <v>20160212</v>
      </c>
      <c r="B4662" t="str">
        <f t="shared" si="326"/>
        <v>062306</v>
      </c>
      <c r="C4662" t="str">
        <f t="shared" si="327"/>
        <v>37500</v>
      </c>
      <c r="D4662" t="s">
        <v>1652</v>
      </c>
      <c r="E4662" s="3">
        <v>30.29</v>
      </c>
      <c r="F4662">
        <v>20160211</v>
      </c>
      <c r="G4662" t="s">
        <v>4061</v>
      </c>
      <c r="H4662" t="s">
        <v>595</v>
      </c>
      <c r="I4662">
        <v>0</v>
      </c>
      <c r="J4662" t="s">
        <v>1709</v>
      </c>
      <c r="K4662" t="s">
        <v>2923</v>
      </c>
      <c r="L4662" t="s">
        <v>285</v>
      </c>
      <c r="M4662" t="str">
        <f t="shared" si="319"/>
        <v>02</v>
      </c>
      <c r="N4662" t="s">
        <v>12</v>
      </c>
    </row>
    <row r="4663" spans="1:14" x14ac:dyDescent="0.25">
      <c r="A4663">
        <v>20160212</v>
      </c>
      <c r="B4663" t="str">
        <f t="shared" si="326"/>
        <v>062306</v>
      </c>
      <c r="C4663" t="str">
        <f t="shared" si="327"/>
        <v>37500</v>
      </c>
      <c r="D4663" t="s">
        <v>1652</v>
      </c>
      <c r="E4663" s="3">
        <v>14.98</v>
      </c>
      <c r="F4663">
        <v>20160211</v>
      </c>
      <c r="G4663" t="s">
        <v>2049</v>
      </c>
      <c r="H4663" t="s">
        <v>595</v>
      </c>
      <c r="I4663">
        <v>0</v>
      </c>
      <c r="J4663" t="s">
        <v>1709</v>
      </c>
      <c r="K4663" t="s">
        <v>1775</v>
      </c>
      <c r="L4663" t="s">
        <v>285</v>
      </c>
      <c r="M4663" t="str">
        <f t="shared" ref="M4663:M4679" si="328">"02"</f>
        <v>02</v>
      </c>
      <c r="N4663" t="s">
        <v>12</v>
      </c>
    </row>
    <row r="4664" spans="1:14" x14ac:dyDescent="0.25">
      <c r="A4664">
        <v>20160212</v>
      </c>
      <c r="B4664" t="str">
        <f t="shared" si="326"/>
        <v>062306</v>
      </c>
      <c r="C4664" t="str">
        <f t="shared" si="327"/>
        <v>37500</v>
      </c>
      <c r="D4664" t="s">
        <v>1652</v>
      </c>
      <c r="E4664" s="3">
        <v>48.99</v>
      </c>
      <c r="F4664">
        <v>20160211</v>
      </c>
      <c r="G4664" t="s">
        <v>2416</v>
      </c>
      <c r="H4664" t="s">
        <v>4063</v>
      </c>
      <c r="I4664">
        <v>0</v>
      </c>
      <c r="J4664" t="s">
        <v>1709</v>
      </c>
      <c r="K4664" t="s">
        <v>1744</v>
      </c>
      <c r="L4664" t="s">
        <v>285</v>
      </c>
      <c r="M4664" t="str">
        <f t="shared" si="328"/>
        <v>02</v>
      </c>
      <c r="N4664" t="s">
        <v>12</v>
      </c>
    </row>
    <row r="4665" spans="1:14" x14ac:dyDescent="0.25">
      <c r="A4665">
        <v>20160212</v>
      </c>
      <c r="B4665" t="str">
        <f t="shared" si="326"/>
        <v>062306</v>
      </c>
      <c r="C4665" t="str">
        <f t="shared" si="327"/>
        <v>37500</v>
      </c>
      <c r="D4665" t="s">
        <v>1652</v>
      </c>
      <c r="E4665" s="3">
        <v>37.21</v>
      </c>
      <c r="F4665">
        <v>20160211</v>
      </c>
      <c r="G4665" t="s">
        <v>2416</v>
      </c>
      <c r="H4665" t="s">
        <v>4063</v>
      </c>
      <c r="I4665">
        <v>0</v>
      </c>
      <c r="J4665" t="s">
        <v>1709</v>
      </c>
      <c r="K4665" t="s">
        <v>1744</v>
      </c>
      <c r="L4665" t="s">
        <v>285</v>
      </c>
      <c r="M4665" t="str">
        <f t="shared" si="328"/>
        <v>02</v>
      </c>
      <c r="N4665" t="s">
        <v>12</v>
      </c>
    </row>
    <row r="4666" spans="1:14" x14ac:dyDescent="0.25">
      <c r="A4666">
        <v>20160212</v>
      </c>
      <c r="B4666" t="str">
        <f t="shared" si="326"/>
        <v>062306</v>
      </c>
      <c r="C4666" t="str">
        <f t="shared" si="327"/>
        <v>37500</v>
      </c>
      <c r="D4666" t="s">
        <v>1652</v>
      </c>
      <c r="E4666" s="3">
        <v>32.020000000000003</v>
      </c>
      <c r="F4666">
        <v>20160211</v>
      </c>
      <c r="G4666" t="s">
        <v>2416</v>
      </c>
      <c r="H4666" t="s">
        <v>4063</v>
      </c>
      <c r="I4666">
        <v>0</v>
      </c>
      <c r="J4666" t="s">
        <v>1709</v>
      </c>
      <c r="K4666" t="s">
        <v>1744</v>
      </c>
      <c r="L4666" t="s">
        <v>285</v>
      </c>
      <c r="M4666" t="str">
        <f t="shared" si="328"/>
        <v>02</v>
      </c>
      <c r="N4666" t="s">
        <v>12</v>
      </c>
    </row>
    <row r="4667" spans="1:14" x14ac:dyDescent="0.25">
      <c r="A4667">
        <v>20160212</v>
      </c>
      <c r="B4667" t="str">
        <f>"062312"</f>
        <v>062312</v>
      </c>
      <c r="C4667" t="str">
        <f>"39572"</f>
        <v>39572</v>
      </c>
      <c r="D4667" t="s">
        <v>2112</v>
      </c>
      <c r="E4667" s="3">
        <v>12398</v>
      </c>
      <c r="F4667">
        <v>20160212</v>
      </c>
      <c r="G4667" t="s">
        <v>4064</v>
      </c>
      <c r="H4667" t="s">
        <v>4065</v>
      </c>
      <c r="I4667">
        <v>0</v>
      </c>
      <c r="J4667" t="s">
        <v>1709</v>
      </c>
      <c r="K4667" t="s">
        <v>290</v>
      </c>
      <c r="L4667" t="s">
        <v>285</v>
      </c>
      <c r="M4667" t="str">
        <f t="shared" si="328"/>
        <v>02</v>
      </c>
      <c r="N4667" t="s">
        <v>12</v>
      </c>
    </row>
    <row r="4668" spans="1:14" x14ac:dyDescent="0.25">
      <c r="A4668">
        <v>20160212</v>
      </c>
      <c r="B4668" t="str">
        <f>"062313"</f>
        <v>062313</v>
      </c>
      <c r="C4668" t="str">
        <f>"40565"</f>
        <v>40565</v>
      </c>
      <c r="D4668" t="s">
        <v>3537</v>
      </c>
      <c r="E4668" s="3">
        <v>30</v>
      </c>
      <c r="F4668">
        <v>20160212</v>
      </c>
      <c r="G4668" t="s">
        <v>4066</v>
      </c>
      <c r="H4668" t="s">
        <v>4067</v>
      </c>
      <c r="I4668">
        <v>0</v>
      </c>
      <c r="J4668" t="s">
        <v>1709</v>
      </c>
      <c r="K4668" t="s">
        <v>290</v>
      </c>
      <c r="L4668" t="s">
        <v>285</v>
      </c>
      <c r="M4668" t="str">
        <f t="shared" si="328"/>
        <v>02</v>
      </c>
      <c r="N4668" t="s">
        <v>12</v>
      </c>
    </row>
    <row r="4669" spans="1:14" x14ac:dyDescent="0.25">
      <c r="A4669">
        <v>20160212</v>
      </c>
      <c r="B4669" t="str">
        <f>"062314"</f>
        <v>062314</v>
      </c>
      <c r="C4669" t="str">
        <f>"42194"</f>
        <v>42194</v>
      </c>
      <c r="D4669" t="s">
        <v>1874</v>
      </c>
      <c r="E4669" s="3">
        <v>79413.66</v>
      </c>
      <c r="F4669">
        <v>20160212</v>
      </c>
      <c r="G4669" t="s">
        <v>2890</v>
      </c>
      <c r="H4669" t="s">
        <v>4068</v>
      </c>
      <c r="I4669">
        <v>0</v>
      </c>
      <c r="J4669" t="s">
        <v>1709</v>
      </c>
      <c r="K4669" t="s">
        <v>1861</v>
      </c>
      <c r="L4669" t="s">
        <v>285</v>
      </c>
      <c r="M4669" t="str">
        <f t="shared" si="328"/>
        <v>02</v>
      </c>
      <c r="N4669" t="s">
        <v>12</v>
      </c>
    </row>
    <row r="4670" spans="1:14" x14ac:dyDescent="0.25">
      <c r="A4670">
        <v>20160212</v>
      </c>
      <c r="B4670" t="str">
        <f>"062315"</f>
        <v>062315</v>
      </c>
      <c r="C4670" t="str">
        <f>"42212"</f>
        <v>42212</v>
      </c>
      <c r="D4670" t="s">
        <v>2513</v>
      </c>
      <c r="E4670" s="3">
        <v>54</v>
      </c>
      <c r="F4670">
        <v>20160212</v>
      </c>
      <c r="G4670" t="s">
        <v>2640</v>
      </c>
      <c r="H4670" t="s">
        <v>3930</v>
      </c>
      <c r="I4670">
        <v>0</v>
      </c>
      <c r="J4670" t="s">
        <v>1709</v>
      </c>
      <c r="K4670" t="s">
        <v>290</v>
      </c>
      <c r="L4670" t="s">
        <v>285</v>
      </c>
      <c r="M4670" t="str">
        <f t="shared" si="328"/>
        <v>02</v>
      </c>
      <c r="N4670" t="s">
        <v>12</v>
      </c>
    </row>
    <row r="4671" spans="1:14" x14ac:dyDescent="0.25">
      <c r="A4671">
        <v>20160212</v>
      </c>
      <c r="B4671" t="str">
        <f>"062315"</f>
        <v>062315</v>
      </c>
      <c r="C4671" t="str">
        <f>"42212"</f>
        <v>42212</v>
      </c>
      <c r="D4671" t="s">
        <v>2513</v>
      </c>
      <c r="E4671" s="3">
        <v>225</v>
      </c>
      <c r="F4671">
        <v>20160212</v>
      </c>
      <c r="G4671" t="s">
        <v>2893</v>
      </c>
      <c r="H4671" t="s">
        <v>3930</v>
      </c>
      <c r="I4671">
        <v>0</v>
      </c>
      <c r="J4671" t="s">
        <v>1709</v>
      </c>
      <c r="K4671" t="s">
        <v>290</v>
      </c>
      <c r="L4671" t="s">
        <v>285</v>
      </c>
      <c r="M4671" t="str">
        <f t="shared" si="328"/>
        <v>02</v>
      </c>
      <c r="N4671" t="s">
        <v>12</v>
      </c>
    </row>
    <row r="4672" spans="1:14" x14ac:dyDescent="0.25">
      <c r="A4672">
        <v>20160212</v>
      </c>
      <c r="B4672" t="str">
        <f>"062322"</f>
        <v>062322</v>
      </c>
      <c r="C4672" t="str">
        <f>"46398"</f>
        <v>46398</v>
      </c>
      <c r="D4672" t="s">
        <v>1994</v>
      </c>
      <c r="E4672" s="3">
        <v>7799.86</v>
      </c>
      <c r="F4672">
        <v>20160212</v>
      </c>
      <c r="G4672" t="s">
        <v>1995</v>
      </c>
      <c r="H4672" t="s">
        <v>4069</v>
      </c>
      <c r="I4672">
        <v>0</v>
      </c>
      <c r="J4672" t="s">
        <v>1709</v>
      </c>
      <c r="K4672" t="s">
        <v>235</v>
      </c>
      <c r="L4672" t="s">
        <v>285</v>
      </c>
      <c r="M4672" t="str">
        <f t="shared" si="328"/>
        <v>02</v>
      </c>
      <c r="N4672" t="s">
        <v>12</v>
      </c>
    </row>
    <row r="4673" spans="1:14" x14ac:dyDescent="0.25">
      <c r="A4673">
        <v>20160212</v>
      </c>
      <c r="B4673" t="str">
        <f>"062322"</f>
        <v>062322</v>
      </c>
      <c r="C4673" t="str">
        <f>"46398"</f>
        <v>46398</v>
      </c>
      <c r="D4673" t="s">
        <v>1994</v>
      </c>
      <c r="E4673" s="3">
        <v>1820</v>
      </c>
      <c r="F4673">
        <v>20160212</v>
      </c>
      <c r="G4673" t="s">
        <v>1995</v>
      </c>
      <c r="H4673" t="s">
        <v>4070</v>
      </c>
      <c r="I4673">
        <v>0</v>
      </c>
      <c r="J4673" t="s">
        <v>1709</v>
      </c>
      <c r="K4673" t="s">
        <v>235</v>
      </c>
      <c r="L4673" t="s">
        <v>285</v>
      </c>
      <c r="M4673" t="str">
        <f t="shared" si="328"/>
        <v>02</v>
      </c>
      <c r="N4673" t="s">
        <v>12</v>
      </c>
    </row>
    <row r="4674" spans="1:14" x14ac:dyDescent="0.25">
      <c r="A4674">
        <v>20160212</v>
      </c>
      <c r="B4674" t="str">
        <f>"062322"</f>
        <v>062322</v>
      </c>
      <c r="C4674" t="str">
        <f>"46398"</f>
        <v>46398</v>
      </c>
      <c r="D4674" t="s">
        <v>1994</v>
      </c>
      <c r="E4674" s="3">
        <v>1269.6300000000001</v>
      </c>
      <c r="F4674">
        <v>20160212</v>
      </c>
      <c r="G4674" t="s">
        <v>1998</v>
      </c>
      <c r="H4674" t="s">
        <v>4069</v>
      </c>
      <c r="I4674">
        <v>0</v>
      </c>
      <c r="J4674" t="s">
        <v>1709</v>
      </c>
      <c r="K4674" t="s">
        <v>1942</v>
      </c>
      <c r="L4674" t="s">
        <v>285</v>
      </c>
      <c r="M4674" t="str">
        <f t="shared" si="328"/>
        <v>02</v>
      </c>
      <c r="N4674" t="s">
        <v>12</v>
      </c>
    </row>
    <row r="4675" spans="1:14" x14ac:dyDescent="0.25">
      <c r="A4675">
        <v>20160212</v>
      </c>
      <c r="B4675" t="str">
        <f>"062323"</f>
        <v>062323</v>
      </c>
      <c r="C4675" t="str">
        <f>"46351"</f>
        <v>46351</v>
      </c>
      <c r="D4675" t="s">
        <v>2518</v>
      </c>
      <c r="E4675" s="3">
        <v>4248.04</v>
      </c>
      <c r="F4675">
        <v>20160212</v>
      </c>
      <c r="G4675" t="s">
        <v>2523</v>
      </c>
      <c r="H4675" t="s">
        <v>4071</v>
      </c>
      <c r="I4675">
        <v>0</v>
      </c>
      <c r="J4675" t="s">
        <v>1709</v>
      </c>
      <c r="K4675" t="s">
        <v>1942</v>
      </c>
      <c r="L4675" t="s">
        <v>285</v>
      </c>
      <c r="M4675" t="str">
        <f t="shared" si="328"/>
        <v>02</v>
      </c>
      <c r="N4675" t="s">
        <v>12</v>
      </c>
    </row>
    <row r="4676" spans="1:14" x14ac:dyDescent="0.25">
      <c r="A4676">
        <v>20160212</v>
      </c>
      <c r="B4676" t="str">
        <f>"062325"</f>
        <v>062325</v>
      </c>
      <c r="C4676" t="str">
        <f>"49898"</f>
        <v>49898</v>
      </c>
      <c r="D4676" t="s">
        <v>2342</v>
      </c>
      <c r="E4676" s="3">
        <v>114.78</v>
      </c>
      <c r="F4676">
        <v>20160212</v>
      </c>
      <c r="G4676" t="s">
        <v>1859</v>
      </c>
      <c r="H4676" t="s">
        <v>4072</v>
      </c>
      <c r="I4676">
        <v>0</v>
      </c>
      <c r="J4676" t="s">
        <v>1709</v>
      </c>
      <c r="K4676" t="s">
        <v>1861</v>
      </c>
      <c r="L4676" t="s">
        <v>285</v>
      </c>
      <c r="M4676" t="str">
        <f t="shared" si="328"/>
        <v>02</v>
      </c>
      <c r="N4676" t="s">
        <v>12</v>
      </c>
    </row>
    <row r="4677" spans="1:14" x14ac:dyDescent="0.25">
      <c r="A4677">
        <v>20160212</v>
      </c>
      <c r="B4677" t="str">
        <f>"062327"</f>
        <v>062327</v>
      </c>
      <c r="C4677" t="str">
        <f>"49959"</f>
        <v>49959</v>
      </c>
      <c r="D4677" t="s">
        <v>361</v>
      </c>
      <c r="E4677" s="3">
        <v>300</v>
      </c>
      <c r="F4677">
        <v>20160212</v>
      </c>
      <c r="G4677" t="s">
        <v>1788</v>
      </c>
      <c r="H4677" t="s">
        <v>4073</v>
      </c>
      <c r="I4677">
        <v>0</v>
      </c>
      <c r="J4677" t="s">
        <v>1709</v>
      </c>
      <c r="K4677" t="s">
        <v>1643</v>
      </c>
      <c r="L4677" t="s">
        <v>285</v>
      </c>
      <c r="M4677" t="str">
        <f t="shared" si="328"/>
        <v>02</v>
      </c>
      <c r="N4677" t="s">
        <v>12</v>
      </c>
    </row>
    <row r="4678" spans="1:14" x14ac:dyDescent="0.25">
      <c r="A4678">
        <v>20160212</v>
      </c>
      <c r="B4678" t="str">
        <f>"062328"</f>
        <v>062328</v>
      </c>
      <c r="C4678" t="str">
        <f>"49964"</f>
        <v>49964</v>
      </c>
      <c r="D4678" t="s">
        <v>2346</v>
      </c>
      <c r="E4678" s="3">
        <v>84.28</v>
      </c>
      <c r="F4678">
        <v>20160212</v>
      </c>
      <c r="G4678" t="s">
        <v>2347</v>
      </c>
      <c r="H4678" t="s">
        <v>4074</v>
      </c>
      <c r="I4678">
        <v>0</v>
      </c>
      <c r="J4678" t="s">
        <v>1709</v>
      </c>
      <c r="K4678" t="s">
        <v>2194</v>
      </c>
      <c r="L4678" t="s">
        <v>285</v>
      </c>
      <c r="M4678" t="str">
        <f t="shared" si="328"/>
        <v>02</v>
      </c>
      <c r="N4678" t="s">
        <v>12</v>
      </c>
    </row>
    <row r="4679" spans="1:14" x14ac:dyDescent="0.25">
      <c r="A4679">
        <v>20160212</v>
      </c>
      <c r="B4679" t="str">
        <f>"062330"</f>
        <v>062330</v>
      </c>
      <c r="C4679" t="str">
        <f>"54042"</f>
        <v>54042</v>
      </c>
      <c r="D4679" t="s">
        <v>4075</v>
      </c>
      <c r="E4679" s="3">
        <v>500</v>
      </c>
      <c r="F4679">
        <v>20160212</v>
      </c>
      <c r="G4679" t="s">
        <v>4066</v>
      </c>
      <c r="H4679" t="s">
        <v>4067</v>
      </c>
      <c r="I4679">
        <v>0</v>
      </c>
      <c r="J4679" t="s">
        <v>1709</v>
      </c>
      <c r="K4679" t="s">
        <v>290</v>
      </c>
      <c r="L4679" t="s">
        <v>285</v>
      </c>
      <c r="M4679" t="str">
        <f t="shared" si="328"/>
        <v>02</v>
      </c>
      <c r="N4679" t="s">
        <v>12</v>
      </c>
    </row>
    <row r="4680" spans="1:14" x14ac:dyDescent="0.25">
      <c r="A4680">
        <v>20160212</v>
      </c>
      <c r="B4680" t="str">
        <f>"062330"</f>
        <v>062330</v>
      </c>
      <c r="C4680" t="str">
        <f>"54042"</f>
        <v>54042</v>
      </c>
      <c r="D4680" t="s">
        <v>4075</v>
      </c>
      <c r="E4680" s="3">
        <v>-500</v>
      </c>
      <c r="F4680">
        <v>20160307</v>
      </c>
      <c r="G4680" t="s">
        <v>4066</v>
      </c>
      <c r="H4680" t="s">
        <v>228</v>
      </c>
      <c r="I4680">
        <v>0</v>
      </c>
      <c r="J4680" t="s">
        <v>1709</v>
      </c>
      <c r="K4680" t="s">
        <v>290</v>
      </c>
      <c r="L4680" t="s">
        <v>17</v>
      </c>
      <c r="M4680" t="str">
        <f>"03"</f>
        <v>03</v>
      </c>
      <c r="N4680" t="s">
        <v>12</v>
      </c>
    </row>
    <row r="4681" spans="1:14" x14ac:dyDescent="0.25">
      <c r="A4681">
        <v>20160212</v>
      </c>
      <c r="B4681" t="str">
        <f>"062331"</f>
        <v>062331</v>
      </c>
      <c r="C4681" t="str">
        <f>"54050"</f>
        <v>54050</v>
      </c>
      <c r="D4681" t="s">
        <v>4076</v>
      </c>
      <c r="E4681" s="3">
        <v>214.5</v>
      </c>
      <c r="F4681">
        <v>20160212</v>
      </c>
      <c r="G4681" t="s">
        <v>2720</v>
      </c>
      <c r="H4681" t="s">
        <v>4077</v>
      </c>
      <c r="I4681">
        <v>0</v>
      </c>
      <c r="J4681" t="s">
        <v>1709</v>
      </c>
      <c r="K4681" t="s">
        <v>2194</v>
      </c>
      <c r="L4681" t="s">
        <v>285</v>
      </c>
      <c r="M4681" t="str">
        <f t="shared" ref="M4681:M4712" si="329">"02"</f>
        <v>02</v>
      </c>
      <c r="N4681" t="s">
        <v>12</v>
      </c>
    </row>
    <row r="4682" spans="1:14" x14ac:dyDescent="0.25">
      <c r="A4682">
        <v>20160212</v>
      </c>
      <c r="B4682" t="str">
        <f>"062333"</f>
        <v>062333</v>
      </c>
      <c r="C4682" t="str">
        <f>"54149"</f>
        <v>54149</v>
      </c>
      <c r="D4682" t="s">
        <v>1617</v>
      </c>
      <c r="E4682" s="3">
        <v>255.13</v>
      </c>
      <c r="F4682">
        <v>20160212</v>
      </c>
      <c r="G4682" t="s">
        <v>2226</v>
      </c>
      <c r="H4682" t="s">
        <v>3291</v>
      </c>
      <c r="I4682">
        <v>0</v>
      </c>
      <c r="J4682" t="s">
        <v>1709</v>
      </c>
      <c r="K4682" t="s">
        <v>33</v>
      </c>
      <c r="L4682" t="s">
        <v>285</v>
      </c>
      <c r="M4682" t="str">
        <f t="shared" si="329"/>
        <v>02</v>
      </c>
      <c r="N4682" t="s">
        <v>12</v>
      </c>
    </row>
    <row r="4683" spans="1:14" x14ac:dyDescent="0.25">
      <c r="A4683">
        <v>20160212</v>
      </c>
      <c r="B4683" t="str">
        <f>"062333"</f>
        <v>062333</v>
      </c>
      <c r="C4683" t="str">
        <f>"54149"</f>
        <v>54149</v>
      </c>
      <c r="D4683" t="s">
        <v>1617</v>
      </c>
      <c r="E4683" s="3">
        <v>313.86</v>
      </c>
      <c r="F4683">
        <v>20160212</v>
      </c>
      <c r="G4683" t="s">
        <v>2100</v>
      </c>
      <c r="H4683" t="s">
        <v>4078</v>
      </c>
      <c r="I4683">
        <v>0</v>
      </c>
      <c r="J4683" t="s">
        <v>1709</v>
      </c>
      <c r="K4683" t="s">
        <v>33</v>
      </c>
      <c r="L4683" t="s">
        <v>285</v>
      </c>
      <c r="M4683" t="str">
        <f t="shared" si="329"/>
        <v>02</v>
      </c>
      <c r="N4683" t="s">
        <v>12</v>
      </c>
    </row>
    <row r="4684" spans="1:14" x14ac:dyDescent="0.25">
      <c r="A4684">
        <v>20160212</v>
      </c>
      <c r="B4684" t="str">
        <f>"062341"</f>
        <v>062341</v>
      </c>
      <c r="C4684" t="str">
        <f>"58927"</f>
        <v>58927</v>
      </c>
      <c r="D4684" t="s">
        <v>1899</v>
      </c>
      <c r="E4684" s="3">
        <v>150</v>
      </c>
      <c r="F4684">
        <v>20160212</v>
      </c>
      <c r="G4684" t="s">
        <v>2699</v>
      </c>
      <c r="H4684" t="s">
        <v>1901</v>
      </c>
      <c r="I4684">
        <v>0</v>
      </c>
      <c r="J4684" t="s">
        <v>1709</v>
      </c>
      <c r="K4684" t="s">
        <v>1856</v>
      </c>
      <c r="L4684" t="s">
        <v>285</v>
      </c>
      <c r="M4684" t="str">
        <f t="shared" si="329"/>
        <v>02</v>
      </c>
      <c r="N4684" t="s">
        <v>12</v>
      </c>
    </row>
    <row r="4685" spans="1:14" x14ac:dyDescent="0.25">
      <c r="A4685">
        <v>20160212</v>
      </c>
      <c r="B4685" t="str">
        <f>"062341"</f>
        <v>062341</v>
      </c>
      <c r="C4685" t="str">
        <f>"58927"</f>
        <v>58927</v>
      </c>
      <c r="D4685" t="s">
        <v>1899</v>
      </c>
      <c r="E4685" s="3">
        <v>150</v>
      </c>
      <c r="F4685">
        <v>20160212</v>
      </c>
      <c r="G4685" t="s">
        <v>2699</v>
      </c>
      <c r="H4685" t="s">
        <v>1901</v>
      </c>
      <c r="I4685">
        <v>0</v>
      </c>
      <c r="J4685" t="s">
        <v>1709</v>
      </c>
      <c r="K4685" t="s">
        <v>1856</v>
      </c>
      <c r="L4685" t="s">
        <v>285</v>
      </c>
      <c r="M4685" t="str">
        <f t="shared" si="329"/>
        <v>02</v>
      </c>
      <c r="N4685" t="s">
        <v>12</v>
      </c>
    </row>
    <row r="4686" spans="1:14" x14ac:dyDescent="0.25">
      <c r="A4686">
        <v>20160212</v>
      </c>
      <c r="B4686" t="str">
        <f>"062341"</f>
        <v>062341</v>
      </c>
      <c r="C4686" t="str">
        <f>"58927"</f>
        <v>58927</v>
      </c>
      <c r="D4686" t="s">
        <v>1899</v>
      </c>
      <c r="E4686" s="3">
        <v>265</v>
      </c>
      <c r="F4686">
        <v>20160212</v>
      </c>
      <c r="G4686" t="s">
        <v>2699</v>
      </c>
      <c r="H4686" t="s">
        <v>2135</v>
      </c>
      <c r="I4686">
        <v>0</v>
      </c>
      <c r="J4686" t="s">
        <v>1709</v>
      </c>
      <c r="K4686" t="s">
        <v>1856</v>
      </c>
      <c r="L4686" t="s">
        <v>285</v>
      </c>
      <c r="M4686" t="str">
        <f t="shared" si="329"/>
        <v>02</v>
      </c>
      <c r="N4686" t="s">
        <v>12</v>
      </c>
    </row>
    <row r="4687" spans="1:14" x14ac:dyDescent="0.25">
      <c r="A4687">
        <v>20160212</v>
      </c>
      <c r="B4687" t="str">
        <f>"062342"</f>
        <v>062342</v>
      </c>
      <c r="C4687" t="str">
        <f>"59040"</f>
        <v>59040</v>
      </c>
      <c r="D4687" t="s">
        <v>4079</v>
      </c>
      <c r="E4687" s="3">
        <v>90</v>
      </c>
      <c r="F4687">
        <v>20160212</v>
      </c>
      <c r="G4687" t="s">
        <v>4080</v>
      </c>
      <c r="H4687" t="s">
        <v>3969</v>
      </c>
      <c r="I4687">
        <v>0</v>
      </c>
      <c r="J4687" t="s">
        <v>1709</v>
      </c>
      <c r="K4687" t="s">
        <v>290</v>
      </c>
      <c r="L4687" t="s">
        <v>285</v>
      </c>
      <c r="M4687" t="str">
        <f t="shared" si="329"/>
        <v>02</v>
      </c>
      <c r="N4687" t="s">
        <v>12</v>
      </c>
    </row>
    <row r="4688" spans="1:14" x14ac:dyDescent="0.25">
      <c r="A4688">
        <v>20160212</v>
      </c>
      <c r="B4688" t="str">
        <f>"062342"</f>
        <v>062342</v>
      </c>
      <c r="C4688" t="str">
        <f>"59040"</f>
        <v>59040</v>
      </c>
      <c r="D4688" t="s">
        <v>4079</v>
      </c>
      <c r="E4688" s="3">
        <v>90</v>
      </c>
      <c r="F4688">
        <v>20160212</v>
      </c>
      <c r="G4688" t="s">
        <v>4081</v>
      </c>
      <c r="H4688" t="s">
        <v>3969</v>
      </c>
      <c r="I4688">
        <v>0</v>
      </c>
      <c r="J4688" t="s">
        <v>1709</v>
      </c>
      <c r="K4688" t="s">
        <v>290</v>
      </c>
      <c r="L4688" t="s">
        <v>285</v>
      </c>
      <c r="M4688" t="str">
        <f t="shared" si="329"/>
        <v>02</v>
      </c>
      <c r="N4688" t="s">
        <v>12</v>
      </c>
    </row>
    <row r="4689" spans="1:14" x14ac:dyDescent="0.25">
      <c r="A4689">
        <v>20160212</v>
      </c>
      <c r="B4689" t="str">
        <f>"062343"</f>
        <v>062343</v>
      </c>
      <c r="C4689" t="str">
        <f>"59097"</f>
        <v>59097</v>
      </c>
      <c r="D4689" t="s">
        <v>1755</v>
      </c>
      <c r="E4689" s="3">
        <v>20.010000000000002</v>
      </c>
      <c r="F4689">
        <v>20160212</v>
      </c>
      <c r="G4689" t="s">
        <v>3188</v>
      </c>
      <c r="H4689" t="s">
        <v>3189</v>
      </c>
      <c r="I4689">
        <v>0</v>
      </c>
      <c r="J4689" t="s">
        <v>1709</v>
      </c>
      <c r="K4689" t="s">
        <v>290</v>
      </c>
      <c r="L4689" t="s">
        <v>285</v>
      </c>
      <c r="M4689" t="str">
        <f t="shared" si="329"/>
        <v>02</v>
      </c>
      <c r="N4689" t="s">
        <v>12</v>
      </c>
    </row>
    <row r="4690" spans="1:14" x14ac:dyDescent="0.25">
      <c r="A4690">
        <v>20160212</v>
      </c>
      <c r="B4690" t="str">
        <f>"062343"</f>
        <v>062343</v>
      </c>
      <c r="C4690" t="str">
        <f>"59097"</f>
        <v>59097</v>
      </c>
      <c r="D4690" t="s">
        <v>1755</v>
      </c>
      <c r="E4690" s="3">
        <v>106.96</v>
      </c>
      <c r="F4690">
        <v>20160212</v>
      </c>
      <c r="G4690" t="s">
        <v>4082</v>
      </c>
      <c r="H4690" t="s">
        <v>3189</v>
      </c>
      <c r="I4690">
        <v>0</v>
      </c>
      <c r="J4690" t="s">
        <v>1709</v>
      </c>
      <c r="K4690" t="s">
        <v>290</v>
      </c>
      <c r="L4690" t="s">
        <v>285</v>
      </c>
      <c r="M4690" t="str">
        <f t="shared" si="329"/>
        <v>02</v>
      </c>
      <c r="N4690" t="s">
        <v>12</v>
      </c>
    </row>
    <row r="4691" spans="1:14" x14ac:dyDescent="0.25">
      <c r="A4691">
        <v>20160212</v>
      </c>
      <c r="B4691" t="str">
        <f>"062343"</f>
        <v>062343</v>
      </c>
      <c r="C4691" t="str">
        <f>"59097"</f>
        <v>59097</v>
      </c>
      <c r="D4691" t="s">
        <v>1755</v>
      </c>
      <c r="E4691" s="3">
        <v>185.04</v>
      </c>
      <c r="F4691">
        <v>20160212</v>
      </c>
      <c r="G4691" t="s">
        <v>2339</v>
      </c>
      <c r="H4691" t="s">
        <v>3719</v>
      </c>
      <c r="I4691">
        <v>0</v>
      </c>
      <c r="J4691" t="s">
        <v>1709</v>
      </c>
      <c r="K4691" t="s">
        <v>290</v>
      </c>
      <c r="L4691" t="s">
        <v>285</v>
      </c>
      <c r="M4691" t="str">
        <f t="shared" si="329"/>
        <v>02</v>
      </c>
      <c r="N4691" t="s">
        <v>12</v>
      </c>
    </row>
    <row r="4692" spans="1:14" x14ac:dyDescent="0.25">
      <c r="A4692">
        <v>20160212</v>
      </c>
      <c r="B4692" t="str">
        <f>"062344"</f>
        <v>062344</v>
      </c>
      <c r="C4692" t="str">
        <f>"60362"</f>
        <v>60362</v>
      </c>
      <c r="D4692" t="s">
        <v>2006</v>
      </c>
      <c r="E4692" s="3">
        <v>4040</v>
      </c>
      <c r="F4692">
        <v>20160212</v>
      </c>
      <c r="G4692" t="s">
        <v>2007</v>
      </c>
      <c r="H4692" t="s">
        <v>4083</v>
      </c>
      <c r="I4692">
        <v>0</v>
      </c>
      <c r="J4692" t="s">
        <v>1709</v>
      </c>
      <c r="K4692" t="s">
        <v>235</v>
      </c>
      <c r="L4692" t="s">
        <v>285</v>
      </c>
      <c r="M4692" t="str">
        <f t="shared" si="329"/>
        <v>02</v>
      </c>
      <c r="N4692" t="s">
        <v>12</v>
      </c>
    </row>
    <row r="4693" spans="1:14" x14ac:dyDescent="0.25">
      <c r="A4693">
        <v>20160212</v>
      </c>
      <c r="B4693" t="str">
        <f>"062344"</f>
        <v>062344</v>
      </c>
      <c r="C4693" t="str">
        <f>"60362"</f>
        <v>60362</v>
      </c>
      <c r="D4693" t="s">
        <v>2006</v>
      </c>
      <c r="E4693" s="3">
        <v>190.04</v>
      </c>
      <c r="F4693">
        <v>20160212</v>
      </c>
      <c r="G4693" t="s">
        <v>4084</v>
      </c>
      <c r="H4693" t="s">
        <v>4085</v>
      </c>
      <c r="I4693">
        <v>0</v>
      </c>
      <c r="J4693" t="s">
        <v>1709</v>
      </c>
      <c r="K4693" t="s">
        <v>1882</v>
      </c>
      <c r="L4693" t="s">
        <v>285</v>
      </c>
      <c r="M4693" t="str">
        <f t="shared" si="329"/>
        <v>02</v>
      </c>
      <c r="N4693" t="s">
        <v>12</v>
      </c>
    </row>
    <row r="4694" spans="1:14" x14ac:dyDescent="0.25">
      <c r="A4694">
        <v>20160212</v>
      </c>
      <c r="B4694" t="str">
        <f>"062345"</f>
        <v>062345</v>
      </c>
      <c r="C4694" t="str">
        <f>"60835"</f>
        <v>60835</v>
      </c>
      <c r="D4694" t="s">
        <v>1904</v>
      </c>
      <c r="E4694" s="3">
        <v>395</v>
      </c>
      <c r="F4694">
        <v>20160212</v>
      </c>
      <c r="G4694" t="s">
        <v>1854</v>
      </c>
      <c r="H4694" t="s">
        <v>4086</v>
      </c>
      <c r="I4694">
        <v>0</v>
      </c>
      <c r="J4694" t="s">
        <v>1709</v>
      </c>
      <c r="K4694" t="s">
        <v>1856</v>
      </c>
      <c r="L4694" t="s">
        <v>285</v>
      </c>
      <c r="M4694" t="str">
        <f t="shared" si="329"/>
        <v>02</v>
      </c>
      <c r="N4694" t="s">
        <v>12</v>
      </c>
    </row>
    <row r="4695" spans="1:14" x14ac:dyDescent="0.25">
      <c r="A4695">
        <v>20160212</v>
      </c>
      <c r="B4695" t="str">
        <f>"062345"</f>
        <v>062345</v>
      </c>
      <c r="C4695" t="str">
        <f>"60835"</f>
        <v>60835</v>
      </c>
      <c r="D4695" t="s">
        <v>1904</v>
      </c>
      <c r="E4695" s="3">
        <v>395</v>
      </c>
      <c r="F4695">
        <v>20160212</v>
      </c>
      <c r="G4695" t="s">
        <v>1854</v>
      </c>
      <c r="H4695" t="s">
        <v>4087</v>
      </c>
      <c r="I4695">
        <v>0</v>
      </c>
      <c r="J4695" t="s">
        <v>1709</v>
      </c>
      <c r="K4695" t="s">
        <v>1856</v>
      </c>
      <c r="L4695" t="s">
        <v>285</v>
      </c>
      <c r="M4695" t="str">
        <f t="shared" si="329"/>
        <v>02</v>
      </c>
      <c r="N4695" t="s">
        <v>12</v>
      </c>
    </row>
    <row r="4696" spans="1:14" x14ac:dyDescent="0.25">
      <c r="A4696">
        <v>20160212</v>
      </c>
      <c r="B4696" t="str">
        <f>"062346"</f>
        <v>062346</v>
      </c>
      <c r="C4696" t="str">
        <f>"62883"</f>
        <v>62883</v>
      </c>
      <c r="D4696" t="s">
        <v>4088</v>
      </c>
      <c r="E4696" s="3">
        <v>275</v>
      </c>
      <c r="F4696">
        <v>20160212</v>
      </c>
      <c r="G4696" t="s">
        <v>1854</v>
      </c>
      <c r="H4696" t="s">
        <v>4089</v>
      </c>
      <c r="I4696">
        <v>0</v>
      </c>
      <c r="J4696" t="s">
        <v>1709</v>
      </c>
      <c r="K4696" t="s">
        <v>1856</v>
      </c>
      <c r="L4696" t="s">
        <v>285</v>
      </c>
      <c r="M4696" t="str">
        <f t="shared" si="329"/>
        <v>02</v>
      </c>
      <c r="N4696" t="s">
        <v>12</v>
      </c>
    </row>
    <row r="4697" spans="1:14" x14ac:dyDescent="0.25">
      <c r="A4697">
        <v>20160212</v>
      </c>
      <c r="B4697" t="str">
        <f>"062348"</f>
        <v>062348</v>
      </c>
      <c r="C4697" t="str">
        <f>"64789"</f>
        <v>64789</v>
      </c>
      <c r="D4697" t="s">
        <v>2555</v>
      </c>
      <c r="E4697" s="3">
        <v>124</v>
      </c>
      <c r="F4697">
        <v>20160212</v>
      </c>
      <c r="G4697" t="s">
        <v>4090</v>
      </c>
      <c r="H4697" t="s">
        <v>4091</v>
      </c>
      <c r="I4697">
        <v>0</v>
      </c>
      <c r="J4697" t="s">
        <v>1709</v>
      </c>
      <c r="K4697" t="s">
        <v>1861</v>
      </c>
      <c r="L4697" t="s">
        <v>285</v>
      </c>
      <c r="M4697" t="str">
        <f t="shared" si="329"/>
        <v>02</v>
      </c>
      <c r="N4697" t="s">
        <v>12</v>
      </c>
    </row>
    <row r="4698" spans="1:14" x14ac:dyDescent="0.25">
      <c r="A4698">
        <v>20160212</v>
      </c>
      <c r="B4698" t="str">
        <f>"062348"</f>
        <v>062348</v>
      </c>
      <c r="C4698" t="str">
        <f>"64789"</f>
        <v>64789</v>
      </c>
      <c r="D4698" t="s">
        <v>2555</v>
      </c>
      <c r="E4698" s="3">
        <v>80</v>
      </c>
      <c r="F4698">
        <v>20160212</v>
      </c>
      <c r="G4698" t="s">
        <v>4090</v>
      </c>
      <c r="H4698" t="s">
        <v>4092</v>
      </c>
      <c r="I4698">
        <v>0</v>
      </c>
      <c r="J4698" t="s">
        <v>1709</v>
      </c>
      <c r="K4698" t="s">
        <v>1861</v>
      </c>
      <c r="L4698" t="s">
        <v>285</v>
      </c>
      <c r="M4698" t="str">
        <f t="shared" si="329"/>
        <v>02</v>
      </c>
      <c r="N4698" t="s">
        <v>12</v>
      </c>
    </row>
    <row r="4699" spans="1:14" x14ac:dyDescent="0.25">
      <c r="A4699">
        <v>20160212</v>
      </c>
      <c r="B4699" t="str">
        <f>"062349"</f>
        <v>062349</v>
      </c>
      <c r="C4699" t="str">
        <f>"64955"</f>
        <v>64955</v>
      </c>
      <c r="D4699" t="s">
        <v>3872</v>
      </c>
      <c r="E4699" s="3">
        <v>109.45</v>
      </c>
      <c r="F4699">
        <v>20160212</v>
      </c>
      <c r="G4699" t="s">
        <v>2339</v>
      </c>
      <c r="H4699" t="s">
        <v>4093</v>
      </c>
      <c r="I4699">
        <v>0</v>
      </c>
      <c r="J4699" t="s">
        <v>1709</v>
      </c>
      <c r="K4699" t="s">
        <v>290</v>
      </c>
      <c r="L4699" t="s">
        <v>285</v>
      </c>
      <c r="M4699" t="str">
        <f t="shared" si="329"/>
        <v>02</v>
      </c>
      <c r="N4699" t="s">
        <v>12</v>
      </c>
    </row>
    <row r="4700" spans="1:14" x14ac:dyDescent="0.25">
      <c r="A4700">
        <v>20160212</v>
      </c>
      <c r="B4700" t="str">
        <f>"062350"</f>
        <v>062350</v>
      </c>
      <c r="C4700" t="str">
        <f>"65160"</f>
        <v>65160</v>
      </c>
      <c r="D4700" t="s">
        <v>4094</v>
      </c>
      <c r="E4700" s="3">
        <v>253</v>
      </c>
      <c r="F4700">
        <v>20160212</v>
      </c>
      <c r="G4700" t="s">
        <v>2425</v>
      </c>
      <c r="H4700" t="s">
        <v>4095</v>
      </c>
      <c r="I4700">
        <v>0</v>
      </c>
      <c r="J4700" t="s">
        <v>1709</v>
      </c>
      <c r="K4700" t="s">
        <v>290</v>
      </c>
      <c r="L4700" t="s">
        <v>285</v>
      </c>
      <c r="M4700" t="str">
        <f t="shared" si="329"/>
        <v>02</v>
      </c>
      <c r="N4700" t="s">
        <v>12</v>
      </c>
    </row>
    <row r="4701" spans="1:14" x14ac:dyDescent="0.25">
      <c r="A4701">
        <v>20160212</v>
      </c>
      <c r="B4701" t="str">
        <f>"062351"</f>
        <v>062351</v>
      </c>
      <c r="C4701" t="str">
        <f>"65235"</f>
        <v>65235</v>
      </c>
      <c r="D4701" t="s">
        <v>3126</v>
      </c>
      <c r="E4701" s="3">
        <v>214.12</v>
      </c>
      <c r="F4701">
        <v>20160212</v>
      </c>
      <c r="G4701" t="s">
        <v>3127</v>
      </c>
      <c r="H4701" t="s">
        <v>4096</v>
      </c>
      <c r="I4701">
        <v>0</v>
      </c>
      <c r="J4701" t="s">
        <v>1709</v>
      </c>
      <c r="K4701" t="s">
        <v>95</v>
      </c>
      <c r="L4701" t="s">
        <v>285</v>
      </c>
      <c r="M4701" t="str">
        <f t="shared" si="329"/>
        <v>02</v>
      </c>
      <c r="N4701" t="s">
        <v>12</v>
      </c>
    </row>
    <row r="4702" spans="1:14" x14ac:dyDescent="0.25">
      <c r="A4702">
        <v>20160212</v>
      </c>
      <c r="B4702" t="str">
        <f>"062352"</f>
        <v>062352</v>
      </c>
      <c r="C4702" t="str">
        <f>"65456"</f>
        <v>65456</v>
      </c>
      <c r="D4702" t="s">
        <v>4097</v>
      </c>
      <c r="E4702" s="3">
        <v>34.630000000000003</v>
      </c>
      <c r="F4702">
        <v>20160212</v>
      </c>
      <c r="G4702" t="s">
        <v>3888</v>
      </c>
      <c r="H4702" t="s">
        <v>4098</v>
      </c>
      <c r="I4702">
        <v>0</v>
      </c>
      <c r="J4702" t="s">
        <v>1709</v>
      </c>
      <c r="K4702" t="s">
        <v>95</v>
      </c>
      <c r="L4702" t="s">
        <v>285</v>
      </c>
      <c r="M4702" t="str">
        <f t="shared" si="329"/>
        <v>02</v>
      </c>
      <c r="N4702" t="s">
        <v>12</v>
      </c>
    </row>
    <row r="4703" spans="1:14" x14ac:dyDescent="0.25">
      <c r="A4703">
        <v>20160212</v>
      </c>
      <c r="B4703" t="str">
        <f>"062356"</f>
        <v>062356</v>
      </c>
      <c r="C4703" t="str">
        <f>"73550"</f>
        <v>73550</v>
      </c>
      <c r="D4703" t="s">
        <v>4099</v>
      </c>
      <c r="E4703" s="3">
        <v>259</v>
      </c>
      <c r="F4703">
        <v>20160212</v>
      </c>
      <c r="G4703" t="s">
        <v>4100</v>
      </c>
      <c r="H4703" t="s">
        <v>3696</v>
      </c>
      <c r="I4703">
        <v>0</v>
      </c>
      <c r="J4703" t="s">
        <v>1709</v>
      </c>
      <c r="K4703" t="s">
        <v>95</v>
      </c>
      <c r="L4703" t="s">
        <v>285</v>
      </c>
      <c r="M4703" t="str">
        <f t="shared" si="329"/>
        <v>02</v>
      </c>
      <c r="N4703" t="s">
        <v>12</v>
      </c>
    </row>
    <row r="4704" spans="1:14" x14ac:dyDescent="0.25">
      <c r="A4704">
        <v>20160212</v>
      </c>
      <c r="B4704" t="str">
        <f>"062356"</f>
        <v>062356</v>
      </c>
      <c r="C4704" t="str">
        <f>"73550"</f>
        <v>73550</v>
      </c>
      <c r="D4704" t="s">
        <v>4099</v>
      </c>
      <c r="E4704" s="3">
        <v>221</v>
      </c>
      <c r="F4704">
        <v>20160212</v>
      </c>
      <c r="G4704" t="s">
        <v>4101</v>
      </c>
      <c r="H4704" t="s">
        <v>3696</v>
      </c>
      <c r="I4704">
        <v>0</v>
      </c>
      <c r="J4704" t="s">
        <v>1709</v>
      </c>
      <c r="K4704" t="s">
        <v>95</v>
      </c>
      <c r="L4704" t="s">
        <v>285</v>
      </c>
      <c r="M4704" t="str">
        <f t="shared" si="329"/>
        <v>02</v>
      </c>
      <c r="N4704" t="s">
        <v>12</v>
      </c>
    </row>
    <row r="4705" spans="1:14" x14ac:dyDescent="0.25">
      <c r="A4705">
        <v>20160212</v>
      </c>
      <c r="B4705" t="str">
        <f>"062357"</f>
        <v>062357</v>
      </c>
      <c r="C4705" t="str">
        <f>"73610"</f>
        <v>73610</v>
      </c>
      <c r="D4705" t="s">
        <v>2578</v>
      </c>
      <c r="E4705" s="3">
        <v>37.24</v>
      </c>
      <c r="F4705">
        <v>20160212</v>
      </c>
      <c r="G4705" t="s">
        <v>1859</v>
      </c>
      <c r="H4705" t="s">
        <v>4102</v>
      </c>
      <c r="I4705">
        <v>0</v>
      </c>
      <c r="J4705" t="s">
        <v>1709</v>
      </c>
      <c r="K4705" t="s">
        <v>1861</v>
      </c>
      <c r="L4705" t="s">
        <v>285</v>
      </c>
      <c r="M4705" t="str">
        <f t="shared" si="329"/>
        <v>02</v>
      </c>
      <c r="N4705" t="s">
        <v>12</v>
      </c>
    </row>
    <row r="4706" spans="1:14" x14ac:dyDescent="0.25">
      <c r="A4706">
        <v>20160212</v>
      </c>
      <c r="B4706" t="str">
        <f>"062359"</f>
        <v>062359</v>
      </c>
      <c r="C4706" t="str">
        <f>"76542"</f>
        <v>76542</v>
      </c>
      <c r="D4706" t="s">
        <v>1764</v>
      </c>
      <c r="E4706" s="3">
        <v>600</v>
      </c>
      <c r="F4706">
        <v>20160212</v>
      </c>
      <c r="G4706" t="s">
        <v>1777</v>
      </c>
      <c r="H4706" t="s">
        <v>4103</v>
      </c>
      <c r="I4706">
        <v>0</v>
      </c>
      <c r="J4706" t="s">
        <v>1709</v>
      </c>
      <c r="K4706" t="s">
        <v>1779</v>
      </c>
      <c r="L4706" t="s">
        <v>285</v>
      </c>
      <c r="M4706" t="str">
        <f t="shared" si="329"/>
        <v>02</v>
      </c>
      <c r="N4706" t="s">
        <v>12</v>
      </c>
    </row>
    <row r="4707" spans="1:14" x14ac:dyDescent="0.25">
      <c r="A4707">
        <v>20160212</v>
      </c>
      <c r="B4707" t="str">
        <f>"062360"</f>
        <v>062360</v>
      </c>
      <c r="C4707" t="str">
        <f>"78726"</f>
        <v>78726</v>
      </c>
      <c r="D4707" t="s">
        <v>2772</v>
      </c>
      <c r="E4707" s="3">
        <v>3698.2</v>
      </c>
      <c r="F4707">
        <v>20160212</v>
      </c>
      <c r="G4707" t="s">
        <v>2773</v>
      </c>
      <c r="H4707" t="s">
        <v>4104</v>
      </c>
      <c r="I4707">
        <v>0</v>
      </c>
      <c r="J4707" t="s">
        <v>1709</v>
      </c>
      <c r="K4707" t="s">
        <v>2252</v>
      </c>
      <c r="L4707" t="s">
        <v>285</v>
      </c>
      <c r="M4707" t="str">
        <f t="shared" si="329"/>
        <v>02</v>
      </c>
      <c r="N4707" t="s">
        <v>12</v>
      </c>
    </row>
    <row r="4708" spans="1:14" x14ac:dyDescent="0.25">
      <c r="A4708">
        <v>20160212</v>
      </c>
      <c r="B4708" t="str">
        <f>"062361"</f>
        <v>062361</v>
      </c>
      <c r="C4708" t="str">
        <f>"79680"</f>
        <v>79680</v>
      </c>
      <c r="D4708" t="s">
        <v>781</v>
      </c>
      <c r="E4708" s="3">
        <v>52.26</v>
      </c>
      <c r="F4708">
        <v>20160212</v>
      </c>
      <c r="G4708" t="s">
        <v>3908</v>
      </c>
      <c r="H4708" t="s">
        <v>4105</v>
      </c>
      <c r="I4708">
        <v>0</v>
      </c>
      <c r="J4708" t="s">
        <v>1709</v>
      </c>
      <c r="K4708" t="s">
        <v>1861</v>
      </c>
      <c r="L4708" t="s">
        <v>285</v>
      </c>
      <c r="M4708" t="str">
        <f t="shared" si="329"/>
        <v>02</v>
      </c>
      <c r="N4708" t="s">
        <v>12</v>
      </c>
    </row>
    <row r="4709" spans="1:14" x14ac:dyDescent="0.25">
      <c r="A4709">
        <v>20160212</v>
      </c>
      <c r="B4709" t="str">
        <f>"062362"</f>
        <v>062362</v>
      </c>
      <c r="C4709" t="str">
        <f>"80500"</f>
        <v>80500</v>
      </c>
      <c r="D4709" t="s">
        <v>2409</v>
      </c>
      <c r="E4709" s="3">
        <v>62.17</v>
      </c>
      <c r="F4709">
        <v>20160212</v>
      </c>
      <c r="G4709" t="s">
        <v>2333</v>
      </c>
      <c r="H4709" t="s">
        <v>4106</v>
      </c>
      <c r="I4709">
        <v>0</v>
      </c>
      <c r="J4709" t="s">
        <v>1709</v>
      </c>
      <c r="K4709" t="s">
        <v>290</v>
      </c>
      <c r="L4709" t="s">
        <v>285</v>
      </c>
      <c r="M4709" t="str">
        <f t="shared" si="329"/>
        <v>02</v>
      </c>
      <c r="N4709" t="s">
        <v>12</v>
      </c>
    </row>
    <row r="4710" spans="1:14" x14ac:dyDescent="0.25">
      <c r="A4710">
        <v>20160212</v>
      </c>
      <c r="B4710" t="str">
        <f>"062362"</f>
        <v>062362</v>
      </c>
      <c r="C4710" t="str">
        <f>"80500"</f>
        <v>80500</v>
      </c>
      <c r="D4710" t="s">
        <v>2409</v>
      </c>
      <c r="E4710" s="3">
        <v>95.99</v>
      </c>
      <c r="F4710">
        <v>20160212</v>
      </c>
      <c r="G4710" t="s">
        <v>2333</v>
      </c>
      <c r="H4710" t="s">
        <v>4106</v>
      </c>
      <c r="I4710">
        <v>0</v>
      </c>
      <c r="J4710" t="s">
        <v>1709</v>
      </c>
      <c r="K4710" t="s">
        <v>290</v>
      </c>
      <c r="L4710" t="s">
        <v>285</v>
      </c>
      <c r="M4710" t="str">
        <f t="shared" si="329"/>
        <v>02</v>
      </c>
      <c r="N4710" t="s">
        <v>12</v>
      </c>
    </row>
    <row r="4711" spans="1:14" x14ac:dyDescent="0.25">
      <c r="A4711">
        <v>20160212</v>
      </c>
      <c r="B4711" t="str">
        <f>"062364"</f>
        <v>062364</v>
      </c>
      <c r="C4711" t="str">
        <f>"82126"</f>
        <v>82126</v>
      </c>
      <c r="D4711" t="s">
        <v>1800</v>
      </c>
      <c r="E4711" s="3">
        <v>670</v>
      </c>
      <c r="F4711">
        <v>20160212</v>
      </c>
      <c r="G4711" t="s">
        <v>3640</v>
      </c>
      <c r="H4711" t="s">
        <v>4107</v>
      </c>
      <c r="I4711">
        <v>0</v>
      </c>
      <c r="J4711" t="s">
        <v>1709</v>
      </c>
      <c r="K4711" t="s">
        <v>95</v>
      </c>
      <c r="L4711" t="s">
        <v>285</v>
      </c>
      <c r="M4711" t="str">
        <f t="shared" si="329"/>
        <v>02</v>
      </c>
      <c r="N4711" t="s">
        <v>12</v>
      </c>
    </row>
    <row r="4712" spans="1:14" x14ac:dyDescent="0.25">
      <c r="A4712">
        <v>20160212</v>
      </c>
      <c r="B4712" t="str">
        <f>"062365"</f>
        <v>062365</v>
      </c>
      <c r="C4712" t="str">
        <f>"82875"</f>
        <v>82875</v>
      </c>
      <c r="D4712" t="s">
        <v>4108</v>
      </c>
      <c r="E4712" s="3">
        <v>500</v>
      </c>
      <c r="F4712">
        <v>20160212</v>
      </c>
      <c r="G4712" t="s">
        <v>2226</v>
      </c>
      <c r="H4712" t="s">
        <v>4109</v>
      </c>
      <c r="I4712">
        <v>0</v>
      </c>
      <c r="J4712" t="s">
        <v>1709</v>
      </c>
      <c r="K4712" t="s">
        <v>33</v>
      </c>
      <c r="L4712" t="s">
        <v>285</v>
      </c>
      <c r="M4712" t="str">
        <f t="shared" si="329"/>
        <v>02</v>
      </c>
      <c r="N4712" t="s">
        <v>12</v>
      </c>
    </row>
    <row r="4713" spans="1:14" x14ac:dyDescent="0.25">
      <c r="A4713">
        <v>20160212</v>
      </c>
      <c r="B4713" t="str">
        <f>"062365"</f>
        <v>062365</v>
      </c>
      <c r="C4713" t="str">
        <f>"82875"</f>
        <v>82875</v>
      </c>
      <c r="D4713" t="s">
        <v>4108</v>
      </c>
      <c r="E4713" s="3">
        <v>500</v>
      </c>
      <c r="F4713">
        <v>20160212</v>
      </c>
      <c r="G4713" t="s">
        <v>2100</v>
      </c>
      <c r="H4713" t="s">
        <v>4109</v>
      </c>
      <c r="I4713">
        <v>0</v>
      </c>
      <c r="J4713" t="s">
        <v>1709</v>
      </c>
      <c r="K4713" t="s">
        <v>33</v>
      </c>
      <c r="L4713" t="s">
        <v>285</v>
      </c>
      <c r="M4713" t="str">
        <f t="shared" ref="M4713:M4746" si="330">"02"</f>
        <v>02</v>
      </c>
      <c r="N4713" t="s">
        <v>12</v>
      </c>
    </row>
    <row r="4714" spans="1:14" x14ac:dyDescent="0.25">
      <c r="A4714">
        <v>20160212</v>
      </c>
      <c r="B4714" t="str">
        <f>"062365"</f>
        <v>062365</v>
      </c>
      <c r="C4714" t="str">
        <f>"82875"</f>
        <v>82875</v>
      </c>
      <c r="D4714" t="s">
        <v>4108</v>
      </c>
      <c r="E4714" s="3">
        <v>1000</v>
      </c>
      <c r="F4714">
        <v>20160212</v>
      </c>
      <c r="G4714" t="s">
        <v>2714</v>
      </c>
      <c r="H4714" t="s">
        <v>4109</v>
      </c>
      <c r="I4714">
        <v>0</v>
      </c>
      <c r="J4714" t="s">
        <v>1709</v>
      </c>
      <c r="K4714" t="s">
        <v>33</v>
      </c>
      <c r="L4714" t="s">
        <v>285</v>
      </c>
      <c r="M4714" t="str">
        <f t="shared" si="330"/>
        <v>02</v>
      </c>
      <c r="N4714" t="s">
        <v>12</v>
      </c>
    </row>
    <row r="4715" spans="1:14" x14ac:dyDescent="0.25">
      <c r="A4715">
        <v>20160219</v>
      </c>
      <c r="B4715" t="str">
        <f>"062370"</f>
        <v>062370</v>
      </c>
      <c r="C4715" t="str">
        <f>"01530"</f>
        <v>01530</v>
      </c>
      <c r="D4715" t="s">
        <v>1943</v>
      </c>
      <c r="E4715" s="3">
        <v>28</v>
      </c>
      <c r="F4715">
        <v>20160217</v>
      </c>
      <c r="G4715" t="s">
        <v>2424</v>
      </c>
      <c r="H4715" t="s">
        <v>4110</v>
      </c>
      <c r="I4715">
        <v>0</v>
      </c>
      <c r="J4715" t="s">
        <v>1709</v>
      </c>
      <c r="K4715" t="s">
        <v>1775</v>
      </c>
      <c r="L4715" t="s">
        <v>285</v>
      </c>
      <c r="M4715" t="str">
        <f t="shared" si="330"/>
        <v>02</v>
      </c>
      <c r="N4715" t="s">
        <v>12</v>
      </c>
    </row>
    <row r="4716" spans="1:14" x14ac:dyDescent="0.25">
      <c r="A4716">
        <v>20160219</v>
      </c>
      <c r="B4716" t="str">
        <f>"062371"</f>
        <v>062371</v>
      </c>
      <c r="C4716" t="str">
        <f>"02230"</f>
        <v>02230</v>
      </c>
      <c r="D4716" t="s">
        <v>1945</v>
      </c>
      <c r="E4716" s="3">
        <v>101.7</v>
      </c>
      <c r="F4716">
        <v>20160218</v>
      </c>
      <c r="G4716" t="s">
        <v>4111</v>
      </c>
      <c r="H4716" t="s">
        <v>4112</v>
      </c>
      <c r="I4716">
        <v>0</v>
      </c>
      <c r="J4716" t="s">
        <v>1709</v>
      </c>
      <c r="K4716" t="s">
        <v>290</v>
      </c>
      <c r="L4716" t="s">
        <v>285</v>
      </c>
      <c r="M4716" t="str">
        <f t="shared" si="330"/>
        <v>02</v>
      </c>
      <c r="N4716" t="s">
        <v>12</v>
      </c>
    </row>
    <row r="4717" spans="1:14" x14ac:dyDescent="0.25">
      <c r="A4717">
        <v>20160219</v>
      </c>
      <c r="B4717" t="str">
        <f>"062371"</f>
        <v>062371</v>
      </c>
      <c r="C4717" t="str">
        <f>"02230"</f>
        <v>02230</v>
      </c>
      <c r="D4717" t="s">
        <v>1945</v>
      </c>
      <c r="E4717" s="3">
        <v>98.08</v>
      </c>
      <c r="F4717">
        <v>20160218</v>
      </c>
      <c r="G4717" t="s">
        <v>2333</v>
      </c>
      <c r="H4717" t="s">
        <v>4113</v>
      </c>
      <c r="I4717">
        <v>0</v>
      </c>
      <c r="J4717" t="s">
        <v>1709</v>
      </c>
      <c r="K4717" t="s">
        <v>290</v>
      </c>
      <c r="L4717" t="s">
        <v>285</v>
      </c>
      <c r="M4717" t="str">
        <f t="shared" si="330"/>
        <v>02</v>
      </c>
      <c r="N4717" t="s">
        <v>12</v>
      </c>
    </row>
    <row r="4718" spans="1:14" x14ac:dyDescent="0.25">
      <c r="A4718">
        <v>20160219</v>
      </c>
      <c r="B4718" t="str">
        <f>"062371"</f>
        <v>062371</v>
      </c>
      <c r="C4718" t="str">
        <f>"02230"</f>
        <v>02230</v>
      </c>
      <c r="D4718" t="s">
        <v>1945</v>
      </c>
      <c r="E4718" s="3">
        <v>125.66</v>
      </c>
      <c r="F4718">
        <v>20160218</v>
      </c>
      <c r="G4718" t="s">
        <v>2333</v>
      </c>
      <c r="H4718" t="s">
        <v>3336</v>
      </c>
      <c r="I4718">
        <v>0</v>
      </c>
      <c r="J4718" t="s">
        <v>1709</v>
      </c>
      <c r="K4718" t="s">
        <v>290</v>
      </c>
      <c r="L4718" t="s">
        <v>285</v>
      </c>
      <c r="M4718" t="str">
        <f t="shared" si="330"/>
        <v>02</v>
      </c>
      <c r="N4718" t="s">
        <v>12</v>
      </c>
    </row>
    <row r="4719" spans="1:14" x14ac:dyDescent="0.25">
      <c r="A4719">
        <v>20160219</v>
      </c>
      <c r="B4719" t="str">
        <f>"062376"</f>
        <v>062376</v>
      </c>
      <c r="C4719" t="str">
        <f>"06776"</f>
        <v>06776</v>
      </c>
      <c r="D4719" t="s">
        <v>2619</v>
      </c>
      <c r="E4719" s="3">
        <v>111</v>
      </c>
      <c r="F4719">
        <v>20160217</v>
      </c>
      <c r="G4719" t="s">
        <v>1712</v>
      </c>
      <c r="H4719" t="s">
        <v>4114</v>
      </c>
      <c r="I4719">
        <v>0</v>
      </c>
      <c r="J4719" t="s">
        <v>1709</v>
      </c>
      <c r="K4719" t="s">
        <v>290</v>
      </c>
      <c r="L4719" t="s">
        <v>285</v>
      </c>
      <c r="M4719" t="str">
        <f t="shared" si="330"/>
        <v>02</v>
      </c>
      <c r="N4719" t="s">
        <v>12</v>
      </c>
    </row>
    <row r="4720" spans="1:14" x14ac:dyDescent="0.25">
      <c r="A4720">
        <v>20160219</v>
      </c>
      <c r="B4720" t="str">
        <f>"062377"</f>
        <v>062377</v>
      </c>
      <c r="C4720" t="str">
        <f>"07699"</f>
        <v>07699</v>
      </c>
      <c r="D4720" t="s">
        <v>2822</v>
      </c>
      <c r="E4720" s="3">
        <v>116.09</v>
      </c>
      <c r="F4720">
        <v>20160217</v>
      </c>
      <c r="G4720" t="s">
        <v>2339</v>
      </c>
      <c r="H4720" t="s">
        <v>3719</v>
      </c>
      <c r="I4720">
        <v>0</v>
      </c>
      <c r="J4720" t="s">
        <v>1709</v>
      </c>
      <c r="K4720" t="s">
        <v>290</v>
      </c>
      <c r="L4720" t="s">
        <v>285</v>
      </c>
      <c r="M4720" t="str">
        <f t="shared" si="330"/>
        <v>02</v>
      </c>
      <c r="N4720" t="s">
        <v>12</v>
      </c>
    </row>
    <row r="4721" spans="1:14" x14ac:dyDescent="0.25">
      <c r="A4721">
        <v>20160219</v>
      </c>
      <c r="B4721" t="str">
        <f>"062377"</f>
        <v>062377</v>
      </c>
      <c r="C4721" t="str">
        <f>"07699"</f>
        <v>07699</v>
      </c>
      <c r="D4721" t="s">
        <v>2822</v>
      </c>
      <c r="E4721" s="3">
        <v>102.23</v>
      </c>
      <c r="F4721">
        <v>20160217</v>
      </c>
      <c r="G4721" t="s">
        <v>3540</v>
      </c>
      <c r="H4721" t="s">
        <v>3189</v>
      </c>
      <c r="I4721">
        <v>0</v>
      </c>
      <c r="J4721" t="s">
        <v>1709</v>
      </c>
      <c r="K4721" t="s">
        <v>2724</v>
      </c>
      <c r="L4721" t="s">
        <v>285</v>
      </c>
      <c r="M4721" t="str">
        <f t="shared" si="330"/>
        <v>02</v>
      </c>
      <c r="N4721" t="s">
        <v>12</v>
      </c>
    </row>
    <row r="4722" spans="1:14" x14ac:dyDescent="0.25">
      <c r="A4722">
        <v>20160219</v>
      </c>
      <c r="B4722" t="str">
        <f>"062378"</f>
        <v>062378</v>
      </c>
      <c r="C4722" t="str">
        <f>"08196"</f>
        <v>08196</v>
      </c>
      <c r="D4722" t="s">
        <v>2438</v>
      </c>
      <c r="E4722" s="3">
        <v>82.53</v>
      </c>
      <c r="F4722">
        <v>20160217</v>
      </c>
      <c r="G4722" t="s">
        <v>2422</v>
      </c>
      <c r="H4722" t="s">
        <v>4115</v>
      </c>
      <c r="I4722">
        <v>0</v>
      </c>
      <c r="J4722" t="s">
        <v>1709</v>
      </c>
      <c r="K4722" t="s">
        <v>290</v>
      </c>
      <c r="L4722" t="s">
        <v>285</v>
      </c>
      <c r="M4722" t="str">
        <f t="shared" si="330"/>
        <v>02</v>
      </c>
      <c r="N4722" t="s">
        <v>12</v>
      </c>
    </row>
    <row r="4723" spans="1:14" x14ac:dyDescent="0.25">
      <c r="A4723">
        <v>20160219</v>
      </c>
      <c r="B4723" t="str">
        <f>"062378"</f>
        <v>062378</v>
      </c>
      <c r="C4723" t="str">
        <f>"08196"</f>
        <v>08196</v>
      </c>
      <c r="D4723" t="s">
        <v>2438</v>
      </c>
      <c r="E4723" s="3">
        <v>85.06</v>
      </c>
      <c r="F4723">
        <v>20160217</v>
      </c>
      <c r="G4723" t="s">
        <v>2422</v>
      </c>
      <c r="H4723" t="s">
        <v>2423</v>
      </c>
      <c r="I4723">
        <v>0</v>
      </c>
      <c r="J4723" t="s">
        <v>1709</v>
      </c>
      <c r="K4723" t="s">
        <v>290</v>
      </c>
      <c r="L4723" t="s">
        <v>285</v>
      </c>
      <c r="M4723" t="str">
        <f t="shared" si="330"/>
        <v>02</v>
      </c>
      <c r="N4723" t="s">
        <v>12</v>
      </c>
    </row>
    <row r="4724" spans="1:14" x14ac:dyDescent="0.25">
      <c r="A4724">
        <v>20160219</v>
      </c>
      <c r="B4724" t="str">
        <f>"062378"</f>
        <v>062378</v>
      </c>
      <c r="C4724" t="str">
        <f>"08196"</f>
        <v>08196</v>
      </c>
      <c r="D4724" t="s">
        <v>2438</v>
      </c>
      <c r="E4724" s="3">
        <v>68.959999999999994</v>
      </c>
      <c r="F4724">
        <v>20160217</v>
      </c>
      <c r="G4724" t="s">
        <v>2422</v>
      </c>
      <c r="H4724" t="s">
        <v>4116</v>
      </c>
      <c r="I4724">
        <v>0</v>
      </c>
      <c r="J4724" t="s">
        <v>1709</v>
      </c>
      <c r="K4724" t="s">
        <v>290</v>
      </c>
      <c r="L4724" t="s">
        <v>285</v>
      </c>
      <c r="M4724" t="str">
        <f t="shared" si="330"/>
        <v>02</v>
      </c>
      <c r="N4724" t="s">
        <v>12</v>
      </c>
    </row>
    <row r="4725" spans="1:14" x14ac:dyDescent="0.25">
      <c r="A4725">
        <v>20160219</v>
      </c>
      <c r="B4725" t="str">
        <f>"062385"</f>
        <v>062385</v>
      </c>
      <c r="C4725" t="str">
        <f>"11168"</f>
        <v>11168</v>
      </c>
      <c r="D4725" t="s">
        <v>4117</v>
      </c>
      <c r="E4725" s="3">
        <v>86.11</v>
      </c>
      <c r="F4725">
        <v>20160217</v>
      </c>
      <c r="G4725" t="s">
        <v>2025</v>
      </c>
      <c r="H4725" t="s">
        <v>2026</v>
      </c>
      <c r="I4725">
        <v>0</v>
      </c>
      <c r="J4725" t="s">
        <v>1709</v>
      </c>
      <c r="K4725" t="s">
        <v>1984</v>
      </c>
      <c r="L4725" t="s">
        <v>285</v>
      </c>
      <c r="M4725" t="str">
        <f t="shared" si="330"/>
        <v>02</v>
      </c>
      <c r="N4725" t="s">
        <v>12</v>
      </c>
    </row>
    <row r="4726" spans="1:14" x14ac:dyDescent="0.25">
      <c r="A4726">
        <v>20160219</v>
      </c>
      <c r="B4726" t="str">
        <f>"062386"</f>
        <v>062386</v>
      </c>
      <c r="C4726" t="str">
        <f>"11210"</f>
        <v>11210</v>
      </c>
      <c r="D4726" t="s">
        <v>3030</v>
      </c>
      <c r="E4726" s="3">
        <v>430.35</v>
      </c>
      <c r="F4726">
        <v>20160217</v>
      </c>
      <c r="G4726" t="s">
        <v>3031</v>
      </c>
      <c r="H4726" t="s">
        <v>1618</v>
      </c>
      <c r="I4726">
        <v>0</v>
      </c>
      <c r="J4726" t="s">
        <v>1709</v>
      </c>
      <c r="K4726" t="s">
        <v>290</v>
      </c>
      <c r="L4726" t="s">
        <v>285</v>
      </c>
      <c r="M4726" t="str">
        <f t="shared" si="330"/>
        <v>02</v>
      </c>
      <c r="N4726" t="s">
        <v>12</v>
      </c>
    </row>
    <row r="4727" spans="1:14" x14ac:dyDescent="0.25">
      <c r="A4727">
        <v>20160219</v>
      </c>
      <c r="B4727" t="str">
        <f>"062389"</f>
        <v>062389</v>
      </c>
      <c r="C4727" t="str">
        <f>"13880"</f>
        <v>13880</v>
      </c>
      <c r="D4727" t="s">
        <v>4118</v>
      </c>
      <c r="E4727" s="3">
        <v>283.2</v>
      </c>
      <c r="F4727">
        <v>20160217</v>
      </c>
      <c r="G4727" t="s">
        <v>2025</v>
      </c>
      <c r="H4727" t="s">
        <v>2026</v>
      </c>
      <c r="I4727">
        <v>0</v>
      </c>
      <c r="J4727" t="s">
        <v>1709</v>
      </c>
      <c r="K4727" t="s">
        <v>1984</v>
      </c>
      <c r="L4727" t="s">
        <v>285</v>
      </c>
      <c r="M4727" t="str">
        <f t="shared" si="330"/>
        <v>02</v>
      </c>
      <c r="N4727" t="s">
        <v>12</v>
      </c>
    </row>
    <row r="4728" spans="1:14" x14ac:dyDescent="0.25">
      <c r="A4728">
        <v>20160219</v>
      </c>
      <c r="B4728" t="str">
        <f>"062390"</f>
        <v>062390</v>
      </c>
      <c r="C4728" t="str">
        <f>"14132"</f>
        <v>14132</v>
      </c>
      <c r="D4728" t="s">
        <v>4119</v>
      </c>
      <c r="E4728" s="3">
        <v>840</v>
      </c>
      <c r="F4728">
        <v>20160217</v>
      </c>
      <c r="G4728" t="s">
        <v>3528</v>
      </c>
      <c r="H4728" t="s">
        <v>4120</v>
      </c>
      <c r="I4728">
        <v>0</v>
      </c>
      <c r="J4728" t="s">
        <v>1709</v>
      </c>
      <c r="K4728" t="s">
        <v>290</v>
      </c>
      <c r="L4728" t="s">
        <v>285</v>
      </c>
      <c r="M4728" t="str">
        <f t="shared" si="330"/>
        <v>02</v>
      </c>
      <c r="N4728" t="s">
        <v>12</v>
      </c>
    </row>
    <row r="4729" spans="1:14" x14ac:dyDescent="0.25">
      <c r="A4729">
        <v>20160219</v>
      </c>
      <c r="B4729" t="str">
        <f>"062390"</f>
        <v>062390</v>
      </c>
      <c r="C4729" t="str">
        <f>"14132"</f>
        <v>14132</v>
      </c>
      <c r="D4729" t="s">
        <v>4119</v>
      </c>
      <c r="E4729" s="3">
        <v>770</v>
      </c>
      <c r="F4729">
        <v>20160217</v>
      </c>
      <c r="G4729" t="s">
        <v>3528</v>
      </c>
      <c r="H4729" t="s">
        <v>4120</v>
      </c>
      <c r="I4729">
        <v>0</v>
      </c>
      <c r="J4729" t="s">
        <v>1709</v>
      </c>
      <c r="K4729" t="s">
        <v>290</v>
      </c>
      <c r="L4729" t="s">
        <v>285</v>
      </c>
      <c r="M4729" t="str">
        <f t="shared" si="330"/>
        <v>02</v>
      </c>
      <c r="N4729" t="s">
        <v>12</v>
      </c>
    </row>
    <row r="4730" spans="1:14" x14ac:dyDescent="0.25">
      <c r="A4730">
        <v>20160219</v>
      </c>
      <c r="B4730" t="str">
        <f>"062390"</f>
        <v>062390</v>
      </c>
      <c r="C4730" t="str">
        <f>"14132"</f>
        <v>14132</v>
      </c>
      <c r="D4730" t="s">
        <v>4119</v>
      </c>
      <c r="E4730" s="3">
        <v>560</v>
      </c>
      <c r="F4730">
        <v>20160217</v>
      </c>
      <c r="G4730" t="s">
        <v>3528</v>
      </c>
      <c r="H4730" t="s">
        <v>4120</v>
      </c>
      <c r="I4730">
        <v>0</v>
      </c>
      <c r="J4730" t="s">
        <v>1709</v>
      </c>
      <c r="K4730" t="s">
        <v>290</v>
      </c>
      <c r="L4730" t="s">
        <v>285</v>
      </c>
      <c r="M4730" t="str">
        <f t="shared" si="330"/>
        <v>02</v>
      </c>
      <c r="N4730" t="s">
        <v>12</v>
      </c>
    </row>
    <row r="4731" spans="1:14" x14ac:dyDescent="0.25">
      <c r="A4731">
        <v>20160219</v>
      </c>
      <c r="B4731" t="str">
        <f>"062390"</f>
        <v>062390</v>
      </c>
      <c r="C4731" t="str">
        <f>"14132"</f>
        <v>14132</v>
      </c>
      <c r="D4731" t="s">
        <v>4119</v>
      </c>
      <c r="E4731" s="3">
        <v>140</v>
      </c>
      <c r="F4731">
        <v>20160217</v>
      </c>
      <c r="G4731" t="s">
        <v>4121</v>
      </c>
      <c r="H4731" t="s">
        <v>4120</v>
      </c>
      <c r="I4731">
        <v>0</v>
      </c>
      <c r="J4731" t="s">
        <v>1709</v>
      </c>
      <c r="K4731" t="s">
        <v>290</v>
      </c>
      <c r="L4731" t="s">
        <v>285</v>
      </c>
      <c r="M4731" t="str">
        <f t="shared" si="330"/>
        <v>02</v>
      </c>
      <c r="N4731" t="s">
        <v>12</v>
      </c>
    </row>
    <row r="4732" spans="1:14" x14ac:dyDescent="0.25">
      <c r="A4732">
        <v>20160219</v>
      </c>
      <c r="B4732" t="str">
        <f>"062390"</f>
        <v>062390</v>
      </c>
      <c r="C4732" t="str">
        <f>"14132"</f>
        <v>14132</v>
      </c>
      <c r="D4732" t="s">
        <v>4119</v>
      </c>
      <c r="E4732" s="3">
        <v>70</v>
      </c>
      <c r="F4732">
        <v>20160217</v>
      </c>
      <c r="G4732" t="s">
        <v>4121</v>
      </c>
      <c r="H4732" t="s">
        <v>4120</v>
      </c>
      <c r="I4732">
        <v>0</v>
      </c>
      <c r="J4732" t="s">
        <v>1709</v>
      </c>
      <c r="K4732" t="s">
        <v>290</v>
      </c>
      <c r="L4732" t="s">
        <v>285</v>
      </c>
      <c r="M4732" t="str">
        <f t="shared" si="330"/>
        <v>02</v>
      </c>
      <c r="N4732" t="s">
        <v>12</v>
      </c>
    </row>
    <row r="4733" spans="1:14" x14ac:dyDescent="0.25">
      <c r="A4733">
        <v>20160219</v>
      </c>
      <c r="B4733" t="str">
        <f>"062392"</f>
        <v>062392</v>
      </c>
      <c r="C4733" t="str">
        <f>"19140"</f>
        <v>19140</v>
      </c>
      <c r="D4733" t="s">
        <v>4122</v>
      </c>
      <c r="E4733" s="3">
        <v>686383</v>
      </c>
      <c r="F4733">
        <v>20160217</v>
      </c>
      <c r="G4733" t="s">
        <v>4123</v>
      </c>
      <c r="H4733" t="s">
        <v>4124</v>
      </c>
      <c r="I4733">
        <v>0</v>
      </c>
      <c r="J4733" t="s">
        <v>1709</v>
      </c>
      <c r="K4733" t="s">
        <v>235</v>
      </c>
      <c r="L4733" t="s">
        <v>285</v>
      </c>
      <c r="M4733" t="str">
        <f t="shared" si="330"/>
        <v>02</v>
      </c>
      <c r="N4733" t="s">
        <v>12</v>
      </c>
    </row>
    <row r="4734" spans="1:14" x14ac:dyDescent="0.25">
      <c r="A4734">
        <v>20160219</v>
      </c>
      <c r="B4734" t="str">
        <f>"062394"</f>
        <v>062394</v>
      </c>
      <c r="C4734" t="str">
        <f>"74150"</f>
        <v>74150</v>
      </c>
      <c r="D4734" t="s">
        <v>3047</v>
      </c>
      <c r="E4734" s="3">
        <v>200.43</v>
      </c>
      <c r="F4734">
        <v>20160217</v>
      </c>
      <c r="G4734" t="s">
        <v>2192</v>
      </c>
      <c r="H4734" t="s">
        <v>4125</v>
      </c>
      <c r="I4734">
        <v>0</v>
      </c>
      <c r="J4734" t="s">
        <v>1709</v>
      </c>
      <c r="K4734" t="s">
        <v>2194</v>
      </c>
      <c r="L4734" t="s">
        <v>285</v>
      </c>
      <c r="M4734" t="str">
        <f t="shared" si="330"/>
        <v>02</v>
      </c>
      <c r="N4734" t="s">
        <v>12</v>
      </c>
    </row>
    <row r="4735" spans="1:14" x14ac:dyDescent="0.25">
      <c r="A4735">
        <v>20160219</v>
      </c>
      <c r="B4735" t="str">
        <f>"062396"</f>
        <v>062396</v>
      </c>
      <c r="C4735" t="str">
        <f>"51349"</f>
        <v>51349</v>
      </c>
      <c r="D4735" t="s">
        <v>640</v>
      </c>
      <c r="E4735" s="3">
        <v>56</v>
      </c>
      <c r="F4735">
        <v>20160217</v>
      </c>
      <c r="G4735" t="s">
        <v>2547</v>
      </c>
      <c r="H4735" t="s">
        <v>4126</v>
      </c>
      <c r="I4735">
        <v>0</v>
      </c>
      <c r="J4735" t="s">
        <v>1709</v>
      </c>
      <c r="K4735" t="s">
        <v>1643</v>
      </c>
      <c r="L4735" t="s">
        <v>285</v>
      </c>
      <c r="M4735" t="str">
        <f t="shared" si="330"/>
        <v>02</v>
      </c>
      <c r="N4735" t="s">
        <v>12</v>
      </c>
    </row>
    <row r="4736" spans="1:14" x14ac:dyDescent="0.25">
      <c r="A4736">
        <v>20160219</v>
      </c>
      <c r="B4736" t="str">
        <f>"062397"</f>
        <v>062397</v>
      </c>
      <c r="C4736" t="str">
        <f>"20695"</f>
        <v>20695</v>
      </c>
      <c r="D4736" t="s">
        <v>4127</v>
      </c>
      <c r="E4736" s="3">
        <v>850</v>
      </c>
      <c r="F4736">
        <v>20160217</v>
      </c>
      <c r="G4736" t="s">
        <v>4005</v>
      </c>
      <c r="H4736" t="s">
        <v>4128</v>
      </c>
      <c r="I4736">
        <v>0</v>
      </c>
      <c r="J4736" t="s">
        <v>1709</v>
      </c>
      <c r="K4736" t="s">
        <v>290</v>
      </c>
      <c r="L4736" t="s">
        <v>285</v>
      </c>
      <c r="M4736" t="str">
        <f t="shared" si="330"/>
        <v>02</v>
      </c>
      <c r="N4736" t="s">
        <v>12</v>
      </c>
    </row>
    <row r="4737" spans="1:14" x14ac:dyDescent="0.25">
      <c r="A4737">
        <v>20160219</v>
      </c>
      <c r="B4737" t="str">
        <f>"062398"</f>
        <v>062398</v>
      </c>
      <c r="C4737" t="str">
        <f>"21084"</f>
        <v>21084</v>
      </c>
      <c r="D4737" t="s">
        <v>1962</v>
      </c>
      <c r="E4737" s="3">
        <v>48.1</v>
      </c>
      <c r="F4737">
        <v>20160217</v>
      </c>
      <c r="G4737" t="s">
        <v>1712</v>
      </c>
      <c r="H4737" t="s">
        <v>4114</v>
      </c>
      <c r="I4737">
        <v>0</v>
      </c>
      <c r="J4737" t="s">
        <v>1709</v>
      </c>
      <c r="K4737" t="s">
        <v>290</v>
      </c>
      <c r="L4737" t="s">
        <v>285</v>
      </c>
      <c r="M4737" t="str">
        <f t="shared" si="330"/>
        <v>02</v>
      </c>
      <c r="N4737" t="s">
        <v>12</v>
      </c>
    </row>
    <row r="4738" spans="1:14" x14ac:dyDescent="0.25">
      <c r="A4738">
        <v>20160219</v>
      </c>
      <c r="B4738" t="str">
        <f>"062399"</f>
        <v>062399</v>
      </c>
      <c r="C4738" t="str">
        <f>"21145"</f>
        <v>21145</v>
      </c>
      <c r="D4738" t="s">
        <v>3777</v>
      </c>
      <c r="E4738" s="3">
        <v>90</v>
      </c>
      <c r="F4738">
        <v>20160217</v>
      </c>
      <c r="G4738" t="s">
        <v>2888</v>
      </c>
      <c r="H4738" t="s">
        <v>4129</v>
      </c>
      <c r="I4738">
        <v>0</v>
      </c>
      <c r="J4738" t="s">
        <v>1709</v>
      </c>
      <c r="K4738" t="s">
        <v>290</v>
      </c>
      <c r="L4738" t="s">
        <v>285</v>
      </c>
      <c r="M4738" t="str">
        <f t="shared" si="330"/>
        <v>02</v>
      </c>
      <c r="N4738" t="s">
        <v>12</v>
      </c>
    </row>
    <row r="4739" spans="1:14" x14ac:dyDescent="0.25">
      <c r="A4739">
        <v>20160219</v>
      </c>
      <c r="B4739" t="str">
        <f>"062400"</f>
        <v>062400</v>
      </c>
      <c r="C4739" t="str">
        <f>"21145"</f>
        <v>21145</v>
      </c>
      <c r="D4739" t="s">
        <v>3777</v>
      </c>
      <c r="E4739" s="3">
        <v>15</v>
      </c>
      <c r="F4739">
        <v>20160217</v>
      </c>
      <c r="G4739" t="s">
        <v>2888</v>
      </c>
      <c r="H4739" t="s">
        <v>3775</v>
      </c>
      <c r="I4739">
        <v>0</v>
      </c>
      <c r="J4739" t="s">
        <v>1709</v>
      </c>
      <c r="K4739" t="s">
        <v>290</v>
      </c>
      <c r="L4739" t="s">
        <v>285</v>
      </c>
      <c r="M4739" t="str">
        <f t="shared" si="330"/>
        <v>02</v>
      </c>
      <c r="N4739" t="s">
        <v>12</v>
      </c>
    </row>
    <row r="4740" spans="1:14" x14ac:dyDescent="0.25">
      <c r="A4740">
        <v>20160219</v>
      </c>
      <c r="B4740" t="str">
        <f>"062402"</f>
        <v>062402</v>
      </c>
      <c r="C4740" t="str">
        <f>"21283"</f>
        <v>21283</v>
      </c>
      <c r="D4740" t="s">
        <v>4130</v>
      </c>
      <c r="E4740" s="3">
        <v>1995</v>
      </c>
      <c r="F4740">
        <v>20160217</v>
      </c>
      <c r="G4740" t="s">
        <v>2133</v>
      </c>
      <c r="H4740" t="s">
        <v>4131</v>
      </c>
      <c r="I4740">
        <v>0</v>
      </c>
      <c r="J4740" t="s">
        <v>1709</v>
      </c>
      <c r="K4740" t="s">
        <v>290</v>
      </c>
      <c r="L4740" t="s">
        <v>285</v>
      </c>
      <c r="M4740" t="str">
        <f t="shared" si="330"/>
        <v>02</v>
      </c>
      <c r="N4740" t="s">
        <v>12</v>
      </c>
    </row>
    <row r="4741" spans="1:14" x14ac:dyDescent="0.25">
      <c r="A4741">
        <v>20160219</v>
      </c>
      <c r="B4741" t="str">
        <f>"062405"</f>
        <v>062405</v>
      </c>
      <c r="C4741" t="str">
        <f>"21769"</f>
        <v>21769</v>
      </c>
      <c r="D4741" t="s">
        <v>1836</v>
      </c>
      <c r="E4741" s="3">
        <v>768.5</v>
      </c>
      <c r="F4741">
        <v>20160217</v>
      </c>
      <c r="G4741" t="s">
        <v>2192</v>
      </c>
      <c r="H4741" t="s">
        <v>4132</v>
      </c>
      <c r="I4741">
        <v>0</v>
      </c>
      <c r="J4741" t="s">
        <v>1709</v>
      </c>
      <c r="K4741" t="s">
        <v>2194</v>
      </c>
      <c r="L4741" t="s">
        <v>285</v>
      </c>
      <c r="M4741" t="str">
        <f t="shared" si="330"/>
        <v>02</v>
      </c>
      <c r="N4741" t="s">
        <v>12</v>
      </c>
    </row>
    <row r="4742" spans="1:14" x14ac:dyDescent="0.25">
      <c r="A4742">
        <v>20160219</v>
      </c>
      <c r="B4742" t="str">
        <f>"062406"</f>
        <v>062406</v>
      </c>
      <c r="C4742" t="str">
        <f>"24207"</f>
        <v>24207</v>
      </c>
      <c r="D4742" t="s">
        <v>1656</v>
      </c>
      <c r="E4742" s="3">
        <v>1500</v>
      </c>
      <c r="F4742">
        <v>20160217</v>
      </c>
      <c r="G4742" t="s">
        <v>4133</v>
      </c>
      <c r="H4742" t="s">
        <v>4134</v>
      </c>
      <c r="I4742">
        <v>0</v>
      </c>
      <c r="J4742" t="s">
        <v>1709</v>
      </c>
      <c r="K4742" t="s">
        <v>95</v>
      </c>
      <c r="L4742" t="s">
        <v>285</v>
      </c>
      <c r="M4742" t="str">
        <f t="shared" si="330"/>
        <v>02</v>
      </c>
      <c r="N4742" t="s">
        <v>12</v>
      </c>
    </row>
    <row r="4743" spans="1:14" x14ac:dyDescent="0.25">
      <c r="A4743">
        <v>20160219</v>
      </c>
      <c r="B4743" t="str">
        <f>"062407"</f>
        <v>062407</v>
      </c>
      <c r="C4743" t="str">
        <f>"24510"</f>
        <v>24510</v>
      </c>
      <c r="D4743" t="s">
        <v>4135</v>
      </c>
      <c r="E4743" s="3">
        <v>267</v>
      </c>
      <c r="F4743">
        <v>20160217</v>
      </c>
      <c r="G4743" t="s">
        <v>3133</v>
      </c>
      <c r="H4743" t="s">
        <v>4136</v>
      </c>
      <c r="I4743">
        <v>0</v>
      </c>
      <c r="J4743" t="s">
        <v>1709</v>
      </c>
      <c r="K4743" t="s">
        <v>290</v>
      </c>
      <c r="L4743" t="s">
        <v>285</v>
      </c>
      <c r="M4743" t="str">
        <f t="shared" si="330"/>
        <v>02</v>
      </c>
      <c r="N4743" t="s">
        <v>12</v>
      </c>
    </row>
    <row r="4744" spans="1:14" x14ac:dyDescent="0.25">
      <c r="A4744">
        <v>20160219</v>
      </c>
      <c r="B4744" t="str">
        <f>"062407"</f>
        <v>062407</v>
      </c>
      <c r="C4744" t="str">
        <f>"24510"</f>
        <v>24510</v>
      </c>
      <c r="D4744" t="s">
        <v>4135</v>
      </c>
      <c r="E4744" s="3">
        <v>2000</v>
      </c>
      <c r="F4744">
        <v>20160217</v>
      </c>
      <c r="G4744" t="s">
        <v>4137</v>
      </c>
      <c r="H4744" t="s">
        <v>4136</v>
      </c>
      <c r="I4744">
        <v>0</v>
      </c>
      <c r="J4744" t="s">
        <v>1709</v>
      </c>
      <c r="K4744" t="s">
        <v>290</v>
      </c>
      <c r="L4744" t="s">
        <v>285</v>
      </c>
      <c r="M4744" t="str">
        <f t="shared" si="330"/>
        <v>02</v>
      </c>
      <c r="N4744" t="s">
        <v>12</v>
      </c>
    </row>
    <row r="4745" spans="1:14" x14ac:dyDescent="0.25">
      <c r="A4745">
        <v>20160219</v>
      </c>
      <c r="B4745" t="str">
        <f>"062408"</f>
        <v>062408</v>
      </c>
      <c r="C4745" t="str">
        <f>"24960"</f>
        <v>24960</v>
      </c>
      <c r="D4745" t="s">
        <v>39</v>
      </c>
      <c r="E4745" s="3">
        <v>546</v>
      </c>
      <c r="F4745">
        <v>20160217</v>
      </c>
      <c r="G4745" t="s">
        <v>1841</v>
      </c>
      <c r="H4745" t="s">
        <v>4138</v>
      </c>
      <c r="I4745">
        <v>0</v>
      </c>
      <c r="J4745" t="s">
        <v>1709</v>
      </c>
      <c r="K4745" t="s">
        <v>1775</v>
      </c>
      <c r="L4745" t="s">
        <v>285</v>
      </c>
      <c r="M4745" t="str">
        <f t="shared" si="330"/>
        <v>02</v>
      </c>
      <c r="N4745" t="s">
        <v>12</v>
      </c>
    </row>
    <row r="4746" spans="1:14" x14ac:dyDescent="0.25">
      <c r="A4746">
        <v>20160219</v>
      </c>
      <c r="B4746" t="str">
        <f>"062411"</f>
        <v>062411</v>
      </c>
      <c r="C4746" t="str">
        <f>"25460"</f>
        <v>25460</v>
      </c>
      <c r="D4746" t="s">
        <v>4139</v>
      </c>
      <c r="E4746" s="3">
        <v>60</v>
      </c>
      <c r="F4746">
        <v>20160218</v>
      </c>
      <c r="G4746" t="s">
        <v>2888</v>
      </c>
      <c r="H4746" t="s">
        <v>4140</v>
      </c>
      <c r="I4746">
        <v>0</v>
      </c>
      <c r="J4746" t="s">
        <v>1709</v>
      </c>
      <c r="K4746" t="s">
        <v>290</v>
      </c>
      <c r="L4746" t="s">
        <v>285</v>
      </c>
      <c r="M4746" t="str">
        <f t="shared" si="330"/>
        <v>02</v>
      </c>
      <c r="N4746" t="s">
        <v>12</v>
      </c>
    </row>
    <row r="4747" spans="1:14" x14ac:dyDescent="0.25">
      <c r="A4747">
        <v>20160219</v>
      </c>
      <c r="B4747" t="str">
        <f>"062411"</f>
        <v>062411</v>
      </c>
      <c r="C4747" t="str">
        <f>"25460"</f>
        <v>25460</v>
      </c>
      <c r="D4747" t="s">
        <v>4139</v>
      </c>
      <c r="E4747" s="3">
        <v>-60</v>
      </c>
      <c r="F4747">
        <v>20160317</v>
      </c>
      <c r="G4747" t="s">
        <v>2888</v>
      </c>
      <c r="H4747" t="s">
        <v>1746</v>
      </c>
      <c r="I4747">
        <v>0</v>
      </c>
      <c r="J4747" t="s">
        <v>1709</v>
      </c>
      <c r="K4747" t="s">
        <v>290</v>
      </c>
      <c r="L4747" t="s">
        <v>17</v>
      </c>
      <c r="M4747" t="str">
        <f>"03"</f>
        <v>03</v>
      </c>
      <c r="N4747" t="s">
        <v>12</v>
      </c>
    </row>
    <row r="4748" spans="1:14" x14ac:dyDescent="0.25">
      <c r="A4748">
        <v>20160219</v>
      </c>
      <c r="B4748" t="str">
        <f>"062412"</f>
        <v>062412</v>
      </c>
      <c r="C4748" t="str">
        <f>"27900"</f>
        <v>27900</v>
      </c>
      <c r="D4748" t="s">
        <v>1596</v>
      </c>
      <c r="E4748" s="3">
        <v>2744.33</v>
      </c>
      <c r="F4748">
        <v>20160217</v>
      </c>
      <c r="G4748" t="s">
        <v>2083</v>
      </c>
      <c r="H4748" t="s">
        <v>4141</v>
      </c>
      <c r="I4748">
        <v>0</v>
      </c>
      <c r="J4748" t="s">
        <v>1709</v>
      </c>
      <c r="K4748" t="s">
        <v>290</v>
      </c>
      <c r="L4748" t="s">
        <v>285</v>
      </c>
      <c r="M4748" t="str">
        <f t="shared" ref="M4748:M4779" si="331">"02"</f>
        <v>02</v>
      </c>
      <c r="N4748" t="s">
        <v>12</v>
      </c>
    </row>
    <row r="4749" spans="1:14" x14ac:dyDescent="0.25">
      <c r="A4749">
        <v>20160219</v>
      </c>
      <c r="B4749" t="str">
        <f>"062412"</f>
        <v>062412</v>
      </c>
      <c r="C4749" t="str">
        <f>"27900"</f>
        <v>27900</v>
      </c>
      <c r="D4749" t="s">
        <v>1596</v>
      </c>
      <c r="E4749" s="3">
        <v>2744.33</v>
      </c>
      <c r="F4749">
        <v>20160217</v>
      </c>
      <c r="G4749" t="s">
        <v>2086</v>
      </c>
      <c r="H4749" t="s">
        <v>4141</v>
      </c>
      <c r="I4749">
        <v>0</v>
      </c>
      <c r="J4749" t="s">
        <v>1709</v>
      </c>
      <c r="K4749" t="s">
        <v>95</v>
      </c>
      <c r="L4749" t="s">
        <v>285</v>
      </c>
      <c r="M4749" t="str">
        <f t="shared" si="331"/>
        <v>02</v>
      </c>
      <c r="N4749" t="s">
        <v>12</v>
      </c>
    </row>
    <row r="4750" spans="1:14" x14ac:dyDescent="0.25">
      <c r="A4750">
        <v>20160219</v>
      </c>
      <c r="B4750" t="str">
        <f>"062412"</f>
        <v>062412</v>
      </c>
      <c r="C4750" t="str">
        <f>"27900"</f>
        <v>27900</v>
      </c>
      <c r="D4750" t="s">
        <v>1596</v>
      </c>
      <c r="E4750" s="3">
        <v>2744.33</v>
      </c>
      <c r="F4750">
        <v>20160217</v>
      </c>
      <c r="G4750" t="s">
        <v>2087</v>
      </c>
      <c r="H4750" t="s">
        <v>4141</v>
      </c>
      <c r="I4750">
        <v>0</v>
      </c>
      <c r="J4750" t="s">
        <v>1709</v>
      </c>
      <c r="K4750" t="s">
        <v>1643</v>
      </c>
      <c r="L4750" t="s">
        <v>285</v>
      </c>
      <c r="M4750" t="str">
        <f t="shared" si="331"/>
        <v>02</v>
      </c>
      <c r="N4750" t="s">
        <v>12</v>
      </c>
    </row>
    <row r="4751" spans="1:14" x14ac:dyDescent="0.25">
      <c r="A4751">
        <v>20160219</v>
      </c>
      <c r="B4751" t="str">
        <f>"062412"</f>
        <v>062412</v>
      </c>
      <c r="C4751" t="str">
        <f>"27900"</f>
        <v>27900</v>
      </c>
      <c r="D4751" t="s">
        <v>1596</v>
      </c>
      <c r="E4751" s="3">
        <v>2744.33</v>
      </c>
      <c r="F4751">
        <v>20160217</v>
      </c>
      <c r="G4751" t="s">
        <v>2088</v>
      </c>
      <c r="H4751" t="s">
        <v>4141</v>
      </c>
      <c r="I4751">
        <v>0</v>
      </c>
      <c r="J4751" t="s">
        <v>1709</v>
      </c>
      <c r="K4751" t="s">
        <v>33</v>
      </c>
      <c r="L4751" t="s">
        <v>285</v>
      </c>
      <c r="M4751" t="str">
        <f t="shared" si="331"/>
        <v>02</v>
      </c>
      <c r="N4751" t="s">
        <v>12</v>
      </c>
    </row>
    <row r="4752" spans="1:14" x14ac:dyDescent="0.25">
      <c r="A4752">
        <v>20160219</v>
      </c>
      <c r="B4752" t="str">
        <f>"062415"</f>
        <v>062415</v>
      </c>
      <c r="C4752" t="str">
        <f>"28733"</f>
        <v>28733</v>
      </c>
      <c r="D4752" t="s">
        <v>4049</v>
      </c>
      <c r="E4752" s="3">
        <v>105.19</v>
      </c>
      <c r="F4752">
        <v>20160217</v>
      </c>
      <c r="G4752" t="s">
        <v>4101</v>
      </c>
      <c r="H4752" t="s">
        <v>3189</v>
      </c>
      <c r="I4752">
        <v>0</v>
      </c>
      <c r="J4752" t="s">
        <v>1709</v>
      </c>
      <c r="K4752" t="s">
        <v>95</v>
      </c>
      <c r="L4752" t="s">
        <v>285</v>
      </c>
      <c r="M4752" t="str">
        <f t="shared" si="331"/>
        <v>02</v>
      </c>
      <c r="N4752" t="s">
        <v>12</v>
      </c>
    </row>
    <row r="4753" spans="1:14" x14ac:dyDescent="0.25">
      <c r="A4753">
        <v>20160219</v>
      </c>
      <c r="B4753" t="str">
        <f>"062416"</f>
        <v>062416</v>
      </c>
      <c r="C4753" t="str">
        <f>"29500"</f>
        <v>29500</v>
      </c>
      <c r="D4753" t="s">
        <v>1698</v>
      </c>
      <c r="E4753" s="3">
        <v>34.99</v>
      </c>
      <c r="F4753">
        <v>20160217</v>
      </c>
      <c r="G4753" t="s">
        <v>1859</v>
      </c>
      <c r="H4753" t="s">
        <v>4142</v>
      </c>
      <c r="I4753">
        <v>0</v>
      </c>
      <c r="J4753" t="s">
        <v>1709</v>
      </c>
      <c r="K4753" t="s">
        <v>1861</v>
      </c>
      <c r="L4753" t="s">
        <v>285</v>
      </c>
      <c r="M4753" t="str">
        <f t="shared" si="331"/>
        <v>02</v>
      </c>
      <c r="N4753" t="s">
        <v>12</v>
      </c>
    </row>
    <row r="4754" spans="1:14" x14ac:dyDescent="0.25">
      <c r="A4754">
        <v>20160219</v>
      </c>
      <c r="B4754" t="str">
        <f>"062416"</f>
        <v>062416</v>
      </c>
      <c r="C4754" t="str">
        <f>"29500"</f>
        <v>29500</v>
      </c>
      <c r="D4754" t="s">
        <v>1698</v>
      </c>
      <c r="E4754" s="3">
        <v>102.2</v>
      </c>
      <c r="F4754">
        <v>20160217</v>
      </c>
      <c r="G4754" t="s">
        <v>1859</v>
      </c>
      <c r="H4754" t="s">
        <v>4143</v>
      </c>
      <c r="I4754">
        <v>0</v>
      </c>
      <c r="J4754" t="s">
        <v>1709</v>
      </c>
      <c r="K4754" t="s">
        <v>1861</v>
      </c>
      <c r="L4754" t="s">
        <v>285</v>
      </c>
      <c r="M4754" t="str">
        <f t="shared" si="331"/>
        <v>02</v>
      </c>
      <c r="N4754" t="s">
        <v>12</v>
      </c>
    </row>
    <row r="4755" spans="1:14" x14ac:dyDescent="0.25">
      <c r="A4755">
        <v>20160219</v>
      </c>
      <c r="B4755" t="str">
        <f>"062416"</f>
        <v>062416</v>
      </c>
      <c r="C4755" t="str">
        <f>"29500"</f>
        <v>29500</v>
      </c>
      <c r="D4755" t="s">
        <v>1698</v>
      </c>
      <c r="E4755" s="3">
        <v>398.2</v>
      </c>
      <c r="F4755">
        <v>20160217</v>
      </c>
      <c r="G4755" t="s">
        <v>1859</v>
      </c>
      <c r="H4755" t="s">
        <v>4144</v>
      </c>
      <c r="I4755">
        <v>0</v>
      </c>
      <c r="J4755" t="s">
        <v>1709</v>
      </c>
      <c r="K4755" t="s">
        <v>1861</v>
      </c>
      <c r="L4755" t="s">
        <v>285</v>
      </c>
      <c r="M4755" t="str">
        <f t="shared" si="331"/>
        <v>02</v>
      </c>
      <c r="N4755" t="s">
        <v>12</v>
      </c>
    </row>
    <row r="4756" spans="1:14" x14ac:dyDescent="0.25">
      <c r="A4756">
        <v>20160219</v>
      </c>
      <c r="B4756" t="str">
        <f>"062417"</f>
        <v>062417</v>
      </c>
      <c r="C4756" t="str">
        <f>"29633"</f>
        <v>29633</v>
      </c>
      <c r="D4756" t="s">
        <v>2107</v>
      </c>
      <c r="E4756" s="3">
        <v>448.8</v>
      </c>
      <c r="F4756">
        <v>20160217</v>
      </c>
      <c r="G4756" t="s">
        <v>1859</v>
      </c>
      <c r="H4756" t="s">
        <v>2295</v>
      </c>
      <c r="I4756">
        <v>0</v>
      </c>
      <c r="J4756" t="s">
        <v>1709</v>
      </c>
      <c r="K4756" t="s">
        <v>1861</v>
      </c>
      <c r="L4756" t="s">
        <v>285</v>
      </c>
      <c r="M4756" t="str">
        <f t="shared" si="331"/>
        <v>02</v>
      </c>
      <c r="N4756" t="s">
        <v>12</v>
      </c>
    </row>
    <row r="4757" spans="1:14" x14ac:dyDescent="0.25">
      <c r="A4757">
        <v>20160219</v>
      </c>
      <c r="B4757" t="str">
        <f>"062419"</f>
        <v>062419</v>
      </c>
      <c r="C4757" t="str">
        <f>"30479"</f>
        <v>30479</v>
      </c>
      <c r="D4757" t="s">
        <v>2663</v>
      </c>
      <c r="E4757" s="3">
        <v>220</v>
      </c>
      <c r="F4757">
        <v>20160217</v>
      </c>
      <c r="G4757" t="s">
        <v>2664</v>
      </c>
      <c r="H4757" t="s">
        <v>4145</v>
      </c>
      <c r="I4757">
        <v>0</v>
      </c>
      <c r="J4757" t="s">
        <v>1709</v>
      </c>
      <c r="K4757" t="s">
        <v>1744</v>
      </c>
      <c r="L4757" t="s">
        <v>285</v>
      </c>
      <c r="M4757" t="str">
        <f t="shared" si="331"/>
        <v>02</v>
      </c>
      <c r="N4757" t="s">
        <v>12</v>
      </c>
    </row>
    <row r="4758" spans="1:14" x14ac:dyDescent="0.25">
      <c r="A4758">
        <v>20160219</v>
      </c>
      <c r="B4758" t="str">
        <f>"062421"</f>
        <v>062421</v>
      </c>
      <c r="C4758" t="str">
        <f>"31284"</f>
        <v>31284</v>
      </c>
      <c r="D4758" t="s">
        <v>1573</v>
      </c>
      <c r="E4758" s="3">
        <v>164.06</v>
      </c>
      <c r="F4758">
        <v>20160217</v>
      </c>
      <c r="G4758" t="s">
        <v>2309</v>
      </c>
      <c r="H4758" t="s">
        <v>2310</v>
      </c>
      <c r="I4758">
        <v>0</v>
      </c>
      <c r="J4758" t="s">
        <v>1709</v>
      </c>
      <c r="K4758" t="s">
        <v>1558</v>
      </c>
      <c r="L4758" t="s">
        <v>285</v>
      </c>
      <c r="M4758" t="str">
        <f t="shared" si="331"/>
        <v>02</v>
      </c>
      <c r="N4758" t="s">
        <v>12</v>
      </c>
    </row>
    <row r="4759" spans="1:14" x14ac:dyDescent="0.25">
      <c r="A4759">
        <v>20160219</v>
      </c>
      <c r="B4759" t="str">
        <f>"062421"</f>
        <v>062421</v>
      </c>
      <c r="C4759" t="str">
        <f>"31284"</f>
        <v>31284</v>
      </c>
      <c r="D4759" t="s">
        <v>1573</v>
      </c>
      <c r="E4759" s="3">
        <v>227.44</v>
      </c>
      <c r="F4759">
        <v>20160217</v>
      </c>
      <c r="G4759" t="s">
        <v>2309</v>
      </c>
      <c r="H4759" t="s">
        <v>2310</v>
      </c>
      <c r="I4759">
        <v>0</v>
      </c>
      <c r="J4759" t="s">
        <v>1709</v>
      </c>
      <c r="K4759" t="s">
        <v>1558</v>
      </c>
      <c r="L4759" t="s">
        <v>285</v>
      </c>
      <c r="M4759" t="str">
        <f t="shared" si="331"/>
        <v>02</v>
      </c>
      <c r="N4759" t="s">
        <v>12</v>
      </c>
    </row>
    <row r="4760" spans="1:14" x14ac:dyDescent="0.25">
      <c r="A4760">
        <v>20160219</v>
      </c>
      <c r="B4760" t="str">
        <f>"062423"</f>
        <v>062423</v>
      </c>
      <c r="C4760" t="str">
        <f>"31803"</f>
        <v>31803</v>
      </c>
      <c r="D4760" t="s">
        <v>4146</v>
      </c>
      <c r="E4760" s="3">
        <v>275.87</v>
      </c>
      <c r="F4760">
        <v>20160217</v>
      </c>
      <c r="G4760" t="s">
        <v>2025</v>
      </c>
      <c r="H4760" t="s">
        <v>2026</v>
      </c>
      <c r="I4760">
        <v>0</v>
      </c>
      <c r="J4760" t="s">
        <v>1709</v>
      </c>
      <c r="K4760" t="s">
        <v>1984</v>
      </c>
      <c r="L4760" t="s">
        <v>285</v>
      </c>
      <c r="M4760" t="str">
        <f t="shared" si="331"/>
        <v>02</v>
      </c>
      <c r="N4760" t="s">
        <v>12</v>
      </c>
    </row>
    <row r="4761" spans="1:14" x14ac:dyDescent="0.25">
      <c r="A4761">
        <v>20160219</v>
      </c>
      <c r="B4761" t="str">
        <f>"062428"</f>
        <v>062428</v>
      </c>
      <c r="C4761" t="str">
        <f>"37260"</f>
        <v>37260</v>
      </c>
      <c r="D4761" t="s">
        <v>2507</v>
      </c>
      <c r="E4761" s="3">
        <v>1630</v>
      </c>
      <c r="F4761">
        <v>20160217</v>
      </c>
      <c r="G4761" t="s">
        <v>4147</v>
      </c>
      <c r="H4761" t="s">
        <v>4148</v>
      </c>
      <c r="I4761">
        <v>0</v>
      </c>
      <c r="J4761" t="s">
        <v>1709</v>
      </c>
      <c r="K4761" t="s">
        <v>290</v>
      </c>
      <c r="L4761" t="s">
        <v>285</v>
      </c>
      <c r="M4761" t="str">
        <f t="shared" si="331"/>
        <v>02</v>
      </c>
      <c r="N4761" t="s">
        <v>12</v>
      </c>
    </row>
    <row r="4762" spans="1:14" x14ac:dyDescent="0.25">
      <c r="A4762">
        <v>20160219</v>
      </c>
      <c r="B4762" t="str">
        <f>"062429"</f>
        <v>062429</v>
      </c>
      <c r="C4762" t="str">
        <f>"37525"</f>
        <v>37525</v>
      </c>
      <c r="D4762" t="s">
        <v>4149</v>
      </c>
      <c r="E4762" s="3">
        <v>350</v>
      </c>
      <c r="F4762">
        <v>20160217</v>
      </c>
      <c r="G4762" t="s">
        <v>2074</v>
      </c>
      <c r="H4762" t="s">
        <v>4150</v>
      </c>
      <c r="I4762">
        <v>0</v>
      </c>
      <c r="J4762" t="s">
        <v>1709</v>
      </c>
      <c r="K4762" t="s">
        <v>1861</v>
      </c>
      <c r="L4762" t="s">
        <v>285</v>
      </c>
      <c r="M4762" t="str">
        <f t="shared" si="331"/>
        <v>02</v>
      </c>
      <c r="N4762" t="s">
        <v>12</v>
      </c>
    </row>
    <row r="4763" spans="1:14" x14ac:dyDescent="0.25">
      <c r="A4763">
        <v>20160219</v>
      </c>
      <c r="B4763" t="str">
        <f>"062430"</f>
        <v>062430</v>
      </c>
      <c r="C4763" t="str">
        <f>"45665"</f>
        <v>45665</v>
      </c>
      <c r="D4763" t="s">
        <v>2887</v>
      </c>
      <c r="E4763" s="3">
        <v>60</v>
      </c>
      <c r="F4763">
        <v>20160218</v>
      </c>
      <c r="G4763" t="s">
        <v>2888</v>
      </c>
      <c r="H4763" t="s">
        <v>4140</v>
      </c>
      <c r="I4763">
        <v>0</v>
      </c>
      <c r="J4763" t="s">
        <v>1709</v>
      </c>
      <c r="K4763" t="s">
        <v>290</v>
      </c>
      <c r="L4763" t="s">
        <v>285</v>
      </c>
      <c r="M4763" t="str">
        <f t="shared" si="331"/>
        <v>02</v>
      </c>
      <c r="N4763" t="s">
        <v>12</v>
      </c>
    </row>
    <row r="4764" spans="1:14" x14ac:dyDescent="0.25">
      <c r="A4764">
        <v>20160219</v>
      </c>
      <c r="B4764" t="str">
        <f>"062431"</f>
        <v>062431</v>
      </c>
      <c r="C4764" t="str">
        <f>"37805"</f>
        <v>37805</v>
      </c>
      <c r="D4764" t="s">
        <v>2669</v>
      </c>
      <c r="E4764" s="3">
        <v>55</v>
      </c>
      <c r="F4764">
        <v>20160217</v>
      </c>
      <c r="G4764" t="s">
        <v>1739</v>
      </c>
      <c r="H4764" t="s">
        <v>3871</v>
      </c>
      <c r="I4764">
        <v>0</v>
      </c>
      <c r="J4764" t="s">
        <v>1709</v>
      </c>
      <c r="K4764" t="s">
        <v>290</v>
      </c>
      <c r="L4764" t="s">
        <v>285</v>
      </c>
      <c r="M4764" t="str">
        <f t="shared" si="331"/>
        <v>02</v>
      </c>
      <c r="N4764" t="s">
        <v>12</v>
      </c>
    </row>
    <row r="4765" spans="1:14" x14ac:dyDescent="0.25">
      <c r="A4765">
        <v>20160219</v>
      </c>
      <c r="B4765" t="str">
        <f>"062433"</f>
        <v>062433</v>
      </c>
      <c r="C4765" t="str">
        <f>"39276"</f>
        <v>39276</v>
      </c>
      <c r="D4765" t="s">
        <v>4151</v>
      </c>
      <c r="E4765" s="3">
        <v>260.45</v>
      </c>
      <c r="F4765">
        <v>20160217</v>
      </c>
      <c r="G4765" t="s">
        <v>3293</v>
      </c>
      <c r="H4765" t="s">
        <v>4152</v>
      </c>
      <c r="I4765">
        <v>0</v>
      </c>
      <c r="J4765" t="s">
        <v>1709</v>
      </c>
      <c r="K4765" t="s">
        <v>95</v>
      </c>
      <c r="L4765" t="s">
        <v>285</v>
      </c>
      <c r="M4765" t="str">
        <f t="shared" si="331"/>
        <v>02</v>
      </c>
      <c r="N4765" t="s">
        <v>12</v>
      </c>
    </row>
    <row r="4766" spans="1:14" x14ac:dyDescent="0.25">
      <c r="A4766">
        <v>20160219</v>
      </c>
      <c r="B4766" t="str">
        <f>"062434"</f>
        <v>062434</v>
      </c>
      <c r="C4766" t="str">
        <f>"63511"</f>
        <v>63511</v>
      </c>
      <c r="D4766" t="s">
        <v>2322</v>
      </c>
      <c r="E4766" s="3">
        <v>108.45</v>
      </c>
      <c r="F4766">
        <v>20160217</v>
      </c>
      <c r="G4766" t="s">
        <v>1758</v>
      </c>
      <c r="H4766" t="s">
        <v>4153</v>
      </c>
      <c r="I4766">
        <v>0</v>
      </c>
      <c r="J4766" t="s">
        <v>1709</v>
      </c>
      <c r="K4766" t="s">
        <v>1643</v>
      </c>
      <c r="L4766" t="s">
        <v>285</v>
      </c>
      <c r="M4766" t="str">
        <f t="shared" si="331"/>
        <v>02</v>
      </c>
      <c r="N4766" t="s">
        <v>12</v>
      </c>
    </row>
    <row r="4767" spans="1:14" x14ac:dyDescent="0.25">
      <c r="A4767">
        <v>20160219</v>
      </c>
      <c r="B4767" t="str">
        <f>"062435"</f>
        <v>062435</v>
      </c>
      <c r="C4767" t="str">
        <f>"42179"</f>
        <v>42179</v>
      </c>
      <c r="D4767" t="s">
        <v>4154</v>
      </c>
      <c r="E4767" s="3">
        <v>25</v>
      </c>
      <c r="F4767">
        <v>20160217</v>
      </c>
      <c r="G4767" t="s">
        <v>1712</v>
      </c>
      <c r="H4767" t="s">
        <v>4129</v>
      </c>
      <c r="I4767">
        <v>0</v>
      </c>
      <c r="J4767" t="s">
        <v>1709</v>
      </c>
      <c r="K4767" t="s">
        <v>290</v>
      </c>
      <c r="L4767" t="s">
        <v>285</v>
      </c>
      <c r="M4767" t="str">
        <f t="shared" si="331"/>
        <v>02</v>
      </c>
      <c r="N4767" t="s">
        <v>12</v>
      </c>
    </row>
    <row r="4768" spans="1:14" x14ac:dyDescent="0.25">
      <c r="A4768">
        <v>20160219</v>
      </c>
      <c r="B4768" t="str">
        <f>"062436"</f>
        <v>062436</v>
      </c>
      <c r="C4768" t="str">
        <f>"42212"</f>
        <v>42212</v>
      </c>
      <c r="D4768" t="s">
        <v>2513</v>
      </c>
      <c r="E4768" s="3">
        <v>1575</v>
      </c>
      <c r="F4768">
        <v>20160217</v>
      </c>
      <c r="G4768" t="s">
        <v>3528</v>
      </c>
      <c r="H4768" t="s">
        <v>4120</v>
      </c>
      <c r="I4768">
        <v>0</v>
      </c>
      <c r="J4768" t="s">
        <v>1709</v>
      </c>
      <c r="K4768" t="s">
        <v>290</v>
      </c>
      <c r="L4768" t="s">
        <v>285</v>
      </c>
      <c r="M4768" t="str">
        <f t="shared" si="331"/>
        <v>02</v>
      </c>
      <c r="N4768" t="s">
        <v>12</v>
      </c>
    </row>
    <row r="4769" spans="1:14" x14ac:dyDescent="0.25">
      <c r="A4769">
        <v>20160219</v>
      </c>
      <c r="B4769" t="str">
        <f>"062436"</f>
        <v>062436</v>
      </c>
      <c r="C4769" t="str">
        <f>"42212"</f>
        <v>42212</v>
      </c>
      <c r="D4769" t="s">
        <v>2513</v>
      </c>
      <c r="E4769" s="3">
        <v>100</v>
      </c>
      <c r="F4769">
        <v>20160217</v>
      </c>
      <c r="G4769" t="s">
        <v>3528</v>
      </c>
      <c r="H4769" t="s">
        <v>4120</v>
      </c>
      <c r="I4769">
        <v>0</v>
      </c>
      <c r="J4769" t="s">
        <v>1709</v>
      </c>
      <c r="K4769" t="s">
        <v>290</v>
      </c>
      <c r="L4769" t="s">
        <v>285</v>
      </c>
      <c r="M4769" t="str">
        <f t="shared" si="331"/>
        <v>02</v>
      </c>
      <c r="N4769" t="s">
        <v>12</v>
      </c>
    </row>
    <row r="4770" spans="1:14" x14ac:dyDescent="0.25">
      <c r="A4770">
        <v>20160219</v>
      </c>
      <c r="B4770" t="str">
        <f>"062437"</f>
        <v>062437</v>
      </c>
      <c r="C4770" t="str">
        <f>"42212"</f>
        <v>42212</v>
      </c>
      <c r="D4770" t="s">
        <v>2513</v>
      </c>
      <c r="E4770" s="3">
        <v>22</v>
      </c>
      <c r="F4770">
        <v>20160217</v>
      </c>
      <c r="G4770" t="s">
        <v>3846</v>
      </c>
      <c r="H4770" t="s">
        <v>3535</v>
      </c>
      <c r="I4770">
        <v>0</v>
      </c>
      <c r="J4770" t="s">
        <v>1709</v>
      </c>
      <c r="K4770" t="s">
        <v>290</v>
      </c>
      <c r="L4770" t="s">
        <v>285</v>
      </c>
      <c r="M4770" t="str">
        <f t="shared" si="331"/>
        <v>02</v>
      </c>
      <c r="N4770" t="s">
        <v>12</v>
      </c>
    </row>
    <row r="4771" spans="1:14" x14ac:dyDescent="0.25">
      <c r="A4771">
        <v>20160219</v>
      </c>
      <c r="B4771" t="str">
        <f>"062438"</f>
        <v>062438</v>
      </c>
      <c r="C4771" t="str">
        <f>"43532"</f>
        <v>43532</v>
      </c>
      <c r="D4771" t="s">
        <v>1979</v>
      </c>
      <c r="E4771" s="3">
        <v>405</v>
      </c>
      <c r="F4771">
        <v>20160217</v>
      </c>
      <c r="G4771" t="s">
        <v>2083</v>
      </c>
      <c r="H4771" t="s">
        <v>4155</v>
      </c>
      <c r="I4771">
        <v>0</v>
      </c>
      <c r="J4771" t="s">
        <v>1709</v>
      </c>
      <c r="K4771" t="s">
        <v>290</v>
      </c>
      <c r="L4771" t="s">
        <v>285</v>
      </c>
      <c r="M4771" t="str">
        <f t="shared" si="331"/>
        <v>02</v>
      </c>
      <c r="N4771" t="s">
        <v>12</v>
      </c>
    </row>
    <row r="4772" spans="1:14" x14ac:dyDescent="0.25">
      <c r="A4772">
        <v>20160219</v>
      </c>
      <c r="B4772" t="str">
        <f>"062440"</f>
        <v>062440</v>
      </c>
      <c r="C4772" t="str">
        <f>"45890"</f>
        <v>45890</v>
      </c>
      <c r="D4772" t="s">
        <v>4156</v>
      </c>
      <c r="E4772" s="3">
        <v>3441.18</v>
      </c>
      <c r="F4772">
        <v>20160217</v>
      </c>
      <c r="G4772" t="s">
        <v>3280</v>
      </c>
      <c r="H4772" t="s">
        <v>4157</v>
      </c>
      <c r="I4772">
        <v>0</v>
      </c>
      <c r="J4772" t="s">
        <v>1709</v>
      </c>
      <c r="K4772" t="s">
        <v>290</v>
      </c>
      <c r="L4772" t="s">
        <v>285</v>
      </c>
      <c r="M4772" t="str">
        <f t="shared" si="331"/>
        <v>02</v>
      </c>
      <c r="N4772" t="s">
        <v>12</v>
      </c>
    </row>
    <row r="4773" spans="1:14" x14ac:dyDescent="0.25">
      <c r="A4773">
        <v>20160219</v>
      </c>
      <c r="B4773" t="str">
        <f>"062441"</f>
        <v>062441</v>
      </c>
      <c r="C4773" t="str">
        <f>"46025"</f>
        <v>46025</v>
      </c>
      <c r="D4773" t="s">
        <v>2676</v>
      </c>
      <c r="E4773" s="3">
        <v>487.5</v>
      </c>
      <c r="F4773">
        <v>20160218</v>
      </c>
      <c r="G4773" t="s">
        <v>3695</v>
      </c>
      <c r="H4773" s="1">
        <v>42248</v>
      </c>
      <c r="I4773">
        <v>0</v>
      </c>
      <c r="J4773" t="s">
        <v>1709</v>
      </c>
      <c r="K4773" t="s">
        <v>1775</v>
      </c>
      <c r="L4773" t="s">
        <v>285</v>
      </c>
      <c r="M4773" t="str">
        <f t="shared" si="331"/>
        <v>02</v>
      </c>
      <c r="N4773" t="s">
        <v>12</v>
      </c>
    </row>
    <row r="4774" spans="1:14" x14ac:dyDescent="0.25">
      <c r="A4774">
        <v>20160219</v>
      </c>
      <c r="B4774" t="str">
        <f>"062442"</f>
        <v>062442</v>
      </c>
      <c r="C4774" t="str">
        <f>"46351"</f>
        <v>46351</v>
      </c>
      <c r="D4774" t="s">
        <v>2518</v>
      </c>
      <c r="E4774" s="3">
        <v>10514.43</v>
      </c>
      <c r="F4774">
        <v>20160217</v>
      </c>
      <c r="G4774" t="s">
        <v>1995</v>
      </c>
      <c r="H4774" t="s">
        <v>4071</v>
      </c>
      <c r="I4774">
        <v>0</v>
      </c>
      <c r="J4774" t="s">
        <v>1709</v>
      </c>
      <c r="K4774" t="s">
        <v>235</v>
      </c>
      <c r="L4774" t="s">
        <v>285</v>
      </c>
      <c r="M4774" t="str">
        <f t="shared" si="331"/>
        <v>02</v>
      </c>
      <c r="N4774" t="s">
        <v>12</v>
      </c>
    </row>
    <row r="4775" spans="1:14" x14ac:dyDescent="0.25">
      <c r="A4775">
        <v>20160219</v>
      </c>
      <c r="B4775" t="str">
        <f>"062444"</f>
        <v>062444</v>
      </c>
      <c r="C4775" t="str">
        <f>"47148"</f>
        <v>47148</v>
      </c>
      <c r="D4775" t="s">
        <v>4158</v>
      </c>
      <c r="E4775" s="3">
        <v>143.19</v>
      </c>
      <c r="F4775">
        <v>20160217</v>
      </c>
      <c r="G4775" t="s">
        <v>1963</v>
      </c>
      <c r="H4775" t="s">
        <v>4129</v>
      </c>
      <c r="I4775">
        <v>0</v>
      </c>
      <c r="J4775" t="s">
        <v>1709</v>
      </c>
      <c r="K4775" t="s">
        <v>290</v>
      </c>
      <c r="L4775" t="s">
        <v>285</v>
      </c>
      <c r="M4775" t="str">
        <f t="shared" si="331"/>
        <v>02</v>
      </c>
      <c r="N4775" t="s">
        <v>12</v>
      </c>
    </row>
    <row r="4776" spans="1:14" x14ac:dyDescent="0.25">
      <c r="A4776">
        <v>20160219</v>
      </c>
      <c r="B4776" t="str">
        <f>"062444"</f>
        <v>062444</v>
      </c>
      <c r="C4776" t="str">
        <f>"47148"</f>
        <v>47148</v>
      </c>
      <c r="D4776" t="s">
        <v>4158</v>
      </c>
      <c r="E4776" s="3">
        <v>143.19</v>
      </c>
      <c r="F4776">
        <v>20160217</v>
      </c>
      <c r="G4776" t="s">
        <v>4159</v>
      </c>
      <c r="H4776" t="s">
        <v>4129</v>
      </c>
      <c r="I4776">
        <v>0</v>
      </c>
      <c r="J4776" t="s">
        <v>1709</v>
      </c>
      <c r="K4776" t="s">
        <v>290</v>
      </c>
      <c r="L4776" t="s">
        <v>285</v>
      </c>
      <c r="M4776" t="str">
        <f t="shared" si="331"/>
        <v>02</v>
      </c>
      <c r="N4776" t="s">
        <v>12</v>
      </c>
    </row>
    <row r="4777" spans="1:14" x14ac:dyDescent="0.25">
      <c r="A4777">
        <v>20160219</v>
      </c>
      <c r="B4777" t="str">
        <f>"062445"</f>
        <v>062445</v>
      </c>
      <c r="C4777" t="str">
        <f>"47725"</f>
        <v>47725</v>
      </c>
      <c r="D4777" t="s">
        <v>1883</v>
      </c>
      <c r="E4777" s="3">
        <v>121.15</v>
      </c>
      <c r="F4777">
        <v>20160217</v>
      </c>
      <c r="G4777" t="s">
        <v>1859</v>
      </c>
      <c r="H4777" t="s">
        <v>4160</v>
      </c>
      <c r="I4777">
        <v>0</v>
      </c>
      <c r="J4777" t="s">
        <v>1709</v>
      </c>
      <c r="K4777" t="s">
        <v>1861</v>
      </c>
      <c r="L4777" t="s">
        <v>285</v>
      </c>
      <c r="M4777" t="str">
        <f t="shared" si="331"/>
        <v>02</v>
      </c>
      <c r="N4777" t="s">
        <v>12</v>
      </c>
    </row>
    <row r="4778" spans="1:14" x14ac:dyDescent="0.25">
      <c r="A4778">
        <v>20160219</v>
      </c>
      <c r="B4778" t="str">
        <f>"062446"</f>
        <v>062446</v>
      </c>
      <c r="C4778" t="str">
        <f>"49748"</f>
        <v>49748</v>
      </c>
      <c r="D4778" t="s">
        <v>1885</v>
      </c>
      <c r="E4778" s="3">
        <v>39.950000000000003</v>
      </c>
      <c r="F4778">
        <v>20160218</v>
      </c>
      <c r="G4778" t="s">
        <v>1974</v>
      </c>
      <c r="H4778" t="s">
        <v>4161</v>
      </c>
      <c r="I4778">
        <v>0</v>
      </c>
      <c r="J4778" t="s">
        <v>1709</v>
      </c>
      <c r="K4778" t="s">
        <v>290</v>
      </c>
      <c r="L4778" t="s">
        <v>285</v>
      </c>
      <c r="M4778" t="str">
        <f t="shared" si="331"/>
        <v>02</v>
      </c>
      <c r="N4778" t="s">
        <v>12</v>
      </c>
    </row>
    <row r="4779" spans="1:14" x14ac:dyDescent="0.25">
      <c r="A4779">
        <v>20160219</v>
      </c>
      <c r="B4779" t="str">
        <f>"062446"</f>
        <v>062446</v>
      </c>
      <c r="C4779" t="str">
        <f>"49748"</f>
        <v>49748</v>
      </c>
      <c r="D4779" t="s">
        <v>1885</v>
      </c>
      <c r="E4779" s="3">
        <v>34.76</v>
      </c>
      <c r="F4779">
        <v>20160217</v>
      </c>
      <c r="G4779" t="s">
        <v>1886</v>
      </c>
      <c r="H4779" t="s">
        <v>4162</v>
      </c>
      <c r="I4779">
        <v>0</v>
      </c>
      <c r="J4779" t="s">
        <v>1709</v>
      </c>
      <c r="K4779" t="s">
        <v>290</v>
      </c>
      <c r="L4779" t="s">
        <v>285</v>
      </c>
      <c r="M4779" t="str">
        <f t="shared" si="331"/>
        <v>02</v>
      </c>
      <c r="N4779" t="s">
        <v>12</v>
      </c>
    </row>
    <row r="4780" spans="1:14" x14ac:dyDescent="0.25">
      <c r="A4780">
        <v>20160219</v>
      </c>
      <c r="B4780" t="str">
        <f>"062446"</f>
        <v>062446</v>
      </c>
      <c r="C4780" t="str">
        <f>"49748"</f>
        <v>49748</v>
      </c>
      <c r="D4780" t="s">
        <v>1885</v>
      </c>
      <c r="E4780" s="3">
        <v>134.93</v>
      </c>
      <c r="F4780">
        <v>20160217</v>
      </c>
      <c r="G4780" t="s">
        <v>2339</v>
      </c>
      <c r="H4780" t="s">
        <v>4163</v>
      </c>
      <c r="I4780">
        <v>0</v>
      </c>
      <c r="J4780" t="s">
        <v>1709</v>
      </c>
      <c r="K4780" t="s">
        <v>290</v>
      </c>
      <c r="L4780" t="s">
        <v>285</v>
      </c>
      <c r="M4780" t="str">
        <f t="shared" ref="M4780:M4811" si="332">"02"</f>
        <v>02</v>
      </c>
      <c r="N4780" t="s">
        <v>12</v>
      </c>
    </row>
    <row r="4781" spans="1:14" x14ac:dyDescent="0.25">
      <c r="A4781">
        <v>20160219</v>
      </c>
      <c r="B4781" t="str">
        <f>"062449"</f>
        <v>062449</v>
      </c>
      <c r="C4781" t="str">
        <f>"49959"</f>
        <v>49959</v>
      </c>
      <c r="D4781" t="s">
        <v>361</v>
      </c>
      <c r="E4781" s="3">
        <v>300</v>
      </c>
      <c r="F4781">
        <v>20160217</v>
      </c>
      <c r="G4781" t="s">
        <v>1788</v>
      </c>
      <c r="H4781" t="s">
        <v>4164</v>
      </c>
      <c r="I4781">
        <v>0</v>
      </c>
      <c r="J4781" t="s">
        <v>1709</v>
      </c>
      <c r="K4781" t="s">
        <v>1643</v>
      </c>
      <c r="L4781" t="s">
        <v>285</v>
      </c>
      <c r="M4781" t="str">
        <f t="shared" si="332"/>
        <v>02</v>
      </c>
      <c r="N4781" t="s">
        <v>12</v>
      </c>
    </row>
    <row r="4782" spans="1:14" x14ac:dyDescent="0.25">
      <c r="A4782">
        <v>20160219</v>
      </c>
      <c r="B4782" t="str">
        <f>"062452"</f>
        <v>062452</v>
      </c>
      <c r="C4782" t="str">
        <f>"53006"</f>
        <v>53006</v>
      </c>
      <c r="D4782" t="s">
        <v>2909</v>
      </c>
      <c r="E4782" s="3">
        <v>112.77</v>
      </c>
      <c r="F4782">
        <v>20160217</v>
      </c>
      <c r="G4782" t="s">
        <v>2910</v>
      </c>
      <c r="H4782" t="s">
        <v>4165</v>
      </c>
      <c r="I4782">
        <v>0</v>
      </c>
      <c r="J4782" t="s">
        <v>1709</v>
      </c>
      <c r="K4782" t="s">
        <v>33</v>
      </c>
      <c r="L4782" t="s">
        <v>285</v>
      </c>
      <c r="M4782" t="str">
        <f t="shared" si="332"/>
        <v>02</v>
      </c>
      <c r="N4782" t="s">
        <v>12</v>
      </c>
    </row>
    <row r="4783" spans="1:14" x14ac:dyDescent="0.25">
      <c r="A4783">
        <v>20160219</v>
      </c>
      <c r="B4783" t="str">
        <f>"062456"</f>
        <v>062456</v>
      </c>
      <c r="C4783" t="str">
        <f>"56002"</f>
        <v>56002</v>
      </c>
      <c r="D4783" t="s">
        <v>1747</v>
      </c>
      <c r="E4783" s="3">
        <v>90082</v>
      </c>
      <c r="F4783">
        <v>20160218</v>
      </c>
      <c r="G4783" t="s">
        <v>1748</v>
      </c>
      <c r="H4783" t="s">
        <v>3365</v>
      </c>
      <c r="I4783">
        <v>0</v>
      </c>
      <c r="J4783" t="s">
        <v>1709</v>
      </c>
      <c r="K4783" t="s">
        <v>1750</v>
      </c>
      <c r="L4783" t="s">
        <v>285</v>
      </c>
      <c r="M4783" t="str">
        <f t="shared" si="332"/>
        <v>02</v>
      </c>
      <c r="N4783" t="s">
        <v>12</v>
      </c>
    </row>
    <row r="4784" spans="1:14" x14ac:dyDescent="0.25">
      <c r="A4784">
        <v>20160219</v>
      </c>
      <c r="B4784" t="str">
        <f>"062457"</f>
        <v>062457</v>
      </c>
      <c r="C4784" t="str">
        <f>"56226"</f>
        <v>56226</v>
      </c>
      <c r="D4784" t="s">
        <v>3108</v>
      </c>
      <c r="E4784" s="3">
        <v>1079</v>
      </c>
      <c r="F4784">
        <v>20160217</v>
      </c>
      <c r="G4784" t="s">
        <v>4166</v>
      </c>
      <c r="H4784" t="s">
        <v>4167</v>
      </c>
      <c r="I4784">
        <v>0</v>
      </c>
      <c r="J4784" t="s">
        <v>1709</v>
      </c>
      <c r="K4784" t="s">
        <v>1754</v>
      </c>
      <c r="L4784" t="s">
        <v>285</v>
      </c>
      <c r="M4784" t="str">
        <f t="shared" si="332"/>
        <v>02</v>
      </c>
      <c r="N4784" t="s">
        <v>12</v>
      </c>
    </row>
    <row r="4785" spans="1:14" x14ac:dyDescent="0.25">
      <c r="A4785">
        <v>20160219</v>
      </c>
      <c r="B4785" t="str">
        <f>"062459"</f>
        <v>062459</v>
      </c>
      <c r="C4785" t="str">
        <f>"56570"</f>
        <v>56570</v>
      </c>
      <c r="D4785" t="s">
        <v>2687</v>
      </c>
      <c r="E4785" s="3">
        <v>289.7</v>
      </c>
      <c r="F4785">
        <v>20160217</v>
      </c>
      <c r="G4785" t="s">
        <v>2025</v>
      </c>
      <c r="H4785" t="s">
        <v>2026</v>
      </c>
      <c r="I4785">
        <v>0</v>
      </c>
      <c r="J4785" t="s">
        <v>1709</v>
      </c>
      <c r="K4785" t="s">
        <v>1984</v>
      </c>
      <c r="L4785" t="s">
        <v>285</v>
      </c>
      <c r="M4785" t="str">
        <f t="shared" si="332"/>
        <v>02</v>
      </c>
      <c r="N4785" t="s">
        <v>12</v>
      </c>
    </row>
    <row r="4786" spans="1:14" x14ac:dyDescent="0.25">
      <c r="A4786">
        <v>20160219</v>
      </c>
      <c r="B4786" t="str">
        <f>"062463"</f>
        <v>062463</v>
      </c>
      <c r="C4786" t="str">
        <f>"57697"</f>
        <v>57697</v>
      </c>
      <c r="D4786" t="s">
        <v>1897</v>
      </c>
      <c r="E4786" s="3">
        <v>171.28</v>
      </c>
      <c r="F4786">
        <v>20160218</v>
      </c>
      <c r="G4786" t="s">
        <v>2004</v>
      </c>
      <c r="H4786" t="s">
        <v>2744</v>
      </c>
      <c r="I4786">
        <v>0</v>
      </c>
      <c r="J4786" t="s">
        <v>1709</v>
      </c>
      <c r="K4786" t="s">
        <v>290</v>
      </c>
      <c r="L4786" t="s">
        <v>285</v>
      </c>
      <c r="M4786" t="str">
        <f t="shared" si="332"/>
        <v>02</v>
      </c>
      <c r="N4786" t="s">
        <v>12</v>
      </c>
    </row>
    <row r="4787" spans="1:14" x14ac:dyDescent="0.25">
      <c r="A4787">
        <v>20160219</v>
      </c>
      <c r="B4787" t="str">
        <f>"062463"</f>
        <v>062463</v>
      </c>
      <c r="C4787" t="str">
        <f>"57697"</f>
        <v>57697</v>
      </c>
      <c r="D4787" t="s">
        <v>1897</v>
      </c>
      <c r="E4787" s="3">
        <v>181.48</v>
      </c>
      <c r="F4787">
        <v>20160218</v>
      </c>
      <c r="G4787" t="s">
        <v>2004</v>
      </c>
      <c r="H4787" t="s">
        <v>1711</v>
      </c>
      <c r="I4787">
        <v>0</v>
      </c>
      <c r="J4787" t="s">
        <v>1709</v>
      </c>
      <c r="K4787" t="s">
        <v>290</v>
      </c>
      <c r="L4787" t="s">
        <v>285</v>
      </c>
      <c r="M4787" t="str">
        <f t="shared" si="332"/>
        <v>02</v>
      </c>
      <c r="N4787" t="s">
        <v>12</v>
      </c>
    </row>
    <row r="4788" spans="1:14" x14ac:dyDescent="0.25">
      <c r="A4788">
        <v>20160219</v>
      </c>
      <c r="B4788" t="str">
        <f>"062465"</f>
        <v>062465</v>
      </c>
      <c r="C4788" t="str">
        <f>"58204"</f>
        <v>58204</v>
      </c>
      <c r="D4788" t="s">
        <v>1816</v>
      </c>
      <c r="E4788" s="3">
        <v>6.99</v>
      </c>
      <c r="F4788">
        <v>20160218</v>
      </c>
      <c r="G4788" t="s">
        <v>2153</v>
      </c>
      <c r="H4788" t="s">
        <v>4168</v>
      </c>
      <c r="I4788">
        <v>0</v>
      </c>
      <c r="J4788" t="s">
        <v>1709</v>
      </c>
      <c r="K4788" t="s">
        <v>290</v>
      </c>
      <c r="L4788" t="s">
        <v>285</v>
      </c>
      <c r="M4788" t="str">
        <f t="shared" si="332"/>
        <v>02</v>
      </c>
      <c r="N4788" t="s">
        <v>12</v>
      </c>
    </row>
    <row r="4789" spans="1:14" x14ac:dyDescent="0.25">
      <c r="A4789">
        <v>20160219</v>
      </c>
      <c r="B4789" t="str">
        <f>"062465"</f>
        <v>062465</v>
      </c>
      <c r="C4789" t="str">
        <f>"58204"</f>
        <v>58204</v>
      </c>
      <c r="D4789" t="s">
        <v>1816</v>
      </c>
      <c r="E4789" s="3">
        <v>74.75</v>
      </c>
      <c r="F4789">
        <v>20160218</v>
      </c>
      <c r="G4789" t="s">
        <v>2339</v>
      </c>
      <c r="H4789" t="s">
        <v>4169</v>
      </c>
      <c r="I4789">
        <v>0</v>
      </c>
      <c r="J4789" t="s">
        <v>1709</v>
      </c>
      <c r="K4789" t="s">
        <v>290</v>
      </c>
      <c r="L4789" t="s">
        <v>285</v>
      </c>
      <c r="M4789" t="str">
        <f t="shared" si="332"/>
        <v>02</v>
      </c>
      <c r="N4789" t="s">
        <v>12</v>
      </c>
    </row>
    <row r="4790" spans="1:14" x14ac:dyDescent="0.25">
      <c r="A4790">
        <v>20160219</v>
      </c>
      <c r="B4790" t="str">
        <f>"062466"</f>
        <v>062466</v>
      </c>
      <c r="C4790" t="str">
        <f>"58201"</f>
        <v>58201</v>
      </c>
      <c r="D4790" t="s">
        <v>1690</v>
      </c>
      <c r="E4790" s="3">
        <v>12.53</v>
      </c>
      <c r="F4790">
        <v>20160218</v>
      </c>
      <c r="G4790" t="s">
        <v>2226</v>
      </c>
      <c r="H4790" t="s">
        <v>2779</v>
      </c>
      <c r="I4790">
        <v>0</v>
      </c>
      <c r="J4790" t="s">
        <v>1709</v>
      </c>
      <c r="K4790" t="s">
        <v>33</v>
      </c>
      <c r="L4790" t="s">
        <v>285</v>
      </c>
      <c r="M4790" t="str">
        <f t="shared" si="332"/>
        <v>02</v>
      </c>
      <c r="N4790" t="s">
        <v>12</v>
      </c>
    </row>
    <row r="4791" spans="1:14" x14ac:dyDescent="0.25">
      <c r="A4791">
        <v>20160219</v>
      </c>
      <c r="B4791" t="str">
        <f>"062466"</f>
        <v>062466</v>
      </c>
      <c r="C4791" t="str">
        <f>"58201"</f>
        <v>58201</v>
      </c>
      <c r="D4791" t="s">
        <v>1690</v>
      </c>
      <c r="E4791" s="3">
        <v>55.46</v>
      </c>
      <c r="F4791">
        <v>20160218</v>
      </c>
      <c r="G4791" t="s">
        <v>2384</v>
      </c>
      <c r="H4791" t="s">
        <v>4170</v>
      </c>
      <c r="I4791">
        <v>0</v>
      </c>
      <c r="J4791" t="s">
        <v>1709</v>
      </c>
      <c r="K4791" t="s">
        <v>33</v>
      </c>
      <c r="L4791" t="s">
        <v>285</v>
      </c>
      <c r="M4791" t="str">
        <f t="shared" si="332"/>
        <v>02</v>
      </c>
      <c r="N4791" t="s">
        <v>12</v>
      </c>
    </row>
    <row r="4792" spans="1:14" x14ac:dyDescent="0.25">
      <c r="A4792">
        <v>20160219</v>
      </c>
      <c r="B4792" t="str">
        <f>"062466"</f>
        <v>062466</v>
      </c>
      <c r="C4792" t="str">
        <f>"58201"</f>
        <v>58201</v>
      </c>
      <c r="D4792" t="s">
        <v>1690</v>
      </c>
      <c r="E4792" s="3">
        <v>169</v>
      </c>
      <c r="F4792">
        <v>20160218</v>
      </c>
      <c r="G4792" t="s">
        <v>3114</v>
      </c>
      <c r="H4792" t="s">
        <v>4171</v>
      </c>
      <c r="I4792">
        <v>0</v>
      </c>
      <c r="J4792" t="s">
        <v>1709</v>
      </c>
      <c r="K4792" t="s">
        <v>33</v>
      </c>
      <c r="L4792" t="s">
        <v>285</v>
      </c>
      <c r="M4792" t="str">
        <f t="shared" si="332"/>
        <v>02</v>
      </c>
      <c r="N4792" t="s">
        <v>12</v>
      </c>
    </row>
    <row r="4793" spans="1:14" x14ac:dyDescent="0.25">
      <c r="A4793">
        <v>20160219</v>
      </c>
      <c r="B4793" t="str">
        <f t="shared" ref="B4793:B4798" si="333">"062469"</f>
        <v>062469</v>
      </c>
      <c r="C4793" t="str">
        <f t="shared" ref="C4793:C4798" si="334">"60603"</f>
        <v>60603</v>
      </c>
      <c r="D4793" t="s">
        <v>2702</v>
      </c>
      <c r="E4793" s="3">
        <v>77.849999999999994</v>
      </c>
      <c r="F4793">
        <v>20160218</v>
      </c>
      <c r="G4793" t="s">
        <v>2706</v>
      </c>
      <c r="H4793" t="s">
        <v>4172</v>
      </c>
      <c r="I4793">
        <v>0</v>
      </c>
      <c r="J4793" t="s">
        <v>1709</v>
      </c>
      <c r="K4793" t="s">
        <v>33</v>
      </c>
      <c r="L4793" t="s">
        <v>285</v>
      </c>
      <c r="M4793" t="str">
        <f t="shared" si="332"/>
        <v>02</v>
      </c>
      <c r="N4793" t="s">
        <v>12</v>
      </c>
    </row>
    <row r="4794" spans="1:14" x14ac:dyDescent="0.25">
      <c r="A4794">
        <v>20160219</v>
      </c>
      <c r="B4794" t="str">
        <f t="shared" si="333"/>
        <v>062469</v>
      </c>
      <c r="C4794" t="str">
        <f t="shared" si="334"/>
        <v>60603</v>
      </c>
      <c r="D4794" t="s">
        <v>2702</v>
      </c>
      <c r="E4794" s="3">
        <v>5.04</v>
      </c>
      <c r="F4794">
        <v>20160218</v>
      </c>
      <c r="G4794" t="s">
        <v>2706</v>
      </c>
      <c r="H4794" t="s">
        <v>4173</v>
      </c>
      <c r="I4794">
        <v>0</v>
      </c>
      <c r="J4794" t="s">
        <v>1709</v>
      </c>
      <c r="K4794" t="s">
        <v>33</v>
      </c>
      <c r="L4794" t="s">
        <v>285</v>
      </c>
      <c r="M4794" t="str">
        <f t="shared" si="332"/>
        <v>02</v>
      </c>
      <c r="N4794" t="s">
        <v>12</v>
      </c>
    </row>
    <row r="4795" spans="1:14" x14ac:dyDescent="0.25">
      <c r="A4795">
        <v>20160219</v>
      </c>
      <c r="B4795" t="str">
        <f t="shared" si="333"/>
        <v>062469</v>
      </c>
      <c r="C4795" t="str">
        <f t="shared" si="334"/>
        <v>60603</v>
      </c>
      <c r="D4795" t="s">
        <v>2702</v>
      </c>
      <c r="E4795" s="3">
        <v>42.48</v>
      </c>
      <c r="F4795">
        <v>20160218</v>
      </c>
      <c r="G4795" t="s">
        <v>2706</v>
      </c>
      <c r="H4795" t="s">
        <v>4174</v>
      </c>
      <c r="I4795">
        <v>0</v>
      </c>
      <c r="J4795" t="s">
        <v>1709</v>
      </c>
      <c r="K4795" t="s">
        <v>33</v>
      </c>
      <c r="L4795" t="s">
        <v>285</v>
      </c>
      <c r="M4795" t="str">
        <f t="shared" si="332"/>
        <v>02</v>
      </c>
      <c r="N4795" t="s">
        <v>12</v>
      </c>
    </row>
    <row r="4796" spans="1:14" x14ac:dyDescent="0.25">
      <c r="A4796">
        <v>20160219</v>
      </c>
      <c r="B4796" t="str">
        <f t="shared" si="333"/>
        <v>062469</v>
      </c>
      <c r="C4796" t="str">
        <f t="shared" si="334"/>
        <v>60603</v>
      </c>
      <c r="D4796" t="s">
        <v>2702</v>
      </c>
      <c r="E4796" s="3">
        <v>48.24</v>
      </c>
      <c r="F4796">
        <v>20160218</v>
      </c>
      <c r="G4796" t="s">
        <v>2706</v>
      </c>
      <c r="H4796" t="s">
        <v>4173</v>
      </c>
      <c r="I4796">
        <v>0</v>
      </c>
      <c r="J4796" t="s">
        <v>1709</v>
      </c>
      <c r="K4796" t="s">
        <v>33</v>
      </c>
      <c r="L4796" t="s">
        <v>285</v>
      </c>
      <c r="M4796" t="str">
        <f t="shared" si="332"/>
        <v>02</v>
      </c>
      <c r="N4796" t="s">
        <v>12</v>
      </c>
    </row>
    <row r="4797" spans="1:14" x14ac:dyDescent="0.25">
      <c r="A4797">
        <v>20160219</v>
      </c>
      <c r="B4797" t="str">
        <f t="shared" si="333"/>
        <v>062469</v>
      </c>
      <c r="C4797" t="str">
        <f t="shared" si="334"/>
        <v>60603</v>
      </c>
      <c r="D4797" t="s">
        <v>2702</v>
      </c>
      <c r="E4797" s="3">
        <v>68.900000000000006</v>
      </c>
      <c r="F4797">
        <v>20160218</v>
      </c>
      <c r="G4797" t="s">
        <v>2706</v>
      </c>
      <c r="H4797" t="s">
        <v>4175</v>
      </c>
      <c r="I4797">
        <v>0</v>
      </c>
      <c r="J4797" t="s">
        <v>1709</v>
      </c>
      <c r="K4797" t="s">
        <v>33</v>
      </c>
      <c r="L4797" t="s">
        <v>285</v>
      </c>
      <c r="M4797" t="str">
        <f t="shared" si="332"/>
        <v>02</v>
      </c>
      <c r="N4797" t="s">
        <v>12</v>
      </c>
    </row>
    <row r="4798" spans="1:14" x14ac:dyDescent="0.25">
      <c r="A4798">
        <v>20160219</v>
      </c>
      <c r="B4798" t="str">
        <f t="shared" si="333"/>
        <v>062469</v>
      </c>
      <c r="C4798" t="str">
        <f t="shared" si="334"/>
        <v>60603</v>
      </c>
      <c r="D4798" t="s">
        <v>2702</v>
      </c>
      <c r="E4798" s="3">
        <v>55.99</v>
      </c>
      <c r="F4798">
        <v>20160218</v>
      </c>
      <c r="G4798" t="s">
        <v>2706</v>
      </c>
      <c r="H4798" t="s">
        <v>4176</v>
      </c>
      <c r="I4798">
        <v>0</v>
      </c>
      <c r="J4798" t="s">
        <v>1709</v>
      </c>
      <c r="K4798" t="s">
        <v>33</v>
      </c>
      <c r="L4798" t="s">
        <v>285</v>
      </c>
      <c r="M4798" t="str">
        <f t="shared" si="332"/>
        <v>02</v>
      </c>
      <c r="N4798" t="s">
        <v>12</v>
      </c>
    </row>
    <row r="4799" spans="1:14" x14ac:dyDescent="0.25">
      <c r="A4799">
        <v>20160219</v>
      </c>
      <c r="B4799" t="str">
        <f>"062471"</f>
        <v>062471</v>
      </c>
      <c r="C4799" t="str">
        <f>"00355"</f>
        <v>00355</v>
      </c>
      <c r="D4799" t="s">
        <v>1909</v>
      </c>
      <c r="E4799" s="3">
        <v>80</v>
      </c>
      <c r="F4799">
        <v>20160218</v>
      </c>
      <c r="G4799" t="s">
        <v>4177</v>
      </c>
      <c r="H4799" t="s">
        <v>4178</v>
      </c>
      <c r="I4799">
        <v>0</v>
      </c>
      <c r="J4799" t="s">
        <v>1709</v>
      </c>
      <c r="K4799" t="s">
        <v>2764</v>
      </c>
      <c r="L4799" t="s">
        <v>285</v>
      </c>
      <c r="M4799" t="str">
        <f t="shared" si="332"/>
        <v>02</v>
      </c>
      <c r="N4799" t="s">
        <v>12</v>
      </c>
    </row>
    <row r="4800" spans="1:14" x14ac:dyDescent="0.25">
      <c r="A4800">
        <v>20160219</v>
      </c>
      <c r="B4800" t="str">
        <f>"062471"</f>
        <v>062471</v>
      </c>
      <c r="C4800" t="str">
        <f>"00355"</f>
        <v>00355</v>
      </c>
      <c r="D4800" t="s">
        <v>1909</v>
      </c>
      <c r="E4800" s="3">
        <v>360</v>
      </c>
      <c r="F4800">
        <v>20160218</v>
      </c>
      <c r="G4800" t="s">
        <v>3605</v>
      </c>
      <c r="H4800" t="s">
        <v>4179</v>
      </c>
      <c r="I4800">
        <v>0</v>
      </c>
      <c r="J4800" t="s">
        <v>1709</v>
      </c>
      <c r="K4800" t="s">
        <v>1882</v>
      </c>
      <c r="L4800" t="s">
        <v>285</v>
      </c>
      <c r="M4800" t="str">
        <f t="shared" si="332"/>
        <v>02</v>
      </c>
      <c r="N4800" t="s">
        <v>12</v>
      </c>
    </row>
    <row r="4801" spans="1:14" x14ac:dyDescent="0.25">
      <c r="A4801">
        <v>20160219</v>
      </c>
      <c r="B4801" t="str">
        <f>"062475"</f>
        <v>062475</v>
      </c>
      <c r="C4801" t="str">
        <f>"60832"</f>
        <v>60832</v>
      </c>
      <c r="D4801" t="s">
        <v>1913</v>
      </c>
      <c r="E4801" s="3">
        <v>300</v>
      </c>
      <c r="F4801">
        <v>20160218</v>
      </c>
      <c r="G4801" t="s">
        <v>2588</v>
      </c>
      <c r="H4801" t="s">
        <v>4180</v>
      </c>
      <c r="I4801">
        <v>0</v>
      </c>
      <c r="J4801" t="s">
        <v>1709</v>
      </c>
      <c r="K4801" t="s">
        <v>1861</v>
      </c>
      <c r="L4801" t="s">
        <v>285</v>
      </c>
      <c r="M4801" t="str">
        <f t="shared" si="332"/>
        <v>02</v>
      </c>
      <c r="N4801" t="s">
        <v>12</v>
      </c>
    </row>
    <row r="4802" spans="1:14" x14ac:dyDescent="0.25">
      <c r="A4802">
        <v>20160219</v>
      </c>
      <c r="B4802" t="str">
        <f>"062475"</f>
        <v>062475</v>
      </c>
      <c r="C4802" t="str">
        <f>"60832"</f>
        <v>60832</v>
      </c>
      <c r="D4802" t="s">
        <v>1913</v>
      </c>
      <c r="E4802" s="3">
        <v>300</v>
      </c>
      <c r="F4802">
        <v>20160218</v>
      </c>
      <c r="G4802" t="s">
        <v>2588</v>
      </c>
      <c r="H4802" t="s">
        <v>4181</v>
      </c>
      <c r="I4802">
        <v>0</v>
      </c>
      <c r="J4802" t="s">
        <v>1709</v>
      </c>
      <c r="K4802" t="s">
        <v>1861</v>
      </c>
      <c r="L4802" t="s">
        <v>285</v>
      </c>
      <c r="M4802" t="str">
        <f t="shared" si="332"/>
        <v>02</v>
      </c>
      <c r="N4802" t="s">
        <v>12</v>
      </c>
    </row>
    <row r="4803" spans="1:14" x14ac:dyDescent="0.25">
      <c r="A4803">
        <v>20160219</v>
      </c>
      <c r="B4803" t="str">
        <f>"062475"</f>
        <v>062475</v>
      </c>
      <c r="C4803" t="str">
        <f>"60832"</f>
        <v>60832</v>
      </c>
      <c r="D4803" t="s">
        <v>1913</v>
      </c>
      <c r="E4803" s="3">
        <v>300</v>
      </c>
      <c r="F4803">
        <v>20160218</v>
      </c>
      <c r="G4803" t="s">
        <v>2588</v>
      </c>
      <c r="H4803" t="s">
        <v>4182</v>
      </c>
      <c r="I4803">
        <v>0</v>
      </c>
      <c r="J4803" t="s">
        <v>1709</v>
      </c>
      <c r="K4803" t="s">
        <v>1861</v>
      </c>
      <c r="L4803" t="s">
        <v>285</v>
      </c>
      <c r="M4803" t="str">
        <f t="shared" si="332"/>
        <v>02</v>
      </c>
      <c r="N4803" t="s">
        <v>12</v>
      </c>
    </row>
    <row r="4804" spans="1:14" x14ac:dyDescent="0.25">
      <c r="A4804">
        <v>20160219</v>
      </c>
      <c r="B4804" t="str">
        <f>"062477"</f>
        <v>062477</v>
      </c>
      <c r="C4804" t="str">
        <f>"63053"</f>
        <v>63053</v>
      </c>
      <c r="D4804" t="s">
        <v>2012</v>
      </c>
      <c r="E4804" s="3">
        <v>22.16</v>
      </c>
      <c r="F4804">
        <v>20160218</v>
      </c>
      <c r="G4804" t="s">
        <v>3123</v>
      </c>
      <c r="H4804" t="s">
        <v>3516</v>
      </c>
      <c r="I4804">
        <v>0</v>
      </c>
      <c r="J4804" t="s">
        <v>1709</v>
      </c>
      <c r="K4804" t="s">
        <v>290</v>
      </c>
      <c r="L4804" t="s">
        <v>285</v>
      </c>
      <c r="M4804" t="str">
        <f t="shared" si="332"/>
        <v>02</v>
      </c>
      <c r="N4804" t="s">
        <v>12</v>
      </c>
    </row>
    <row r="4805" spans="1:14" x14ac:dyDescent="0.25">
      <c r="A4805">
        <v>20160219</v>
      </c>
      <c r="B4805" t="str">
        <f>"062477"</f>
        <v>062477</v>
      </c>
      <c r="C4805" t="str">
        <f>"63053"</f>
        <v>63053</v>
      </c>
      <c r="D4805" t="s">
        <v>2012</v>
      </c>
      <c r="E4805" s="3">
        <v>330</v>
      </c>
      <c r="F4805">
        <v>20160218</v>
      </c>
      <c r="G4805" t="s">
        <v>2553</v>
      </c>
      <c r="H4805" t="s">
        <v>3516</v>
      </c>
      <c r="I4805">
        <v>0</v>
      </c>
      <c r="J4805" t="s">
        <v>1709</v>
      </c>
      <c r="K4805" t="s">
        <v>290</v>
      </c>
      <c r="L4805" t="s">
        <v>285</v>
      </c>
      <c r="M4805" t="str">
        <f t="shared" si="332"/>
        <v>02</v>
      </c>
      <c r="N4805" t="s">
        <v>12</v>
      </c>
    </row>
    <row r="4806" spans="1:14" x14ac:dyDescent="0.25">
      <c r="A4806">
        <v>20160219</v>
      </c>
      <c r="B4806" t="str">
        <f>"062478"</f>
        <v>062478</v>
      </c>
      <c r="C4806" t="str">
        <f>"63053"</f>
        <v>63053</v>
      </c>
      <c r="D4806" t="s">
        <v>2012</v>
      </c>
      <c r="E4806" s="3">
        <v>360</v>
      </c>
      <c r="F4806">
        <v>20160218</v>
      </c>
      <c r="G4806" t="s">
        <v>3280</v>
      </c>
      <c r="H4806" t="s">
        <v>4157</v>
      </c>
      <c r="I4806">
        <v>0</v>
      </c>
      <c r="J4806" t="s">
        <v>1709</v>
      </c>
      <c r="K4806" t="s">
        <v>290</v>
      </c>
      <c r="L4806" t="s">
        <v>285</v>
      </c>
      <c r="M4806" t="str">
        <f t="shared" si="332"/>
        <v>02</v>
      </c>
      <c r="N4806" t="s">
        <v>12</v>
      </c>
    </row>
    <row r="4807" spans="1:14" x14ac:dyDescent="0.25">
      <c r="A4807">
        <v>20160219</v>
      </c>
      <c r="B4807" t="str">
        <f>"062485"</f>
        <v>062485</v>
      </c>
      <c r="C4807" t="str">
        <f>"65106"</f>
        <v>65106</v>
      </c>
      <c r="D4807" t="s">
        <v>1568</v>
      </c>
      <c r="E4807" s="3">
        <v>83.88</v>
      </c>
      <c r="F4807">
        <v>20160218</v>
      </c>
      <c r="G4807" t="s">
        <v>2626</v>
      </c>
      <c r="H4807" t="s">
        <v>4183</v>
      </c>
      <c r="I4807">
        <v>0</v>
      </c>
      <c r="J4807" t="s">
        <v>1709</v>
      </c>
      <c r="K4807" t="s">
        <v>290</v>
      </c>
      <c r="L4807" t="s">
        <v>285</v>
      </c>
      <c r="M4807" t="str">
        <f t="shared" si="332"/>
        <v>02</v>
      </c>
      <c r="N4807" t="s">
        <v>12</v>
      </c>
    </row>
    <row r="4808" spans="1:14" x14ac:dyDescent="0.25">
      <c r="A4808">
        <v>20160219</v>
      </c>
      <c r="B4808" t="str">
        <f>"062485"</f>
        <v>062485</v>
      </c>
      <c r="C4808" t="str">
        <f>"65106"</f>
        <v>65106</v>
      </c>
      <c r="D4808" t="s">
        <v>1568</v>
      </c>
      <c r="E4808" s="3">
        <v>28.96</v>
      </c>
      <c r="F4808">
        <v>20160218</v>
      </c>
      <c r="G4808" t="s">
        <v>3006</v>
      </c>
      <c r="H4808" t="s">
        <v>3614</v>
      </c>
      <c r="I4808">
        <v>0</v>
      </c>
      <c r="J4808" t="s">
        <v>1709</v>
      </c>
      <c r="K4808" t="s">
        <v>290</v>
      </c>
      <c r="L4808" t="s">
        <v>285</v>
      </c>
      <c r="M4808" t="str">
        <f t="shared" si="332"/>
        <v>02</v>
      </c>
      <c r="N4808" t="s">
        <v>12</v>
      </c>
    </row>
    <row r="4809" spans="1:14" x14ac:dyDescent="0.25">
      <c r="A4809">
        <v>20160219</v>
      </c>
      <c r="B4809" t="str">
        <f>"062485"</f>
        <v>062485</v>
      </c>
      <c r="C4809" t="str">
        <f>"65106"</f>
        <v>65106</v>
      </c>
      <c r="D4809" t="s">
        <v>1568</v>
      </c>
      <c r="E4809" s="3">
        <v>129.05000000000001</v>
      </c>
      <c r="F4809">
        <v>20160218</v>
      </c>
      <c r="G4809" t="s">
        <v>4184</v>
      </c>
      <c r="H4809" t="s">
        <v>4185</v>
      </c>
      <c r="I4809">
        <v>0</v>
      </c>
      <c r="J4809" t="s">
        <v>1709</v>
      </c>
      <c r="K4809" t="s">
        <v>290</v>
      </c>
      <c r="L4809" t="s">
        <v>285</v>
      </c>
      <c r="M4809" t="str">
        <f t="shared" si="332"/>
        <v>02</v>
      </c>
      <c r="N4809" t="s">
        <v>12</v>
      </c>
    </row>
    <row r="4810" spans="1:14" x14ac:dyDescent="0.25">
      <c r="A4810">
        <v>20160219</v>
      </c>
      <c r="B4810" t="str">
        <f>"062489"</f>
        <v>062489</v>
      </c>
      <c r="C4810" t="str">
        <f>"70166"</f>
        <v>70166</v>
      </c>
      <c r="D4810" t="s">
        <v>4186</v>
      </c>
      <c r="E4810" s="3">
        <v>99</v>
      </c>
      <c r="F4810">
        <v>20160218</v>
      </c>
      <c r="G4810" t="s">
        <v>2000</v>
      </c>
      <c r="H4810" t="s">
        <v>4187</v>
      </c>
      <c r="I4810">
        <v>0</v>
      </c>
      <c r="J4810" t="s">
        <v>1709</v>
      </c>
      <c r="K4810" t="s">
        <v>290</v>
      </c>
      <c r="L4810" t="s">
        <v>285</v>
      </c>
      <c r="M4810" t="str">
        <f t="shared" si="332"/>
        <v>02</v>
      </c>
      <c r="N4810" t="s">
        <v>12</v>
      </c>
    </row>
    <row r="4811" spans="1:14" x14ac:dyDescent="0.25">
      <c r="A4811">
        <v>20160219</v>
      </c>
      <c r="B4811" t="str">
        <f>"062490"</f>
        <v>062490</v>
      </c>
      <c r="C4811" t="str">
        <f>"73555"</f>
        <v>73555</v>
      </c>
      <c r="D4811" t="s">
        <v>4188</v>
      </c>
      <c r="E4811" s="3">
        <v>2216.1</v>
      </c>
      <c r="F4811">
        <v>20160218</v>
      </c>
      <c r="G4811" t="s">
        <v>2425</v>
      </c>
      <c r="H4811" t="s">
        <v>4095</v>
      </c>
      <c r="I4811">
        <v>0</v>
      </c>
      <c r="J4811" t="s">
        <v>1709</v>
      </c>
      <c r="K4811" t="s">
        <v>290</v>
      </c>
      <c r="L4811" t="s">
        <v>285</v>
      </c>
      <c r="M4811" t="str">
        <f t="shared" si="332"/>
        <v>02</v>
      </c>
      <c r="N4811" t="s">
        <v>12</v>
      </c>
    </row>
    <row r="4812" spans="1:14" x14ac:dyDescent="0.25">
      <c r="A4812">
        <v>20160219</v>
      </c>
      <c r="B4812" t="str">
        <f>"062491"</f>
        <v>062491</v>
      </c>
      <c r="C4812" t="str">
        <f>"76505"</f>
        <v>76505</v>
      </c>
      <c r="D4812" t="s">
        <v>1785</v>
      </c>
      <c r="E4812" s="3">
        <v>110</v>
      </c>
      <c r="F4812">
        <v>20160218</v>
      </c>
      <c r="G4812" t="s">
        <v>1961</v>
      </c>
      <c r="H4812" t="s">
        <v>4189</v>
      </c>
      <c r="I4812">
        <v>0</v>
      </c>
      <c r="J4812" t="s">
        <v>1709</v>
      </c>
      <c r="K4812" t="s">
        <v>290</v>
      </c>
      <c r="L4812" t="s">
        <v>285</v>
      </c>
      <c r="M4812" t="str">
        <f t="shared" ref="M4812:M4830" si="335">"02"</f>
        <v>02</v>
      </c>
      <c r="N4812" t="s">
        <v>12</v>
      </c>
    </row>
    <row r="4813" spans="1:14" x14ac:dyDescent="0.25">
      <c r="A4813">
        <v>20160219</v>
      </c>
      <c r="B4813" t="str">
        <f>"062495"</f>
        <v>062495</v>
      </c>
      <c r="C4813" t="str">
        <f>"76508"</f>
        <v>76508</v>
      </c>
      <c r="D4813" t="s">
        <v>373</v>
      </c>
      <c r="E4813" s="3">
        <v>800</v>
      </c>
      <c r="F4813">
        <v>20160218</v>
      </c>
      <c r="G4813" t="s">
        <v>4190</v>
      </c>
      <c r="H4813" t="s">
        <v>4191</v>
      </c>
      <c r="I4813">
        <v>0</v>
      </c>
      <c r="J4813" t="s">
        <v>1709</v>
      </c>
      <c r="K4813" t="s">
        <v>1643</v>
      </c>
      <c r="L4813" t="s">
        <v>285</v>
      </c>
      <c r="M4813" t="str">
        <f t="shared" si="335"/>
        <v>02</v>
      </c>
      <c r="N4813" t="s">
        <v>12</v>
      </c>
    </row>
    <row r="4814" spans="1:14" x14ac:dyDescent="0.25">
      <c r="A4814">
        <v>20160219</v>
      </c>
      <c r="B4814" t="str">
        <f>"062495"</f>
        <v>062495</v>
      </c>
      <c r="C4814" t="str">
        <f>"76508"</f>
        <v>76508</v>
      </c>
      <c r="D4814" t="s">
        <v>373</v>
      </c>
      <c r="E4814" s="3">
        <v>100</v>
      </c>
      <c r="F4814">
        <v>20160218</v>
      </c>
      <c r="G4814" t="s">
        <v>4192</v>
      </c>
      <c r="H4814" t="s">
        <v>4191</v>
      </c>
      <c r="I4814">
        <v>0</v>
      </c>
      <c r="J4814" t="s">
        <v>1709</v>
      </c>
      <c r="K4814" t="s">
        <v>33</v>
      </c>
      <c r="L4814" t="s">
        <v>285</v>
      </c>
      <c r="M4814" t="str">
        <f t="shared" si="335"/>
        <v>02</v>
      </c>
      <c r="N4814" t="s">
        <v>12</v>
      </c>
    </row>
    <row r="4815" spans="1:14" x14ac:dyDescent="0.25">
      <c r="A4815">
        <v>20160219</v>
      </c>
      <c r="B4815" t="str">
        <f>"062497"</f>
        <v>062497</v>
      </c>
      <c r="C4815" t="str">
        <f>"78311"</f>
        <v>78311</v>
      </c>
      <c r="D4815" t="s">
        <v>458</v>
      </c>
      <c r="E4815" s="3">
        <v>53.48</v>
      </c>
      <c r="F4815">
        <v>20160218</v>
      </c>
      <c r="G4815" t="s">
        <v>2018</v>
      </c>
      <c r="H4815" t="s">
        <v>3163</v>
      </c>
      <c r="I4815">
        <v>0</v>
      </c>
      <c r="J4815" t="s">
        <v>1709</v>
      </c>
      <c r="K4815" t="s">
        <v>1856</v>
      </c>
      <c r="L4815" t="s">
        <v>285</v>
      </c>
      <c r="M4815" t="str">
        <f t="shared" si="335"/>
        <v>02</v>
      </c>
      <c r="N4815" t="s">
        <v>12</v>
      </c>
    </row>
    <row r="4816" spans="1:14" x14ac:dyDescent="0.25">
      <c r="A4816">
        <v>20160219</v>
      </c>
      <c r="B4816" t="str">
        <f>"062497"</f>
        <v>062497</v>
      </c>
      <c r="C4816" t="str">
        <f>"78311"</f>
        <v>78311</v>
      </c>
      <c r="D4816" t="s">
        <v>458</v>
      </c>
      <c r="E4816" s="3">
        <v>24.68</v>
      </c>
      <c r="F4816">
        <v>20160218</v>
      </c>
      <c r="G4816" t="s">
        <v>2320</v>
      </c>
      <c r="H4816" t="s">
        <v>3531</v>
      </c>
      <c r="I4816">
        <v>0</v>
      </c>
      <c r="J4816" t="s">
        <v>1709</v>
      </c>
      <c r="K4816" t="s">
        <v>290</v>
      </c>
      <c r="L4816" t="s">
        <v>285</v>
      </c>
      <c r="M4816" t="str">
        <f t="shared" si="335"/>
        <v>02</v>
      </c>
      <c r="N4816" t="s">
        <v>12</v>
      </c>
    </row>
    <row r="4817" spans="1:14" x14ac:dyDescent="0.25">
      <c r="A4817">
        <v>20160219</v>
      </c>
      <c r="B4817" t="str">
        <f>"062498"</f>
        <v>062498</v>
      </c>
      <c r="C4817" t="str">
        <f>"80389"</f>
        <v>80389</v>
      </c>
      <c r="D4817" t="s">
        <v>2032</v>
      </c>
      <c r="E4817" s="3">
        <v>84.58</v>
      </c>
      <c r="F4817">
        <v>20160218</v>
      </c>
      <c r="G4817" t="s">
        <v>2033</v>
      </c>
      <c r="H4817" t="s">
        <v>4193</v>
      </c>
      <c r="I4817">
        <v>0</v>
      </c>
      <c r="J4817" t="s">
        <v>1709</v>
      </c>
      <c r="K4817" t="s">
        <v>1984</v>
      </c>
      <c r="L4817" t="s">
        <v>285</v>
      </c>
      <c r="M4817" t="str">
        <f t="shared" si="335"/>
        <v>02</v>
      </c>
      <c r="N4817" t="s">
        <v>12</v>
      </c>
    </row>
    <row r="4818" spans="1:14" x14ac:dyDescent="0.25">
      <c r="A4818">
        <v>20160219</v>
      </c>
      <c r="B4818" t="str">
        <f>"062498"</f>
        <v>062498</v>
      </c>
      <c r="C4818" t="str">
        <f>"80389"</f>
        <v>80389</v>
      </c>
      <c r="D4818" t="s">
        <v>2032</v>
      </c>
      <c r="E4818" s="3">
        <v>894.61</v>
      </c>
      <c r="F4818">
        <v>20160218</v>
      </c>
      <c r="G4818" t="s">
        <v>2035</v>
      </c>
      <c r="H4818" t="s">
        <v>4194</v>
      </c>
      <c r="I4818">
        <v>0</v>
      </c>
      <c r="J4818" t="s">
        <v>1709</v>
      </c>
      <c r="K4818" t="s">
        <v>1984</v>
      </c>
      <c r="L4818" t="s">
        <v>285</v>
      </c>
      <c r="M4818" t="str">
        <f t="shared" si="335"/>
        <v>02</v>
      </c>
      <c r="N4818" t="s">
        <v>12</v>
      </c>
    </row>
    <row r="4819" spans="1:14" x14ac:dyDescent="0.25">
      <c r="A4819">
        <v>20160219</v>
      </c>
      <c r="B4819" t="str">
        <f>"062498"</f>
        <v>062498</v>
      </c>
      <c r="C4819" t="str">
        <f>"80389"</f>
        <v>80389</v>
      </c>
      <c r="D4819" t="s">
        <v>2032</v>
      </c>
      <c r="E4819" s="3">
        <v>1435.01</v>
      </c>
      <c r="F4819">
        <v>20160218</v>
      </c>
      <c r="G4819" t="s">
        <v>2037</v>
      </c>
      <c r="H4819" t="s">
        <v>4195</v>
      </c>
      <c r="I4819">
        <v>0</v>
      </c>
      <c r="J4819" t="s">
        <v>1709</v>
      </c>
      <c r="K4819" t="s">
        <v>1984</v>
      </c>
      <c r="L4819" t="s">
        <v>285</v>
      </c>
      <c r="M4819" t="str">
        <f t="shared" si="335"/>
        <v>02</v>
      </c>
      <c r="N4819" t="s">
        <v>12</v>
      </c>
    </row>
    <row r="4820" spans="1:14" x14ac:dyDescent="0.25">
      <c r="A4820">
        <v>20160219</v>
      </c>
      <c r="B4820" t="str">
        <f t="shared" ref="B4820:B4825" si="336">"062499"</f>
        <v>062499</v>
      </c>
      <c r="C4820" t="str">
        <f t="shared" ref="C4820:C4825" si="337">"80481"</f>
        <v>80481</v>
      </c>
      <c r="D4820" t="s">
        <v>1935</v>
      </c>
      <c r="E4820" s="3">
        <v>74</v>
      </c>
      <c r="F4820">
        <v>20160218</v>
      </c>
      <c r="G4820" t="s">
        <v>1938</v>
      </c>
      <c r="H4820" t="s">
        <v>3676</v>
      </c>
      <c r="I4820">
        <v>0</v>
      </c>
      <c r="J4820" t="s">
        <v>1709</v>
      </c>
      <c r="K4820" t="s">
        <v>1643</v>
      </c>
      <c r="L4820" t="s">
        <v>285</v>
      </c>
      <c r="M4820" t="str">
        <f t="shared" si="335"/>
        <v>02</v>
      </c>
      <c r="N4820" t="s">
        <v>12</v>
      </c>
    </row>
    <row r="4821" spans="1:14" x14ac:dyDescent="0.25">
      <c r="A4821">
        <v>20160219</v>
      </c>
      <c r="B4821" t="str">
        <f t="shared" si="336"/>
        <v>062499</v>
      </c>
      <c r="C4821" t="str">
        <f t="shared" si="337"/>
        <v>80481</v>
      </c>
      <c r="D4821" t="s">
        <v>1935</v>
      </c>
      <c r="E4821" s="3">
        <v>74</v>
      </c>
      <c r="F4821">
        <v>20160218</v>
      </c>
      <c r="G4821" t="s">
        <v>1939</v>
      </c>
      <c r="H4821" t="s">
        <v>3676</v>
      </c>
      <c r="I4821">
        <v>0</v>
      </c>
      <c r="J4821" t="s">
        <v>1709</v>
      </c>
      <c r="K4821" t="s">
        <v>33</v>
      </c>
      <c r="L4821" t="s">
        <v>285</v>
      </c>
      <c r="M4821" t="str">
        <f t="shared" si="335"/>
        <v>02</v>
      </c>
      <c r="N4821" t="s">
        <v>12</v>
      </c>
    </row>
    <row r="4822" spans="1:14" x14ac:dyDescent="0.25">
      <c r="A4822">
        <v>20160219</v>
      </c>
      <c r="B4822" t="str">
        <f t="shared" si="336"/>
        <v>062499</v>
      </c>
      <c r="C4822" t="str">
        <f t="shared" si="337"/>
        <v>80481</v>
      </c>
      <c r="D4822" t="s">
        <v>1935</v>
      </c>
      <c r="E4822" s="3">
        <v>74</v>
      </c>
      <c r="F4822">
        <v>20160218</v>
      </c>
      <c r="G4822" t="s">
        <v>1940</v>
      </c>
      <c r="H4822" t="s">
        <v>3676</v>
      </c>
      <c r="I4822">
        <v>0</v>
      </c>
      <c r="J4822" t="s">
        <v>1709</v>
      </c>
      <c r="K4822" t="s">
        <v>290</v>
      </c>
      <c r="L4822" t="s">
        <v>285</v>
      </c>
      <c r="M4822" t="str">
        <f t="shared" si="335"/>
        <v>02</v>
      </c>
      <c r="N4822" t="s">
        <v>12</v>
      </c>
    </row>
    <row r="4823" spans="1:14" x14ac:dyDescent="0.25">
      <c r="A4823">
        <v>20160219</v>
      </c>
      <c r="B4823" t="str">
        <f t="shared" si="336"/>
        <v>062499</v>
      </c>
      <c r="C4823" t="str">
        <f t="shared" si="337"/>
        <v>80481</v>
      </c>
      <c r="D4823" t="s">
        <v>1935</v>
      </c>
      <c r="E4823" s="3">
        <v>74</v>
      </c>
      <c r="F4823">
        <v>20160218</v>
      </c>
      <c r="G4823" t="s">
        <v>1940</v>
      </c>
      <c r="H4823" t="s">
        <v>3676</v>
      </c>
      <c r="I4823">
        <v>0</v>
      </c>
      <c r="J4823" t="s">
        <v>1709</v>
      </c>
      <c r="K4823" t="s">
        <v>290</v>
      </c>
      <c r="L4823" t="s">
        <v>285</v>
      </c>
      <c r="M4823" t="str">
        <f t="shared" si="335"/>
        <v>02</v>
      </c>
      <c r="N4823" t="s">
        <v>12</v>
      </c>
    </row>
    <row r="4824" spans="1:14" x14ac:dyDescent="0.25">
      <c r="A4824">
        <v>20160219</v>
      </c>
      <c r="B4824" t="str">
        <f t="shared" si="336"/>
        <v>062499</v>
      </c>
      <c r="C4824" t="str">
        <f t="shared" si="337"/>
        <v>80481</v>
      </c>
      <c r="D4824" t="s">
        <v>1935</v>
      </c>
      <c r="E4824" s="3">
        <v>4.5199999999999996</v>
      </c>
      <c r="F4824">
        <v>20160218</v>
      </c>
      <c r="G4824" t="s">
        <v>1941</v>
      </c>
      <c r="H4824" t="s">
        <v>4196</v>
      </c>
      <c r="I4824">
        <v>0</v>
      </c>
      <c r="J4824" t="s">
        <v>1709</v>
      </c>
      <c r="K4824" t="s">
        <v>1942</v>
      </c>
      <c r="L4824" t="s">
        <v>285</v>
      </c>
      <c r="M4824" t="str">
        <f t="shared" si="335"/>
        <v>02</v>
      </c>
      <c r="N4824" t="s">
        <v>12</v>
      </c>
    </row>
    <row r="4825" spans="1:14" x14ac:dyDescent="0.25">
      <c r="A4825">
        <v>20160219</v>
      </c>
      <c r="B4825" t="str">
        <f t="shared" si="336"/>
        <v>062499</v>
      </c>
      <c r="C4825" t="str">
        <f t="shared" si="337"/>
        <v>80481</v>
      </c>
      <c r="D4825" t="s">
        <v>1935</v>
      </c>
      <c r="E4825" s="3">
        <v>43.78</v>
      </c>
      <c r="F4825">
        <v>20160218</v>
      </c>
      <c r="G4825" t="s">
        <v>1941</v>
      </c>
      <c r="H4825" t="s">
        <v>3676</v>
      </c>
      <c r="I4825">
        <v>0</v>
      </c>
      <c r="J4825" t="s">
        <v>1709</v>
      </c>
      <c r="K4825" t="s">
        <v>1942</v>
      </c>
      <c r="L4825" t="s">
        <v>285</v>
      </c>
      <c r="M4825" t="str">
        <f t="shared" si="335"/>
        <v>02</v>
      </c>
      <c r="N4825" t="s">
        <v>12</v>
      </c>
    </row>
    <row r="4826" spans="1:14" x14ac:dyDescent="0.25">
      <c r="A4826">
        <v>20160219</v>
      </c>
      <c r="B4826" t="str">
        <f>"062501"</f>
        <v>062501</v>
      </c>
      <c r="C4826" t="str">
        <f>"82126"</f>
        <v>82126</v>
      </c>
      <c r="D4826" t="s">
        <v>1800</v>
      </c>
      <c r="E4826" s="3">
        <v>612</v>
      </c>
      <c r="F4826">
        <v>20160218</v>
      </c>
      <c r="G4826" t="s">
        <v>2188</v>
      </c>
      <c r="H4826" t="s">
        <v>4197</v>
      </c>
      <c r="I4826">
        <v>0</v>
      </c>
      <c r="J4826" t="s">
        <v>1709</v>
      </c>
      <c r="K4826" t="s">
        <v>95</v>
      </c>
      <c r="L4826" t="s">
        <v>285</v>
      </c>
      <c r="M4826" t="str">
        <f t="shared" si="335"/>
        <v>02</v>
      </c>
      <c r="N4826" t="s">
        <v>12</v>
      </c>
    </row>
    <row r="4827" spans="1:14" x14ac:dyDescent="0.25">
      <c r="A4827">
        <v>20160219</v>
      </c>
      <c r="B4827" t="str">
        <f>"062505"</f>
        <v>062505</v>
      </c>
      <c r="C4827" t="str">
        <f>"82374"</f>
        <v>82374</v>
      </c>
      <c r="D4827" t="s">
        <v>4198</v>
      </c>
      <c r="E4827" s="3">
        <v>144</v>
      </c>
      <c r="F4827">
        <v>20160218</v>
      </c>
      <c r="G4827" t="s">
        <v>3532</v>
      </c>
      <c r="H4827" t="s">
        <v>3533</v>
      </c>
      <c r="I4827">
        <v>0</v>
      </c>
      <c r="J4827" t="s">
        <v>1709</v>
      </c>
      <c r="K4827" t="s">
        <v>290</v>
      </c>
      <c r="L4827" t="s">
        <v>285</v>
      </c>
      <c r="M4827" t="str">
        <f t="shared" si="335"/>
        <v>02</v>
      </c>
      <c r="N4827" t="s">
        <v>12</v>
      </c>
    </row>
    <row r="4828" spans="1:14" x14ac:dyDescent="0.25">
      <c r="A4828">
        <v>20160219</v>
      </c>
      <c r="B4828" t="str">
        <f>"062505"</f>
        <v>062505</v>
      </c>
      <c r="C4828" t="str">
        <f>"82374"</f>
        <v>82374</v>
      </c>
      <c r="D4828" t="s">
        <v>4198</v>
      </c>
      <c r="E4828" s="3">
        <v>86.53</v>
      </c>
      <c r="F4828">
        <v>20160218</v>
      </c>
      <c r="G4828" t="s">
        <v>4199</v>
      </c>
      <c r="H4828" t="s">
        <v>3533</v>
      </c>
      <c r="I4828">
        <v>0</v>
      </c>
      <c r="J4828" t="s">
        <v>1709</v>
      </c>
      <c r="K4828" t="s">
        <v>290</v>
      </c>
      <c r="L4828" t="s">
        <v>285</v>
      </c>
      <c r="M4828" t="str">
        <f t="shared" si="335"/>
        <v>02</v>
      </c>
      <c r="N4828" t="s">
        <v>12</v>
      </c>
    </row>
    <row r="4829" spans="1:14" x14ac:dyDescent="0.25">
      <c r="A4829">
        <v>20160219</v>
      </c>
      <c r="B4829" t="str">
        <f>"062508"</f>
        <v>062508</v>
      </c>
      <c r="C4829" t="str">
        <f>"83007"</f>
        <v>83007</v>
      </c>
      <c r="D4829" t="s">
        <v>4200</v>
      </c>
      <c r="E4829" s="3">
        <v>315</v>
      </c>
      <c r="F4829">
        <v>20160218</v>
      </c>
      <c r="G4829" t="s">
        <v>2929</v>
      </c>
      <c r="H4829" t="s">
        <v>4095</v>
      </c>
      <c r="I4829">
        <v>0</v>
      </c>
      <c r="J4829" t="s">
        <v>1709</v>
      </c>
      <c r="K4829" t="s">
        <v>290</v>
      </c>
      <c r="L4829" t="s">
        <v>285</v>
      </c>
      <c r="M4829" t="str">
        <f t="shared" si="335"/>
        <v>02</v>
      </c>
      <c r="N4829" t="s">
        <v>12</v>
      </c>
    </row>
    <row r="4830" spans="1:14" x14ac:dyDescent="0.25">
      <c r="A4830">
        <v>20160219</v>
      </c>
      <c r="B4830" t="str">
        <f>"062511"</f>
        <v>062511</v>
      </c>
      <c r="C4830" t="str">
        <f>"24930"</f>
        <v>24930</v>
      </c>
      <c r="D4830" t="s">
        <v>4201</v>
      </c>
      <c r="E4830" s="3">
        <v>68.48</v>
      </c>
      <c r="F4830">
        <v>20160218</v>
      </c>
      <c r="G4830" t="s">
        <v>2025</v>
      </c>
      <c r="H4830" t="s">
        <v>2026</v>
      </c>
      <c r="I4830">
        <v>0</v>
      </c>
      <c r="J4830" t="s">
        <v>1709</v>
      </c>
      <c r="K4830" t="s">
        <v>1984</v>
      </c>
      <c r="L4830" t="s">
        <v>285</v>
      </c>
      <c r="M4830" t="str">
        <f t="shared" si="335"/>
        <v>02</v>
      </c>
      <c r="N4830" t="s">
        <v>12</v>
      </c>
    </row>
    <row r="4831" spans="1:14" x14ac:dyDescent="0.25">
      <c r="A4831">
        <v>20160304</v>
      </c>
      <c r="B4831" t="str">
        <f>"062517"</f>
        <v>062517</v>
      </c>
      <c r="C4831" t="str">
        <f>"03710"</f>
        <v>03710</v>
      </c>
      <c r="D4831" t="s">
        <v>1553</v>
      </c>
      <c r="E4831" s="3">
        <v>278</v>
      </c>
      <c r="F4831">
        <v>20160302</v>
      </c>
      <c r="G4831" t="s">
        <v>2303</v>
      </c>
      <c r="H4831" t="s">
        <v>2605</v>
      </c>
      <c r="I4831">
        <v>0</v>
      </c>
      <c r="J4831" t="s">
        <v>1709</v>
      </c>
      <c r="K4831" t="s">
        <v>235</v>
      </c>
      <c r="L4831" t="s">
        <v>285</v>
      </c>
      <c r="M4831" t="str">
        <f t="shared" ref="M4831:M4894" si="338">"03"</f>
        <v>03</v>
      </c>
      <c r="N4831" t="s">
        <v>12</v>
      </c>
    </row>
    <row r="4832" spans="1:14" x14ac:dyDescent="0.25">
      <c r="A4832">
        <v>20160304</v>
      </c>
      <c r="B4832" t="str">
        <f>"062517"</f>
        <v>062517</v>
      </c>
      <c r="C4832" t="str">
        <f>"03710"</f>
        <v>03710</v>
      </c>
      <c r="D4832" t="s">
        <v>1553</v>
      </c>
      <c r="E4832" s="3">
        <v>100.73</v>
      </c>
      <c r="F4832">
        <v>20160302</v>
      </c>
      <c r="G4832" t="s">
        <v>2047</v>
      </c>
      <c r="H4832" t="s">
        <v>595</v>
      </c>
      <c r="I4832">
        <v>0</v>
      </c>
      <c r="J4832" t="s">
        <v>1709</v>
      </c>
      <c r="K4832" t="s">
        <v>1882</v>
      </c>
      <c r="L4832" t="s">
        <v>285</v>
      </c>
      <c r="M4832" t="str">
        <f t="shared" si="338"/>
        <v>03</v>
      </c>
      <c r="N4832" t="s">
        <v>12</v>
      </c>
    </row>
    <row r="4833" spans="1:14" x14ac:dyDescent="0.25">
      <c r="A4833">
        <v>20160304</v>
      </c>
      <c r="B4833" t="str">
        <f>"062520"</f>
        <v>062520</v>
      </c>
      <c r="C4833" t="str">
        <f>"29779"</f>
        <v>29779</v>
      </c>
      <c r="D4833" t="s">
        <v>1806</v>
      </c>
      <c r="E4833" s="3">
        <v>718.74</v>
      </c>
      <c r="F4833">
        <v>20160302</v>
      </c>
      <c r="G4833" t="s">
        <v>2192</v>
      </c>
      <c r="H4833" t="s">
        <v>2051</v>
      </c>
      <c r="I4833">
        <v>0</v>
      </c>
      <c r="J4833" t="s">
        <v>1709</v>
      </c>
      <c r="K4833" t="s">
        <v>2194</v>
      </c>
      <c r="L4833" t="s">
        <v>285</v>
      </c>
      <c r="M4833" t="str">
        <f t="shared" si="338"/>
        <v>03</v>
      </c>
      <c r="N4833" t="s">
        <v>12</v>
      </c>
    </row>
    <row r="4834" spans="1:14" x14ac:dyDescent="0.25">
      <c r="A4834">
        <v>20160304</v>
      </c>
      <c r="B4834" t="str">
        <f>"062520"</f>
        <v>062520</v>
      </c>
      <c r="C4834" t="str">
        <f>"29779"</f>
        <v>29779</v>
      </c>
      <c r="D4834" t="s">
        <v>1806</v>
      </c>
      <c r="E4834" s="3">
        <v>1120</v>
      </c>
      <c r="F4834">
        <v>20160302</v>
      </c>
      <c r="G4834" t="s">
        <v>2192</v>
      </c>
      <c r="H4834" t="s">
        <v>4202</v>
      </c>
      <c r="I4834">
        <v>0</v>
      </c>
      <c r="J4834" t="s">
        <v>1709</v>
      </c>
      <c r="K4834" t="s">
        <v>2194</v>
      </c>
      <c r="L4834" t="s">
        <v>285</v>
      </c>
      <c r="M4834" t="str">
        <f t="shared" si="338"/>
        <v>03</v>
      </c>
      <c r="N4834" t="s">
        <v>12</v>
      </c>
    </row>
    <row r="4835" spans="1:14" x14ac:dyDescent="0.25">
      <c r="A4835">
        <v>20160304</v>
      </c>
      <c r="B4835" t="str">
        <f>"062522"</f>
        <v>062522</v>
      </c>
      <c r="C4835" t="str">
        <f>"03829"</f>
        <v>03829</v>
      </c>
      <c r="D4835" t="s">
        <v>1808</v>
      </c>
      <c r="E4835" s="3">
        <v>245.51</v>
      </c>
      <c r="F4835">
        <v>20160302</v>
      </c>
      <c r="G4835" t="s">
        <v>2427</v>
      </c>
      <c r="H4835" t="s">
        <v>4203</v>
      </c>
      <c r="I4835">
        <v>0</v>
      </c>
      <c r="J4835" t="s">
        <v>1709</v>
      </c>
      <c r="K4835" t="s">
        <v>1861</v>
      </c>
      <c r="L4835" t="s">
        <v>285</v>
      </c>
      <c r="M4835" t="str">
        <f t="shared" si="338"/>
        <v>03</v>
      </c>
      <c r="N4835" t="s">
        <v>12</v>
      </c>
    </row>
    <row r="4836" spans="1:14" x14ac:dyDescent="0.25">
      <c r="A4836">
        <v>20160304</v>
      </c>
      <c r="B4836" t="str">
        <f>"062522"</f>
        <v>062522</v>
      </c>
      <c r="C4836" t="str">
        <f>"03829"</f>
        <v>03829</v>
      </c>
      <c r="D4836" t="s">
        <v>1808</v>
      </c>
      <c r="E4836" s="3">
        <v>405.37</v>
      </c>
      <c r="F4836">
        <v>20160302</v>
      </c>
      <c r="G4836" t="s">
        <v>2427</v>
      </c>
      <c r="H4836" t="s">
        <v>4204</v>
      </c>
      <c r="I4836">
        <v>0</v>
      </c>
      <c r="J4836" t="s">
        <v>1709</v>
      </c>
      <c r="K4836" t="s">
        <v>1861</v>
      </c>
      <c r="L4836" t="s">
        <v>285</v>
      </c>
      <c r="M4836" t="str">
        <f t="shared" si="338"/>
        <v>03</v>
      </c>
      <c r="N4836" t="s">
        <v>12</v>
      </c>
    </row>
    <row r="4837" spans="1:14" x14ac:dyDescent="0.25">
      <c r="A4837">
        <v>20160304</v>
      </c>
      <c r="B4837" t="str">
        <f>"062524"</f>
        <v>062524</v>
      </c>
      <c r="C4837" t="str">
        <f>"06509"</f>
        <v>06509</v>
      </c>
      <c r="D4837" t="s">
        <v>1555</v>
      </c>
      <c r="E4837" s="3">
        <v>1546</v>
      </c>
      <c r="F4837">
        <v>20160302</v>
      </c>
      <c r="G4837" t="s">
        <v>2115</v>
      </c>
      <c r="H4837" t="s">
        <v>3644</v>
      </c>
      <c r="I4837">
        <v>0</v>
      </c>
      <c r="J4837" t="s">
        <v>1709</v>
      </c>
      <c r="K4837" t="s">
        <v>290</v>
      </c>
      <c r="L4837" t="s">
        <v>285</v>
      </c>
      <c r="M4837" t="str">
        <f t="shared" si="338"/>
        <v>03</v>
      </c>
      <c r="N4837" t="s">
        <v>12</v>
      </c>
    </row>
    <row r="4838" spans="1:14" x14ac:dyDescent="0.25">
      <c r="A4838">
        <v>20160304</v>
      </c>
      <c r="B4838" t="str">
        <f>"062526"</f>
        <v>062526</v>
      </c>
      <c r="C4838" t="str">
        <f>"06776"</f>
        <v>06776</v>
      </c>
      <c r="D4838" t="s">
        <v>2619</v>
      </c>
      <c r="E4838" s="3">
        <v>45</v>
      </c>
      <c r="F4838">
        <v>20160302</v>
      </c>
      <c r="G4838" t="s">
        <v>2620</v>
      </c>
      <c r="H4838" t="s">
        <v>4205</v>
      </c>
      <c r="I4838">
        <v>0</v>
      </c>
      <c r="J4838" t="s">
        <v>1709</v>
      </c>
      <c r="K4838" t="s">
        <v>290</v>
      </c>
      <c r="L4838" t="s">
        <v>285</v>
      </c>
      <c r="M4838" t="str">
        <f t="shared" si="338"/>
        <v>03</v>
      </c>
      <c r="N4838" t="s">
        <v>12</v>
      </c>
    </row>
    <row r="4839" spans="1:14" x14ac:dyDescent="0.25">
      <c r="A4839">
        <v>20160304</v>
      </c>
      <c r="B4839" t="str">
        <f>"062527"</f>
        <v>062527</v>
      </c>
      <c r="C4839" t="str">
        <f>"06893"</f>
        <v>06893</v>
      </c>
      <c r="D4839" t="s">
        <v>1956</v>
      </c>
      <c r="E4839" s="3">
        <v>14.27</v>
      </c>
      <c r="F4839">
        <v>20160302</v>
      </c>
      <c r="G4839" t="s">
        <v>2320</v>
      </c>
      <c r="H4839" t="s">
        <v>3531</v>
      </c>
      <c r="I4839">
        <v>0</v>
      </c>
      <c r="J4839" t="s">
        <v>1709</v>
      </c>
      <c r="K4839" t="s">
        <v>290</v>
      </c>
      <c r="L4839" t="s">
        <v>285</v>
      </c>
      <c r="M4839" t="str">
        <f t="shared" si="338"/>
        <v>03</v>
      </c>
      <c r="N4839" t="s">
        <v>12</v>
      </c>
    </row>
    <row r="4840" spans="1:14" x14ac:dyDescent="0.25">
      <c r="A4840">
        <v>20160304</v>
      </c>
      <c r="B4840" t="str">
        <f>"062528"</f>
        <v>062528</v>
      </c>
      <c r="C4840" t="str">
        <f>"00390"</f>
        <v>00390</v>
      </c>
      <c r="D4840" t="s">
        <v>1717</v>
      </c>
      <c r="E4840" s="3">
        <v>6028.25</v>
      </c>
      <c r="F4840">
        <v>20160302</v>
      </c>
      <c r="G4840" t="s">
        <v>2217</v>
      </c>
      <c r="H4840" t="s">
        <v>4206</v>
      </c>
      <c r="I4840">
        <v>0</v>
      </c>
      <c r="J4840" t="s">
        <v>1709</v>
      </c>
      <c r="K4840" t="s">
        <v>1984</v>
      </c>
      <c r="L4840" t="s">
        <v>285</v>
      </c>
      <c r="M4840" t="str">
        <f t="shared" si="338"/>
        <v>03</v>
      </c>
      <c r="N4840" t="s">
        <v>12</v>
      </c>
    </row>
    <row r="4841" spans="1:14" x14ac:dyDescent="0.25">
      <c r="A4841">
        <v>20160304</v>
      </c>
      <c r="B4841" t="str">
        <f>"062529"</f>
        <v>062529</v>
      </c>
      <c r="C4841" t="str">
        <f>"00392"</f>
        <v>00392</v>
      </c>
      <c r="D4841" t="s">
        <v>1717</v>
      </c>
      <c r="E4841" s="3">
        <v>461.68</v>
      </c>
      <c r="F4841">
        <v>20160302</v>
      </c>
      <c r="G4841" t="s">
        <v>2219</v>
      </c>
      <c r="H4841" t="s">
        <v>4206</v>
      </c>
      <c r="I4841">
        <v>0</v>
      </c>
      <c r="J4841" t="s">
        <v>1709</v>
      </c>
      <c r="K4841" t="s">
        <v>1984</v>
      </c>
      <c r="L4841" t="s">
        <v>285</v>
      </c>
      <c r="M4841" t="str">
        <f t="shared" si="338"/>
        <v>03</v>
      </c>
      <c r="N4841" t="s">
        <v>12</v>
      </c>
    </row>
    <row r="4842" spans="1:14" x14ac:dyDescent="0.25">
      <c r="A4842">
        <v>20160304</v>
      </c>
      <c r="B4842" t="str">
        <f t="shared" ref="B4842:B4867" si="339">"062531"</f>
        <v>062531</v>
      </c>
      <c r="C4842" t="str">
        <f t="shared" ref="C4842:C4867" si="340">"09170"</f>
        <v>09170</v>
      </c>
      <c r="D4842" t="s">
        <v>596</v>
      </c>
      <c r="E4842" s="3">
        <v>170.75</v>
      </c>
      <c r="F4842">
        <v>20160302</v>
      </c>
      <c r="G4842" t="s">
        <v>2731</v>
      </c>
      <c r="H4842" t="s">
        <v>4207</v>
      </c>
      <c r="I4842">
        <v>0</v>
      </c>
      <c r="J4842" t="s">
        <v>1709</v>
      </c>
      <c r="K4842" t="s">
        <v>290</v>
      </c>
      <c r="L4842" t="s">
        <v>285</v>
      </c>
      <c r="M4842" t="str">
        <f t="shared" si="338"/>
        <v>03</v>
      </c>
      <c r="N4842" t="s">
        <v>12</v>
      </c>
    </row>
    <row r="4843" spans="1:14" x14ac:dyDescent="0.25">
      <c r="A4843">
        <v>20160304</v>
      </c>
      <c r="B4843" t="str">
        <f t="shared" si="339"/>
        <v>062531</v>
      </c>
      <c r="C4843" t="str">
        <f t="shared" si="340"/>
        <v>09170</v>
      </c>
      <c r="D4843" t="s">
        <v>596</v>
      </c>
      <c r="E4843" s="3">
        <v>457.49</v>
      </c>
      <c r="F4843">
        <v>20160302</v>
      </c>
      <c r="G4843" t="s">
        <v>4208</v>
      </c>
      <c r="H4843" t="s">
        <v>3955</v>
      </c>
      <c r="I4843">
        <v>0</v>
      </c>
      <c r="J4843" t="s">
        <v>1709</v>
      </c>
      <c r="K4843" t="s">
        <v>290</v>
      </c>
      <c r="L4843" t="s">
        <v>285</v>
      </c>
      <c r="M4843" t="str">
        <f t="shared" si="338"/>
        <v>03</v>
      </c>
      <c r="N4843" t="s">
        <v>12</v>
      </c>
    </row>
    <row r="4844" spans="1:14" x14ac:dyDescent="0.25">
      <c r="A4844">
        <v>20160304</v>
      </c>
      <c r="B4844" t="str">
        <f t="shared" si="339"/>
        <v>062531</v>
      </c>
      <c r="C4844" t="str">
        <f t="shared" si="340"/>
        <v>09170</v>
      </c>
      <c r="D4844" t="s">
        <v>596</v>
      </c>
      <c r="E4844" s="3">
        <v>18.760000000000002</v>
      </c>
      <c r="F4844">
        <v>20160302</v>
      </c>
      <c r="G4844" t="s">
        <v>3888</v>
      </c>
      <c r="H4844" t="s">
        <v>4209</v>
      </c>
      <c r="I4844">
        <v>0</v>
      </c>
      <c r="J4844" t="s">
        <v>1709</v>
      </c>
      <c r="K4844" t="s">
        <v>95</v>
      </c>
      <c r="L4844" t="s">
        <v>285</v>
      </c>
      <c r="M4844" t="str">
        <f t="shared" si="338"/>
        <v>03</v>
      </c>
      <c r="N4844" t="s">
        <v>12</v>
      </c>
    </row>
    <row r="4845" spans="1:14" x14ac:dyDescent="0.25">
      <c r="A4845">
        <v>20160304</v>
      </c>
      <c r="B4845" t="str">
        <f t="shared" si="339"/>
        <v>062531</v>
      </c>
      <c r="C4845" t="str">
        <f t="shared" si="340"/>
        <v>09170</v>
      </c>
      <c r="D4845" t="s">
        <v>596</v>
      </c>
      <c r="E4845" s="3">
        <v>80</v>
      </c>
      <c r="F4845">
        <v>20160302</v>
      </c>
      <c r="G4845" t="s">
        <v>1758</v>
      </c>
      <c r="H4845" t="s">
        <v>4210</v>
      </c>
      <c r="I4845">
        <v>0</v>
      </c>
      <c r="J4845" t="s">
        <v>1709</v>
      </c>
      <c r="K4845" t="s">
        <v>1643</v>
      </c>
      <c r="L4845" t="s">
        <v>285</v>
      </c>
      <c r="M4845" t="str">
        <f t="shared" si="338"/>
        <v>03</v>
      </c>
      <c r="N4845" t="s">
        <v>12</v>
      </c>
    </row>
    <row r="4846" spans="1:14" x14ac:dyDescent="0.25">
      <c r="A4846">
        <v>20160304</v>
      </c>
      <c r="B4846" t="str">
        <f t="shared" si="339"/>
        <v>062531</v>
      </c>
      <c r="C4846" t="str">
        <f t="shared" si="340"/>
        <v>09170</v>
      </c>
      <c r="D4846" t="s">
        <v>596</v>
      </c>
      <c r="E4846" s="3">
        <v>108.97</v>
      </c>
      <c r="F4846">
        <v>20160302</v>
      </c>
      <c r="G4846" t="s">
        <v>3185</v>
      </c>
      <c r="H4846" t="s">
        <v>4211</v>
      </c>
      <c r="I4846">
        <v>0</v>
      </c>
      <c r="J4846" t="s">
        <v>1709</v>
      </c>
      <c r="K4846" t="s">
        <v>290</v>
      </c>
      <c r="L4846" t="s">
        <v>285</v>
      </c>
      <c r="M4846" t="str">
        <f t="shared" si="338"/>
        <v>03</v>
      </c>
      <c r="N4846" t="s">
        <v>12</v>
      </c>
    </row>
    <row r="4847" spans="1:14" x14ac:dyDescent="0.25">
      <c r="A4847">
        <v>20160304</v>
      </c>
      <c r="B4847" t="str">
        <f t="shared" si="339"/>
        <v>062531</v>
      </c>
      <c r="C4847" t="str">
        <f t="shared" si="340"/>
        <v>09170</v>
      </c>
      <c r="D4847" t="s">
        <v>596</v>
      </c>
      <c r="E4847" s="3">
        <v>1422</v>
      </c>
      <c r="F4847">
        <v>20160303</v>
      </c>
      <c r="G4847" t="s">
        <v>1732</v>
      </c>
      <c r="H4847" t="s">
        <v>4212</v>
      </c>
      <c r="I4847">
        <v>0</v>
      </c>
      <c r="J4847" t="s">
        <v>1709</v>
      </c>
      <c r="K4847" t="s">
        <v>290</v>
      </c>
      <c r="L4847" t="s">
        <v>285</v>
      </c>
      <c r="M4847" t="str">
        <f t="shared" si="338"/>
        <v>03</v>
      </c>
      <c r="N4847" t="s">
        <v>12</v>
      </c>
    </row>
    <row r="4848" spans="1:14" x14ac:dyDescent="0.25">
      <c r="A4848">
        <v>20160304</v>
      </c>
      <c r="B4848" t="str">
        <f t="shared" si="339"/>
        <v>062531</v>
      </c>
      <c r="C4848" t="str">
        <f t="shared" si="340"/>
        <v>09170</v>
      </c>
      <c r="D4848" t="s">
        <v>596</v>
      </c>
      <c r="E4848" s="3">
        <v>1066.5</v>
      </c>
      <c r="F4848">
        <v>20160303</v>
      </c>
      <c r="G4848" t="s">
        <v>1794</v>
      </c>
      <c r="H4848" t="s">
        <v>4212</v>
      </c>
      <c r="I4848">
        <v>0</v>
      </c>
      <c r="J4848" t="s">
        <v>1709</v>
      </c>
      <c r="K4848" t="s">
        <v>290</v>
      </c>
      <c r="L4848" t="s">
        <v>285</v>
      </c>
      <c r="M4848" t="str">
        <f t="shared" si="338"/>
        <v>03</v>
      </c>
      <c r="N4848" t="s">
        <v>12</v>
      </c>
    </row>
    <row r="4849" spans="1:14" x14ac:dyDescent="0.25">
      <c r="A4849">
        <v>20160304</v>
      </c>
      <c r="B4849" t="str">
        <f t="shared" si="339"/>
        <v>062531</v>
      </c>
      <c r="C4849" t="str">
        <f t="shared" si="340"/>
        <v>09170</v>
      </c>
      <c r="D4849" t="s">
        <v>596</v>
      </c>
      <c r="E4849" s="3">
        <v>14.65</v>
      </c>
      <c r="F4849">
        <v>20160302</v>
      </c>
      <c r="G4849" t="s">
        <v>1961</v>
      </c>
      <c r="H4849" t="s">
        <v>4213</v>
      </c>
      <c r="I4849">
        <v>0</v>
      </c>
      <c r="J4849" t="s">
        <v>1709</v>
      </c>
      <c r="K4849" t="s">
        <v>290</v>
      </c>
      <c r="L4849" t="s">
        <v>285</v>
      </c>
      <c r="M4849" t="str">
        <f t="shared" si="338"/>
        <v>03</v>
      </c>
      <c r="N4849" t="s">
        <v>12</v>
      </c>
    </row>
    <row r="4850" spans="1:14" x14ac:dyDescent="0.25">
      <c r="A4850">
        <v>20160304</v>
      </c>
      <c r="B4850" t="str">
        <f t="shared" si="339"/>
        <v>062531</v>
      </c>
      <c r="C4850" t="str">
        <f t="shared" si="340"/>
        <v>09170</v>
      </c>
      <c r="D4850" t="s">
        <v>596</v>
      </c>
      <c r="E4850" s="3">
        <v>4.66</v>
      </c>
      <c r="F4850">
        <v>20160302</v>
      </c>
      <c r="G4850" t="s">
        <v>1961</v>
      </c>
      <c r="H4850" t="s">
        <v>4213</v>
      </c>
      <c r="I4850">
        <v>0</v>
      </c>
      <c r="J4850" t="s">
        <v>1709</v>
      </c>
      <c r="K4850" t="s">
        <v>290</v>
      </c>
      <c r="L4850" t="s">
        <v>285</v>
      </c>
      <c r="M4850" t="str">
        <f t="shared" si="338"/>
        <v>03</v>
      </c>
      <c r="N4850" t="s">
        <v>12</v>
      </c>
    </row>
    <row r="4851" spans="1:14" x14ac:dyDescent="0.25">
      <c r="A4851">
        <v>20160304</v>
      </c>
      <c r="B4851" t="str">
        <f t="shared" si="339"/>
        <v>062531</v>
      </c>
      <c r="C4851" t="str">
        <f t="shared" si="340"/>
        <v>09170</v>
      </c>
      <c r="D4851" t="s">
        <v>596</v>
      </c>
      <c r="E4851" s="3">
        <v>9.99</v>
      </c>
      <c r="F4851">
        <v>20160302</v>
      </c>
      <c r="G4851" t="s">
        <v>1961</v>
      </c>
      <c r="H4851" t="s">
        <v>4213</v>
      </c>
      <c r="I4851">
        <v>0</v>
      </c>
      <c r="J4851" t="s">
        <v>1709</v>
      </c>
      <c r="K4851" t="s">
        <v>290</v>
      </c>
      <c r="L4851" t="s">
        <v>285</v>
      </c>
      <c r="M4851" t="str">
        <f t="shared" si="338"/>
        <v>03</v>
      </c>
      <c r="N4851" t="s">
        <v>12</v>
      </c>
    </row>
    <row r="4852" spans="1:14" x14ac:dyDescent="0.25">
      <c r="A4852">
        <v>20160304</v>
      </c>
      <c r="B4852" t="str">
        <f t="shared" si="339"/>
        <v>062531</v>
      </c>
      <c r="C4852" t="str">
        <f t="shared" si="340"/>
        <v>09170</v>
      </c>
      <c r="D4852" t="s">
        <v>596</v>
      </c>
      <c r="E4852" s="3">
        <v>274</v>
      </c>
      <c r="F4852">
        <v>20160302</v>
      </c>
      <c r="G4852" t="s">
        <v>3127</v>
      </c>
      <c r="H4852" t="s">
        <v>3932</v>
      </c>
      <c r="I4852">
        <v>0</v>
      </c>
      <c r="J4852" t="s">
        <v>1709</v>
      </c>
      <c r="K4852" t="s">
        <v>95</v>
      </c>
      <c r="L4852" t="s">
        <v>285</v>
      </c>
      <c r="M4852" t="str">
        <f t="shared" si="338"/>
        <v>03</v>
      </c>
      <c r="N4852" t="s">
        <v>12</v>
      </c>
    </row>
    <row r="4853" spans="1:14" x14ac:dyDescent="0.25">
      <c r="A4853">
        <v>20160304</v>
      </c>
      <c r="B4853" t="str">
        <f t="shared" si="339"/>
        <v>062531</v>
      </c>
      <c r="C4853" t="str">
        <f t="shared" si="340"/>
        <v>09170</v>
      </c>
      <c r="D4853" t="s">
        <v>596</v>
      </c>
      <c r="E4853" s="3">
        <v>355.5</v>
      </c>
      <c r="F4853">
        <v>20160303</v>
      </c>
      <c r="G4853" t="s">
        <v>4214</v>
      </c>
      <c r="H4853" t="s">
        <v>4212</v>
      </c>
      <c r="I4853">
        <v>0</v>
      </c>
      <c r="J4853" t="s">
        <v>1709</v>
      </c>
      <c r="K4853" t="s">
        <v>1643</v>
      </c>
      <c r="L4853" t="s">
        <v>285</v>
      </c>
      <c r="M4853" t="str">
        <f t="shared" si="338"/>
        <v>03</v>
      </c>
      <c r="N4853" t="s">
        <v>12</v>
      </c>
    </row>
    <row r="4854" spans="1:14" x14ac:dyDescent="0.25">
      <c r="A4854">
        <v>20160304</v>
      </c>
      <c r="B4854" t="str">
        <f t="shared" si="339"/>
        <v>062531</v>
      </c>
      <c r="C4854" t="str">
        <f t="shared" si="340"/>
        <v>09170</v>
      </c>
      <c r="D4854" t="s">
        <v>596</v>
      </c>
      <c r="E4854" s="3">
        <v>80.12</v>
      </c>
      <c r="F4854">
        <v>20160302</v>
      </c>
      <c r="G4854" t="s">
        <v>2339</v>
      </c>
      <c r="H4854" t="s">
        <v>4215</v>
      </c>
      <c r="I4854">
        <v>0</v>
      </c>
      <c r="J4854" t="s">
        <v>1709</v>
      </c>
      <c r="K4854" t="s">
        <v>290</v>
      </c>
      <c r="L4854" t="s">
        <v>285</v>
      </c>
      <c r="M4854" t="str">
        <f t="shared" si="338"/>
        <v>03</v>
      </c>
      <c r="N4854" t="s">
        <v>12</v>
      </c>
    </row>
    <row r="4855" spans="1:14" x14ac:dyDescent="0.25">
      <c r="A4855">
        <v>20160304</v>
      </c>
      <c r="B4855" t="str">
        <f t="shared" si="339"/>
        <v>062531</v>
      </c>
      <c r="C4855" t="str">
        <f t="shared" si="340"/>
        <v>09170</v>
      </c>
      <c r="D4855" t="s">
        <v>596</v>
      </c>
      <c r="E4855" s="3">
        <v>18.760000000000002</v>
      </c>
      <c r="F4855">
        <v>20160302</v>
      </c>
      <c r="G4855" t="s">
        <v>2339</v>
      </c>
      <c r="H4855" t="s">
        <v>4209</v>
      </c>
      <c r="I4855">
        <v>0</v>
      </c>
      <c r="J4855" t="s">
        <v>1709</v>
      </c>
      <c r="K4855" t="s">
        <v>290</v>
      </c>
      <c r="L4855" t="s">
        <v>285</v>
      </c>
      <c r="M4855" t="str">
        <f t="shared" si="338"/>
        <v>03</v>
      </c>
      <c r="N4855" t="s">
        <v>12</v>
      </c>
    </row>
    <row r="4856" spans="1:14" x14ac:dyDescent="0.25">
      <c r="A4856">
        <v>20160304</v>
      </c>
      <c r="B4856" t="str">
        <f t="shared" si="339"/>
        <v>062531</v>
      </c>
      <c r="C4856" t="str">
        <f t="shared" si="340"/>
        <v>09170</v>
      </c>
      <c r="D4856" t="s">
        <v>596</v>
      </c>
      <c r="E4856" s="3">
        <v>917.95</v>
      </c>
      <c r="F4856">
        <v>20160302</v>
      </c>
      <c r="G4856" t="s">
        <v>2339</v>
      </c>
      <c r="H4856" t="s">
        <v>4216</v>
      </c>
      <c r="I4856">
        <v>0</v>
      </c>
      <c r="J4856" t="s">
        <v>1709</v>
      </c>
      <c r="K4856" t="s">
        <v>290</v>
      </c>
      <c r="L4856" t="s">
        <v>285</v>
      </c>
      <c r="M4856" t="str">
        <f t="shared" si="338"/>
        <v>03</v>
      </c>
      <c r="N4856" t="s">
        <v>12</v>
      </c>
    </row>
    <row r="4857" spans="1:14" x14ac:dyDescent="0.25">
      <c r="A4857">
        <v>20160304</v>
      </c>
      <c r="B4857" t="str">
        <f t="shared" si="339"/>
        <v>062531</v>
      </c>
      <c r="C4857" t="str">
        <f t="shared" si="340"/>
        <v>09170</v>
      </c>
      <c r="D4857" t="s">
        <v>596</v>
      </c>
      <c r="E4857" s="3">
        <v>6.88</v>
      </c>
      <c r="F4857">
        <v>20160302</v>
      </c>
      <c r="G4857" t="s">
        <v>2339</v>
      </c>
      <c r="H4857" t="s">
        <v>4217</v>
      </c>
      <c r="I4857">
        <v>0</v>
      </c>
      <c r="J4857" t="s">
        <v>1709</v>
      </c>
      <c r="K4857" t="s">
        <v>290</v>
      </c>
      <c r="L4857" t="s">
        <v>285</v>
      </c>
      <c r="M4857" t="str">
        <f t="shared" si="338"/>
        <v>03</v>
      </c>
      <c r="N4857" t="s">
        <v>12</v>
      </c>
    </row>
    <row r="4858" spans="1:14" x14ac:dyDescent="0.25">
      <c r="A4858">
        <v>20160304</v>
      </c>
      <c r="B4858" t="str">
        <f t="shared" si="339"/>
        <v>062531</v>
      </c>
      <c r="C4858" t="str">
        <f t="shared" si="340"/>
        <v>09170</v>
      </c>
      <c r="D4858" t="s">
        <v>596</v>
      </c>
      <c r="E4858" s="3">
        <v>141.88999999999999</v>
      </c>
      <c r="F4858">
        <v>20160302</v>
      </c>
      <c r="G4858" t="s">
        <v>2339</v>
      </c>
      <c r="H4858" t="s">
        <v>4218</v>
      </c>
      <c r="I4858">
        <v>0</v>
      </c>
      <c r="J4858" t="s">
        <v>1709</v>
      </c>
      <c r="K4858" t="s">
        <v>290</v>
      </c>
      <c r="L4858" t="s">
        <v>285</v>
      </c>
      <c r="M4858" t="str">
        <f t="shared" si="338"/>
        <v>03</v>
      </c>
      <c r="N4858" t="s">
        <v>12</v>
      </c>
    </row>
    <row r="4859" spans="1:14" x14ac:dyDescent="0.25">
      <c r="A4859">
        <v>20160304</v>
      </c>
      <c r="B4859" t="str">
        <f t="shared" si="339"/>
        <v>062531</v>
      </c>
      <c r="C4859" t="str">
        <f t="shared" si="340"/>
        <v>09170</v>
      </c>
      <c r="D4859" t="s">
        <v>596</v>
      </c>
      <c r="E4859" s="3">
        <v>-6.11</v>
      </c>
      <c r="F4859">
        <v>20160203</v>
      </c>
      <c r="G4859" t="s">
        <v>2339</v>
      </c>
      <c r="H4859" t="s">
        <v>4219</v>
      </c>
      <c r="I4859">
        <v>0</v>
      </c>
      <c r="J4859" t="s">
        <v>1709</v>
      </c>
      <c r="K4859" t="s">
        <v>290</v>
      </c>
      <c r="L4859" t="s">
        <v>1385</v>
      </c>
      <c r="M4859" t="str">
        <f t="shared" si="338"/>
        <v>03</v>
      </c>
      <c r="N4859" t="s">
        <v>12</v>
      </c>
    </row>
    <row r="4860" spans="1:14" x14ac:dyDescent="0.25">
      <c r="A4860">
        <v>20160304</v>
      </c>
      <c r="B4860" t="str">
        <f t="shared" si="339"/>
        <v>062531</v>
      </c>
      <c r="C4860" t="str">
        <f t="shared" si="340"/>
        <v>09170</v>
      </c>
      <c r="D4860" t="s">
        <v>596</v>
      </c>
      <c r="E4860" s="3">
        <v>-35.590000000000003</v>
      </c>
      <c r="F4860">
        <v>20160205</v>
      </c>
      <c r="G4860" t="s">
        <v>2339</v>
      </c>
      <c r="H4860" t="s">
        <v>4220</v>
      </c>
      <c r="I4860">
        <v>0</v>
      </c>
      <c r="J4860" t="s">
        <v>1709</v>
      </c>
      <c r="K4860" t="s">
        <v>290</v>
      </c>
      <c r="L4860" t="s">
        <v>1385</v>
      </c>
      <c r="M4860" t="str">
        <f t="shared" si="338"/>
        <v>03</v>
      </c>
      <c r="N4860" t="s">
        <v>12</v>
      </c>
    </row>
    <row r="4861" spans="1:14" x14ac:dyDescent="0.25">
      <c r="A4861">
        <v>20160304</v>
      </c>
      <c r="B4861" t="str">
        <f t="shared" si="339"/>
        <v>062531</v>
      </c>
      <c r="C4861" t="str">
        <f t="shared" si="340"/>
        <v>09170</v>
      </c>
      <c r="D4861" t="s">
        <v>596</v>
      </c>
      <c r="E4861" s="3">
        <v>2823.76</v>
      </c>
      <c r="F4861">
        <v>20160302</v>
      </c>
      <c r="G4861" t="s">
        <v>3280</v>
      </c>
      <c r="H4861" t="s">
        <v>4157</v>
      </c>
      <c r="I4861">
        <v>0</v>
      </c>
      <c r="J4861" t="s">
        <v>1709</v>
      </c>
      <c r="K4861" t="s">
        <v>290</v>
      </c>
      <c r="L4861" t="s">
        <v>285</v>
      </c>
      <c r="M4861" t="str">
        <f t="shared" si="338"/>
        <v>03</v>
      </c>
      <c r="N4861" t="s">
        <v>12</v>
      </c>
    </row>
    <row r="4862" spans="1:14" x14ac:dyDescent="0.25">
      <c r="A4862">
        <v>20160304</v>
      </c>
      <c r="B4862" t="str">
        <f t="shared" si="339"/>
        <v>062531</v>
      </c>
      <c r="C4862" t="str">
        <f t="shared" si="340"/>
        <v>09170</v>
      </c>
      <c r="D4862" t="s">
        <v>596</v>
      </c>
      <c r="E4862" s="3">
        <v>60</v>
      </c>
      <c r="F4862">
        <v>20160302</v>
      </c>
      <c r="G4862" t="s">
        <v>2188</v>
      </c>
      <c r="H4862" t="s">
        <v>4221</v>
      </c>
      <c r="I4862">
        <v>0</v>
      </c>
      <c r="J4862" t="s">
        <v>1709</v>
      </c>
      <c r="K4862" t="s">
        <v>95</v>
      </c>
      <c r="L4862" t="s">
        <v>285</v>
      </c>
      <c r="M4862" t="str">
        <f t="shared" si="338"/>
        <v>03</v>
      </c>
      <c r="N4862" t="s">
        <v>12</v>
      </c>
    </row>
    <row r="4863" spans="1:14" x14ac:dyDescent="0.25">
      <c r="A4863">
        <v>20160304</v>
      </c>
      <c r="B4863" t="str">
        <f t="shared" si="339"/>
        <v>062531</v>
      </c>
      <c r="C4863" t="str">
        <f t="shared" si="340"/>
        <v>09170</v>
      </c>
      <c r="D4863" t="s">
        <v>596</v>
      </c>
      <c r="E4863" s="3">
        <v>7.4</v>
      </c>
      <c r="F4863">
        <v>20160302</v>
      </c>
      <c r="G4863" t="s">
        <v>2074</v>
      </c>
      <c r="H4863" t="s">
        <v>4222</v>
      </c>
      <c r="I4863">
        <v>0</v>
      </c>
      <c r="J4863" t="s">
        <v>1709</v>
      </c>
      <c r="K4863" t="s">
        <v>1861</v>
      </c>
      <c r="L4863" t="s">
        <v>285</v>
      </c>
      <c r="M4863" t="str">
        <f t="shared" si="338"/>
        <v>03</v>
      </c>
      <c r="N4863" t="s">
        <v>12</v>
      </c>
    </row>
    <row r="4864" spans="1:14" x14ac:dyDescent="0.25">
      <c r="A4864">
        <v>20160304</v>
      </c>
      <c r="B4864" t="str">
        <f t="shared" si="339"/>
        <v>062531</v>
      </c>
      <c r="C4864" t="str">
        <f t="shared" si="340"/>
        <v>09170</v>
      </c>
      <c r="D4864" t="s">
        <v>596</v>
      </c>
      <c r="E4864" s="3">
        <v>1252.5999999999999</v>
      </c>
      <c r="F4864">
        <v>20160302</v>
      </c>
      <c r="G4864" t="s">
        <v>2074</v>
      </c>
      <c r="H4864" t="s">
        <v>4223</v>
      </c>
      <c r="I4864">
        <v>0</v>
      </c>
      <c r="J4864" t="s">
        <v>1709</v>
      </c>
      <c r="K4864" t="s">
        <v>1861</v>
      </c>
      <c r="L4864" t="s">
        <v>285</v>
      </c>
      <c r="M4864" t="str">
        <f t="shared" si="338"/>
        <v>03</v>
      </c>
      <c r="N4864" t="s">
        <v>12</v>
      </c>
    </row>
    <row r="4865" spans="1:14" x14ac:dyDescent="0.25">
      <c r="A4865">
        <v>20160304</v>
      </c>
      <c r="B4865" t="str">
        <f t="shared" si="339"/>
        <v>062531</v>
      </c>
      <c r="C4865" t="str">
        <f t="shared" si="340"/>
        <v>09170</v>
      </c>
      <c r="D4865" t="s">
        <v>596</v>
      </c>
      <c r="E4865" s="3">
        <v>175</v>
      </c>
      <c r="F4865">
        <v>20160302</v>
      </c>
      <c r="G4865" t="s">
        <v>3200</v>
      </c>
      <c r="H4865" t="s">
        <v>4224</v>
      </c>
      <c r="I4865">
        <v>0</v>
      </c>
      <c r="J4865" t="s">
        <v>1709</v>
      </c>
      <c r="K4865" t="s">
        <v>1861</v>
      </c>
      <c r="L4865" t="s">
        <v>285</v>
      </c>
      <c r="M4865" t="str">
        <f t="shared" si="338"/>
        <v>03</v>
      </c>
      <c r="N4865" t="s">
        <v>12</v>
      </c>
    </row>
    <row r="4866" spans="1:14" x14ac:dyDescent="0.25">
      <c r="A4866">
        <v>20160304</v>
      </c>
      <c r="B4866" t="str">
        <f t="shared" si="339"/>
        <v>062531</v>
      </c>
      <c r="C4866" t="str">
        <f t="shared" si="340"/>
        <v>09170</v>
      </c>
      <c r="D4866" t="s">
        <v>596</v>
      </c>
      <c r="E4866" s="3">
        <v>448</v>
      </c>
      <c r="F4866">
        <v>20160302</v>
      </c>
      <c r="G4866" t="s">
        <v>2306</v>
      </c>
      <c r="H4866" t="s">
        <v>4225</v>
      </c>
      <c r="I4866">
        <v>0</v>
      </c>
      <c r="J4866" t="s">
        <v>1709</v>
      </c>
      <c r="K4866" t="s">
        <v>1861</v>
      </c>
      <c r="L4866" t="s">
        <v>285</v>
      </c>
      <c r="M4866" t="str">
        <f t="shared" si="338"/>
        <v>03</v>
      </c>
      <c r="N4866" t="s">
        <v>12</v>
      </c>
    </row>
    <row r="4867" spans="1:14" x14ac:dyDescent="0.25">
      <c r="A4867">
        <v>20160304</v>
      </c>
      <c r="B4867" t="str">
        <f t="shared" si="339"/>
        <v>062531</v>
      </c>
      <c r="C4867" t="str">
        <f t="shared" si="340"/>
        <v>09170</v>
      </c>
      <c r="D4867" t="s">
        <v>596</v>
      </c>
      <c r="E4867" s="3">
        <v>1664.95</v>
      </c>
      <c r="F4867">
        <v>20160302</v>
      </c>
      <c r="G4867" t="s">
        <v>2306</v>
      </c>
      <c r="H4867" t="s">
        <v>4226</v>
      </c>
      <c r="I4867">
        <v>0</v>
      </c>
      <c r="J4867" t="s">
        <v>1709</v>
      </c>
      <c r="K4867" t="s">
        <v>1861</v>
      </c>
      <c r="L4867" t="s">
        <v>285</v>
      </c>
      <c r="M4867" t="str">
        <f t="shared" si="338"/>
        <v>03</v>
      </c>
      <c r="N4867" t="s">
        <v>12</v>
      </c>
    </row>
    <row r="4868" spans="1:14" x14ac:dyDescent="0.25">
      <c r="A4868">
        <v>20160304</v>
      </c>
      <c r="B4868" t="str">
        <f>"062533"</f>
        <v>062533</v>
      </c>
      <c r="C4868" t="str">
        <f>"10063"</f>
        <v>10063</v>
      </c>
      <c r="D4868" t="s">
        <v>1816</v>
      </c>
      <c r="E4868" s="3">
        <v>32.659999999999997</v>
      </c>
      <c r="F4868">
        <v>20160303</v>
      </c>
      <c r="G4868" t="s">
        <v>1961</v>
      </c>
      <c r="H4868" t="s">
        <v>4095</v>
      </c>
      <c r="I4868">
        <v>0</v>
      </c>
      <c r="J4868" t="s">
        <v>1709</v>
      </c>
      <c r="K4868" t="s">
        <v>290</v>
      </c>
      <c r="L4868" t="s">
        <v>285</v>
      </c>
      <c r="M4868" t="str">
        <f t="shared" si="338"/>
        <v>03</v>
      </c>
      <c r="N4868" t="s">
        <v>12</v>
      </c>
    </row>
    <row r="4869" spans="1:14" x14ac:dyDescent="0.25">
      <c r="A4869">
        <v>20160304</v>
      </c>
      <c r="B4869" t="str">
        <f>"062534"</f>
        <v>062534</v>
      </c>
      <c r="C4869" t="str">
        <f>"10085"</f>
        <v>10085</v>
      </c>
      <c r="D4869" t="s">
        <v>4227</v>
      </c>
      <c r="E4869" s="3">
        <v>258.32</v>
      </c>
      <c r="F4869">
        <v>20160303</v>
      </c>
      <c r="G4869" t="s">
        <v>3692</v>
      </c>
      <c r="H4869" t="s">
        <v>4228</v>
      </c>
      <c r="I4869">
        <v>0</v>
      </c>
      <c r="J4869" t="s">
        <v>1709</v>
      </c>
      <c r="K4869" t="s">
        <v>290</v>
      </c>
      <c r="L4869" t="s">
        <v>285</v>
      </c>
      <c r="M4869" t="str">
        <f t="shared" si="338"/>
        <v>03</v>
      </c>
      <c r="N4869" t="s">
        <v>12</v>
      </c>
    </row>
    <row r="4870" spans="1:14" x14ac:dyDescent="0.25">
      <c r="A4870">
        <v>20160304</v>
      </c>
      <c r="B4870" t="str">
        <f>"062536"</f>
        <v>062536</v>
      </c>
      <c r="C4870" t="str">
        <f>"13268"</f>
        <v>13268</v>
      </c>
      <c r="D4870" t="s">
        <v>2450</v>
      </c>
      <c r="E4870" s="3">
        <v>17464.5</v>
      </c>
      <c r="F4870">
        <v>20160303</v>
      </c>
      <c r="G4870" t="s">
        <v>4229</v>
      </c>
      <c r="H4870" t="s">
        <v>4230</v>
      </c>
      <c r="I4870">
        <v>0</v>
      </c>
      <c r="J4870" t="s">
        <v>1709</v>
      </c>
      <c r="K4870" t="s">
        <v>1861</v>
      </c>
      <c r="L4870" t="s">
        <v>285</v>
      </c>
      <c r="M4870" t="str">
        <f t="shared" si="338"/>
        <v>03</v>
      </c>
      <c r="N4870" t="s">
        <v>12</v>
      </c>
    </row>
    <row r="4871" spans="1:14" x14ac:dyDescent="0.25">
      <c r="A4871">
        <v>20160304</v>
      </c>
      <c r="B4871" t="str">
        <f>"062536"</f>
        <v>062536</v>
      </c>
      <c r="C4871" t="str">
        <f>"13268"</f>
        <v>13268</v>
      </c>
      <c r="D4871" t="s">
        <v>2450</v>
      </c>
      <c r="E4871" s="3">
        <v>1944</v>
      </c>
      <c r="F4871">
        <v>20160303</v>
      </c>
      <c r="G4871" t="s">
        <v>4231</v>
      </c>
      <c r="H4871" t="s">
        <v>4232</v>
      </c>
      <c r="I4871">
        <v>0</v>
      </c>
      <c r="J4871" t="s">
        <v>1709</v>
      </c>
      <c r="K4871" t="s">
        <v>1861</v>
      </c>
      <c r="L4871" t="s">
        <v>285</v>
      </c>
      <c r="M4871" t="str">
        <f t="shared" si="338"/>
        <v>03</v>
      </c>
      <c r="N4871" t="s">
        <v>12</v>
      </c>
    </row>
    <row r="4872" spans="1:14" x14ac:dyDescent="0.25">
      <c r="A4872">
        <v>20160304</v>
      </c>
      <c r="B4872" t="str">
        <f>"062538"</f>
        <v>062538</v>
      </c>
      <c r="C4872" t="str">
        <f>"19425"</f>
        <v>19425</v>
      </c>
      <c r="D4872" t="s">
        <v>2631</v>
      </c>
      <c r="E4872" s="3">
        <v>748.4</v>
      </c>
      <c r="F4872">
        <v>20160303</v>
      </c>
      <c r="G4872" t="s">
        <v>2360</v>
      </c>
      <c r="H4872" t="s">
        <v>2632</v>
      </c>
      <c r="I4872">
        <v>0</v>
      </c>
      <c r="J4872" t="s">
        <v>1709</v>
      </c>
      <c r="K4872" t="s">
        <v>1856</v>
      </c>
      <c r="L4872" t="s">
        <v>285</v>
      </c>
      <c r="M4872" t="str">
        <f t="shared" si="338"/>
        <v>03</v>
      </c>
      <c r="N4872" t="s">
        <v>12</v>
      </c>
    </row>
    <row r="4873" spans="1:14" x14ac:dyDescent="0.25">
      <c r="A4873">
        <v>20160304</v>
      </c>
      <c r="B4873" t="str">
        <f>"062538"</f>
        <v>062538</v>
      </c>
      <c r="C4873" t="str">
        <f>"19425"</f>
        <v>19425</v>
      </c>
      <c r="D4873" t="s">
        <v>2631</v>
      </c>
      <c r="E4873" s="3">
        <v>440.15</v>
      </c>
      <c r="F4873">
        <v>20160303</v>
      </c>
      <c r="G4873" t="s">
        <v>2360</v>
      </c>
      <c r="H4873" t="s">
        <v>2632</v>
      </c>
      <c r="I4873">
        <v>0</v>
      </c>
      <c r="J4873" t="s">
        <v>1709</v>
      </c>
      <c r="K4873" t="s">
        <v>1856</v>
      </c>
      <c r="L4873" t="s">
        <v>285</v>
      </c>
      <c r="M4873" t="str">
        <f t="shared" si="338"/>
        <v>03</v>
      </c>
      <c r="N4873" t="s">
        <v>12</v>
      </c>
    </row>
    <row r="4874" spans="1:14" x14ac:dyDescent="0.25">
      <c r="A4874">
        <v>20160304</v>
      </c>
      <c r="B4874" t="str">
        <f>"062539"</f>
        <v>062539</v>
      </c>
      <c r="C4874" t="str">
        <f>"20416"</f>
        <v>20416</v>
      </c>
      <c r="D4874" t="s">
        <v>1727</v>
      </c>
      <c r="E4874" s="3">
        <v>137.15</v>
      </c>
      <c r="F4874">
        <v>20160303</v>
      </c>
      <c r="G4874" t="s">
        <v>1961</v>
      </c>
      <c r="H4874" t="s">
        <v>3833</v>
      </c>
      <c r="I4874">
        <v>0</v>
      </c>
      <c r="J4874" t="s">
        <v>1709</v>
      </c>
      <c r="K4874" t="s">
        <v>290</v>
      </c>
      <c r="L4874" t="s">
        <v>285</v>
      </c>
      <c r="M4874" t="str">
        <f t="shared" si="338"/>
        <v>03</v>
      </c>
      <c r="N4874" t="s">
        <v>12</v>
      </c>
    </row>
    <row r="4875" spans="1:14" x14ac:dyDescent="0.25">
      <c r="A4875">
        <v>20160304</v>
      </c>
      <c r="B4875" t="str">
        <f>"062541"</f>
        <v>062541</v>
      </c>
      <c r="C4875" t="str">
        <f>"20696"</f>
        <v>20696</v>
      </c>
      <c r="D4875" t="s">
        <v>4233</v>
      </c>
      <c r="E4875" s="3">
        <v>460</v>
      </c>
      <c r="F4875">
        <v>20160303</v>
      </c>
      <c r="G4875" t="s">
        <v>3217</v>
      </c>
      <c r="H4875" t="s">
        <v>4234</v>
      </c>
      <c r="I4875">
        <v>0</v>
      </c>
      <c r="J4875" t="s">
        <v>1709</v>
      </c>
      <c r="K4875" t="s">
        <v>1558</v>
      </c>
      <c r="L4875" t="s">
        <v>285</v>
      </c>
      <c r="M4875" t="str">
        <f t="shared" si="338"/>
        <v>03</v>
      </c>
      <c r="N4875" t="s">
        <v>12</v>
      </c>
    </row>
    <row r="4876" spans="1:14" x14ac:dyDescent="0.25">
      <c r="A4876">
        <v>20160304</v>
      </c>
      <c r="B4876" t="str">
        <f>"062542"</f>
        <v>062542</v>
      </c>
      <c r="C4876" t="str">
        <f>"21091"</f>
        <v>21091</v>
      </c>
      <c r="D4876" t="s">
        <v>2855</v>
      </c>
      <c r="E4876" s="3">
        <v>299.99</v>
      </c>
      <c r="F4876">
        <v>20160303</v>
      </c>
      <c r="G4876" t="s">
        <v>1854</v>
      </c>
      <c r="H4876" t="s">
        <v>4235</v>
      </c>
      <c r="I4876">
        <v>0</v>
      </c>
      <c r="J4876" t="s">
        <v>1709</v>
      </c>
      <c r="K4876" t="s">
        <v>1856</v>
      </c>
      <c r="L4876" t="s">
        <v>285</v>
      </c>
      <c r="M4876" t="str">
        <f t="shared" si="338"/>
        <v>03</v>
      </c>
      <c r="N4876" t="s">
        <v>12</v>
      </c>
    </row>
    <row r="4877" spans="1:14" x14ac:dyDescent="0.25">
      <c r="A4877">
        <v>20160304</v>
      </c>
      <c r="B4877" t="str">
        <f>"062544"</f>
        <v>062544</v>
      </c>
      <c r="C4877" t="str">
        <f>"22350"</f>
        <v>22350</v>
      </c>
      <c r="D4877" t="s">
        <v>2634</v>
      </c>
      <c r="E4877" s="3">
        <v>375</v>
      </c>
      <c r="F4877">
        <v>20160303</v>
      </c>
      <c r="G4877" t="s">
        <v>2635</v>
      </c>
      <c r="H4877" t="s">
        <v>4236</v>
      </c>
      <c r="I4877">
        <v>0</v>
      </c>
      <c r="J4877" t="s">
        <v>1709</v>
      </c>
      <c r="K4877" t="s">
        <v>290</v>
      </c>
      <c r="L4877" t="s">
        <v>285</v>
      </c>
      <c r="M4877" t="str">
        <f t="shared" si="338"/>
        <v>03</v>
      </c>
      <c r="N4877" t="s">
        <v>12</v>
      </c>
    </row>
    <row r="4878" spans="1:14" x14ac:dyDescent="0.25">
      <c r="A4878">
        <v>20160304</v>
      </c>
      <c r="B4878" t="str">
        <f>"062546"</f>
        <v>062546</v>
      </c>
      <c r="C4878" t="str">
        <f>"24130"</f>
        <v>24130</v>
      </c>
      <c r="D4878" t="s">
        <v>2278</v>
      </c>
      <c r="E4878" s="3">
        <v>7900</v>
      </c>
      <c r="F4878">
        <v>20160303</v>
      </c>
      <c r="G4878" t="s">
        <v>2281</v>
      </c>
      <c r="H4878" t="s">
        <v>4237</v>
      </c>
      <c r="I4878">
        <v>0</v>
      </c>
      <c r="J4878" t="s">
        <v>1709</v>
      </c>
      <c r="K4878" t="s">
        <v>290</v>
      </c>
      <c r="L4878" t="s">
        <v>285</v>
      </c>
      <c r="M4878" t="str">
        <f t="shared" si="338"/>
        <v>03</v>
      </c>
      <c r="N4878" t="s">
        <v>12</v>
      </c>
    </row>
    <row r="4879" spans="1:14" x14ac:dyDescent="0.25">
      <c r="A4879">
        <v>20160304</v>
      </c>
      <c r="B4879" t="str">
        <f>"062546"</f>
        <v>062546</v>
      </c>
      <c r="C4879" t="str">
        <f>"24130"</f>
        <v>24130</v>
      </c>
      <c r="D4879" t="s">
        <v>2278</v>
      </c>
      <c r="E4879" s="3">
        <v>9700</v>
      </c>
      <c r="F4879">
        <v>20160303</v>
      </c>
      <c r="G4879" t="s">
        <v>3574</v>
      </c>
      <c r="H4879" t="s">
        <v>4238</v>
      </c>
      <c r="I4879">
        <v>0</v>
      </c>
      <c r="J4879" t="s">
        <v>1709</v>
      </c>
      <c r="K4879" t="s">
        <v>95</v>
      </c>
      <c r="L4879" t="s">
        <v>285</v>
      </c>
      <c r="M4879" t="str">
        <f t="shared" si="338"/>
        <v>03</v>
      </c>
      <c r="N4879" t="s">
        <v>12</v>
      </c>
    </row>
    <row r="4880" spans="1:14" x14ac:dyDescent="0.25">
      <c r="A4880">
        <v>20160304</v>
      </c>
      <c r="B4880" t="str">
        <f>"062548"</f>
        <v>062548</v>
      </c>
      <c r="C4880" t="str">
        <f>"25165"</f>
        <v>25165</v>
      </c>
      <c r="D4880" t="s">
        <v>1563</v>
      </c>
      <c r="E4880" s="3">
        <v>1211.45</v>
      </c>
      <c r="F4880">
        <v>20160303</v>
      </c>
      <c r="G4880" t="s">
        <v>2671</v>
      </c>
      <c r="H4880" t="s">
        <v>1586</v>
      </c>
      <c r="I4880">
        <v>0</v>
      </c>
      <c r="J4880" t="s">
        <v>1709</v>
      </c>
      <c r="K4880" t="s">
        <v>33</v>
      </c>
      <c r="L4880" t="s">
        <v>285</v>
      </c>
      <c r="M4880" t="str">
        <f t="shared" si="338"/>
        <v>03</v>
      </c>
      <c r="N4880" t="s">
        <v>12</v>
      </c>
    </row>
    <row r="4881" spans="1:14" x14ac:dyDescent="0.25">
      <c r="A4881">
        <v>20160304</v>
      </c>
      <c r="B4881" t="str">
        <f>"062549"</f>
        <v>062549</v>
      </c>
      <c r="C4881" t="str">
        <f>"25221"</f>
        <v>25221</v>
      </c>
      <c r="D4881" t="s">
        <v>2099</v>
      </c>
      <c r="E4881" s="3">
        <v>765.59</v>
      </c>
      <c r="F4881">
        <v>20160303</v>
      </c>
      <c r="G4881" t="s">
        <v>2794</v>
      </c>
      <c r="H4881" t="s">
        <v>2644</v>
      </c>
      <c r="I4881">
        <v>0</v>
      </c>
      <c r="J4881" t="s">
        <v>1709</v>
      </c>
      <c r="K4881" t="s">
        <v>33</v>
      </c>
      <c r="L4881" t="s">
        <v>285</v>
      </c>
      <c r="M4881" t="str">
        <f t="shared" si="338"/>
        <v>03</v>
      </c>
      <c r="N4881" t="s">
        <v>12</v>
      </c>
    </row>
    <row r="4882" spans="1:14" x14ac:dyDescent="0.25">
      <c r="A4882">
        <v>20160304</v>
      </c>
      <c r="B4882" t="str">
        <f>"062549"</f>
        <v>062549</v>
      </c>
      <c r="C4882" t="str">
        <f>"25221"</f>
        <v>25221</v>
      </c>
      <c r="D4882" t="s">
        <v>2099</v>
      </c>
      <c r="E4882" s="3">
        <v>67</v>
      </c>
      <c r="F4882">
        <v>20160303</v>
      </c>
      <c r="G4882" t="s">
        <v>2794</v>
      </c>
      <c r="H4882" t="s">
        <v>2644</v>
      </c>
      <c r="I4882">
        <v>0</v>
      </c>
      <c r="J4882" t="s">
        <v>1709</v>
      </c>
      <c r="K4882" t="s">
        <v>33</v>
      </c>
      <c r="L4882" t="s">
        <v>285</v>
      </c>
      <c r="M4882" t="str">
        <f t="shared" si="338"/>
        <v>03</v>
      </c>
      <c r="N4882" t="s">
        <v>12</v>
      </c>
    </row>
    <row r="4883" spans="1:14" x14ac:dyDescent="0.25">
      <c r="A4883">
        <v>20160304</v>
      </c>
      <c r="B4883" t="str">
        <f>"062550"</f>
        <v>062550</v>
      </c>
      <c r="C4883" t="str">
        <f>"77113"</f>
        <v>77113</v>
      </c>
      <c r="D4883" t="s">
        <v>3679</v>
      </c>
      <c r="E4883" s="3">
        <v>79.58</v>
      </c>
      <c r="F4883">
        <v>20160303</v>
      </c>
      <c r="G4883" t="s">
        <v>3680</v>
      </c>
      <c r="H4883" t="s">
        <v>3336</v>
      </c>
      <c r="I4883">
        <v>0</v>
      </c>
      <c r="J4883" t="s">
        <v>1709</v>
      </c>
      <c r="K4883" t="s">
        <v>1984</v>
      </c>
      <c r="L4883" t="s">
        <v>285</v>
      </c>
      <c r="M4883" t="str">
        <f t="shared" si="338"/>
        <v>03</v>
      </c>
      <c r="N4883" t="s">
        <v>12</v>
      </c>
    </row>
    <row r="4884" spans="1:14" x14ac:dyDescent="0.25">
      <c r="A4884">
        <v>20160304</v>
      </c>
      <c r="B4884" t="str">
        <f>"062551"</f>
        <v>062551</v>
      </c>
      <c r="C4884" t="str">
        <f>"26395"</f>
        <v>26395</v>
      </c>
      <c r="D4884" t="s">
        <v>4239</v>
      </c>
      <c r="E4884" s="3">
        <v>62.09</v>
      </c>
      <c r="F4884">
        <v>20160303</v>
      </c>
      <c r="G4884" t="s">
        <v>2587</v>
      </c>
      <c r="H4884" t="s">
        <v>3542</v>
      </c>
      <c r="I4884">
        <v>0</v>
      </c>
      <c r="J4884" t="s">
        <v>1709</v>
      </c>
      <c r="K4884" t="s">
        <v>290</v>
      </c>
      <c r="L4884" t="s">
        <v>285</v>
      </c>
      <c r="M4884" t="str">
        <f t="shared" si="338"/>
        <v>03</v>
      </c>
      <c r="N4884" t="s">
        <v>12</v>
      </c>
    </row>
    <row r="4885" spans="1:14" x14ac:dyDescent="0.25">
      <c r="A4885">
        <v>20160304</v>
      </c>
      <c r="B4885" t="str">
        <f>"062551"</f>
        <v>062551</v>
      </c>
      <c r="C4885" t="str">
        <f>"26395"</f>
        <v>26395</v>
      </c>
      <c r="D4885" t="s">
        <v>4239</v>
      </c>
      <c r="E4885" s="3">
        <v>111.64</v>
      </c>
      <c r="F4885">
        <v>20160303</v>
      </c>
      <c r="G4885" t="s">
        <v>4240</v>
      </c>
      <c r="H4885" t="s">
        <v>3542</v>
      </c>
      <c r="I4885">
        <v>0</v>
      </c>
      <c r="J4885" t="s">
        <v>1709</v>
      </c>
      <c r="K4885" t="s">
        <v>290</v>
      </c>
      <c r="L4885" t="s">
        <v>285</v>
      </c>
      <c r="M4885" t="str">
        <f t="shared" si="338"/>
        <v>03</v>
      </c>
      <c r="N4885" t="s">
        <v>12</v>
      </c>
    </row>
    <row r="4886" spans="1:14" x14ac:dyDescent="0.25">
      <c r="A4886">
        <v>20160304</v>
      </c>
      <c r="B4886" t="str">
        <f>"062552"</f>
        <v>062552</v>
      </c>
      <c r="C4886" t="str">
        <f>"28680"</f>
        <v>28680</v>
      </c>
      <c r="D4886" t="s">
        <v>422</v>
      </c>
      <c r="E4886" s="3">
        <v>136.83000000000001</v>
      </c>
      <c r="F4886">
        <v>20160303</v>
      </c>
      <c r="G4886" t="s">
        <v>3556</v>
      </c>
      <c r="H4886" t="s">
        <v>4241</v>
      </c>
      <c r="I4886">
        <v>0</v>
      </c>
      <c r="J4886" t="s">
        <v>1709</v>
      </c>
      <c r="K4886" t="s">
        <v>290</v>
      </c>
      <c r="L4886" t="s">
        <v>285</v>
      </c>
      <c r="M4886" t="str">
        <f t="shared" si="338"/>
        <v>03</v>
      </c>
      <c r="N4886" t="s">
        <v>12</v>
      </c>
    </row>
    <row r="4887" spans="1:14" x14ac:dyDescent="0.25">
      <c r="A4887">
        <v>20160304</v>
      </c>
      <c r="B4887" t="str">
        <f>"062552"</f>
        <v>062552</v>
      </c>
      <c r="C4887" t="str">
        <f>"28680"</f>
        <v>28680</v>
      </c>
      <c r="D4887" t="s">
        <v>422</v>
      </c>
      <c r="E4887" s="3">
        <v>195</v>
      </c>
      <c r="F4887">
        <v>20160303</v>
      </c>
      <c r="G4887" t="s">
        <v>3618</v>
      </c>
      <c r="H4887" t="s">
        <v>4048</v>
      </c>
      <c r="I4887">
        <v>0</v>
      </c>
      <c r="J4887" t="s">
        <v>1709</v>
      </c>
      <c r="K4887" t="s">
        <v>290</v>
      </c>
      <c r="L4887" t="s">
        <v>285</v>
      </c>
      <c r="M4887" t="str">
        <f t="shared" si="338"/>
        <v>03</v>
      </c>
      <c r="N4887" t="s">
        <v>12</v>
      </c>
    </row>
    <row r="4888" spans="1:14" x14ac:dyDescent="0.25">
      <c r="A4888">
        <v>20160304</v>
      </c>
      <c r="B4888" t="str">
        <f>"062552"</f>
        <v>062552</v>
      </c>
      <c r="C4888" t="str">
        <f>"28680"</f>
        <v>28680</v>
      </c>
      <c r="D4888" t="s">
        <v>422</v>
      </c>
      <c r="E4888" s="3">
        <v>228.05</v>
      </c>
      <c r="F4888">
        <v>20160303</v>
      </c>
      <c r="G4888" t="s">
        <v>2587</v>
      </c>
      <c r="H4888" t="s">
        <v>4242</v>
      </c>
      <c r="I4888">
        <v>0</v>
      </c>
      <c r="J4888" t="s">
        <v>1709</v>
      </c>
      <c r="K4888" t="s">
        <v>290</v>
      </c>
      <c r="L4888" t="s">
        <v>285</v>
      </c>
      <c r="M4888" t="str">
        <f t="shared" si="338"/>
        <v>03</v>
      </c>
      <c r="N4888" t="s">
        <v>12</v>
      </c>
    </row>
    <row r="4889" spans="1:14" x14ac:dyDescent="0.25">
      <c r="A4889">
        <v>20160304</v>
      </c>
      <c r="B4889" t="str">
        <f>"062552"</f>
        <v>062552</v>
      </c>
      <c r="C4889" t="str">
        <f>"28680"</f>
        <v>28680</v>
      </c>
      <c r="D4889" t="s">
        <v>422</v>
      </c>
      <c r="E4889" s="3">
        <v>104</v>
      </c>
      <c r="F4889">
        <v>20160303</v>
      </c>
      <c r="G4889" t="s">
        <v>3779</v>
      </c>
      <c r="H4889" t="s">
        <v>4243</v>
      </c>
      <c r="I4889">
        <v>0</v>
      </c>
      <c r="J4889" t="s">
        <v>1709</v>
      </c>
      <c r="K4889" t="s">
        <v>95</v>
      </c>
      <c r="L4889" t="s">
        <v>285</v>
      </c>
      <c r="M4889" t="str">
        <f t="shared" si="338"/>
        <v>03</v>
      </c>
      <c r="N4889" t="s">
        <v>12</v>
      </c>
    </row>
    <row r="4890" spans="1:14" x14ac:dyDescent="0.25">
      <c r="A4890">
        <v>20160304</v>
      </c>
      <c r="B4890" t="str">
        <f>"062552"</f>
        <v>062552</v>
      </c>
      <c r="C4890" t="str">
        <f>"28680"</f>
        <v>28680</v>
      </c>
      <c r="D4890" t="s">
        <v>422</v>
      </c>
      <c r="E4890" s="3">
        <v>164.44</v>
      </c>
      <c r="F4890">
        <v>20160303</v>
      </c>
      <c r="G4890" t="s">
        <v>3540</v>
      </c>
      <c r="H4890" t="s">
        <v>4244</v>
      </c>
      <c r="I4890">
        <v>0</v>
      </c>
      <c r="J4890" t="s">
        <v>1709</v>
      </c>
      <c r="K4890" t="s">
        <v>2724</v>
      </c>
      <c r="L4890" t="s">
        <v>285</v>
      </c>
      <c r="M4890" t="str">
        <f t="shared" si="338"/>
        <v>03</v>
      </c>
      <c r="N4890" t="s">
        <v>12</v>
      </c>
    </row>
    <row r="4891" spans="1:14" x14ac:dyDescent="0.25">
      <c r="A4891">
        <v>20160304</v>
      </c>
      <c r="B4891" t="str">
        <f>"062553"</f>
        <v>062553</v>
      </c>
      <c r="C4891" t="str">
        <f>"29624"</f>
        <v>29624</v>
      </c>
      <c r="D4891" t="s">
        <v>1870</v>
      </c>
      <c r="E4891" s="3">
        <v>122.77</v>
      </c>
      <c r="F4891">
        <v>20160303</v>
      </c>
      <c r="G4891" t="s">
        <v>2333</v>
      </c>
      <c r="H4891" t="s">
        <v>4245</v>
      </c>
      <c r="I4891">
        <v>0</v>
      </c>
      <c r="J4891" t="s">
        <v>1709</v>
      </c>
      <c r="K4891" t="s">
        <v>290</v>
      </c>
      <c r="L4891" t="s">
        <v>285</v>
      </c>
      <c r="M4891" t="str">
        <f t="shared" si="338"/>
        <v>03</v>
      </c>
      <c r="N4891" t="s">
        <v>12</v>
      </c>
    </row>
    <row r="4892" spans="1:14" x14ac:dyDescent="0.25">
      <c r="A4892">
        <v>20160304</v>
      </c>
      <c r="B4892" t="str">
        <f>"062554"</f>
        <v>062554</v>
      </c>
      <c r="C4892" t="str">
        <f>"29628"</f>
        <v>29628</v>
      </c>
      <c r="D4892" t="s">
        <v>2494</v>
      </c>
      <c r="E4892" s="3">
        <v>171.99</v>
      </c>
      <c r="F4892">
        <v>20160303</v>
      </c>
      <c r="G4892" t="s">
        <v>2495</v>
      </c>
      <c r="H4892" t="s">
        <v>4246</v>
      </c>
      <c r="I4892">
        <v>0</v>
      </c>
      <c r="J4892" t="s">
        <v>1709</v>
      </c>
      <c r="K4892" t="s">
        <v>235</v>
      </c>
      <c r="L4892" t="s">
        <v>285</v>
      </c>
      <c r="M4892" t="str">
        <f t="shared" si="338"/>
        <v>03</v>
      </c>
      <c r="N4892" t="s">
        <v>12</v>
      </c>
    </row>
    <row r="4893" spans="1:14" x14ac:dyDescent="0.25">
      <c r="A4893">
        <v>20160304</v>
      </c>
      <c r="B4893" t="str">
        <f>"062554"</f>
        <v>062554</v>
      </c>
      <c r="C4893" t="str">
        <f>"29628"</f>
        <v>29628</v>
      </c>
      <c r="D4893" t="s">
        <v>2494</v>
      </c>
      <c r="E4893" s="3">
        <v>444.93</v>
      </c>
      <c r="F4893">
        <v>20160303</v>
      </c>
      <c r="G4893" t="s">
        <v>2495</v>
      </c>
      <c r="H4893" t="s">
        <v>4246</v>
      </c>
      <c r="I4893">
        <v>0</v>
      </c>
      <c r="J4893" t="s">
        <v>1709</v>
      </c>
      <c r="K4893" t="s">
        <v>235</v>
      </c>
      <c r="L4893" t="s">
        <v>285</v>
      </c>
      <c r="M4893" t="str">
        <f t="shared" si="338"/>
        <v>03</v>
      </c>
      <c r="N4893" t="s">
        <v>12</v>
      </c>
    </row>
    <row r="4894" spans="1:14" x14ac:dyDescent="0.25">
      <c r="A4894">
        <v>20160304</v>
      </c>
      <c r="B4894" t="str">
        <f>"062554"</f>
        <v>062554</v>
      </c>
      <c r="C4894" t="str">
        <f>"29628"</f>
        <v>29628</v>
      </c>
      <c r="D4894" t="s">
        <v>2494</v>
      </c>
      <c r="E4894" s="3">
        <v>184.99</v>
      </c>
      <c r="F4894">
        <v>20160303</v>
      </c>
      <c r="G4894" t="s">
        <v>2495</v>
      </c>
      <c r="H4894" t="s">
        <v>4247</v>
      </c>
      <c r="I4894">
        <v>0</v>
      </c>
      <c r="J4894" t="s">
        <v>1709</v>
      </c>
      <c r="K4894" t="s">
        <v>235</v>
      </c>
      <c r="L4894" t="s">
        <v>285</v>
      </c>
      <c r="M4894" t="str">
        <f t="shared" si="338"/>
        <v>03</v>
      </c>
      <c r="N4894" t="s">
        <v>12</v>
      </c>
    </row>
    <row r="4895" spans="1:14" x14ac:dyDescent="0.25">
      <c r="A4895">
        <v>20160304</v>
      </c>
      <c r="B4895" t="str">
        <f>"062554"</f>
        <v>062554</v>
      </c>
      <c r="C4895" t="str">
        <f>"29628"</f>
        <v>29628</v>
      </c>
      <c r="D4895" t="s">
        <v>2494</v>
      </c>
      <c r="E4895" s="3">
        <v>217.98</v>
      </c>
      <c r="F4895">
        <v>20160303</v>
      </c>
      <c r="G4895" t="s">
        <v>2495</v>
      </c>
      <c r="H4895" t="s">
        <v>4248</v>
      </c>
      <c r="I4895">
        <v>0</v>
      </c>
      <c r="J4895" t="s">
        <v>1709</v>
      </c>
      <c r="K4895" t="s">
        <v>235</v>
      </c>
      <c r="L4895" t="s">
        <v>285</v>
      </c>
      <c r="M4895" t="str">
        <f t="shared" ref="M4895:M4958" si="341">"03"</f>
        <v>03</v>
      </c>
      <c r="N4895" t="s">
        <v>12</v>
      </c>
    </row>
    <row r="4896" spans="1:14" x14ac:dyDescent="0.25">
      <c r="A4896">
        <v>20160304</v>
      </c>
      <c r="B4896" t="str">
        <f>"062554"</f>
        <v>062554</v>
      </c>
      <c r="C4896" t="str">
        <f>"29628"</f>
        <v>29628</v>
      </c>
      <c r="D4896" t="s">
        <v>2494</v>
      </c>
      <c r="E4896" s="3">
        <v>543.98</v>
      </c>
      <c r="F4896">
        <v>20160303</v>
      </c>
      <c r="G4896" t="s">
        <v>2495</v>
      </c>
      <c r="H4896" t="s">
        <v>4249</v>
      </c>
      <c r="I4896">
        <v>0</v>
      </c>
      <c r="J4896" t="s">
        <v>1709</v>
      </c>
      <c r="K4896" t="s">
        <v>235</v>
      </c>
      <c r="L4896" t="s">
        <v>285</v>
      </c>
      <c r="M4896" t="str">
        <f t="shared" si="341"/>
        <v>03</v>
      </c>
      <c r="N4896" t="s">
        <v>12</v>
      </c>
    </row>
    <row r="4897" spans="1:14" x14ac:dyDescent="0.25">
      <c r="A4897">
        <v>20160304</v>
      </c>
      <c r="B4897" t="str">
        <f>"062555"</f>
        <v>062555</v>
      </c>
      <c r="C4897" t="str">
        <f>"06470"</f>
        <v>06470</v>
      </c>
      <c r="D4897" t="s">
        <v>2654</v>
      </c>
      <c r="E4897" s="3">
        <v>189.02</v>
      </c>
      <c r="F4897">
        <v>20160303</v>
      </c>
      <c r="G4897" t="s">
        <v>2164</v>
      </c>
      <c r="H4897" t="s">
        <v>4250</v>
      </c>
      <c r="I4897">
        <v>0</v>
      </c>
      <c r="J4897" t="s">
        <v>1709</v>
      </c>
      <c r="K4897" t="s">
        <v>1861</v>
      </c>
      <c r="L4897" t="s">
        <v>285</v>
      </c>
      <c r="M4897" t="str">
        <f t="shared" si="341"/>
        <v>03</v>
      </c>
      <c r="N4897" t="s">
        <v>12</v>
      </c>
    </row>
    <row r="4898" spans="1:14" x14ac:dyDescent="0.25">
      <c r="A4898">
        <v>20160304</v>
      </c>
      <c r="B4898" t="str">
        <f>"062557"</f>
        <v>062557</v>
      </c>
      <c r="C4898" t="str">
        <f>"30389"</f>
        <v>30389</v>
      </c>
      <c r="D4898" t="s">
        <v>4251</v>
      </c>
      <c r="E4898" s="3">
        <v>1080</v>
      </c>
      <c r="F4898">
        <v>20160303</v>
      </c>
      <c r="G4898" t="s">
        <v>3853</v>
      </c>
      <c r="H4898" t="s">
        <v>4252</v>
      </c>
      <c r="I4898">
        <v>0</v>
      </c>
      <c r="J4898" t="s">
        <v>1709</v>
      </c>
      <c r="K4898" t="s">
        <v>290</v>
      </c>
      <c r="L4898" t="s">
        <v>285</v>
      </c>
      <c r="M4898" t="str">
        <f t="shared" si="341"/>
        <v>03</v>
      </c>
      <c r="N4898" t="s">
        <v>12</v>
      </c>
    </row>
    <row r="4899" spans="1:14" x14ac:dyDescent="0.25">
      <c r="A4899">
        <v>20160304</v>
      </c>
      <c r="B4899" t="str">
        <f>"062557"</f>
        <v>062557</v>
      </c>
      <c r="C4899" t="str">
        <f>"30389"</f>
        <v>30389</v>
      </c>
      <c r="D4899" t="s">
        <v>4251</v>
      </c>
      <c r="E4899" s="3">
        <v>5424.53</v>
      </c>
      <c r="F4899">
        <v>20160303</v>
      </c>
      <c r="G4899" t="s">
        <v>3853</v>
      </c>
      <c r="H4899" t="s">
        <v>4253</v>
      </c>
      <c r="I4899">
        <v>0</v>
      </c>
      <c r="J4899" t="s">
        <v>1709</v>
      </c>
      <c r="K4899" t="s">
        <v>290</v>
      </c>
      <c r="L4899" t="s">
        <v>285</v>
      </c>
      <c r="M4899" t="str">
        <f t="shared" si="341"/>
        <v>03</v>
      </c>
      <c r="N4899" t="s">
        <v>12</v>
      </c>
    </row>
    <row r="4900" spans="1:14" x14ac:dyDescent="0.25">
      <c r="A4900">
        <v>20160304</v>
      </c>
      <c r="B4900" t="str">
        <f>"062557"</f>
        <v>062557</v>
      </c>
      <c r="C4900" t="str">
        <f>"30389"</f>
        <v>30389</v>
      </c>
      <c r="D4900" t="s">
        <v>4251</v>
      </c>
      <c r="E4900" s="3">
        <v>4152.75</v>
      </c>
      <c r="F4900">
        <v>20160303</v>
      </c>
      <c r="G4900" t="s">
        <v>3853</v>
      </c>
      <c r="H4900" t="s">
        <v>4253</v>
      </c>
      <c r="I4900">
        <v>0</v>
      </c>
      <c r="J4900" t="s">
        <v>1709</v>
      </c>
      <c r="K4900" t="s">
        <v>290</v>
      </c>
      <c r="L4900" t="s">
        <v>285</v>
      </c>
      <c r="M4900" t="str">
        <f t="shared" si="341"/>
        <v>03</v>
      </c>
      <c r="N4900" t="s">
        <v>12</v>
      </c>
    </row>
    <row r="4901" spans="1:14" x14ac:dyDescent="0.25">
      <c r="A4901">
        <v>20160304</v>
      </c>
      <c r="B4901" t="str">
        <f>"062557"</f>
        <v>062557</v>
      </c>
      <c r="C4901" t="str">
        <f>"30389"</f>
        <v>30389</v>
      </c>
      <c r="D4901" t="s">
        <v>4251</v>
      </c>
      <c r="E4901" s="3">
        <v>582.75</v>
      </c>
      <c r="F4901">
        <v>20160303</v>
      </c>
      <c r="G4901" t="s">
        <v>3853</v>
      </c>
      <c r="H4901" t="s">
        <v>4254</v>
      </c>
      <c r="I4901">
        <v>0</v>
      </c>
      <c r="J4901" t="s">
        <v>1709</v>
      </c>
      <c r="K4901" t="s">
        <v>290</v>
      </c>
      <c r="L4901" t="s">
        <v>285</v>
      </c>
      <c r="M4901" t="str">
        <f t="shared" si="341"/>
        <v>03</v>
      </c>
      <c r="N4901" t="s">
        <v>12</v>
      </c>
    </row>
    <row r="4902" spans="1:14" x14ac:dyDescent="0.25">
      <c r="A4902">
        <v>20160304</v>
      </c>
      <c r="B4902" t="str">
        <f>"062557"</f>
        <v>062557</v>
      </c>
      <c r="C4902" t="str">
        <f>"30389"</f>
        <v>30389</v>
      </c>
      <c r="D4902" t="s">
        <v>4251</v>
      </c>
      <c r="E4902" s="3">
        <v>599.24</v>
      </c>
      <c r="F4902">
        <v>20160303</v>
      </c>
      <c r="G4902" t="s">
        <v>3853</v>
      </c>
      <c r="H4902" t="s">
        <v>4255</v>
      </c>
      <c r="I4902">
        <v>0</v>
      </c>
      <c r="J4902" t="s">
        <v>1709</v>
      </c>
      <c r="K4902" t="s">
        <v>290</v>
      </c>
      <c r="L4902" t="s">
        <v>285</v>
      </c>
      <c r="M4902" t="str">
        <f t="shared" si="341"/>
        <v>03</v>
      </c>
      <c r="N4902" t="s">
        <v>12</v>
      </c>
    </row>
    <row r="4903" spans="1:14" x14ac:dyDescent="0.25">
      <c r="A4903">
        <v>20160304</v>
      </c>
      <c r="B4903" t="str">
        <f t="shared" ref="B4903:B4910" si="342">"062558"</f>
        <v>062558</v>
      </c>
      <c r="C4903" t="str">
        <f t="shared" ref="C4903:C4910" si="343">"30390"</f>
        <v>30390</v>
      </c>
      <c r="D4903" t="s">
        <v>3087</v>
      </c>
      <c r="E4903" s="3">
        <v>399</v>
      </c>
      <c r="F4903">
        <v>20160304</v>
      </c>
      <c r="G4903" t="s">
        <v>4256</v>
      </c>
      <c r="H4903" t="s">
        <v>4257</v>
      </c>
      <c r="I4903">
        <v>0</v>
      </c>
      <c r="J4903" t="s">
        <v>1709</v>
      </c>
      <c r="K4903" t="s">
        <v>290</v>
      </c>
      <c r="L4903" t="s">
        <v>285</v>
      </c>
      <c r="M4903" t="str">
        <f t="shared" si="341"/>
        <v>03</v>
      </c>
      <c r="N4903" t="s">
        <v>12</v>
      </c>
    </row>
    <row r="4904" spans="1:14" x14ac:dyDescent="0.25">
      <c r="A4904">
        <v>20160304</v>
      </c>
      <c r="B4904" t="str">
        <f t="shared" si="342"/>
        <v>062558</v>
      </c>
      <c r="C4904" t="str">
        <f t="shared" si="343"/>
        <v>30390</v>
      </c>
      <c r="D4904" t="s">
        <v>3087</v>
      </c>
      <c r="E4904" s="3">
        <v>500</v>
      </c>
      <c r="F4904">
        <v>20160304</v>
      </c>
      <c r="G4904" t="s">
        <v>4258</v>
      </c>
      <c r="H4904" t="s">
        <v>4257</v>
      </c>
      <c r="I4904">
        <v>0</v>
      </c>
      <c r="J4904" t="s">
        <v>1709</v>
      </c>
      <c r="K4904" t="s">
        <v>95</v>
      </c>
      <c r="L4904" t="s">
        <v>285</v>
      </c>
      <c r="M4904" t="str">
        <f t="shared" si="341"/>
        <v>03</v>
      </c>
      <c r="N4904" t="s">
        <v>12</v>
      </c>
    </row>
    <row r="4905" spans="1:14" x14ac:dyDescent="0.25">
      <c r="A4905">
        <v>20160304</v>
      </c>
      <c r="B4905" t="str">
        <f t="shared" si="342"/>
        <v>062558</v>
      </c>
      <c r="C4905" t="str">
        <f t="shared" si="343"/>
        <v>30390</v>
      </c>
      <c r="D4905" t="s">
        <v>3087</v>
      </c>
      <c r="E4905" s="3">
        <v>27.23</v>
      </c>
      <c r="F4905">
        <v>20160304</v>
      </c>
      <c r="G4905" t="s">
        <v>2123</v>
      </c>
      <c r="H4905" t="s">
        <v>4259</v>
      </c>
      <c r="I4905">
        <v>0</v>
      </c>
      <c r="J4905" t="s">
        <v>1709</v>
      </c>
      <c r="K4905" t="s">
        <v>33</v>
      </c>
      <c r="L4905" t="s">
        <v>285</v>
      </c>
      <c r="M4905" t="str">
        <f t="shared" si="341"/>
        <v>03</v>
      </c>
      <c r="N4905" t="s">
        <v>12</v>
      </c>
    </row>
    <row r="4906" spans="1:14" x14ac:dyDescent="0.25">
      <c r="A4906">
        <v>20160304</v>
      </c>
      <c r="B4906" t="str">
        <f t="shared" si="342"/>
        <v>062558</v>
      </c>
      <c r="C4906" t="str">
        <f t="shared" si="343"/>
        <v>30390</v>
      </c>
      <c r="D4906" t="s">
        <v>3087</v>
      </c>
      <c r="E4906" s="3">
        <v>704</v>
      </c>
      <c r="F4906">
        <v>20160304</v>
      </c>
      <c r="G4906" t="s">
        <v>4260</v>
      </c>
      <c r="H4906" t="s">
        <v>4257</v>
      </c>
      <c r="I4906">
        <v>0</v>
      </c>
      <c r="J4906" t="s">
        <v>1709</v>
      </c>
      <c r="K4906" t="s">
        <v>290</v>
      </c>
      <c r="L4906" t="s">
        <v>285</v>
      </c>
      <c r="M4906" t="str">
        <f t="shared" si="341"/>
        <v>03</v>
      </c>
      <c r="N4906" t="s">
        <v>12</v>
      </c>
    </row>
    <row r="4907" spans="1:14" x14ac:dyDescent="0.25">
      <c r="A4907">
        <v>20160304</v>
      </c>
      <c r="B4907" t="str">
        <f t="shared" si="342"/>
        <v>062558</v>
      </c>
      <c r="C4907" t="str">
        <f t="shared" si="343"/>
        <v>30390</v>
      </c>
      <c r="D4907" t="s">
        <v>3087</v>
      </c>
      <c r="E4907" s="3">
        <v>603</v>
      </c>
      <c r="F4907">
        <v>20160304</v>
      </c>
      <c r="G4907" t="s">
        <v>4261</v>
      </c>
      <c r="H4907" t="s">
        <v>4257</v>
      </c>
      <c r="I4907">
        <v>0</v>
      </c>
      <c r="J4907" t="s">
        <v>1709</v>
      </c>
      <c r="K4907" t="s">
        <v>95</v>
      </c>
      <c r="L4907" t="s">
        <v>285</v>
      </c>
      <c r="M4907" t="str">
        <f t="shared" si="341"/>
        <v>03</v>
      </c>
      <c r="N4907" t="s">
        <v>12</v>
      </c>
    </row>
    <row r="4908" spans="1:14" x14ac:dyDescent="0.25">
      <c r="A4908">
        <v>20160304</v>
      </c>
      <c r="B4908" t="str">
        <f t="shared" si="342"/>
        <v>062558</v>
      </c>
      <c r="C4908" t="str">
        <f t="shared" si="343"/>
        <v>30390</v>
      </c>
      <c r="D4908" t="s">
        <v>3087</v>
      </c>
      <c r="E4908" s="3">
        <v>303</v>
      </c>
      <c r="F4908">
        <v>20160304</v>
      </c>
      <c r="G4908" t="s">
        <v>3864</v>
      </c>
      <c r="H4908" t="s">
        <v>4257</v>
      </c>
      <c r="I4908">
        <v>0</v>
      </c>
      <c r="J4908" t="s">
        <v>1709</v>
      </c>
      <c r="K4908" t="s">
        <v>1643</v>
      </c>
      <c r="L4908" t="s">
        <v>285</v>
      </c>
      <c r="M4908" t="str">
        <f t="shared" si="341"/>
        <v>03</v>
      </c>
      <c r="N4908" t="s">
        <v>12</v>
      </c>
    </row>
    <row r="4909" spans="1:14" x14ac:dyDescent="0.25">
      <c r="A4909">
        <v>20160304</v>
      </c>
      <c r="B4909" t="str">
        <f t="shared" si="342"/>
        <v>062558</v>
      </c>
      <c r="C4909" t="str">
        <f t="shared" si="343"/>
        <v>30390</v>
      </c>
      <c r="D4909" t="s">
        <v>3087</v>
      </c>
      <c r="E4909" s="3">
        <v>800</v>
      </c>
      <c r="F4909">
        <v>20160304</v>
      </c>
      <c r="G4909" t="s">
        <v>4262</v>
      </c>
      <c r="H4909" t="s">
        <v>4257</v>
      </c>
      <c r="I4909">
        <v>0</v>
      </c>
      <c r="J4909" t="s">
        <v>1709</v>
      </c>
      <c r="K4909" t="s">
        <v>1643</v>
      </c>
      <c r="L4909" t="s">
        <v>285</v>
      </c>
      <c r="M4909" t="str">
        <f t="shared" si="341"/>
        <v>03</v>
      </c>
      <c r="N4909" t="s">
        <v>12</v>
      </c>
    </row>
    <row r="4910" spans="1:14" x14ac:dyDescent="0.25">
      <c r="A4910">
        <v>20160304</v>
      </c>
      <c r="B4910" t="str">
        <f t="shared" si="342"/>
        <v>062558</v>
      </c>
      <c r="C4910" t="str">
        <f t="shared" si="343"/>
        <v>30390</v>
      </c>
      <c r="D4910" t="s">
        <v>3087</v>
      </c>
      <c r="E4910" s="3">
        <v>1103</v>
      </c>
      <c r="F4910">
        <v>20160304</v>
      </c>
      <c r="G4910" t="s">
        <v>4263</v>
      </c>
      <c r="H4910" t="s">
        <v>4257</v>
      </c>
      <c r="I4910">
        <v>0</v>
      </c>
      <c r="J4910" t="s">
        <v>1709</v>
      </c>
      <c r="K4910" t="s">
        <v>33</v>
      </c>
      <c r="L4910" t="s">
        <v>285</v>
      </c>
      <c r="M4910" t="str">
        <f t="shared" si="341"/>
        <v>03</v>
      </c>
      <c r="N4910" t="s">
        <v>12</v>
      </c>
    </row>
    <row r="4911" spans="1:14" x14ac:dyDescent="0.25">
      <c r="A4911">
        <v>20160304</v>
      </c>
      <c r="B4911" t="str">
        <f>"062560"</f>
        <v>062560</v>
      </c>
      <c r="C4911" t="str">
        <f>"30846"</f>
        <v>30846</v>
      </c>
      <c r="D4911" t="s">
        <v>656</v>
      </c>
      <c r="E4911" s="3">
        <v>70</v>
      </c>
      <c r="F4911">
        <v>20160303</v>
      </c>
      <c r="G4911" t="s">
        <v>4264</v>
      </c>
      <c r="H4911" t="s">
        <v>4265</v>
      </c>
      <c r="I4911">
        <v>0</v>
      </c>
      <c r="J4911" t="s">
        <v>1709</v>
      </c>
      <c r="K4911" t="s">
        <v>290</v>
      </c>
      <c r="L4911" t="s">
        <v>285</v>
      </c>
      <c r="M4911" t="str">
        <f t="shared" si="341"/>
        <v>03</v>
      </c>
      <c r="N4911" t="s">
        <v>12</v>
      </c>
    </row>
    <row r="4912" spans="1:14" x14ac:dyDescent="0.25">
      <c r="A4912">
        <v>20160304</v>
      </c>
      <c r="B4912" t="str">
        <f>"062562"</f>
        <v>062562</v>
      </c>
      <c r="C4912" t="str">
        <f>"31803"</f>
        <v>31803</v>
      </c>
      <c r="D4912" t="s">
        <v>4146</v>
      </c>
      <c r="E4912" s="3">
        <v>58.22</v>
      </c>
      <c r="F4912">
        <v>20160303</v>
      </c>
      <c r="G4912" t="s">
        <v>2025</v>
      </c>
      <c r="H4912" t="s">
        <v>4266</v>
      </c>
      <c r="I4912">
        <v>0</v>
      </c>
      <c r="J4912" t="s">
        <v>1709</v>
      </c>
      <c r="K4912" t="s">
        <v>1984</v>
      </c>
      <c r="L4912" t="s">
        <v>285</v>
      </c>
      <c r="M4912" t="str">
        <f t="shared" si="341"/>
        <v>03</v>
      </c>
      <c r="N4912" t="s">
        <v>12</v>
      </c>
    </row>
    <row r="4913" spans="1:14" x14ac:dyDescent="0.25">
      <c r="A4913">
        <v>20160304</v>
      </c>
      <c r="B4913" t="str">
        <f>"062565"</f>
        <v>062565</v>
      </c>
      <c r="C4913" t="str">
        <f>"34888"</f>
        <v>34888</v>
      </c>
      <c r="D4913" t="s">
        <v>3351</v>
      </c>
      <c r="E4913" s="3">
        <v>260.01</v>
      </c>
      <c r="F4913">
        <v>20160303</v>
      </c>
      <c r="G4913" t="s">
        <v>1854</v>
      </c>
      <c r="H4913" t="s">
        <v>4267</v>
      </c>
      <c r="I4913">
        <v>0</v>
      </c>
      <c r="J4913" t="s">
        <v>1709</v>
      </c>
      <c r="K4913" t="s">
        <v>1856</v>
      </c>
      <c r="L4913" t="s">
        <v>285</v>
      </c>
      <c r="M4913" t="str">
        <f t="shared" si="341"/>
        <v>03</v>
      </c>
      <c r="N4913" t="s">
        <v>12</v>
      </c>
    </row>
    <row r="4914" spans="1:14" x14ac:dyDescent="0.25">
      <c r="A4914">
        <v>20160304</v>
      </c>
      <c r="B4914" t="str">
        <f>"062567"</f>
        <v>062567</v>
      </c>
      <c r="C4914" t="str">
        <f>"35650"</f>
        <v>35650</v>
      </c>
      <c r="D4914" t="s">
        <v>4268</v>
      </c>
      <c r="E4914" s="3">
        <v>675</v>
      </c>
      <c r="F4914">
        <v>20160303</v>
      </c>
      <c r="G4914" t="s">
        <v>2360</v>
      </c>
      <c r="H4914" t="s">
        <v>4089</v>
      </c>
      <c r="I4914">
        <v>0</v>
      </c>
      <c r="J4914" t="s">
        <v>1709</v>
      </c>
      <c r="K4914" t="s">
        <v>1856</v>
      </c>
      <c r="L4914" t="s">
        <v>285</v>
      </c>
      <c r="M4914" t="str">
        <f t="shared" si="341"/>
        <v>03</v>
      </c>
      <c r="N4914" t="s">
        <v>12</v>
      </c>
    </row>
    <row r="4915" spans="1:14" x14ac:dyDescent="0.25">
      <c r="A4915">
        <v>20160304</v>
      </c>
      <c r="B4915" t="str">
        <f t="shared" ref="B4915:B4923" si="344">"062571"</f>
        <v>062571</v>
      </c>
      <c r="C4915" t="str">
        <f t="shared" ref="C4915:C4923" si="345">"39572"</f>
        <v>39572</v>
      </c>
      <c r="D4915" t="s">
        <v>2112</v>
      </c>
      <c r="E4915" s="3">
        <v>400</v>
      </c>
      <c r="F4915">
        <v>20160303</v>
      </c>
      <c r="G4915" t="s">
        <v>2113</v>
      </c>
      <c r="H4915" t="s">
        <v>4269</v>
      </c>
      <c r="I4915">
        <v>0</v>
      </c>
      <c r="J4915" t="s">
        <v>1709</v>
      </c>
      <c r="K4915" t="s">
        <v>290</v>
      </c>
      <c r="L4915" t="s">
        <v>285</v>
      </c>
      <c r="M4915" t="str">
        <f t="shared" si="341"/>
        <v>03</v>
      </c>
      <c r="N4915" t="s">
        <v>12</v>
      </c>
    </row>
    <row r="4916" spans="1:14" x14ac:dyDescent="0.25">
      <c r="A4916">
        <v>20160304</v>
      </c>
      <c r="B4916" t="str">
        <f t="shared" si="344"/>
        <v>062571</v>
      </c>
      <c r="C4916" t="str">
        <f t="shared" si="345"/>
        <v>39572</v>
      </c>
      <c r="D4916" t="s">
        <v>2112</v>
      </c>
      <c r="E4916" s="3">
        <v>85</v>
      </c>
      <c r="F4916">
        <v>20160303</v>
      </c>
      <c r="G4916" t="s">
        <v>2113</v>
      </c>
      <c r="H4916" t="s">
        <v>4270</v>
      </c>
      <c r="I4916">
        <v>0</v>
      </c>
      <c r="J4916" t="s">
        <v>1709</v>
      </c>
      <c r="K4916" t="s">
        <v>290</v>
      </c>
      <c r="L4916" t="s">
        <v>285</v>
      </c>
      <c r="M4916" t="str">
        <f t="shared" si="341"/>
        <v>03</v>
      </c>
      <c r="N4916" t="s">
        <v>12</v>
      </c>
    </row>
    <row r="4917" spans="1:14" x14ac:dyDescent="0.25">
      <c r="A4917">
        <v>20160304</v>
      </c>
      <c r="B4917" t="str">
        <f t="shared" si="344"/>
        <v>062571</v>
      </c>
      <c r="C4917" t="str">
        <f t="shared" si="345"/>
        <v>39572</v>
      </c>
      <c r="D4917" t="s">
        <v>2112</v>
      </c>
      <c r="E4917" s="3">
        <v>75</v>
      </c>
      <c r="F4917">
        <v>20160303</v>
      </c>
      <c r="G4917" t="s">
        <v>2113</v>
      </c>
      <c r="H4917" t="s">
        <v>4271</v>
      </c>
      <c r="I4917">
        <v>0</v>
      </c>
      <c r="J4917" t="s">
        <v>1709</v>
      </c>
      <c r="K4917" t="s">
        <v>290</v>
      </c>
      <c r="L4917" t="s">
        <v>285</v>
      </c>
      <c r="M4917" t="str">
        <f t="shared" si="341"/>
        <v>03</v>
      </c>
      <c r="N4917" t="s">
        <v>12</v>
      </c>
    </row>
    <row r="4918" spans="1:14" x14ac:dyDescent="0.25">
      <c r="A4918">
        <v>20160304</v>
      </c>
      <c r="B4918" t="str">
        <f t="shared" si="344"/>
        <v>062571</v>
      </c>
      <c r="C4918" t="str">
        <f t="shared" si="345"/>
        <v>39572</v>
      </c>
      <c r="D4918" t="s">
        <v>2112</v>
      </c>
      <c r="E4918" s="3">
        <v>115</v>
      </c>
      <c r="F4918">
        <v>20160303</v>
      </c>
      <c r="G4918" t="s">
        <v>2113</v>
      </c>
      <c r="H4918" t="s">
        <v>4272</v>
      </c>
      <c r="I4918">
        <v>0</v>
      </c>
      <c r="J4918" t="s">
        <v>1709</v>
      </c>
      <c r="K4918" t="s">
        <v>290</v>
      </c>
      <c r="L4918" t="s">
        <v>285</v>
      </c>
      <c r="M4918" t="str">
        <f t="shared" si="341"/>
        <v>03</v>
      </c>
      <c r="N4918" t="s">
        <v>12</v>
      </c>
    </row>
    <row r="4919" spans="1:14" x14ac:dyDescent="0.25">
      <c r="A4919">
        <v>20160304</v>
      </c>
      <c r="B4919" t="str">
        <f t="shared" si="344"/>
        <v>062571</v>
      </c>
      <c r="C4919" t="str">
        <f t="shared" si="345"/>
        <v>39572</v>
      </c>
      <c r="D4919" t="s">
        <v>2112</v>
      </c>
      <c r="E4919" s="3">
        <v>85</v>
      </c>
      <c r="F4919">
        <v>20160303</v>
      </c>
      <c r="G4919" t="s">
        <v>2113</v>
      </c>
      <c r="H4919" t="s">
        <v>4273</v>
      </c>
      <c r="I4919">
        <v>0</v>
      </c>
      <c r="J4919" t="s">
        <v>1709</v>
      </c>
      <c r="K4919" t="s">
        <v>290</v>
      </c>
      <c r="L4919" t="s">
        <v>285</v>
      </c>
      <c r="M4919" t="str">
        <f t="shared" si="341"/>
        <v>03</v>
      </c>
      <c r="N4919" t="s">
        <v>12</v>
      </c>
    </row>
    <row r="4920" spans="1:14" x14ac:dyDescent="0.25">
      <c r="A4920">
        <v>20160304</v>
      </c>
      <c r="B4920" t="str">
        <f t="shared" si="344"/>
        <v>062571</v>
      </c>
      <c r="C4920" t="str">
        <f t="shared" si="345"/>
        <v>39572</v>
      </c>
      <c r="D4920" t="s">
        <v>2112</v>
      </c>
      <c r="E4920" s="3">
        <v>185</v>
      </c>
      <c r="F4920">
        <v>20160303</v>
      </c>
      <c r="G4920" t="s">
        <v>3380</v>
      </c>
      <c r="H4920" t="s">
        <v>3457</v>
      </c>
      <c r="I4920">
        <v>0</v>
      </c>
      <c r="J4920" t="s">
        <v>1709</v>
      </c>
      <c r="K4920" t="s">
        <v>95</v>
      </c>
      <c r="L4920" t="s">
        <v>285</v>
      </c>
      <c r="M4920" t="str">
        <f t="shared" si="341"/>
        <v>03</v>
      </c>
      <c r="N4920" t="s">
        <v>12</v>
      </c>
    </row>
    <row r="4921" spans="1:14" x14ac:dyDescent="0.25">
      <c r="A4921">
        <v>20160304</v>
      </c>
      <c r="B4921" t="str">
        <f t="shared" si="344"/>
        <v>062571</v>
      </c>
      <c r="C4921" t="str">
        <f t="shared" si="345"/>
        <v>39572</v>
      </c>
      <c r="D4921" t="s">
        <v>2112</v>
      </c>
      <c r="E4921" s="3">
        <v>180</v>
      </c>
      <c r="F4921">
        <v>20160303</v>
      </c>
      <c r="G4921" t="s">
        <v>3380</v>
      </c>
      <c r="H4921" t="s">
        <v>3457</v>
      </c>
      <c r="I4921">
        <v>0</v>
      </c>
      <c r="J4921" t="s">
        <v>1709</v>
      </c>
      <c r="K4921" t="s">
        <v>95</v>
      </c>
      <c r="L4921" t="s">
        <v>285</v>
      </c>
      <c r="M4921" t="str">
        <f t="shared" si="341"/>
        <v>03</v>
      </c>
      <c r="N4921" t="s">
        <v>12</v>
      </c>
    </row>
    <row r="4922" spans="1:14" x14ac:dyDescent="0.25">
      <c r="A4922">
        <v>20160304</v>
      </c>
      <c r="B4922" t="str">
        <f t="shared" si="344"/>
        <v>062571</v>
      </c>
      <c r="C4922" t="str">
        <f t="shared" si="345"/>
        <v>39572</v>
      </c>
      <c r="D4922" t="s">
        <v>2112</v>
      </c>
      <c r="E4922" s="3">
        <v>130</v>
      </c>
      <c r="F4922">
        <v>20160303</v>
      </c>
      <c r="G4922" t="s">
        <v>3380</v>
      </c>
      <c r="H4922" t="s">
        <v>3457</v>
      </c>
      <c r="I4922">
        <v>0</v>
      </c>
      <c r="J4922" t="s">
        <v>1709</v>
      </c>
      <c r="K4922" t="s">
        <v>95</v>
      </c>
      <c r="L4922" t="s">
        <v>285</v>
      </c>
      <c r="M4922" t="str">
        <f t="shared" si="341"/>
        <v>03</v>
      </c>
      <c r="N4922" t="s">
        <v>12</v>
      </c>
    </row>
    <row r="4923" spans="1:14" x14ac:dyDescent="0.25">
      <c r="A4923">
        <v>20160304</v>
      </c>
      <c r="B4923" t="str">
        <f t="shared" si="344"/>
        <v>062571</v>
      </c>
      <c r="C4923" t="str">
        <f t="shared" si="345"/>
        <v>39572</v>
      </c>
      <c r="D4923" t="s">
        <v>2112</v>
      </c>
      <c r="E4923" s="3">
        <v>125</v>
      </c>
      <c r="F4923">
        <v>20160303</v>
      </c>
      <c r="G4923" t="s">
        <v>3380</v>
      </c>
      <c r="H4923" t="s">
        <v>3457</v>
      </c>
      <c r="I4923">
        <v>0</v>
      </c>
      <c r="J4923" t="s">
        <v>1709</v>
      </c>
      <c r="K4923" t="s">
        <v>95</v>
      </c>
      <c r="L4923" t="s">
        <v>285</v>
      </c>
      <c r="M4923" t="str">
        <f t="shared" si="341"/>
        <v>03</v>
      </c>
      <c r="N4923" t="s">
        <v>12</v>
      </c>
    </row>
    <row r="4924" spans="1:14" x14ac:dyDescent="0.25">
      <c r="A4924">
        <v>20160304</v>
      </c>
      <c r="B4924" t="str">
        <f>"062573"</f>
        <v>062573</v>
      </c>
      <c r="C4924" t="str">
        <f>"42194"</f>
        <v>42194</v>
      </c>
      <c r="D4924" t="s">
        <v>1874</v>
      </c>
      <c r="E4924" s="3">
        <v>70705.02</v>
      </c>
      <c r="F4924">
        <v>20160303</v>
      </c>
      <c r="G4924" t="s">
        <v>2890</v>
      </c>
      <c r="H4924" t="s">
        <v>4274</v>
      </c>
      <c r="I4924">
        <v>0</v>
      </c>
      <c r="J4924" t="s">
        <v>1709</v>
      </c>
      <c r="K4924" t="s">
        <v>1861</v>
      </c>
      <c r="L4924" t="s">
        <v>285</v>
      </c>
      <c r="M4924" t="str">
        <f t="shared" si="341"/>
        <v>03</v>
      </c>
      <c r="N4924" t="s">
        <v>12</v>
      </c>
    </row>
    <row r="4925" spans="1:14" x14ac:dyDescent="0.25">
      <c r="A4925">
        <v>20160304</v>
      </c>
      <c r="B4925" t="str">
        <f>"062576"</f>
        <v>062576</v>
      </c>
      <c r="C4925" t="str">
        <f>"44450"</f>
        <v>44450</v>
      </c>
      <c r="D4925" t="s">
        <v>1989</v>
      </c>
      <c r="E4925" s="3">
        <v>225</v>
      </c>
      <c r="F4925">
        <v>20160303</v>
      </c>
      <c r="G4925" t="s">
        <v>2894</v>
      </c>
      <c r="H4925" t="s">
        <v>4275</v>
      </c>
      <c r="I4925">
        <v>0</v>
      </c>
      <c r="J4925" t="s">
        <v>1709</v>
      </c>
      <c r="K4925" t="s">
        <v>290</v>
      </c>
      <c r="L4925" t="s">
        <v>285</v>
      </c>
      <c r="M4925" t="str">
        <f t="shared" si="341"/>
        <v>03</v>
      </c>
      <c r="N4925" t="s">
        <v>12</v>
      </c>
    </row>
    <row r="4926" spans="1:14" x14ac:dyDescent="0.25">
      <c r="A4926">
        <v>20160304</v>
      </c>
      <c r="B4926" t="str">
        <f>"062578"</f>
        <v>062578</v>
      </c>
      <c r="C4926" t="str">
        <f>"57791"</f>
        <v>57791</v>
      </c>
      <c r="D4926" t="s">
        <v>1878</v>
      </c>
      <c r="E4926" s="3">
        <v>133.01</v>
      </c>
      <c r="F4926">
        <v>20160303</v>
      </c>
      <c r="G4926" t="s">
        <v>2124</v>
      </c>
      <c r="H4926" t="s">
        <v>2125</v>
      </c>
      <c r="I4926">
        <v>0</v>
      </c>
      <c r="J4926" t="s">
        <v>1709</v>
      </c>
      <c r="K4926" t="s">
        <v>290</v>
      </c>
      <c r="L4926" t="s">
        <v>285</v>
      </c>
      <c r="M4926" t="str">
        <f t="shared" si="341"/>
        <v>03</v>
      </c>
      <c r="N4926" t="s">
        <v>12</v>
      </c>
    </row>
    <row r="4927" spans="1:14" x14ac:dyDescent="0.25">
      <c r="A4927">
        <v>20160304</v>
      </c>
      <c r="B4927" t="str">
        <f>"062580"</f>
        <v>062580</v>
      </c>
      <c r="C4927" t="str">
        <f>"46351"</f>
        <v>46351</v>
      </c>
      <c r="D4927" t="s">
        <v>2518</v>
      </c>
      <c r="E4927" s="3">
        <v>640.11</v>
      </c>
      <c r="F4927">
        <v>20160303</v>
      </c>
      <c r="G4927" t="s">
        <v>1995</v>
      </c>
      <c r="H4927" t="s">
        <v>4276</v>
      </c>
      <c r="I4927">
        <v>0</v>
      </c>
      <c r="J4927" t="s">
        <v>1709</v>
      </c>
      <c r="K4927" t="s">
        <v>235</v>
      </c>
      <c r="L4927" t="s">
        <v>285</v>
      </c>
      <c r="M4927" t="str">
        <f t="shared" si="341"/>
        <v>03</v>
      </c>
      <c r="N4927" t="s">
        <v>12</v>
      </c>
    </row>
    <row r="4928" spans="1:14" x14ac:dyDescent="0.25">
      <c r="A4928">
        <v>20160304</v>
      </c>
      <c r="B4928" t="str">
        <f>"062582"</f>
        <v>062582</v>
      </c>
      <c r="C4928" t="str">
        <f>"47725"</f>
        <v>47725</v>
      </c>
      <c r="D4928" t="s">
        <v>1883</v>
      </c>
      <c r="E4928" s="3">
        <v>71.03</v>
      </c>
      <c r="F4928">
        <v>20160303</v>
      </c>
      <c r="G4928" t="s">
        <v>1859</v>
      </c>
      <c r="H4928" t="s">
        <v>2295</v>
      </c>
      <c r="I4928">
        <v>0</v>
      </c>
      <c r="J4928" t="s">
        <v>1709</v>
      </c>
      <c r="K4928" t="s">
        <v>1861</v>
      </c>
      <c r="L4928" t="s">
        <v>285</v>
      </c>
      <c r="M4928" t="str">
        <f t="shared" si="341"/>
        <v>03</v>
      </c>
      <c r="N4928" t="s">
        <v>12</v>
      </c>
    </row>
    <row r="4929" spans="1:14" x14ac:dyDescent="0.25">
      <c r="A4929">
        <v>20160304</v>
      </c>
      <c r="B4929" t="str">
        <f>"062583"</f>
        <v>062583</v>
      </c>
      <c r="C4929" t="str">
        <f>"80056"</f>
        <v>80056</v>
      </c>
      <c r="D4929" t="s">
        <v>2751</v>
      </c>
      <c r="E4929" s="3">
        <v>629.66999999999996</v>
      </c>
      <c r="F4929">
        <v>20160303</v>
      </c>
      <c r="G4929" t="s">
        <v>3864</v>
      </c>
      <c r="H4929" t="s">
        <v>4277</v>
      </c>
      <c r="I4929">
        <v>0</v>
      </c>
      <c r="J4929" t="s">
        <v>1709</v>
      </c>
      <c r="K4929" t="s">
        <v>1643</v>
      </c>
      <c r="L4929" t="s">
        <v>285</v>
      </c>
      <c r="M4929" t="str">
        <f t="shared" si="341"/>
        <v>03</v>
      </c>
      <c r="N4929" t="s">
        <v>12</v>
      </c>
    </row>
    <row r="4930" spans="1:14" x14ac:dyDescent="0.25">
      <c r="A4930">
        <v>20160304</v>
      </c>
      <c r="B4930" t="str">
        <f>"062585"</f>
        <v>062585</v>
      </c>
      <c r="C4930" t="str">
        <f>"49959"</f>
        <v>49959</v>
      </c>
      <c r="D4930" t="s">
        <v>361</v>
      </c>
      <c r="E4930" s="3">
        <v>300</v>
      </c>
      <c r="F4930">
        <v>20160303</v>
      </c>
      <c r="G4930" t="s">
        <v>1788</v>
      </c>
      <c r="H4930" t="s">
        <v>4278</v>
      </c>
      <c r="I4930">
        <v>0</v>
      </c>
      <c r="J4930" t="s">
        <v>1709</v>
      </c>
      <c r="K4930" t="s">
        <v>1643</v>
      </c>
      <c r="L4930" t="s">
        <v>285</v>
      </c>
      <c r="M4930" t="str">
        <f t="shared" si="341"/>
        <v>03</v>
      </c>
      <c r="N4930" t="s">
        <v>12</v>
      </c>
    </row>
    <row r="4931" spans="1:14" x14ac:dyDescent="0.25">
      <c r="A4931">
        <v>20160304</v>
      </c>
      <c r="B4931" t="str">
        <f>"062586"</f>
        <v>062586</v>
      </c>
      <c r="C4931" t="str">
        <f>"51347"</f>
        <v>51347</v>
      </c>
      <c r="D4931" t="s">
        <v>1096</v>
      </c>
      <c r="E4931" s="3">
        <v>70</v>
      </c>
      <c r="F4931">
        <v>20160303</v>
      </c>
      <c r="G4931" t="s">
        <v>3692</v>
      </c>
      <c r="H4931" t="s">
        <v>1097</v>
      </c>
      <c r="I4931">
        <v>0</v>
      </c>
      <c r="J4931" t="s">
        <v>1709</v>
      </c>
      <c r="K4931" t="s">
        <v>290</v>
      </c>
      <c r="L4931" t="s">
        <v>285</v>
      </c>
      <c r="M4931" t="str">
        <f t="shared" si="341"/>
        <v>03</v>
      </c>
      <c r="N4931" t="s">
        <v>12</v>
      </c>
    </row>
    <row r="4932" spans="1:14" x14ac:dyDescent="0.25">
      <c r="A4932">
        <v>20160304</v>
      </c>
      <c r="B4932" t="str">
        <f>"062586"</f>
        <v>062586</v>
      </c>
      <c r="C4932" t="str">
        <f>"51347"</f>
        <v>51347</v>
      </c>
      <c r="D4932" t="s">
        <v>1096</v>
      </c>
      <c r="E4932" s="3">
        <v>350</v>
      </c>
      <c r="F4932">
        <v>20160303</v>
      </c>
      <c r="G4932" t="s">
        <v>3692</v>
      </c>
      <c r="H4932" t="s">
        <v>1097</v>
      </c>
      <c r="I4932">
        <v>0</v>
      </c>
      <c r="J4932" t="s">
        <v>1709</v>
      </c>
      <c r="K4932" t="s">
        <v>290</v>
      </c>
      <c r="L4932" t="s">
        <v>285</v>
      </c>
      <c r="M4932" t="str">
        <f t="shared" si="341"/>
        <v>03</v>
      </c>
      <c r="N4932" t="s">
        <v>12</v>
      </c>
    </row>
    <row r="4933" spans="1:14" x14ac:dyDescent="0.25">
      <c r="A4933">
        <v>20160304</v>
      </c>
      <c r="B4933" t="str">
        <f>"062588"</f>
        <v>062588</v>
      </c>
      <c r="C4933" t="str">
        <f>"53006"</f>
        <v>53006</v>
      </c>
      <c r="D4933" t="s">
        <v>2909</v>
      </c>
      <c r="E4933" s="3">
        <v>112.77</v>
      </c>
      <c r="F4933">
        <v>20160303</v>
      </c>
      <c r="G4933" t="s">
        <v>2910</v>
      </c>
      <c r="H4933" t="s">
        <v>4279</v>
      </c>
      <c r="I4933">
        <v>0</v>
      </c>
      <c r="J4933" t="s">
        <v>1709</v>
      </c>
      <c r="K4933" t="s">
        <v>33</v>
      </c>
      <c r="L4933" t="s">
        <v>285</v>
      </c>
      <c r="M4933" t="str">
        <f t="shared" si="341"/>
        <v>03</v>
      </c>
      <c r="N4933" t="s">
        <v>12</v>
      </c>
    </row>
    <row r="4934" spans="1:14" x14ac:dyDescent="0.25">
      <c r="A4934">
        <v>20160304</v>
      </c>
      <c r="B4934" t="str">
        <f>"062592"</f>
        <v>062592</v>
      </c>
      <c r="C4934" t="str">
        <f>"55912"</f>
        <v>55912</v>
      </c>
      <c r="D4934" t="s">
        <v>4280</v>
      </c>
      <c r="E4934" s="3">
        <v>100</v>
      </c>
      <c r="F4934">
        <v>20160303</v>
      </c>
      <c r="G4934" t="s">
        <v>1916</v>
      </c>
      <c r="H4934" t="s">
        <v>4281</v>
      </c>
      <c r="I4934">
        <v>0</v>
      </c>
      <c r="J4934" t="s">
        <v>1709</v>
      </c>
      <c r="K4934" t="s">
        <v>1782</v>
      </c>
      <c r="L4934" t="s">
        <v>285</v>
      </c>
      <c r="M4934" t="str">
        <f t="shared" si="341"/>
        <v>03</v>
      </c>
      <c r="N4934" t="s">
        <v>12</v>
      </c>
    </row>
    <row r="4935" spans="1:14" x14ac:dyDescent="0.25">
      <c r="A4935">
        <v>20160304</v>
      </c>
      <c r="B4935" t="str">
        <f>"062593"</f>
        <v>062593</v>
      </c>
      <c r="C4935" t="str">
        <f>"61166"</f>
        <v>61166</v>
      </c>
      <c r="D4935" t="s">
        <v>3269</v>
      </c>
      <c r="E4935" s="3">
        <v>2207.2800000000002</v>
      </c>
      <c r="F4935">
        <v>20160303</v>
      </c>
      <c r="G4935" t="s">
        <v>3270</v>
      </c>
      <c r="H4935" t="s">
        <v>3271</v>
      </c>
      <c r="I4935">
        <v>0</v>
      </c>
      <c r="J4935" t="s">
        <v>1709</v>
      </c>
      <c r="K4935" t="s">
        <v>1750</v>
      </c>
      <c r="L4935" t="s">
        <v>285</v>
      </c>
      <c r="M4935" t="str">
        <f t="shared" si="341"/>
        <v>03</v>
      </c>
      <c r="N4935" t="s">
        <v>12</v>
      </c>
    </row>
    <row r="4936" spans="1:14" x14ac:dyDescent="0.25">
      <c r="A4936">
        <v>20160304</v>
      </c>
      <c r="B4936" t="str">
        <f>"062598"</f>
        <v>062598</v>
      </c>
      <c r="C4936" t="str">
        <f>"57662"</f>
        <v>57662</v>
      </c>
      <c r="D4936" t="s">
        <v>2364</v>
      </c>
      <c r="E4936" s="3">
        <v>236</v>
      </c>
      <c r="F4936">
        <v>20160303</v>
      </c>
      <c r="G4936" t="s">
        <v>2365</v>
      </c>
      <c r="H4936" t="s">
        <v>2366</v>
      </c>
      <c r="I4936">
        <v>0</v>
      </c>
      <c r="J4936" t="s">
        <v>1709</v>
      </c>
      <c r="K4936" t="s">
        <v>290</v>
      </c>
      <c r="L4936" t="s">
        <v>285</v>
      </c>
      <c r="M4936" t="str">
        <f t="shared" si="341"/>
        <v>03</v>
      </c>
      <c r="N4936" t="s">
        <v>12</v>
      </c>
    </row>
    <row r="4937" spans="1:14" x14ac:dyDescent="0.25">
      <c r="A4937">
        <v>20160304</v>
      </c>
      <c r="B4937" t="str">
        <f>"062600"</f>
        <v>062600</v>
      </c>
      <c r="C4937" t="str">
        <f>"58190"</f>
        <v>58190</v>
      </c>
      <c r="D4937" t="s">
        <v>4282</v>
      </c>
      <c r="E4937" s="3">
        <v>500</v>
      </c>
      <c r="F4937">
        <v>20160303</v>
      </c>
      <c r="G4937" t="s">
        <v>4283</v>
      </c>
      <c r="H4937" t="s">
        <v>4284</v>
      </c>
      <c r="I4937">
        <v>0</v>
      </c>
      <c r="J4937" t="s">
        <v>1709</v>
      </c>
      <c r="K4937" t="s">
        <v>1856</v>
      </c>
      <c r="L4937" t="s">
        <v>285</v>
      </c>
      <c r="M4937" t="str">
        <f t="shared" si="341"/>
        <v>03</v>
      </c>
      <c r="N4937" t="s">
        <v>12</v>
      </c>
    </row>
    <row r="4938" spans="1:14" x14ac:dyDescent="0.25">
      <c r="A4938">
        <v>20160304</v>
      </c>
      <c r="B4938" t="str">
        <f>"062600"</f>
        <v>062600</v>
      </c>
      <c r="C4938" t="str">
        <f>"58190"</f>
        <v>58190</v>
      </c>
      <c r="D4938" t="s">
        <v>4282</v>
      </c>
      <c r="E4938" s="3">
        <v>1200.02</v>
      </c>
      <c r="F4938">
        <v>20160303</v>
      </c>
      <c r="G4938" t="s">
        <v>4283</v>
      </c>
      <c r="H4938" t="s">
        <v>4284</v>
      </c>
      <c r="I4938">
        <v>0</v>
      </c>
      <c r="J4938" t="s">
        <v>1709</v>
      </c>
      <c r="K4938" t="s">
        <v>1856</v>
      </c>
      <c r="L4938" t="s">
        <v>285</v>
      </c>
      <c r="M4938" t="str">
        <f t="shared" si="341"/>
        <v>03</v>
      </c>
      <c r="N4938" t="s">
        <v>12</v>
      </c>
    </row>
    <row r="4939" spans="1:14" x14ac:dyDescent="0.25">
      <c r="A4939">
        <v>20160304</v>
      </c>
      <c r="B4939" t="str">
        <f>"062601"</f>
        <v>062601</v>
      </c>
      <c r="C4939" t="str">
        <f>"58936"</f>
        <v>58936</v>
      </c>
      <c r="D4939" t="s">
        <v>1751</v>
      </c>
      <c r="E4939" s="3">
        <v>180</v>
      </c>
      <c r="F4939">
        <v>20160303</v>
      </c>
      <c r="G4939" t="s">
        <v>1752</v>
      </c>
      <c r="H4939" t="s">
        <v>4285</v>
      </c>
      <c r="I4939">
        <v>0</v>
      </c>
      <c r="J4939" t="s">
        <v>1709</v>
      </c>
      <c r="K4939" t="s">
        <v>1754</v>
      </c>
      <c r="L4939" t="s">
        <v>285</v>
      </c>
      <c r="M4939" t="str">
        <f t="shared" si="341"/>
        <v>03</v>
      </c>
      <c r="N4939" t="s">
        <v>12</v>
      </c>
    </row>
    <row r="4940" spans="1:14" x14ac:dyDescent="0.25">
      <c r="A4940">
        <v>20160304</v>
      </c>
      <c r="B4940" t="str">
        <f>"062602"</f>
        <v>062602</v>
      </c>
      <c r="C4940" t="str">
        <f>"59096"</f>
        <v>59096</v>
      </c>
      <c r="D4940" t="s">
        <v>4286</v>
      </c>
      <c r="E4940" s="3">
        <v>432.02</v>
      </c>
      <c r="F4940">
        <v>20160303</v>
      </c>
      <c r="G4940" t="s">
        <v>4287</v>
      </c>
      <c r="H4940" t="s">
        <v>4288</v>
      </c>
      <c r="I4940">
        <v>0</v>
      </c>
      <c r="J4940" t="s">
        <v>1709</v>
      </c>
      <c r="K4940" t="s">
        <v>95</v>
      </c>
      <c r="L4940" t="s">
        <v>285</v>
      </c>
      <c r="M4940" t="str">
        <f t="shared" si="341"/>
        <v>03</v>
      </c>
      <c r="N4940" t="s">
        <v>12</v>
      </c>
    </row>
    <row r="4941" spans="1:14" x14ac:dyDescent="0.25">
      <c r="A4941">
        <v>20160304</v>
      </c>
      <c r="B4941" t="str">
        <f>"062603"</f>
        <v>062603</v>
      </c>
      <c r="C4941" t="str">
        <f>"60835"</f>
        <v>60835</v>
      </c>
      <c r="D4941" t="s">
        <v>1904</v>
      </c>
      <c r="E4941" s="3">
        <v>490</v>
      </c>
      <c r="F4941">
        <v>20160303</v>
      </c>
      <c r="G4941" t="s">
        <v>4289</v>
      </c>
      <c r="H4941" t="s">
        <v>4290</v>
      </c>
      <c r="I4941">
        <v>0</v>
      </c>
      <c r="J4941" t="s">
        <v>1709</v>
      </c>
      <c r="K4941" t="s">
        <v>1643</v>
      </c>
      <c r="L4941" t="s">
        <v>285</v>
      </c>
      <c r="M4941" t="str">
        <f t="shared" si="341"/>
        <v>03</v>
      </c>
      <c r="N4941" t="s">
        <v>12</v>
      </c>
    </row>
    <row r="4942" spans="1:14" x14ac:dyDescent="0.25">
      <c r="A4942">
        <v>20160304</v>
      </c>
      <c r="B4942" t="str">
        <f>"062607"</f>
        <v>062607</v>
      </c>
      <c r="C4942" t="str">
        <f>"65809"</f>
        <v>65809</v>
      </c>
      <c r="D4942" t="s">
        <v>2766</v>
      </c>
      <c r="E4942" s="3">
        <v>684.91</v>
      </c>
      <c r="F4942">
        <v>20160304</v>
      </c>
      <c r="G4942" t="s">
        <v>2368</v>
      </c>
      <c r="H4942" t="s">
        <v>2023</v>
      </c>
      <c r="I4942">
        <v>0</v>
      </c>
      <c r="J4942" t="s">
        <v>1709</v>
      </c>
      <c r="K4942" t="s">
        <v>290</v>
      </c>
      <c r="L4942" t="s">
        <v>285</v>
      </c>
      <c r="M4942" t="str">
        <f t="shared" si="341"/>
        <v>03</v>
      </c>
      <c r="N4942" t="s">
        <v>12</v>
      </c>
    </row>
    <row r="4943" spans="1:14" x14ac:dyDescent="0.25">
      <c r="A4943">
        <v>20160304</v>
      </c>
      <c r="B4943" t="str">
        <f>"062608"</f>
        <v>062608</v>
      </c>
      <c r="C4943" t="str">
        <f>"65817"</f>
        <v>65817</v>
      </c>
      <c r="D4943" t="s">
        <v>2021</v>
      </c>
      <c r="E4943" s="3">
        <v>67.67</v>
      </c>
      <c r="F4943">
        <v>20160304</v>
      </c>
      <c r="G4943" t="s">
        <v>2798</v>
      </c>
      <c r="H4943" t="s">
        <v>2023</v>
      </c>
      <c r="I4943">
        <v>0</v>
      </c>
      <c r="J4943" t="s">
        <v>1709</v>
      </c>
      <c r="K4943" t="s">
        <v>33</v>
      </c>
      <c r="L4943" t="s">
        <v>285</v>
      </c>
      <c r="M4943" t="str">
        <f t="shared" si="341"/>
        <v>03</v>
      </c>
      <c r="N4943" t="s">
        <v>12</v>
      </c>
    </row>
    <row r="4944" spans="1:14" x14ac:dyDescent="0.25">
      <c r="A4944">
        <v>20160304</v>
      </c>
      <c r="B4944" t="str">
        <f>"062609"</f>
        <v>062609</v>
      </c>
      <c r="C4944" t="str">
        <f>"65826"</f>
        <v>65826</v>
      </c>
      <c r="D4944" t="s">
        <v>2386</v>
      </c>
      <c r="E4944" s="3">
        <v>104.91</v>
      </c>
      <c r="F4944">
        <v>20160304</v>
      </c>
      <c r="G4944" t="s">
        <v>2100</v>
      </c>
      <c r="H4944" t="s">
        <v>4291</v>
      </c>
      <c r="I4944">
        <v>0</v>
      </c>
      <c r="J4944" t="s">
        <v>1709</v>
      </c>
      <c r="K4944" t="s">
        <v>33</v>
      </c>
      <c r="L4944" t="s">
        <v>285</v>
      </c>
      <c r="M4944" t="str">
        <f t="shared" si="341"/>
        <v>03</v>
      </c>
      <c r="N4944" t="s">
        <v>12</v>
      </c>
    </row>
    <row r="4945" spans="1:14" x14ac:dyDescent="0.25">
      <c r="A4945">
        <v>20160304</v>
      </c>
      <c r="B4945" t="str">
        <f>"062609"</f>
        <v>062609</v>
      </c>
      <c r="C4945" t="str">
        <f>"65826"</f>
        <v>65826</v>
      </c>
      <c r="D4945" t="s">
        <v>2386</v>
      </c>
      <c r="E4945" s="3">
        <v>262.19</v>
      </c>
      <c r="F4945">
        <v>20160304</v>
      </c>
      <c r="G4945" t="s">
        <v>1758</v>
      </c>
      <c r="H4945" t="s">
        <v>4292</v>
      </c>
      <c r="I4945">
        <v>0</v>
      </c>
      <c r="J4945" t="s">
        <v>1709</v>
      </c>
      <c r="K4945" t="s">
        <v>1643</v>
      </c>
      <c r="L4945" t="s">
        <v>285</v>
      </c>
      <c r="M4945" t="str">
        <f t="shared" si="341"/>
        <v>03</v>
      </c>
      <c r="N4945" t="s">
        <v>12</v>
      </c>
    </row>
    <row r="4946" spans="1:14" x14ac:dyDescent="0.25">
      <c r="A4946">
        <v>20160304</v>
      </c>
      <c r="B4946" t="str">
        <f>"062609"</f>
        <v>062609</v>
      </c>
      <c r="C4946" t="str">
        <f>"65826"</f>
        <v>65826</v>
      </c>
      <c r="D4946" t="s">
        <v>2386</v>
      </c>
      <c r="E4946" s="3">
        <v>137.08000000000001</v>
      </c>
      <c r="F4946">
        <v>20160304</v>
      </c>
      <c r="G4946" t="s">
        <v>2570</v>
      </c>
      <c r="H4946" t="s">
        <v>4293</v>
      </c>
      <c r="I4946">
        <v>0</v>
      </c>
      <c r="J4946" t="s">
        <v>1709</v>
      </c>
      <c r="K4946" t="s">
        <v>95</v>
      </c>
      <c r="L4946" t="s">
        <v>285</v>
      </c>
      <c r="M4946" t="str">
        <f t="shared" si="341"/>
        <v>03</v>
      </c>
      <c r="N4946" t="s">
        <v>12</v>
      </c>
    </row>
    <row r="4947" spans="1:14" x14ac:dyDescent="0.25">
      <c r="A4947">
        <v>20160304</v>
      </c>
      <c r="B4947" t="str">
        <f>"062609"</f>
        <v>062609</v>
      </c>
      <c r="C4947" t="str">
        <f>"65826"</f>
        <v>65826</v>
      </c>
      <c r="D4947" t="s">
        <v>2386</v>
      </c>
      <c r="E4947" s="3">
        <v>259.67</v>
      </c>
      <c r="F4947">
        <v>20160304</v>
      </c>
      <c r="G4947" t="s">
        <v>4294</v>
      </c>
      <c r="H4947" t="s">
        <v>2169</v>
      </c>
      <c r="I4947">
        <v>0</v>
      </c>
      <c r="J4947" t="s">
        <v>1709</v>
      </c>
      <c r="K4947" t="s">
        <v>95</v>
      </c>
      <c r="L4947" t="s">
        <v>285</v>
      </c>
      <c r="M4947" t="str">
        <f t="shared" si="341"/>
        <v>03</v>
      </c>
      <c r="N4947" t="s">
        <v>12</v>
      </c>
    </row>
    <row r="4948" spans="1:14" x14ac:dyDescent="0.25">
      <c r="A4948">
        <v>20160304</v>
      </c>
      <c r="B4948" t="str">
        <f>"062611"</f>
        <v>062611</v>
      </c>
      <c r="C4948" t="str">
        <f>"72605"</f>
        <v>72605</v>
      </c>
      <c r="D4948" t="s">
        <v>3980</v>
      </c>
      <c r="E4948" s="3">
        <v>187.99</v>
      </c>
      <c r="F4948">
        <v>20160304</v>
      </c>
      <c r="G4948" t="s">
        <v>3981</v>
      </c>
      <c r="H4948" t="s">
        <v>4295</v>
      </c>
      <c r="I4948">
        <v>0</v>
      </c>
      <c r="J4948" t="s">
        <v>1709</v>
      </c>
      <c r="K4948" t="s">
        <v>2247</v>
      </c>
      <c r="L4948" t="s">
        <v>285</v>
      </c>
      <c r="M4948" t="str">
        <f t="shared" si="341"/>
        <v>03</v>
      </c>
      <c r="N4948" t="s">
        <v>12</v>
      </c>
    </row>
    <row r="4949" spans="1:14" x14ac:dyDescent="0.25">
      <c r="A4949">
        <v>20160304</v>
      </c>
      <c r="B4949" t="str">
        <f t="shared" ref="B4949:B4958" si="346">"062612"</f>
        <v>062612</v>
      </c>
      <c r="C4949" t="str">
        <f t="shared" ref="C4949:C4958" si="347">"72730"</f>
        <v>72730</v>
      </c>
      <c r="D4949" t="s">
        <v>1926</v>
      </c>
      <c r="E4949" s="3">
        <v>688.63</v>
      </c>
      <c r="F4949">
        <v>20160304</v>
      </c>
      <c r="G4949" t="s">
        <v>2495</v>
      </c>
      <c r="H4949" t="s">
        <v>595</v>
      </c>
      <c r="I4949">
        <v>0</v>
      </c>
      <c r="J4949" t="s">
        <v>1709</v>
      </c>
      <c r="K4949" t="s">
        <v>235</v>
      </c>
      <c r="L4949" t="s">
        <v>285</v>
      </c>
      <c r="M4949" t="str">
        <f t="shared" si="341"/>
        <v>03</v>
      </c>
      <c r="N4949" t="s">
        <v>12</v>
      </c>
    </row>
    <row r="4950" spans="1:14" x14ac:dyDescent="0.25">
      <c r="A4950">
        <v>20160304</v>
      </c>
      <c r="B4950" t="str">
        <f t="shared" si="346"/>
        <v>062612</v>
      </c>
      <c r="C4950" t="str">
        <f t="shared" si="347"/>
        <v>72730</v>
      </c>
      <c r="D4950" t="s">
        <v>1926</v>
      </c>
      <c r="E4950" s="3">
        <v>145.71</v>
      </c>
      <c r="F4950">
        <v>20160304</v>
      </c>
      <c r="G4950" t="s">
        <v>2226</v>
      </c>
      <c r="H4950" t="s">
        <v>4296</v>
      </c>
      <c r="I4950">
        <v>0</v>
      </c>
      <c r="J4950" t="s">
        <v>1709</v>
      </c>
      <c r="K4950" t="s">
        <v>33</v>
      </c>
      <c r="L4950" t="s">
        <v>285</v>
      </c>
      <c r="M4950" t="str">
        <f t="shared" si="341"/>
        <v>03</v>
      </c>
      <c r="N4950" t="s">
        <v>12</v>
      </c>
    </row>
    <row r="4951" spans="1:14" x14ac:dyDescent="0.25">
      <c r="A4951">
        <v>20160304</v>
      </c>
      <c r="B4951" t="str">
        <f t="shared" si="346"/>
        <v>062612</v>
      </c>
      <c r="C4951" t="str">
        <f t="shared" si="347"/>
        <v>72730</v>
      </c>
      <c r="D4951" t="s">
        <v>1926</v>
      </c>
      <c r="E4951" s="3">
        <v>145.71</v>
      </c>
      <c r="F4951">
        <v>20160304</v>
      </c>
      <c r="G4951" t="s">
        <v>2100</v>
      </c>
      <c r="H4951" t="s">
        <v>4296</v>
      </c>
      <c r="I4951">
        <v>0</v>
      </c>
      <c r="J4951" t="s">
        <v>1709</v>
      </c>
      <c r="K4951" t="s">
        <v>33</v>
      </c>
      <c r="L4951" t="s">
        <v>285</v>
      </c>
      <c r="M4951" t="str">
        <f t="shared" si="341"/>
        <v>03</v>
      </c>
      <c r="N4951" t="s">
        <v>12</v>
      </c>
    </row>
    <row r="4952" spans="1:14" x14ac:dyDescent="0.25">
      <c r="A4952">
        <v>20160304</v>
      </c>
      <c r="B4952" t="str">
        <f t="shared" si="346"/>
        <v>062612</v>
      </c>
      <c r="C4952" t="str">
        <f t="shared" si="347"/>
        <v>72730</v>
      </c>
      <c r="D4952" t="s">
        <v>1926</v>
      </c>
      <c r="E4952" s="3">
        <v>145.71</v>
      </c>
      <c r="F4952">
        <v>20160304</v>
      </c>
      <c r="G4952" t="s">
        <v>2714</v>
      </c>
      <c r="H4952" t="s">
        <v>4296</v>
      </c>
      <c r="I4952">
        <v>0</v>
      </c>
      <c r="J4952" t="s">
        <v>1709</v>
      </c>
      <c r="K4952" t="s">
        <v>33</v>
      </c>
      <c r="L4952" t="s">
        <v>285</v>
      </c>
      <c r="M4952" t="str">
        <f t="shared" si="341"/>
        <v>03</v>
      </c>
      <c r="N4952" t="s">
        <v>12</v>
      </c>
    </row>
    <row r="4953" spans="1:14" x14ac:dyDescent="0.25">
      <c r="A4953">
        <v>20160304</v>
      </c>
      <c r="B4953" t="str">
        <f t="shared" si="346"/>
        <v>062612</v>
      </c>
      <c r="C4953" t="str">
        <f t="shared" si="347"/>
        <v>72730</v>
      </c>
      <c r="D4953" t="s">
        <v>1926</v>
      </c>
      <c r="E4953" s="3">
        <v>30.84</v>
      </c>
      <c r="F4953">
        <v>20160304</v>
      </c>
      <c r="G4953" t="s">
        <v>3746</v>
      </c>
      <c r="H4953" t="s">
        <v>4296</v>
      </c>
      <c r="I4953">
        <v>0</v>
      </c>
      <c r="J4953" t="s">
        <v>1709</v>
      </c>
      <c r="K4953" t="s">
        <v>33</v>
      </c>
      <c r="L4953" t="s">
        <v>285</v>
      </c>
      <c r="M4953" t="str">
        <f t="shared" si="341"/>
        <v>03</v>
      </c>
      <c r="N4953" t="s">
        <v>12</v>
      </c>
    </row>
    <row r="4954" spans="1:14" x14ac:dyDescent="0.25">
      <c r="A4954">
        <v>20160304</v>
      </c>
      <c r="B4954" t="str">
        <f t="shared" si="346"/>
        <v>062612</v>
      </c>
      <c r="C4954" t="str">
        <f t="shared" si="347"/>
        <v>72730</v>
      </c>
      <c r="D4954" t="s">
        <v>1926</v>
      </c>
      <c r="E4954" s="3">
        <v>145.71</v>
      </c>
      <c r="F4954">
        <v>20160304</v>
      </c>
      <c r="G4954" t="s">
        <v>4297</v>
      </c>
      <c r="H4954" t="s">
        <v>4296</v>
      </c>
      <c r="I4954">
        <v>0</v>
      </c>
      <c r="J4954" t="s">
        <v>1709</v>
      </c>
      <c r="K4954" t="s">
        <v>33</v>
      </c>
      <c r="L4954" t="s">
        <v>285</v>
      </c>
      <c r="M4954" t="str">
        <f t="shared" si="341"/>
        <v>03</v>
      </c>
      <c r="N4954" t="s">
        <v>12</v>
      </c>
    </row>
    <row r="4955" spans="1:14" x14ac:dyDescent="0.25">
      <c r="A4955">
        <v>20160304</v>
      </c>
      <c r="B4955" t="str">
        <f t="shared" si="346"/>
        <v>062612</v>
      </c>
      <c r="C4955" t="str">
        <f t="shared" si="347"/>
        <v>72730</v>
      </c>
      <c r="D4955" t="s">
        <v>1926</v>
      </c>
      <c r="E4955" s="3">
        <v>145.71</v>
      </c>
      <c r="F4955">
        <v>20160304</v>
      </c>
      <c r="G4955" t="s">
        <v>4298</v>
      </c>
      <c r="H4955" t="s">
        <v>4296</v>
      </c>
      <c r="I4955">
        <v>0</v>
      </c>
      <c r="J4955" t="s">
        <v>1709</v>
      </c>
      <c r="K4955" t="s">
        <v>33</v>
      </c>
      <c r="L4955" t="s">
        <v>285</v>
      </c>
      <c r="M4955" t="str">
        <f t="shared" si="341"/>
        <v>03</v>
      </c>
      <c r="N4955" t="s">
        <v>12</v>
      </c>
    </row>
    <row r="4956" spans="1:14" x14ac:dyDescent="0.25">
      <c r="A4956">
        <v>20160304</v>
      </c>
      <c r="B4956" t="str">
        <f t="shared" si="346"/>
        <v>062612</v>
      </c>
      <c r="C4956" t="str">
        <f t="shared" si="347"/>
        <v>72730</v>
      </c>
      <c r="D4956" t="s">
        <v>1926</v>
      </c>
      <c r="E4956" s="3">
        <v>4941.32</v>
      </c>
      <c r="F4956">
        <v>20160304</v>
      </c>
      <c r="G4956" t="s">
        <v>4299</v>
      </c>
      <c r="H4956" t="s">
        <v>4300</v>
      </c>
      <c r="I4956">
        <v>0</v>
      </c>
      <c r="J4956" t="s">
        <v>1709</v>
      </c>
      <c r="K4956" t="s">
        <v>290</v>
      </c>
      <c r="L4956" t="s">
        <v>285</v>
      </c>
      <c r="M4956" t="str">
        <f t="shared" si="341"/>
        <v>03</v>
      </c>
      <c r="N4956" t="s">
        <v>12</v>
      </c>
    </row>
    <row r="4957" spans="1:14" x14ac:dyDescent="0.25">
      <c r="A4957">
        <v>20160304</v>
      </c>
      <c r="B4957" t="str">
        <f t="shared" si="346"/>
        <v>062612</v>
      </c>
      <c r="C4957" t="str">
        <f t="shared" si="347"/>
        <v>72730</v>
      </c>
      <c r="D4957" t="s">
        <v>1926</v>
      </c>
      <c r="E4957" s="3">
        <v>145.71</v>
      </c>
      <c r="F4957">
        <v>20160304</v>
      </c>
      <c r="G4957" t="s">
        <v>2706</v>
      </c>
      <c r="H4957" t="s">
        <v>4296</v>
      </c>
      <c r="I4957">
        <v>0</v>
      </c>
      <c r="J4957" t="s">
        <v>1709</v>
      </c>
      <c r="K4957" t="s">
        <v>33</v>
      </c>
      <c r="L4957" t="s">
        <v>285</v>
      </c>
      <c r="M4957" t="str">
        <f t="shared" si="341"/>
        <v>03</v>
      </c>
      <c r="N4957" t="s">
        <v>12</v>
      </c>
    </row>
    <row r="4958" spans="1:14" x14ac:dyDescent="0.25">
      <c r="A4958">
        <v>20160304</v>
      </c>
      <c r="B4958" t="str">
        <f t="shared" si="346"/>
        <v>062612</v>
      </c>
      <c r="C4958" t="str">
        <f t="shared" si="347"/>
        <v>72730</v>
      </c>
      <c r="D4958" t="s">
        <v>1926</v>
      </c>
      <c r="E4958" s="3">
        <v>145.68</v>
      </c>
      <c r="F4958">
        <v>20160304</v>
      </c>
      <c r="G4958" t="s">
        <v>2794</v>
      </c>
      <c r="H4958" t="s">
        <v>4296</v>
      </c>
      <c r="I4958">
        <v>0</v>
      </c>
      <c r="J4958" t="s">
        <v>1709</v>
      </c>
      <c r="K4958" t="s">
        <v>33</v>
      </c>
      <c r="L4958" t="s">
        <v>285</v>
      </c>
      <c r="M4958" t="str">
        <f t="shared" si="341"/>
        <v>03</v>
      </c>
      <c r="N4958" t="s">
        <v>12</v>
      </c>
    </row>
    <row r="4959" spans="1:14" x14ac:dyDescent="0.25">
      <c r="A4959">
        <v>20160304</v>
      </c>
      <c r="B4959" t="str">
        <f>"062613"</f>
        <v>062613</v>
      </c>
      <c r="C4959" t="str">
        <f>"73245"</f>
        <v>73245</v>
      </c>
      <c r="D4959" t="s">
        <v>4301</v>
      </c>
      <c r="E4959" s="3">
        <v>100</v>
      </c>
      <c r="F4959">
        <v>20160304</v>
      </c>
      <c r="G4959" t="s">
        <v>3238</v>
      </c>
      <c r="H4959" t="s">
        <v>722</v>
      </c>
      <c r="I4959">
        <v>0</v>
      </c>
      <c r="J4959" t="s">
        <v>1709</v>
      </c>
      <c r="K4959" t="s">
        <v>1893</v>
      </c>
      <c r="L4959" t="s">
        <v>285</v>
      </c>
      <c r="M4959" t="str">
        <f t="shared" ref="M4959:M5022" si="348">"03"</f>
        <v>03</v>
      </c>
      <c r="N4959" t="s">
        <v>12</v>
      </c>
    </row>
    <row r="4960" spans="1:14" x14ac:dyDescent="0.25">
      <c r="A4960">
        <v>20160304</v>
      </c>
      <c r="B4960" t="str">
        <f>"062614"</f>
        <v>062614</v>
      </c>
      <c r="C4960" t="str">
        <f>"73874"</f>
        <v>73874</v>
      </c>
      <c r="D4960" t="s">
        <v>3136</v>
      </c>
      <c r="E4960" s="3">
        <v>300</v>
      </c>
      <c r="F4960">
        <v>20160304</v>
      </c>
      <c r="G4960" t="s">
        <v>2281</v>
      </c>
      <c r="H4960" t="s">
        <v>4302</v>
      </c>
      <c r="I4960">
        <v>0</v>
      </c>
      <c r="J4960" t="s">
        <v>1709</v>
      </c>
      <c r="K4960" t="s">
        <v>290</v>
      </c>
      <c r="L4960" t="s">
        <v>285</v>
      </c>
      <c r="M4960" t="str">
        <f t="shared" si="348"/>
        <v>03</v>
      </c>
      <c r="N4960" t="s">
        <v>12</v>
      </c>
    </row>
    <row r="4961" spans="1:14" x14ac:dyDescent="0.25">
      <c r="A4961">
        <v>20160304</v>
      </c>
      <c r="B4961" t="str">
        <f>"062615"</f>
        <v>062615</v>
      </c>
      <c r="C4961" t="str">
        <f>"74119"</f>
        <v>74119</v>
      </c>
      <c r="D4961" t="s">
        <v>4303</v>
      </c>
      <c r="E4961" s="3">
        <v>150</v>
      </c>
      <c r="F4961">
        <v>20160304</v>
      </c>
      <c r="G4961" t="s">
        <v>2226</v>
      </c>
      <c r="H4961" t="s">
        <v>4304</v>
      </c>
      <c r="I4961">
        <v>0</v>
      </c>
      <c r="J4961" t="s">
        <v>1709</v>
      </c>
      <c r="K4961" t="s">
        <v>33</v>
      </c>
      <c r="L4961" t="s">
        <v>285</v>
      </c>
      <c r="M4961" t="str">
        <f t="shared" si="348"/>
        <v>03</v>
      </c>
      <c r="N4961" t="s">
        <v>12</v>
      </c>
    </row>
    <row r="4962" spans="1:14" x14ac:dyDescent="0.25">
      <c r="A4962">
        <v>20160304</v>
      </c>
      <c r="B4962" t="str">
        <f>"062615"</f>
        <v>062615</v>
      </c>
      <c r="C4962" t="str">
        <f>"74119"</f>
        <v>74119</v>
      </c>
      <c r="D4962" t="s">
        <v>4303</v>
      </c>
      <c r="E4962" s="3">
        <v>150</v>
      </c>
      <c r="F4962">
        <v>20160304</v>
      </c>
      <c r="G4962" t="s">
        <v>2100</v>
      </c>
      <c r="H4962" t="s">
        <v>4304</v>
      </c>
      <c r="I4962">
        <v>0</v>
      </c>
      <c r="J4962" t="s">
        <v>1709</v>
      </c>
      <c r="K4962" t="s">
        <v>33</v>
      </c>
      <c r="L4962" t="s">
        <v>285</v>
      </c>
      <c r="M4962" t="str">
        <f t="shared" si="348"/>
        <v>03</v>
      </c>
      <c r="N4962" t="s">
        <v>12</v>
      </c>
    </row>
    <row r="4963" spans="1:14" x14ac:dyDescent="0.25">
      <c r="A4963">
        <v>20160304</v>
      </c>
      <c r="B4963" t="str">
        <f>"062616"</f>
        <v>062616</v>
      </c>
      <c r="C4963" t="str">
        <f>"79431"</f>
        <v>79431</v>
      </c>
      <c r="D4963" t="s">
        <v>4305</v>
      </c>
      <c r="E4963" s="3">
        <v>258.5</v>
      </c>
      <c r="F4963">
        <v>20160304</v>
      </c>
      <c r="G4963" t="s">
        <v>4306</v>
      </c>
      <c r="H4963" t="s">
        <v>4307</v>
      </c>
      <c r="I4963">
        <v>0</v>
      </c>
      <c r="J4963" t="s">
        <v>1709</v>
      </c>
      <c r="K4963" t="s">
        <v>290</v>
      </c>
      <c r="L4963" t="s">
        <v>285</v>
      </c>
      <c r="M4963" t="str">
        <f t="shared" si="348"/>
        <v>03</v>
      </c>
      <c r="N4963" t="s">
        <v>12</v>
      </c>
    </row>
    <row r="4964" spans="1:14" x14ac:dyDescent="0.25">
      <c r="A4964">
        <v>20160304</v>
      </c>
      <c r="B4964" t="str">
        <f>"062616"</f>
        <v>062616</v>
      </c>
      <c r="C4964" t="str">
        <f>"79431"</f>
        <v>79431</v>
      </c>
      <c r="D4964" t="s">
        <v>4305</v>
      </c>
      <c r="E4964" s="3">
        <v>204.6</v>
      </c>
      <c r="F4964">
        <v>20160304</v>
      </c>
      <c r="G4964" t="s">
        <v>4308</v>
      </c>
      <c r="H4964" t="s">
        <v>4307</v>
      </c>
      <c r="I4964">
        <v>0</v>
      </c>
      <c r="J4964" t="s">
        <v>1709</v>
      </c>
      <c r="K4964" t="s">
        <v>95</v>
      </c>
      <c r="L4964" t="s">
        <v>285</v>
      </c>
      <c r="M4964" t="str">
        <f t="shared" si="348"/>
        <v>03</v>
      </c>
      <c r="N4964" t="s">
        <v>12</v>
      </c>
    </row>
    <row r="4965" spans="1:14" x14ac:dyDescent="0.25">
      <c r="A4965">
        <v>20160304</v>
      </c>
      <c r="B4965" t="str">
        <f>"062616"</f>
        <v>062616</v>
      </c>
      <c r="C4965" t="str">
        <f>"79431"</f>
        <v>79431</v>
      </c>
      <c r="D4965" t="s">
        <v>4305</v>
      </c>
      <c r="E4965" s="3">
        <v>244.64</v>
      </c>
      <c r="F4965">
        <v>20160304</v>
      </c>
      <c r="G4965" t="s">
        <v>4309</v>
      </c>
      <c r="H4965" t="s">
        <v>4307</v>
      </c>
      <c r="I4965">
        <v>0</v>
      </c>
      <c r="J4965" t="s">
        <v>1709</v>
      </c>
      <c r="K4965" t="s">
        <v>1643</v>
      </c>
      <c r="L4965" t="s">
        <v>285</v>
      </c>
      <c r="M4965" t="str">
        <f t="shared" si="348"/>
        <v>03</v>
      </c>
      <c r="N4965" t="s">
        <v>12</v>
      </c>
    </row>
    <row r="4966" spans="1:14" x14ac:dyDescent="0.25">
      <c r="A4966">
        <v>20160304</v>
      </c>
      <c r="B4966" t="str">
        <f>"062616"</f>
        <v>062616</v>
      </c>
      <c r="C4966" t="str">
        <f>"79431"</f>
        <v>79431</v>
      </c>
      <c r="D4966" t="s">
        <v>4305</v>
      </c>
      <c r="E4966" s="3">
        <v>146.74</v>
      </c>
      <c r="F4966">
        <v>20160304</v>
      </c>
      <c r="G4966" t="s">
        <v>4310</v>
      </c>
      <c r="H4966" t="s">
        <v>4307</v>
      </c>
      <c r="I4966">
        <v>0</v>
      </c>
      <c r="J4966" t="s">
        <v>1709</v>
      </c>
      <c r="K4966" t="s">
        <v>33</v>
      </c>
      <c r="L4966" t="s">
        <v>285</v>
      </c>
      <c r="M4966" t="str">
        <f t="shared" si="348"/>
        <v>03</v>
      </c>
      <c r="N4966" t="s">
        <v>12</v>
      </c>
    </row>
    <row r="4967" spans="1:14" x14ac:dyDescent="0.25">
      <c r="A4967">
        <v>20160304</v>
      </c>
      <c r="B4967" t="str">
        <f>"062618"</f>
        <v>062618</v>
      </c>
      <c r="C4967" t="str">
        <f>"74843"</f>
        <v>74843</v>
      </c>
      <c r="D4967" t="s">
        <v>4311</v>
      </c>
      <c r="E4967" s="3">
        <v>928.24</v>
      </c>
      <c r="F4967">
        <v>20160304</v>
      </c>
      <c r="G4967" t="s">
        <v>2281</v>
      </c>
      <c r="H4967" t="s">
        <v>4312</v>
      </c>
      <c r="I4967">
        <v>0</v>
      </c>
      <c r="J4967" t="s">
        <v>1709</v>
      </c>
      <c r="K4967" t="s">
        <v>290</v>
      </c>
      <c r="L4967" t="s">
        <v>285</v>
      </c>
      <c r="M4967" t="str">
        <f t="shared" si="348"/>
        <v>03</v>
      </c>
      <c r="N4967" t="s">
        <v>12</v>
      </c>
    </row>
    <row r="4968" spans="1:14" x14ac:dyDescent="0.25">
      <c r="A4968">
        <v>20160304</v>
      </c>
      <c r="B4968" t="str">
        <f>"062620"</f>
        <v>062620</v>
      </c>
      <c r="C4968" t="str">
        <f>"80611"</f>
        <v>80611</v>
      </c>
      <c r="D4968" t="s">
        <v>1796</v>
      </c>
      <c r="E4968" s="3">
        <v>2208.33</v>
      </c>
      <c r="F4968">
        <v>20160304</v>
      </c>
      <c r="G4968" t="s">
        <v>2414</v>
      </c>
      <c r="H4968" t="s">
        <v>3676</v>
      </c>
      <c r="I4968">
        <v>0</v>
      </c>
      <c r="J4968" t="s">
        <v>1709</v>
      </c>
      <c r="K4968" t="s">
        <v>133</v>
      </c>
      <c r="L4968" t="s">
        <v>285</v>
      </c>
      <c r="M4968" t="str">
        <f t="shared" si="348"/>
        <v>03</v>
      </c>
      <c r="N4968" t="s">
        <v>12</v>
      </c>
    </row>
    <row r="4969" spans="1:14" x14ac:dyDescent="0.25">
      <c r="A4969">
        <v>20160304</v>
      </c>
      <c r="B4969" t="str">
        <f>"062623"</f>
        <v>062623</v>
      </c>
      <c r="C4969" t="str">
        <f>"81299"</f>
        <v>81299</v>
      </c>
      <c r="D4969" t="s">
        <v>2415</v>
      </c>
      <c r="E4969" s="3">
        <v>500</v>
      </c>
      <c r="F4969">
        <v>20160302</v>
      </c>
      <c r="G4969" t="s">
        <v>4313</v>
      </c>
      <c r="H4969" t="s">
        <v>4314</v>
      </c>
      <c r="I4969">
        <v>0</v>
      </c>
      <c r="J4969" t="s">
        <v>1709</v>
      </c>
      <c r="K4969" t="s">
        <v>290</v>
      </c>
      <c r="L4969" t="s">
        <v>285</v>
      </c>
      <c r="M4969" t="str">
        <f t="shared" si="348"/>
        <v>03</v>
      </c>
      <c r="N4969" t="s">
        <v>12</v>
      </c>
    </row>
    <row r="4970" spans="1:14" x14ac:dyDescent="0.25">
      <c r="A4970">
        <v>20160304</v>
      </c>
      <c r="B4970" t="str">
        <f t="shared" ref="B4970:B4998" si="349">"062627"</f>
        <v>062627</v>
      </c>
      <c r="C4970" t="str">
        <f t="shared" ref="C4970:C4998" si="350">"83022"</f>
        <v>83022</v>
      </c>
      <c r="D4970" t="s">
        <v>394</v>
      </c>
      <c r="E4970" s="3">
        <v>39.409999999999997</v>
      </c>
      <c r="F4970">
        <v>20160304</v>
      </c>
      <c r="G4970" t="s">
        <v>3888</v>
      </c>
      <c r="H4970" t="s">
        <v>4315</v>
      </c>
      <c r="I4970">
        <v>0</v>
      </c>
      <c r="J4970" t="s">
        <v>1709</v>
      </c>
      <c r="K4970" t="s">
        <v>95</v>
      </c>
      <c r="L4970" t="s">
        <v>285</v>
      </c>
      <c r="M4970" t="str">
        <f t="shared" si="348"/>
        <v>03</v>
      </c>
      <c r="N4970" t="s">
        <v>12</v>
      </c>
    </row>
    <row r="4971" spans="1:14" x14ac:dyDescent="0.25">
      <c r="A4971">
        <v>20160304</v>
      </c>
      <c r="B4971" t="str">
        <f t="shared" si="349"/>
        <v>062627</v>
      </c>
      <c r="C4971" t="str">
        <f t="shared" si="350"/>
        <v>83022</v>
      </c>
      <c r="D4971" t="s">
        <v>394</v>
      </c>
      <c r="E4971" s="3">
        <v>72.959999999999994</v>
      </c>
      <c r="F4971">
        <v>20160304</v>
      </c>
      <c r="G4971" t="s">
        <v>3888</v>
      </c>
      <c r="H4971" t="s">
        <v>4316</v>
      </c>
      <c r="I4971">
        <v>0</v>
      </c>
      <c r="J4971" t="s">
        <v>1709</v>
      </c>
      <c r="K4971" t="s">
        <v>95</v>
      </c>
      <c r="L4971" t="s">
        <v>285</v>
      </c>
      <c r="M4971" t="str">
        <f t="shared" si="348"/>
        <v>03</v>
      </c>
      <c r="N4971" t="s">
        <v>12</v>
      </c>
    </row>
    <row r="4972" spans="1:14" x14ac:dyDescent="0.25">
      <c r="A4972">
        <v>20160304</v>
      </c>
      <c r="B4972" t="str">
        <f t="shared" si="349"/>
        <v>062627</v>
      </c>
      <c r="C4972" t="str">
        <f t="shared" si="350"/>
        <v>83022</v>
      </c>
      <c r="D4972" t="s">
        <v>394</v>
      </c>
      <c r="E4972" s="3">
        <v>29.02</v>
      </c>
      <c r="F4972">
        <v>20160304</v>
      </c>
      <c r="G4972" t="s">
        <v>2168</v>
      </c>
      <c r="H4972" t="s">
        <v>4317</v>
      </c>
      <c r="I4972">
        <v>0</v>
      </c>
      <c r="J4972" t="s">
        <v>1709</v>
      </c>
      <c r="K4972" t="s">
        <v>33</v>
      </c>
      <c r="L4972" t="s">
        <v>285</v>
      </c>
      <c r="M4972" t="str">
        <f t="shared" si="348"/>
        <v>03</v>
      </c>
      <c r="N4972" t="s">
        <v>12</v>
      </c>
    </row>
    <row r="4973" spans="1:14" x14ac:dyDescent="0.25">
      <c r="A4973">
        <v>20160304</v>
      </c>
      <c r="B4973" t="str">
        <f t="shared" si="349"/>
        <v>062627</v>
      </c>
      <c r="C4973" t="str">
        <f t="shared" si="350"/>
        <v>83022</v>
      </c>
      <c r="D4973" t="s">
        <v>394</v>
      </c>
      <c r="E4973" s="3">
        <v>37.51</v>
      </c>
      <c r="F4973">
        <v>20160304</v>
      </c>
      <c r="G4973" t="s">
        <v>2168</v>
      </c>
      <c r="H4973" t="s">
        <v>4317</v>
      </c>
      <c r="I4973">
        <v>0</v>
      </c>
      <c r="J4973" t="s">
        <v>1709</v>
      </c>
      <c r="K4973" t="s">
        <v>33</v>
      </c>
      <c r="L4973" t="s">
        <v>285</v>
      </c>
      <c r="M4973" t="str">
        <f t="shared" si="348"/>
        <v>03</v>
      </c>
      <c r="N4973" t="s">
        <v>12</v>
      </c>
    </row>
    <row r="4974" spans="1:14" x14ac:dyDescent="0.25">
      <c r="A4974">
        <v>20160304</v>
      </c>
      <c r="B4974" t="str">
        <f t="shared" si="349"/>
        <v>062627</v>
      </c>
      <c r="C4974" t="str">
        <f t="shared" si="350"/>
        <v>83022</v>
      </c>
      <c r="D4974" t="s">
        <v>394</v>
      </c>
      <c r="E4974" s="3">
        <v>46.81</v>
      </c>
      <c r="F4974">
        <v>20160304</v>
      </c>
      <c r="G4974" t="s">
        <v>2100</v>
      </c>
      <c r="H4974" t="s">
        <v>4318</v>
      </c>
      <c r="I4974">
        <v>0</v>
      </c>
      <c r="J4974" t="s">
        <v>1709</v>
      </c>
      <c r="K4974" t="s">
        <v>33</v>
      </c>
      <c r="L4974" t="s">
        <v>285</v>
      </c>
      <c r="M4974" t="str">
        <f t="shared" si="348"/>
        <v>03</v>
      </c>
      <c r="N4974" t="s">
        <v>12</v>
      </c>
    </row>
    <row r="4975" spans="1:14" x14ac:dyDescent="0.25">
      <c r="A4975">
        <v>20160304</v>
      </c>
      <c r="B4975" t="str">
        <f t="shared" si="349"/>
        <v>062627</v>
      </c>
      <c r="C4975" t="str">
        <f t="shared" si="350"/>
        <v>83022</v>
      </c>
      <c r="D4975" t="s">
        <v>394</v>
      </c>
      <c r="E4975" s="3">
        <v>127.6</v>
      </c>
      <c r="F4975">
        <v>20160304</v>
      </c>
      <c r="G4975" t="s">
        <v>2275</v>
      </c>
      <c r="H4975" t="s">
        <v>4170</v>
      </c>
      <c r="I4975">
        <v>0</v>
      </c>
      <c r="J4975" t="s">
        <v>1709</v>
      </c>
      <c r="K4975" t="s">
        <v>95</v>
      </c>
      <c r="L4975" t="s">
        <v>285</v>
      </c>
      <c r="M4975" t="str">
        <f t="shared" si="348"/>
        <v>03</v>
      </c>
      <c r="N4975" t="s">
        <v>12</v>
      </c>
    </row>
    <row r="4976" spans="1:14" x14ac:dyDescent="0.25">
      <c r="A4976">
        <v>20160304</v>
      </c>
      <c r="B4976" t="str">
        <f t="shared" si="349"/>
        <v>062627</v>
      </c>
      <c r="C4976" t="str">
        <f t="shared" si="350"/>
        <v>83022</v>
      </c>
      <c r="D4976" t="s">
        <v>394</v>
      </c>
      <c r="E4976" s="3">
        <v>9.98</v>
      </c>
      <c r="F4976">
        <v>20160304</v>
      </c>
      <c r="G4976" t="s">
        <v>2275</v>
      </c>
      <c r="H4976" t="s">
        <v>4319</v>
      </c>
      <c r="I4976">
        <v>0</v>
      </c>
      <c r="J4976" t="s">
        <v>1709</v>
      </c>
      <c r="K4976" t="s">
        <v>95</v>
      </c>
      <c r="L4976" t="s">
        <v>285</v>
      </c>
      <c r="M4976" t="str">
        <f t="shared" si="348"/>
        <v>03</v>
      </c>
      <c r="N4976" t="s">
        <v>12</v>
      </c>
    </row>
    <row r="4977" spans="1:14" x14ac:dyDescent="0.25">
      <c r="A4977">
        <v>20160304</v>
      </c>
      <c r="B4977" t="str">
        <f t="shared" si="349"/>
        <v>062627</v>
      </c>
      <c r="C4977" t="str">
        <f t="shared" si="350"/>
        <v>83022</v>
      </c>
      <c r="D4977" t="s">
        <v>394</v>
      </c>
      <c r="E4977" s="3">
        <v>56.42</v>
      </c>
      <c r="F4977">
        <v>20160304</v>
      </c>
      <c r="G4977" t="s">
        <v>3031</v>
      </c>
      <c r="H4977" t="s">
        <v>1618</v>
      </c>
      <c r="I4977">
        <v>0</v>
      </c>
      <c r="J4977" t="s">
        <v>1709</v>
      </c>
      <c r="K4977" t="s">
        <v>290</v>
      </c>
      <c r="L4977" t="s">
        <v>285</v>
      </c>
      <c r="M4977" t="str">
        <f t="shared" si="348"/>
        <v>03</v>
      </c>
      <c r="N4977" t="s">
        <v>12</v>
      </c>
    </row>
    <row r="4978" spans="1:14" x14ac:dyDescent="0.25">
      <c r="A4978">
        <v>20160304</v>
      </c>
      <c r="B4978" t="str">
        <f t="shared" si="349"/>
        <v>062627</v>
      </c>
      <c r="C4978" t="str">
        <f t="shared" si="350"/>
        <v>83022</v>
      </c>
      <c r="D4978" t="s">
        <v>394</v>
      </c>
      <c r="E4978" s="3">
        <v>98.06</v>
      </c>
      <c r="F4978">
        <v>20160304</v>
      </c>
      <c r="G4978" t="s">
        <v>2529</v>
      </c>
      <c r="H4978" t="s">
        <v>3191</v>
      </c>
      <c r="I4978">
        <v>0</v>
      </c>
      <c r="J4978" t="s">
        <v>1709</v>
      </c>
      <c r="K4978" t="s">
        <v>95</v>
      </c>
      <c r="L4978" t="s">
        <v>285</v>
      </c>
      <c r="M4978" t="str">
        <f t="shared" si="348"/>
        <v>03</v>
      </c>
      <c r="N4978" t="s">
        <v>12</v>
      </c>
    </row>
    <row r="4979" spans="1:14" x14ac:dyDescent="0.25">
      <c r="A4979">
        <v>20160304</v>
      </c>
      <c r="B4979" t="str">
        <f t="shared" si="349"/>
        <v>062627</v>
      </c>
      <c r="C4979" t="str">
        <f t="shared" si="350"/>
        <v>83022</v>
      </c>
      <c r="D4979" t="s">
        <v>394</v>
      </c>
      <c r="E4979" s="3">
        <v>48.05</v>
      </c>
      <c r="F4979">
        <v>20160304</v>
      </c>
      <c r="G4979" t="s">
        <v>2529</v>
      </c>
      <c r="H4979" t="s">
        <v>3191</v>
      </c>
      <c r="I4979">
        <v>0</v>
      </c>
      <c r="J4979" t="s">
        <v>1709</v>
      </c>
      <c r="K4979" t="s">
        <v>95</v>
      </c>
      <c r="L4979" t="s">
        <v>285</v>
      </c>
      <c r="M4979" t="str">
        <f t="shared" si="348"/>
        <v>03</v>
      </c>
      <c r="N4979" t="s">
        <v>12</v>
      </c>
    </row>
    <row r="4980" spans="1:14" x14ac:dyDescent="0.25">
      <c r="A4980">
        <v>20160304</v>
      </c>
      <c r="B4980" t="str">
        <f t="shared" si="349"/>
        <v>062627</v>
      </c>
      <c r="C4980" t="str">
        <f t="shared" si="350"/>
        <v>83022</v>
      </c>
      <c r="D4980" t="s">
        <v>394</v>
      </c>
      <c r="E4980" s="3">
        <v>36.76</v>
      </c>
      <c r="F4980">
        <v>20160304</v>
      </c>
      <c r="G4980" t="s">
        <v>2529</v>
      </c>
      <c r="H4980" t="s">
        <v>3191</v>
      </c>
      <c r="I4980">
        <v>0</v>
      </c>
      <c r="J4980" t="s">
        <v>1709</v>
      </c>
      <c r="K4980" t="s">
        <v>95</v>
      </c>
      <c r="L4980" t="s">
        <v>285</v>
      </c>
      <c r="M4980" t="str">
        <f t="shared" si="348"/>
        <v>03</v>
      </c>
      <c r="N4980" t="s">
        <v>12</v>
      </c>
    </row>
    <row r="4981" spans="1:14" x14ac:dyDescent="0.25">
      <c r="A4981">
        <v>20160304</v>
      </c>
      <c r="B4981" t="str">
        <f t="shared" si="349"/>
        <v>062627</v>
      </c>
      <c r="C4981" t="str">
        <f t="shared" si="350"/>
        <v>83022</v>
      </c>
      <c r="D4981" t="s">
        <v>394</v>
      </c>
      <c r="E4981" s="3">
        <v>16.95</v>
      </c>
      <c r="F4981">
        <v>20160304</v>
      </c>
      <c r="G4981" t="s">
        <v>3892</v>
      </c>
      <c r="H4981" t="s">
        <v>4320</v>
      </c>
      <c r="I4981">
        <v>0</v>
      </c>
      <c r="J4981" t="s">
        <v>1709</v>
      </c>
      <c r="K4981" t="s">
        <v>290</v>
      </c>
      <c r="L4981" t="s">
        <v>285</v>
      </c>
      <c r="M4981" t="str">
        <f t="shared" si="348"/>
        <v>03</v>
      </c>
      <c r="N4981" t="s">
        <v>12</v>
      </c>
    </row>
    <row r="4982" spans="1:14" x14ac:dyDescent="0.25">
      <c r="A4982">
        <v>20160304</v>
      </c>
      <c r="B4982" t="str">
        <f t="shared" si="349"/>
        <v>062627</v>
      </c>
      <c r="C4982" t="str">
        <f t="shared" si="350"/>
        <v>83022</v>
      </c>
      <c r="D4982" t="s">
        <v>394</v>
      </c>
      <c r="E4982" s="3">
        <v>11.31</v>
      </c>
      <c r="F4982">
        <v>20160304</v>
      </c>
      <c r="G4982" t="s">
        <v>2153</v>
      </c>
      <c r="H4982" t="s">
        <v>4321</v>
      </c>
      <c r="I4982">
        <v>0</v>
      </c>
      <c r="J4982" t="s">
        <v>1709</v>
      </c>
      <c r="K4982" t="s">
        <v>290</v>
      </c>
      <c r="L4982" t="s">
        <v>285</v>
      </c>
      <c r="M4982" t="str">
        <f t="shared" si="348"/>
        <v>03</v>
      </c>
      <c r="N4982" t="s">
        <v>12</v>
      </c>
    </row>
    <row r="4983" spans="1:14" x14ac:dyDescent="0.25">
      <c r="A4983">
        <v>20160304</v>
      </c>
      <c r="B4983" t="str">
        <f t="shared" si="349"/>
        <v>062627</v>
      </c>
      <c r="C4983" t="str">
        <f t="shared" si="350"/>
        <v>83022</v>
      </c>
      <c r="D4983" t="s">
        <v>394</v>
      </c>
      <c r="E4983" s="3">
        <v>17.010000000000002</v>
      </c>
      <c r="F4983">
        <v>20160304</v>
      </c>
      <c r="G4983" t="s">
        <v>2789</v>
      </c>
      <c r="H4983" t="s">
        <v>4322</v>
      </c>
      <c r="I4983">
        <v>0</v>
      </c>
      <c r="J4983" t="s">
        <v>1709</v>
      </c>
      <c r="K4983" t="s">
        <v>290</v>
      </c>
      <c r="L4983" t="s">
        <v>285</v>
      </c>
      <c r="M4983" t="str">
        <f t="shared" si="348"/>
        <v>03</v>
      </c>
      <c r="N4983" t="s">
        <v>12</v>
      </c>
    </row>
    <row r="4984" spans="1:14" x14ac:dyDescent="0.25">
      <c r="A4984">
        <v>20160304</v>
      </c>
      <c r="B4984" t="str">
        <f t="shared" si="349"/>
        <v>062627</v>
      </c>
      <c r="C4984" t="str">
        <f t="shared" si="350"/>
        <v>83022</v>
      </c>
      <c r="D4984" t="s">
        <v>394</v>
      </c>
      <c r="E4984" s="3">
        <v>55.09</v>
      </c>
      <c r="F4984">
        <v>20160304</v>
      </c>
      <c r="G4984" t="s">
        <v>2232</v>
      </c>
      <c r="H4984" t="s">
        <v>4323</v>
      </c>
      <c r="I4984">
        <v>0</v>
      </c>
      <c r="J4984" t="s">
        <v>1709</v>
      </c>
      <c r="K4984" t="s">
        <v>290</v>
      </c>
      <c r="L4984" t="s">
        <v>285</v>
      </c>
      <c r="M4984" t="str">
        <f t="shared" si="348"/>
        <v>03</v>
      </c>
      <c r="N4984" t="s">
        <v>12</v>
      </c>
    </row>
    <row r="4985" spans="1:14" x14ac:dyDescent="0.25">
      <c r="A4985">
        <v>20160304</v>
      </c>
      <c r="B4985" t="str">
        <f t="shared" si="349"/>
        <v>062627</v>
      </c>
      <c r="C4985" t="str">
        <f t="shared" si="350"/>
        <v>83022</v>
      </c>
      <c r="D4985" t="s">
        <v>394</v>
      </c>
      <c r="E4985" s="3">
        <v>178.46</v>
      </c>
      <c r="F4985">
        <v>20160304</v>
      </c>
      <c r="G4985" t="s">
        <v>2791</v>
      </c>
      <c r="H4985" t="s">
        <v>2310</v>
      </c>
      <c r="I4985">
        <v>0</v>
      </c>
      <c r="J4985" t="s">
        <v>1709</v>
      </c>
      <c r="K4985" t="s">
        <v>290</v>
      </c>
      <c r="L4985" t="s">
        <v>285</v>
      </c>
      <c r="M4985" t="str">
        <f t="shared" si="348"/>
        <v>03</v>
      </c>
      <c r="N4985" t="s">
        <v>12</v>
      </c>
    </row>
    <row r="4986" spans="1:14" x14ac:dyDescent="0.25">
      <c r="A4986">
        <v>20160304</v>
      </c>
      <c r="B4986" t="str">
        <f t="shared" si="349"/>
        <v>062627</v>
      </c>
      <c r="C4986" t="str">
        <f t="shared" si="350"/>
        <v>83022</v>
      </c>
      <c r="D4986" t="s">
        <v>394</v>
      </c>
      <c r="E4986" s="3">
        <v>140.71</v>
      </c>
      <c r="F4986">
        <v>20160304</v>
      </c>
      <c r="G4986" t="s">
        <v>2309</v>
      </c>
      <c r="H4986" t="s">
        <v>4324</v>
      </c>
      <c r="I4986">
        <v>0</v>
      </c>
      <c r="J4986" t="s">
        <v>1709</v>
      </c>
      <c r="K4986" t="s">
        <v>1558</v>
      </c>
      <c r="L4986" t="s">
        <v>285</v>
      </c>
      <c r="M4986" t="str">
        <f t="shared" si="348"/>
        <v>03</v>
      </c>
      <c r="N4986" t="s">
        <v>12</v>
      </c>
    </row>
    <row r="4987" spans="1:14" x14ac:dyDescent="0.25">
      <c r="A4987">
        <v>20160304</v>
      </c>
      <c r="B4987" t="str">
        <f t="shared" si="349"/>
        <v>062627</v>
      </c>
      <c r="C4987" t="str">
        <f t="shared" si="350"/>
        <v>83022</v>
      </c>
      <c r="D4987" t="s">
        <v>394</v>
      </c>
      <c r="E4987" s="3">
        <v>63.13</v>
      </c>
      <c r="F4987">
        <v>20160304</v>
      </c>
      <c r="G4987" t="s">
        <v>2309</v>
      </c>
      <c r="H4987" t="s">
        <v>4325</v>
      </c>
      <c r="I4987">
        <v>0</v>
      </c>
      <c r="J4987" t="s">
        <v>1709</v>
      </c>
      <c r="K4987" t="s">
        <v>1558</v>
      </c>
      <c r="L4987" t="s">
        <v>285</v>
      </c>
      <c r="M4987" t="str">
        <f t="shared" si="348"/>
        <v>03</v>
      </c>
      <c r="N4987" t="s">
        <v>12</v>
      </c>
    </row>
    <row r="4988" spans="1:14" x14ac:dyDescent="0.25">
      <c r="A4988">
        <v>20160304</v>
      </c>
      <c r="B4988" t="str">
        <f t="shared" si="349"/>
        <v>062627</v>
      </c>
      <c r="C4988" t="str">
        <f t="shared" si="350"/>
        <v>83022</v>
      </c>
      <c r="D4988" t="s">
        <v>394</v>
      </c>
      <c r="E4988" s="3">
        <v>9.35</v>
      </c>
      <c r="F4988">
        <v>20160304</v>
      </c>
      <c r="G4988" t="s">
        <v>2795</v>
      </c>
      <c r="H4988" t="s">
        <v>3196</v>
      </c>
      <c r="I4988">
        <v>0</v>
      </c>
      <c r="J4988" t="s">
        <v>1709</v>
      </c>
      <c r="K4988" t="s">
        <v>95</v>
      </c>
      <c r="L4988" t="s">
        <v>285</v>
      </c>
      <c r="M4988" t="str">
        <f t="shared" si="348"/>
        <v>03</v>
      </c>
      <c r="N4988" t="s">
        <v>12</v>
      </c>
    </row>
    <row r="4989" spans="1:14" x14ac:dyDescent="0.25">
      <c r="A4989">
        <v>20160304</v>
      </c>
      <c r="B4989" t="str">
        <f t="shared" si="349"/>
        <v>062627</v>
      </c>
      <c r="C4989" t="str">
        <f t="shared" si="350"/>
        <v>83022</v>
      </c>
      <c r="D4989" t="s">
        <v>394</v>
      </c>
      <c r="E4989" s="3">
        <v>29.46</v>
      </c>
      <c r="F4989">
        <v>20160304</v>
      </c>
      <c r="G4989" t="s">
        <v>2626</v>
      </c>
      <c r="H4989" t="s">
        <v>4326</v>
      </c>
      <c r="I4989">
        <v>0</v>
      </c>
      <c r="J4989" t="s">
        <v>1709</v>
      </c>
      <c r="K4989" t="s">
        <v>290</v>
      </c>
      <c r="L4989" t="s">
        <v>285</v>
      </c>
      <c r="M4989" t="str">
        <f t="shared" si="348"/>
        <v>03</v>
      </c>
      <c r="N4989" t="s">
        <v>12</v>
      </c>
    </row>
    <row r="4990" spans="1:14" x14ac:dyDescent="0.25">
      <c r="A4990">
        <v>20160304</v>
      </c>
      <c r="B4990" t="str">
        <f t="shared" si="349"/>
        <v>062627</v>
      </c>
      <c r="C4990" t="str">
        <f t="shared" si="350"/>
        <v>83022</v>
      </c>
      <c r="D4990" t="s">
        <v>394</v>
      </c>
      <c r="E4990" s="3">
        <v>264.83999999999997</v>
      </c>
      <c r="F4990">
        <v>20160304</v>
      </c>
      <c r="G4990" t="s">
        <v>2162</v>
      </c>
      <c r="H4990" t="s">
        <v>2173</v>
      </c>
      <c r="I4990">
        <v>0</v>
      </c>
      <c r="J4990" t="s">
        <v>1709</v>
      </c>
      <c r="K4990" t="s">
        <v>1643</v>
      </c>
      <c r="L4990" t="s">
        <v>285</v>
      </c>
      <c r="M4990" t="str">
        <f t="shared" si="348"/>
        <v>03</v>
      </c>
      <c r="N4990" t="s">
        <v>12</v>
      </c>
    </row>
    <row r="4991" spans="1:14" x14ac:dyDescent="0.25">
      <c r="A4991">
        <v>20160304</v>
      </c>
      <c r="B4991" t="str">
        <f t="shared" si="349"/>
        <v>062627</v>
      </c>
      <c r="C4991" t="str">
        <f t="shared" si="350"/>
        <v>83022</v>
      </c>
      <c r="D4991" t="s">
        <v>394</v>
      </c>
      <c r="E4991" s="3">
        <v>8.6999999999999993</v>
      </c>
      <c r="F4991">
        <v>20160304</v>
      </c>
      <c r="G4991" t="s">
        <v>2172</v>
      </c>
      <c r="H4991" t="s">
        <v>4327</v>
      </c>
      <c r="I4991">
        <v>0</v>
      </c>
      <c r="J4991" t="s">
        <v>1709</v>
      </c>
      <c r="K4991" t="s">
        <v>95</v>
      </c>
      <c r="L4991" t="s">
        <v>285</v>
      </c>
      <c r="M4991" t="str">
        <f t="shared" si="348"/>
        <v>03</v>
      </c>
      <c r="N4991" t="s">
        <v>12</v>
      </c>
    </row>
    <row r="4992" spans="1:14" x14ac:dyDescent="0.25">
      <c r="A4992">
        <v>20160304</v>
      </c>
      <c r="B4992" t="str">
        <f t="shared" si="349"/>
        <v>062627</v>
      </c>
      <c r="C4992" t="str">
        <f t="shared" si="350"/>
        <v>83022</v>
      </c>
      <c r="D4992" t="s">
        <v>394</v>
      </c>
      <c r="E4992" s="3">
        <v>40.42</v>
      </c>
      <c r="F4992">
        <v>20160304</v>
      </c>
      <c r="G4992" t="s">
        <v>4328</v>
      </c>
      <c r="H4992" t="s">
        <v>4329</v>
      </c>
      <c r="I4992">
        <v>0</v>
      </c>
      <c r="J4992" t="s">
        <v>1709</v>
      </c>
      <c r="K4992" t="s">
        <v>290</v>
      </c>
      <c r="L4992" t="s">
        <v>285</v>
      </c>
      <c r="M4992" t="str">
        <f t="shared" si="348"/>
        <v>03</v>
      </c>
      <c r="N4992" t="s">
        <v>12</v>
      </c>
    </row>
    <row r="4993" spans="1:14" x14ac:dyDescent="0.25">
      <c r="A4993">
        <v>20160304</v>
      </c>
      <c r="B4993" t="str">
        <f t="shared" si="349"/>
        <v>062627</v>
      </c>
      <c r="C4993" t="str">
        <f t="shared" si="350"/>
        <v>83022</v>
      </c>
      <c r="D4993" t="s">
        <v>394</v>
      </c>
      <c r="E4993" s="3">
        <v>168.01</v>
      </c>
      <c r="F4993">
        <v>20160304</v>
      </c>
      <c r="G4993" t="s">
        <v>2368</v>
      </c>
      <c r="H4993" t="s">
        <v>2023</v>
      </c>
      <c r="I4993">
        <v>0</v>
      </c>
      <c r="J4993" t="s">
        <v>1709</v>
      </c>
      <c r="K4993" t="s">
        <v>290</v>
      </c>
      <c r="L4993" t="s">
        <v>285</v>
      </c>
      <c r="M4993" t="str">
        <f t="shared" si="348"/>
        <v>03</v>
      </c>
      <c r="N4993" t="s">
        <v>12</v>
      </c>
    </row>
    <row r="4994" spans="1:14" x14ac:dyDescent="0.25">
      <c r="A4994">
        <v>20160304</v>
      </c>
      <c r="B4994" t="str">
        <f t="shared" si="349"/>
        <v>062627</v>
      </c>
      <c r="C4994" t="str">
        <f t="shared" si="350"/>
        <v>83022</v>
      </c>
      <c r="D4994" t="s">
        <v>394</v>
      </c>
      <c r="E4994" s="3">
        <v>7.52</v>
      </c>
      <c r="F4994">
        <v>20160304</v>
      </c>
      <c r="G4994" t="s">
        <v>2767</v>
      </c>
      <c r="H4994" t="s">
        <v>2023</v>
      </c>
      <c r="I4994">
        <v>0</v>
      </c>
      <c r="J4994" t="s">
        <v>1709</v>
      </c>
      <c r="K4994" t="s">
        <v>95</v>
      </c>
      <c r="L4994" t="s">
        <v>285</v>
      </c>
      <c r="M4994" t="str">
        <f t="shared" si="348"/>
        <v>03</v>
      </c>
      <c r="N4994" t="s">
        <v>12</v>
      </c>
    </row>
    <row r="4995" spans="1:14" x14ac:dyDescent="0.25">
      <c r="A4995">
        <v>20160304</v>
      </c>
      <c r="B4995" t="str">
        <f t="shared" si="349"/>
        <v>062627</v>
      </c>
      <c r="C4995" t="str">
        <f t="shared" si="350"/>
        <v>83022</v>
      </c>
      <c r="D4995" t="s">
        <v>394</v>
      </c>
      <c r="E4995" s="3">
        <v>35.28</v>
      </c>
      <c r="F4995">
        <v>20160304</v>
      </c>
      <c r="G4995" t="s">
        <v>2798</v>
      </c>
      <c r="H4995" t="s">
        <v>2023</v>
      </c>
      <c r="I4995">
        <v>0</v>
      </c>
      <c r="J4995" t="s">
        <v>1709</v>
      </c>
      <c r="K4995" t="s">
        <v>33</v>
      </c>
      <c r="L4995" t="s">
        <v>285</v>
      </c>
      <c r="M4995" t="str">
        <f t="shared" si="348"/>
        <v>03</v>
      </c>
      <c r="N4995" t="s">
        <v>12</v>
      </c>
    </row>
    <row r="4996" spans="1:14" x14ac:dyDescent="0.25">
      <c r="A4996">
        <v>20160304</v>
      </c>
      <c r="B4996" t="str">
        <f t="shared" si="349"/>
        <v>062627</v>
      </c>
      <c r="C4996" t="str">
        <f t="shared" si="350"/>
        <v>83022</v>
      </c>
      <c r="D4996" t="s">
        <v>394</v>
      </c>
      <c r="E4996" s="3">
        <v>274.08999999999997</v>
      </c>
      <c r="F4996">
        <v>20160304</v>
      </c>
      <c r="G4996" t="s">
        <v>2339</v>
      </c>
      <c r="H4996" t="s">
        <v>3191</v>
      </c>
      <c r="I4996">
        <v>0</v>
      </c>
      <c r="J4996" t="s">
        <v>1709</v>
      </c>
      <c r="K4996" t="s">
        <v>290</v>
      </c>
      <c r="L4996" t="s">
        <v>285</v>
      </c>
      <c r="M4996" t="str">
        <f t="shared" si="348"/>
        <v>03</v>
      </c>
      <c r="N4996" t="s">
        <v>12</v>
      </c>
    </row>
    <row r="4997" spans="1:14" x14ac:dyDescent="0.25">
      <c r="A4997">
        <v>20160304</v>
      </c>
      <c r="B4997" t="str">
        <f t="shared" si="349"/>
        <v>062627</v>
      </c>
      <c r="C4997" t="str">
        <f t="shared" si="350"/>
        <v>83022</v>
      </c>
      <c r="D4997" t="s">
        <v>394</v>
      </c>
      <c r="E4997" s="3">
        <v>42</v>
      </c>
      <c r="F4997">
        <v>20160304</v>
      </c>
      <c r="G4997" t="s">
        <v>2339</v>
      </c>
      <c r="H4997" t="s">
        <v>4330</v>
      </c>
      <c r="I4997">
        <v>0</v>
      </c>
      <c r="J4997" t="s">
        <v>1709</v>
      </c>
      <c r="K4997" t="s">
        <v>290</v>
      </c>
      <c r="L4997" t="s">
        <v>285</v>
      </c>
      <c r="M4997" t="str">
        <f t="shared" si="348"/>
        <v>03</v>
      </c>
      <c r="N4997" t="s">
        <v>12</v>
      </c>
    </row>
    <row r="4998" spans="1:14" x14ac:dyDescent="0.25">
      <c r="A4998">
        <v>20160304</v>
      </c>
      <c r="B4998" t="str">
        <f t="shared" si="349"/>
        <v>062627</v>
      </c>
      <c r="C4998" t="str">
        <f t="shared" si="350"/>
        <v>83022</v>
      </c>
      <c r="D4998" t="s">
        <v>394</v>
      </c>
      <c r="E4998" s="3">
        <v>115.46</v>
      </c>
      <c r="F4998">
        <v>20160304</v>
      </c>
      <c r="G4998" t="s">
        <v>2049</v>
      </c>
      <c r="H4998" t="s">
        <v>4331</v>
      </c>
      <c r="I4998">
        <v>0</v>
      </c>
      <c r="J4998" t="s">
        <v>1709</v>
      </c>
      <c r="K4998" t="s">
        <v>1775</v>
      </c>
      <c r="L4998" t="s">
        <v>285</v>
      </c>
      <c r="M4998" t="str">
        <f t="shared" si="348"/>
        <v>03</v>
      </c>
      <c r="N4998" t="s">
        <v>12</v>
      </c>
    </row>
    <row r="4999" spans="1:14" x14ac:dyDescent="0.25">
      <c r="A4999">
        <v>20160304</v>
      </c>
      <c r="B4999" t="str">
        <f>"062628"</f>
        <v>062628</v>
      </c>
      <c r="C4999" t="str">
        <f>"83106"</f>
        <v>83106</v>
      </c>
      <c r="D4999" t="s">
        <v>4332</v>
      </c>
      <c r="E4999" s="3">
        <v>127</v>
      </c>
      <c r="F4999">
        <v>20160304</v>
      </c>
      <c r="G4999" t="s">
        <v>2022</v>
      </c>
      <c r="H4999" t="s">
        <v>4333</v>
      </c>
      <c r="I4999">
        <v>0</v>
      </c>
      <c r="J4999" t="s">
        <v>1709</v>
      </c>
      <c r="K4999" t="s">
        <v>1643</v>
      </c>
      <c r="L4999" t="s">
        <v>285</v>
      </c>
      <c r="M4999" t="str">
        <f t="shared" si="348"/>
        <v>03</v>
      </c>
      <c r="N4999" t="s">
        <v>12</v>
      </c>
    </row>
    <row r="5000" spans="1:14" x14ac:dyDescent="0.25">
      <c r="A5000">
        <v>20160308</v>
      </c>
      <c r="B5000" t="str">
        <f>"062634"</f>
        <v>062634</v>
      </c>
      <c r="C5000" t="str">
        <f>"21510"</f>
        <v>21510</v>
      </c>
      <c r="D5000" t="s">
        <v>3778</v>
      </c>
      <c r="E5000" s="3">
        <v>819</v>
      </c>
      <c r="F5000">
        <v>20160308</v>
      </c>
      <c r="G5000" t="s">
        <v>3779</v>
      </c>
      <c r="H5000" t="s">
        <v>4334</v>
      </c>
      <c r="I5000">
        <v>0</v>
      </c>
      <c r="J5000" t="s">
        <v>1709</v>
      </c>
      <c r="K5000" t="s">
        <v>95</v>
      </c>
      <c r="L5000" t="s">
        <v>285</v>
      </c>
      <c r="M5000" t="str">
        <f t="shared" si="348"/>
        <v>03</v>
      </c>
      <c r="N5000" t="s">
        <v>12</v>
      </c>
    </row>
    <row r="5001" spans="1:14" x14ac:dyDescent="0.25">
      <c r="A5001">
        <v>20160311</v>
      </c>
      <c r="B5001" t="str">
        <f t="shared" ref="B5001:B5006" si="351">"062636"</f>
        <v>062636</v>
      </c>
      <c r="C5001" t="str">
        <f t="shared" ref="C5001:C5006" si="352">"04240"</f>
        <v>04240</v>
      </c>
      <c r="D5001" t="s">
        <v>2432</v>
      </c>
      <c r="E5001" s="3">
        <v>44.87</v>
      </c>
      <c r="F5001">
        <v>20160310</v>
      </c>
      <c r="G5001" t="s">
        <v>3960</v>
      </c>
      <c r="H5001" t="s">
        <v>4335</v>
      </c>
      <c r="I5001">
        <v>0</v>
      </c>
      <c r="J5001" t="s">
        <v>1709</v>
      </c>
      <c r="K5001" t="s">
        <v>95</v>
      </c>
      <c r="L5001" t="s">
        <v>285</v>
      </c>
      <c r="M5001" t="str">
        <f t="shared" si="348"/>
        <v>03</v>
      </c>
      <c r="N5001" t="s">
        <v>12</v>
      </c>
    </row>
    <row r="5002" spans="1:14" x14ac:dyDescent="0.25">
      <c r="A5002">
        <v>20160311</v>
      </c>
      <c r="B5002" t="str">
        <f t="shared" si="351"/>
        <v>062636</v>
      </c>
      <c r="C5002" t="str">
        <f t="shared" si="352"/>
        <v>04240</v>
      </c>
      <c r="D5002" t="s">
        <v>2432</v>
      </c>
      <c r="E5002" s="3">
        <v>1012.7</v>
      </c>
      <c r="F5002">
        <v>20160310</v>
      </c>
      <c r="G5002" t="s">
        <v>1974</v>
      </c>
      <c r="H5002" t="s">
        <v>4336</v>
      </c>
      <c r="I5002">
        <v>0</v>
      </c>
      <c r="J5002" t="s">
        <v>1709</v>
      </c>
      <c r="K5002" t="s">
        <v>290</v>
      </c>
      <c r="L5002" t="s">
        <v>285</v>
      </c>
      <c r="M5002" t="str">
        <f t="shared" si="348"/>
        <v>03</v>
      </c>
      <c r="N5002" t="s">
        <v>12</v>
      </c>
    </row>
    <row r="5003" spans="1:14" x14ac:dyDescent="0.25">
      <c r="A5003">
        <v>20160311</v>
      </c>
      <c r="B5003" t="str">
        <f t="shared" si="351"/>
        <v>062636</v>
      </c>
      <c r="C5003" t="str">
        <f t="shared" si="352"/>
        <v>04240</v>
      </c>
      <c r="D5003" t="s">
        <v>2432</v>
      </c>
      <c r="E5003" s="3">
        <v>218.85</v>
      </c>
      <c r="F5003">
        <v>20160310</v>
      </c>
      <c r="G5003" t="s">
        <v>2228</v>
      </c>
      <c r="H5003" t="s">
        <v>4337</v>
      </c>
      <c r="I5003">
        <v>0</v>
      </c>
      <c r="J5003" t="s">
        <v>1709</v>
      </c>
      <c r="K5003" t="s">
        <v>290</v>
      </c>
      <c r="L5003" t="s">
        <v>285</v>
      </c>
      <c r="M5003" t="str">
        <f t="shared" si="348"/>
        <v>03</v>
      </c>
      <c r="N5003" t="s">
        <v>12</v>
      </c>
    </row>
    <row r="5004" spans="1:14" x14ac:dyDescent="0.25">
      <c r="A5004">
        <v>20160311</v>
      </c>
      <c r="B5004" t="str">
        <f t="shared" si="351"/>
        <v>062636</v>
      </c>
      <c r="C5004" t="str">
        <f t="shared" si="352"/>
        <v>04240</v>
      </c>
      <c r="D5004" t="s">
        <v>2432</v>
      </c>
      <c r="E5004" s="3">
        <v>74.95</v>
      </c>
      <c r="F5004">
        <v>20160310</v>
      </c>
      <c r="G5004" t="s">
        <v>3942</v>
      </c>
      <c r="H5004" t="s">
        <v>4337</v>
      </c>
      <c r="I5004">
        <v>0</v>
      </c>
      <c r="J5004" t="s">
        <v>1709</v>
      </c>
      <c r="K5004" t="s">
        <v>95</v>
      </c>
      <c r="L5004" t="s">
        <v>285</v>
      </c>
      <c r="M5004" t="str">
        <f t="shared" si="348"/>
        <v>03</v>
      </c>
      <c r="N5004" t="s">
        <v>12</v>
      </c>
    </row>
    <row r="5005" spans="1:14" x14ac:dyDescent="0.25">
      <c r="A5005">
        <v>20160311</v>
      </c>
      <c r="B5005" t="str">
        <f t="shared" si="351"/>
        <v>062636</v>
      </c>
      <c r="C5005" t="str">
        <f t="shared" si="352"/>
        <v>04240</v>
      </c>
      <c r="D5005" t="s">
        <v>2432</v>
      </c>
      <c r="E5005" s="3">
        <v>74.95</v>
      </c>
      <c r="F5005">
        <v>20160310</v>
      </c>
      <c r="G5005" t="s">
        <v>2230</v>
      </c>
      <c r="H5005" t="s">
        <v>4337</v>
      </c>
      <c r="I5005">
        <v>0</v>
      </c>
      <c r="J5005" t="s">
        <v>1709</v>
      </c>
      <c r="K5005" t="s">
        <v>1643</v>
      </c>
      <c r="L5005" t="s">
        <v>285</v>
      </c>
      <c r="M5005" t="str">
        <f t="shared" si="348"/>
        <v>03</v>
      </c>
      <c r="N5005" t="s">
        <v>12</v>
      </c>
    </row>
    <row r="5006" spans="1:14" x14ac:dyDescent="0.25">
      <c r="A5006">
        <v>20160311</v>
      </c>
      <c r="B5006" t="str">
        <f t="shared" si="351"/>
        <v>062636</v>
      </c>
      <c r="C5006" t="str">
        <f t="shared" si="352"/>
        <v>04240</v>
      </c>
      <c r="D5006" t="s">
        <v>2432</v>
      </c>
      <c r="E5006" s="3">
        <v>69.95</v>
      </c>
      <c r="F5006">
        <v>20160310</v>
      </c>
      <c r="G5006" t="s">
        <v>3013</v>
      </c>
      <c r="H5006" t="s">
        <v>4338</v>
      </c>
      <c r="I5006">
        <v>0</v>
      </c>
      <c r="J5006" t="s">
        <v>1709</v>
      </c>
      <c r="K5006" t="s">
        <v>1984</v>
      </c>
      <c r="L5006" t="s">
        <v>285</v>
      </c>
      <c r="M5006" t="str">
        <f t="shared" si="348"/>
        <v>03</v>
      </c>
      <c r="N5006" t="s">
        <v>12</v>
      </c>
    </row>
    <row r="5007" spans="1:14" x14ac:dyDescent="0.25">
      <c r="A5007">
        <v>20160311</v>
      </c>
      <c r="B5007" t="str">
        <f>"062637"</f>
        <v>062637</v>
      </c>
      <c r="C5007" t="str">
        <f>"08196"</f>
        <v>08196</v>
      </c>
      <c r="D5007" t="s">
        <v>2438</v>
      </c>
      <c r="E5007" s="3">
        <v>24.62</v>
      </c>
      <c r="F5007">
        <v>20160310</v>
      </c>
      <c r="G5007" t="s">
        <v>2422</v>
      </c>
      <c r="H5007" t="s">
        <v>4339</v>
      </c>
      <c r="I5007">
        <v>0</v>
      </c>
      <c r="J5007" t="s">
        <v>1709</v>
      </c>
      <c r="K5007" t="s">
        <v>290</v>
      </c>
      <c r="L5007" t="s">
        <v>285</v>
      </c>
      <c r="M5007" t="str">
        <f t="shared" si="348"/>
        <v>03</v>
      </c>
      <c r="N5007" t="s">
        <v>12</v>
      </c>
    </row>
    <row r="5008" spans="1:14" x14ac:dyDescent="0.25">
      <c r="A5008">
        <v>20160311</v>
      </c>
      <c r="B5008" t="str">
        <f>"062637"</f>
        <v>062637</v>
      </c>
      <c r="C5008" t="str">
        <f>"08196"</f>
        <v>08196</v>
      </c>
      <c r="D5008" t="s">
        <v>2438</v>
      </c>
      <c r="E5008" s="3">
        <v>43.96</v>
      </c>
      <c r="F5008">
        <v>20160310</v>
      </c>
      <c r="G5008" t="s">
        <v>2422</v>
      </c>
      <c r="H5008" t="s">
        <v>4340</v>
      </c>
      <c r="I5008">
        <v>0</v>
      </c>
      <c r="J5008" t="s">
        <v>1709</v>
      </c>
      <c r="K5008" t="s">
        <v>290</v>
      </c>
      <c r="L5008" t="s">
        <v>285</v>
      </c>
      <c r="M5008" t="str">
        <f t="shared" si="348"/>
        <v>03</v>
      </c>
      <c r="N5008" t="s">
        <v>12</v>
      </c>
    </row>
    <row r="5009" spans="1:14" x14ac:dyDescent="0.25">
      <c r="A5009">
        <v>20160311</v>
      </c>
      <c r="B5009" t="str">
        <f>"062638"</f>
        <v>062638</v>
      </c>
      <c r="C5009" t="str">
        <f>"09009"</f>
        <v>09009</v>
      </c>
      <c r="D5009" t="s">
        <v>4341</v>
      </c>
      <c r="E5009" s="3">
        <v>1088.8499999999999</v>
      </c>
      <c r="F5009">
        <v>20160310</v>
      </c>
      <c r="G5009" t="s">
        <v>4342</v>
      </c>
      <c r="H5009" t="s">
        <v>4343</v>
      </c>
      <c r="I5009">
        <v>0</v>
      </c>
      <c r="J5009" t="s">
        <v>1709</v>
      </c>
      <c r="K5009" t="s">
        <v>290</v>
      </c>
      <c r="L5009" t="s">
        <v>285</v>
      </c>
      <c r="M5009" t="str">
        <f t="shared" si="348"/>
        <v>03</v>
      </c>
      <c r="N5009" t="s">
        <v>12</v>
      </c>
    </row>
    <row r="5010" spans="1:14" x14ac:dyDescent="0.25">
      <c r="A5010">
        <v>20160311</v>
      </c>
      <c r="B5010" t="str">
        <f>"062638"</f>
        <v>062638</v>
      </c>
      <c r="C5010" t="str">
        <f>"09009"</f>
        <v>09009</v>
      </c>
      <c r="D5010" t="s">
        <v>4341</v>
      </c>
      <c r="E5010" s="3">
        <v>256.82</v>
      </c>
      <c r="F5010">
        <v>20160310</v>
      </c>
      <c r="G5010" t="s">
        <v>4342</v>
      </c>
      <c r="H5010" t="s">
        <v>4343</v>
      </c>
      <c r="I5010">
        <v>0</v>
      </c>
      <c r="J5010" t="s">
        <v>1709</v>
      </c>
      <c r="K5010" t="s">
        <v>290</v>
      </c>
      <c r="L5010" t="s">
        <v>285</v>
      </c>
      <c r="M5010" t="str">
        <f t="shared" si="348"/>
        <v>03</v>
      </c>
      <c r="N5010" t="s">
        <v>12</v>
      </c>
    </row>
    <row r="5011" spans="1:14" x14ac:dyDescent="0.25">
      <c r="A5011">
        <v>20160311</v>
      </c>
      <c r="B5011" t="str">
        <f>"062640"</f>
        <v>062640</v>
      </c>
      <c r="C5011" t="str">
        <f>"10040"</f>
        <v>10040</v>
      </c>
      <c r="D5011" t="s">
        <v>2082</v>
      </c>
      <c r="E5011" s="3">
        <v>12.5</v>
      </c>
      <c r="F5011">
        <v>20160310</v>
      </c>
      <c r="G5011" t="s">
        <v>2083</v>
      </c>
      <c r="H5011" t="s">
        <v>4344</v>
      </c>
      <c r="I5011">
        <v>0</v>
      </c>
      <c r="J5011" t="s">
        <v>1709</v>
      </c>
      <c r="K5011" t="s">
        <v>290</v>
      </c>
      <c r="L5011" t="s">
        <v>285</v>
      </c>
      <c r="M5011" t="str">
        <f t="shared" si="348"/>
        <v>03</v>
      </c>
      <c r="N5011" t="s">
        <v>12</v>
      </c>
    </row>
    <row r="5012" spans="1:14" x14ac:dyDescent="0.25">
      <c r="A5012">
        <v>20160311</v>
      </c>
      <c r="B5012" t="str">
        <f>"062640"</f>
        <v>062640</v>
      </c>
      <c r="C5012" t="str">
        <f>"10040"</f>
        <v>10040</v>
      </c>
      <c r="D5012" t="s">
        <v>2082</v>
      </c>
      <c r="E5012" s="3">
        <v>12.5</v>
      </c>
      <c r="F5012">
        <v>20160310</v>
      </c>
      <c r="G5012" t="s">
        <v>2086</v>
      </c>
      <c r="H5012" t="s">
        <v>4344</v>
      </c>
      <c r="I5012">
        <v>0</v>
      </c>
      <c r="J5012" t="s">
        <v>1709</v>
      </c>
      <c r="K5012" t="s">
        <v>95</v>
      </c>
      <c r="L5012" t="s">
        <v>285</v>
      </c>
      <c r="M5012" t="str">
        <f t="shared" si="348"/>
        <v>03</v>
      </c>
      <c r="N5012" t="s">
        <v>12</v>
      </c>
    </row>
    <row r="5013" spans="1:14" x14ac:dyDescent="0.25">
      <c r="A5013">
        <v>20160311</v>
      </c>
      <c r="B5013" t="str">
        <f>"062640"</f>
        <v>062640</v>
      </c>
      <c r="C5013" t="str">
        <f>"10040"</f>
        <v>10040</v>
      </c>
      <c r="D5013" t="s">
        <v>2082</v>
      </c>
      <c r="E5013" s="3">
        <v>12.5</v>
      </c>
      <c r="F5013">
        <v>20160310</v>
      </c>
      <c r="G5013" t="s">
        <v>2087</v>
      </c>
      <c r="H5013" t="s">
        <v>4344</v>
      </c>
      <c r="I5013">
        <v>0</v>
      </c>
      <c r="J5013" t="s">
        <v>1709</v>
      </c>
      <c r="K5013" t="s">
        <v>1643</v>
      </c>
      <c r="L5013" t="s">
        <v>285</v>
      </c>
      <c r="M5013" t="str">
        <f t="shared" si="348"/>
        <v>03</v>
      </c>
      <c r="N5013" t="s">
        <v>12</v>
      </c>
    </row>
    <row r="5014" spans="1:14" x14ac:dyDescent="0.25">
      <c r="A5014">
        <v>20160311</v>
      </c>
      <c r="B5014" t="str">
        <f>"062640"</f>
        <v>062640</v>
      </c>
      <c r="C5014" t="str">
        <f>"10040"</f>
        <v>10040</v>
      </c>
      <c r="D5014" t="s">
        <v>2082</v>
      </c>
      <c r="E5014" s="3">
        <v>12.5</v>
      </c>
      <c r="F5014">
        <v>20160310</v>
      </c>
      <c r="G5014" t="s">
        <v>2088</v>
      </c>
      <c r="H5014" t="s">
        <v>4344</v>
      </c>
      <c r="I5014">
        <v>0</v>
      </c>
      <c r="J5014" t="s">
        <v>1709</v>
      </c>
      <c r="K5014" t="s">
        <v>33</v>
      </c>
      <c r="L5014" t="s">
        <v>285</v>
      </c>
      <c r="M5014" t="str">
        <f t="shared" si="348"/>
        <v>03</v>
      </c>
      <c r="N5014" t="s">
        <v>12</v>
      </c>
    </row>
    <row r="5015" spans="1:14" x14ac:dyDescent="0.25">
      <c r="A5015">
        <v>20160311</v>
      </c>
      <c r="B5015" t="str">
        <f>"062641"</f>
        <v>062641</v>
      </c>
      <c r="C5015" t="str">
        <f>"21158"</f>
        <v>21158</v>
      </c>
      <c r="D5015" t="s">
        <v>1721</v>
      </c>
      <c r="E5015" s="3">
        <v>54.16</v>
      </c>
      <c r="F5015">
        <v>20160310</v>
      </c>
      <c r="G5015" t="s">
        <v>3204</v>
      </c>
      <c r="H5015" t="s">
        <v>4345</v>
      </c>
      <c r="I5015">
        <v>0</v>
      </c>
      <c r="J5015" t="s">
        <v>1709</v>
      </c>
      <c r="K5015" t="s">
        <v>1643</v>
      </c>
      <c r="L5015" t="s">
        <v>285</v>
      </c>
      <c r="M5015" t="str">
        <f t="shared" si="348"/>
        <v>03</v>
      </c>
      <c r="N5015" t="s">
        <v>12</v>
      </c>
    </row>
    <row r="5016" spans="1:14" x14ac:dyDescent="0.25">
      <c r="A5016">
        <v>20160311</v>
      </c>
      <c r="B5016" t="str">
        <f>"062644"</f>
        <v>062644</v>
      </c>
      <c r="C5016" t="str">
        <f>"08791"</f>
        <v>08791</v>
      </c>
      <c r="D5016" t="s">
        <v>4346</v>
      </c>
      <c r="E5016" s="3">
        <v>251.13</v>
      </c>
      <c r="F5016">
        <v>20160310</v>
      </c>
      <c r="G5016" t="s">
        <v>2074</v>
      </c>
      <c r="H5016" t="s">
        <v>4347</v>
      </c>
      <c r="I5016">
        <v>0</v>
      </c>
      <c r="J5016" t="s">
        <v>1709</v>
      </c>
      <c r="K5016" t="s">
        <v>1861</v>
      </c>
      <c r="L5016" t="s">
        <v>285</v>
      </c>
      <c r="M5016" t="str">
        <f t="shared" si="348"/>
        <v>03</v>
      </c>
      <c r="N5016" t="s">
        <v>12</v>
      </c>
    </row>
    <row r="5017" spans="1:14" x14ac:dyDescent="0.25">
      <c r="A5017">
        <v>20160311</v>
      </c>
      <c r="B5017" t="str">
        <f>"062644"</f>
        <v>062644</v>
      </c>
      <c r="C5017" t="str">
        <f>"08791"</f>
        <v>08791</v>
      </c>
      <c r="D5017" t="s">
        <v>4346</v>
      </c>
      <c r="E5017" s="3">
        <v>225.15</v>
      </c>
      <c r="F5017">
        <v>20160310</v>
      </c>
      <c r="G5017" t="s">
        <v>2074</v>
      </c>
      <c r="H5017" t="s">
        <v>4348</v>
      </c>
      <c r="I5017">
        <v>0</v>
      </c>
      <c r="J5017" t="s">
        <v>1709</v>
      </c>
      <c r="K5017" t="s">
        <v>1861</v>
      </c>
      <c r="L5017" t="s">
        <v>285</v>
      </c>
      <c r="M5017" t="str">
        <f t="shared" si="348"/>
        <v>03</v>
      </c>
      <c r="N5017" t="s">
        <v>12</v>
      </c>
    </row>
    <row r="5018" spans="1:14" x14ac:dyDescent="0.25">
      <c r="A5018">
        <v>20160311</v>
      </c>
      <c r="B5018" t="str">
        <f t="shared" ref="B5018:B5030" si="353">"062645"</f>
        <v>062645</v>
      </c>
      <c r="C5018" t="str">
        <f t="shared" ref="C5018:C5030" si="354">"20706"</f>
        <v>20706</v>
      </c>
      <c r="D5018" t="s">
        <v>1823</v>
      </c>
      <c r="E5018" s="3">
        <v>9138.52</v>
      </c>
      <c r="F5018">
        <v>20160311</v>
      </c>
      <c r="G5018" t="s">
        <v>2235</v>
      </c>
      <c r="H5018" t="s">
        <v>4349</v>
      </c>
      <c r="I5018">
        <v>0</v>
      </c>
      <c r="J5018" t="s">
        <v>1709</v>
      </c>
      <c r="K5018" t="s">
        <v>290</v>
      </c>
      <c r="L5018" t="s">
        <v>285</v>
      </c>
      <c r="M5018" t="str">
        <f t="shared" si="348"/>
        <v>03</v>
      </c>
      <c r="N5018" t="s">
        <v>12</v>
      </c>
    </row>
    <row r="5019" spans="1:14" x14ac:dyDescent="0.25">
      <c r="A5019">
        <v>20160311</v>
      </c>
      <c r="B5019" t="str">
        <f t="shared" si="353"/>
        <v>062645</v>
      </c>
      <c r="C5019" t="str">
        <f t="shared" si="354"/>
        <v>20706</v>
      </c>
      <c r="D5019" t="s">
        <v>1823</v>
      </c>
      <c r="E5019" s="3">
        <v>45.21</v>
      </c>
      <c r="F5019">
        <v>20160311</v>
      </c>
      <c r="G5019" t="s">
        <v>2237</v>
      </c>
      <c r="H5019" t="s">
        <v>4350</v>
      </c>
      <c r="I5019">
        <v>0</v>
      </c>
      <c r="J5019" t="s">
        <v>1709</v>
      </c>
      <c r="K5019" t="s">
        <v>1558</v>
      </c>
      <c r="L5019" t="s">
        <v>285</v>
      </c>
      <c r="M5019" t="str">
        <f t="shared" si="348"/>
        <v>03</v>
      </c>
      <c r="N5019" t="s">
        <v>12</v>
      </c>
    </row>
    <row r="5020" spans="1:14" x14ac:dyDescent="0.25">
      <c r="A5020">
        <v>20160311</v>
      </c>
      <c r="B5020" t="str">
        <f t="shared" si="353"/>
        <v>062645</v>
      </c>
      <c r="C5020" t="str">
        <f t="shared" si="354"/>
        <v>20706</v>
      </c>
      <c r="D5020" t="s">
        <v>1823</v>
      </c>
      <c r="E5020" s="3">
        <v>875.05</v>
      </c>
      <c r="F5020">
        <v>20160311</v>
      </c>
      <c r="G5020" t="s">
        <v>2239</v>
      </c>
      <c r="H5020" t="s">
        <v>4351</v>
      </c>
      <c r="I5020">
        <v>0</v>
      </c>
      <c r="J5020" t="s">
        <v>1709</v>
      </c>
      <c r="K5020" t="s">
        <v>95</v>
      </c>
      <c r="L5020" t="s">
        <v>285</v>
      </c>
      <c r="M5020" t="str">
        <f t="shared" si="348"/>
        <v>03</v>
      </c>
      <c r="N5020" t="s">
        <v>12</v>
      </c>
    </row>
    <row r="5021" spans="1:14" x14ac:dyDescent="0.25">
      <c r="A5021">
        <v>20160311</v>
      </c>
      <c r="B5021" t="str">
        <f t="shared" si="353"/>
        <v>062645</v>
      </c>
      <c r="C5021" t="str">
        <f t="shared" si="354"/>
        <v>20706</v>
      </c>
      <c r="D5021" t="s">
        <v>1823</v>
      </c>
      <c r="E5021" s="3">
        <v>5280.29</v>
      </c>
      <c r="F5021">
        <v>20160311</v>
      </c>
      <c r="G5021" t="s">
        <v>2241</v>
      </c>
      <c r="H5021" t="s">
        <v>4352</v>
      </c>
      <c r="I5021">
        <v>0</v>
      </c>
      <c r="J5021" t="s">
        <v>1709</v>
      </c>
      <c r="K5021" t="s">
        <v>1643</v>
      </c>
      <c r="L5021" t="s">
        <v>285</v>
      </c>
      <c r="M5021" t="str">
        <f t="shared" si="348"/>
        <v>03</v>
      </c>
      <c r="N5021" t="s">
        <v>12</v>
      </c>
    </row>
    <row r="5022" spans="1:14" x14ac:dyDescent="0.25">
      <c r="A5022">
        <v>20160311</v>
      </c>
      <c r="B5022" t="str">
        <f t="shared" si="353"/>
        <v>062645</v>
      </c>
      <c r="C5022" t="str">
        <f t="shared" si="354"/>
        <v>20706</v>
      </c>
      <c r="D5022" t="s">
        <v>1823</v>
      </c>
      <c r="E5022" s="3">
        <v>1816</v>
      </c>
      <c r="F5022">
        <v>20160311</v>
      </c>
      <c r="G5022" t="s">
        <v>2243</v>
      </c>
      <c r="H5022" t="s">
        <v>4353</v>
      </c>
      <c r="I5022">
        <v>0</v>
      </c>
      <c r="J5022" t="s">
        <v>1709</v>
      </c>
      <c r="K5022" t="s">
        <v>33</v>
      </c>
      <c r="L5022" t="s">
        <v>285</v>
      </c>
      <c r="M5022" t="str">
        <f t="shared" si="348"/>
        <v>03</v>
      </c>
      <c r="N5022" t="s">
        <v>12</v>
      </c>
    </row>
    <row r="5023" spans="1:14" x14ac:dyDescent="0.25">
      <c r="A5023">
        <v>20160311</v>
      </c>
      <c r="B5023" t="str">
        <f t="shared" si="353"/>
        <v>062645</v>
      </c>
      <c r="C5023" t="str">
        <f t="shared" si="354"/>
        <v>20706</v>
      </c>
      <c r="D5023" t="s">
        <v>1823</v>
      </c>
      <c r="E5023" s="3">
        <v>699.17</v>
      </c>
      <c r="F5023">
        <v>20160311</v>
      </c>
      <c r="G5023" t="s">
        <v>2245</v>
      </c>
      <c r="H5023" t="s">
        <v>4354</v>
      </c>
      <c r="I5023">
        <v>0</v>
      </c>
      <c r="J5023" t="s">
        <v>1709</v>
      </c>
      <c r="K5023" t="s">
        <v>2247</v>
      </c>
      <c r="L5023" t="s">
        <v>285</v>
      </c>
      <c r="M5023" t="str">
        <f t="shared" ref="M5023:M5086" si="355">"03"</f>
        <v>03</v>
      </c>
      <c r="N5023" t="s">
        <v>12</v>
      </c>
    </row>
    <row r="5024" spans="1:14" x14ac:dyDescent="0.25">
      <c r="A5024">
        <v>20160311</v>
      </c>
      <c r="B5024" t="str">
        <f t="shared" si="353"/>
        <v>062645</v>
      </c>
      <c r="C5024" t="str">
        <f t="shared" si="354"/>
        <v>20706</v>
      </c>
      <c r="D5024" t="s">
        <v>1823</v>
      </c>
      <c r="E5024" s="3">
        <v>185.13</v>
      </c>
      <c r="F5024">
        <v>20160311</v>
      </c>
      <c r="G5024" t="s">
        <v>2248</v>
      </c>
      <c r="H5024" t="s">
        <v>4355</v>
      </c>
      <c r="I5024">
        <v>0</v>
      </c>
      <c r="J5024" t="s">
        <v>1709</v>
      </c>
      <c r="K5024" t="s">
        <v>1861</v>
      </c>
      <c r="L5024" t="s">
        <v>285</v>
      </c>
      <c r="M5024" t="str">
        <f t="shared" si="355"/>
        <v>03</v>
      </c>
      <c r="N5024" t="s">
        <v>12</v>
      </c>
    </row>
    <row r="5025" spans="1:14" x14ac:dyDescent="0.25">
      <c r="A5025">
        <v>20160311</v>
      </c>
      <c r="B5025" t="str">
        <f t="shared" si="353"/>
        <v>062645</v>
      </c>
      <c r="C5025" t="str">
        <f t="shared" si="354"/>
        <v>20706</v>
      </c>
      <c r="D5025" t="s">
        <v>1823</v>
      </c>
      <c r="E5025" s="3">
        <v>5760.29</v>
      </c>
      <c r="F5025">
        <v>20160311</v>
      </c>
      <c r="G5025" t="s">
        <v>2250</v>
      </c>
      <c r="H5025" t="s">
        <v>4356</v>
      </c>
      <c r="I5025">
        <v>0</v>
      </c>
      <c r="J5025" t="s">
        <v>1709</v>
      </c>
      <c r="K5025" t="s">
        <v>2252</v>
      </c>
      <c r="L5025" t="s">
        <v>285</v>
      </c>
      <c r="M5025" t="str">
        <f t="shared" si="355"/>
        <v>03</v>
      </c>
      <c r="N5025" t="s">
        <v>12</v>
      </c>
    </row>
    <row r="5026" spans="1:14" x14ac:dyDescent="0.25">
      <c r="A5026">
        <v>20160311</v>
      </c>
      <c r="B5026" t="str">
        <f t="shared" si="353"/>
        <v>062645</v>
      </c>
      <c r="C5026" t="str">
        <f t="shared" si="354"/>
        <v>20706</v>
      </c>
      <c r="D5026" t="s">
        <v>1823</v>
      </c>
      <c r="E5026" s="3">
        <v>2393.61</v>
      </c>
      <c r="F5026">
        <v>20160311</v>
      </c>
      <c r="G5026" t="s">
        <v>2253</v>
      </c>
      <c r="H5026" t="s">
        <v>4357</v>
      </c>
      <c r="I5026">
        <v>0</v>
      </c>
      <c r="J5026" t="s">
        <v>1709</v>
      </c>
      <c r="K5026" t="s">
        <v>290</v>
      </c>
      <c r="L5026" t="s">
        <v>285</v>
      </c>
      <c r="M5026" t="str">
        <f t="shared" si="355"/>
        <v>03</v>
      </c>
      <c r="N5026" t="s">
        <v>12</v>
      </c>
    </row>
    <row r="5027" spans="1:14" x14ac:dyDescent="0.25">
      <c r="A5027">
        <v>20160311</v>
      </c>
      <c r="B5027" t="str">
        <f t="shared" si="353"/>
        <v>062645</v>
      </c>
      <c r="C5027" t="str">
        <f t="shared" si="354"/>
        <v>20706</v>
      </c>
      <c r="D5027" t="s">
        <v>1823</v>
      </c>
      <c r="E5027" s="3">
        <v>719.4</v>
      </c>
      <c r="F5027">
        <v>20160311</v>
      </c>
      <c r="G5027" t="s">
        <v>2255</v>
      </c>
      <c r="H5027" t="s">
        <v>4358</v>
      </c>
      <c r="I5027">
        <v>0</v>
      </c>
      <c r="J5027" t="s">
        <v>1709</v>
      </c>
      <c r="K5027" t="s">
        <v>95</v>
      </c>
      <c r="L5027" t="s">
        <v>285</v>
      </c>
      <c r="M5027" t="str">
        <f t="shared" si="355"/>
        <v>03</v>
      </c>
      <c r="N5027" t="s">
        <v>12</v>
      </c>
    </row>
    <row r="5028" spans="1:14" x14ac:dyDescent="0.25">
      <c r="A5028">
        <v>20160311</v>
      </c>
      <c r="B5028" t="str">
        <f t="shared" si="353"/>
        <v>062645</v>
      </c>
      <c r="C5028" t="str">
        <f t="shared" si="354"/>
        <v>20706</v>
      </c>
      <c r="D5028" t="s">
        <v>1823</v>
      </c>
      <c r="E5028" s="3">
        <v>451.66</v>
      </c>
      <c r="F5028">
        <v>20160311</v>
      </c>
      <c r="G5028" t="s">
        <v>2257</v>
      </c>
      <c r="H5028" t="s">
        <v>4359</v>
      </c>
      <c r="I5028">
        <v>0</v>
      </c>
      <c r="J5028" t="s">
        <v>1709</v>
      </c>
      <c r="K5028" t="s">
        <v>1643</v>
      </c>
      <c r="L5028" t="s">
        <v>285</v>
      </c>
      <c r="M5028" t="str">
        <f t="shared" si="355"/>
        <v>03</v>
      </c>
      <c r="N5028" t="s">
        <v>12</v>
      </c>
    </row>
    <row r="5029" spans="1:14" x14ac:dyDescent="0.25">
      <c r="A5029">
        <v>20160311</v>
      </c>
      <c r="B5029" t="str">
        <f t="shared" si="353"/>
        <v>062645</v>
      </c>
      <c r="C5029" t="str">
        <f t="shared" si="354"/>
        <v>20706</v>
      </c>
      <c r="D5029" t="s">
        <v>1823</v>
      </c>
      <c r="E5029" s="3">
        <v>174.04</v>
      </c>
      <c r="F5029">
        <v>20160311</v>
      </c>
      <c r="G5029" t="s">
        <v>2259</v>
      </c>
      <c r="H5029" t="s">
        <v>4360</v>
      </c>
      <c r="I5029">
        <v>0</v>
      </c>
      <c r="J5029" t="s">
        <v>1709</v>
      </c>
      <c r="K5029" t="s">
        <v>33</v>
      </c>
      <c r="L5029" t="s">
        <v>285</v>
      </c>
      <c r="M5029" t="str">
        <f t="shared" si="355"/>
        <v>03</v>
      </c>
      <c r="N5029" t="s">
        <v>12</v>
      </c>
    </row>
    <row r="5030" spans="1:14" x14ac:dyDescent="0.25">
      <c r="A5030">
        <v>20160311</v>
      </c>
      <c r="B5030" t="str">
        <f t="shared" si="353"/>
        <v>062645</v>
      </c>
      <c r="C5030" t="str">
        <f t="shared" si="354"/>
        <v>20706</v>
      </c>
      <c r="D5030" t="s">
        <v>1823</v>
      </c>
      <c r="E5030" s="3">
        <v>176.68</v>
      </c>
      <c r="F5030">
        <v>20160311</v>
      </c>
      <c r="G5030" t="s">
        <v>4361</v>
      </c>
      <c r="H5030" t="s">
        <v>4362</v>
      </c>
      <c r="I5030">
        <v>0</v>
      </c>
      <c r="J5030" t="s">
        <v>1709</v>
      </c>
      <c r="K5030" t="s">
        <v>290</v>
      </c>
      <c r="L5030" t="s">
        <v>285</v>
      </c>
      <c r="M5030" t="str">
        <f t="shared" si="355"/>
        <v>03</v>
      </c>
      <c r="N5030" t="s">
        <v>12</v>
      </c>
    </row>
    <row r="5031" spans="1:14" x14ac:dyDescent="0.25">
      <c r="A5031">
        <v>20160311</v>
      </c>
      <c r="B5031" t="str">
        <f>"062646"</f>
        <v>062646</v>
      </c>
      <c r="C5031" t="str">
        <f>"21049"</f>
        <v>21049</v>
      </c>
      <c r="D5031" t="s">
        <v>2094</v>
      </c>
      <c r="E5031" s="3">
        <v>120</v>
      </c>
      <c r="F5031">
        <v>20160310</v>
      </c>
      <c r="G5031" t="s">
        <v>1712</v>
      </c>
      <c r="H5031" t="s">
        <v>4363</v>
      </c>
      <c r="I5031">
        <v>0</v>
      </c>
      <c r="J5031" t="s">
        <v>1709</v>
      </c>
      <c r="K5031" t="s">
        <v>290</v>
      </c>
      <c r="L5031" t="s">
        <v>285</v>
      </c>
      <c r="M5031" t="str">
        <f t="shared" si="355"/>
        <v>03</v>
      </c>
      <c r="N5031" t="s">
        <v>12</v>
      </c>
    </row>
    <row r="5032" spans="1:14" x14ac:dyDescent="0.25">
      <c r="A5032">
        <v>20160311</v>
      </c>
      <c r="B5032" t="str">
        <f>"062647"</f>
        <v>062647</v>
      </c>
      <c r="C5032" t="str">
        <f>"21510"</f>
        <v>21510</v>
      </c>
      <c r="D5032" t="s">
        <v>3778</v>
      </c>
      <c r="E5032" s="3">
        <v>154.77000000000001</v>
      </c>
      <c r="F5032">
        <v>20160310</v>
      </c>
      <c r="G5032" t="s">
        <v>3556</v>
      </c>
      <c r="H5032" t="s">
        <v>3833</v>
      </c>
      <c r="I5032">
        <v>0</v>
      </c>
      <c r="J5032" t="s">
        <v>1709</v>
      </c>
      <c r="K5032" t="s">
        <v>290</v>
      </c>
      <c r="L5032" t="s">
        <v>285</v>
      </c>
      <c r="M5032" t="str">
        <f t="shared" si="355"/>
        <v>03</v>
      </c>
      <c r="N5032" t="s">
        <v>12</v>
      </c>
    </row>
    <row r="5033" spans="1:14" x14ac:dyDescent="0.25">
      <c r="A5033">
        <v>20160311</v>
      </c>
      <c r="B5033" t="str">
        <f>"062650"</f>
        <v>062650</v>
      </c>
      <c r="C5033" t="str">
        <f>"27900"</f>
        <v>27900</v>
      </c>
      <c r="D5033" t="s">
        <v>1596</v>
      </c>
      <c r="E5033" s="3">
        <v>1220</v>
      </c>
      <c r="F5033">
        <v>20160310</v>
      </c>
      <c r="G5033" t="s">
        <v>4364</v>
      </c>
      <c r="H5033" t="s">
        <v>4365</v>
      </c>
      <c r="I5033">
        <v>0</v>
      </c>
      <c r="J5033" t="s">
        <v>1709</v>
      </c>
      <c r="K5033" t="s">
        <v>290</v>
      </c>
      <c r="L5033" t="s">
        <v>285</v>
      </c>
      <c r="M5033" t="str">
        <f t="shared" si="355"/>
        <v>03</v>
      </c>
      <c r="N5033" t="s">
        <v>12</v>
      </c>
    </row>
    <row r="5034" spans="1:14" x14ac:dyDescent="0.25">
      <c r="A5034">
        <v>20160311</v>
      </c>
      <c r="B5034" t="str">
        <f>"062650"</f>
        <v>062650</v>
      </c>
      <c r="C5034" t="str">
        <f>"27900"</f>
        <v>27900</v>
      </c>
      <c r="D5034" t="s">
        <v>1596</v>
      </c>
      <c r="E5034" s="3">
        <v>1220</v>
      </c>
      <c r="F5034">
        <v>20160310</v>
      </c>
      <c r="G5034" t="s">
        <v>4366</v>
      </c>
      <c r="H5034" t="s">
        <v>4365</v>
      </c>
      <c r="I5034">
        <v>0</v>
      </c>
      <c r="J5034" t="s">
        <v>1709</v>
      </c>
      <c r="K5034" t="s">
        <v>1558</v>
      </c>
      <c r="L5034" t="s">
        <v>285</v>
      </c>
      <c r="M5034" t="str">
        <f t="shared" si="355"/>
        <v>03</v>
      </c>
      <c r="N5034" t="s">
        <v>12</v>
      </c>
    </row>
    <row r="5035" spans="1:14" x14ac:dyDescent="0.25">
      <c r="A5035">
        <v>20160311</v>
      </c>
      <c r="B5035" t="str">
        <f>"062650"</f>
        <v>062650</v>
      </c>
      <c r="C5035" t="str">
        <f>"27900"</f>
        <v>27900</v>
      </c>
      <c r="D5035" t="s">
        <v>1596</v>
      </c>
      <c r="E5035" s="3">
        <v>1220</v>
      </c>
      <c r="F5035">
        <v>20160310</v>
      </c>
      <c r="G5035" t="s">
        <v>4367</v>
      </c>
      <c r="H5035" t="s">
        <v>4365</v>
      </c>
      <c r="I5035">
        <v>0</v>
      </c>
      <c r="J5035" t="s">
        <v>1709</v>
      </c>
      <c r="K5035" t="s">
        <v>95</v>
      </c>
      <c r="L5035" t="s">
        <v>285</v>
      </c>
      <c r="M5035" t="str">
        <f t="shared" si="355"/>
        <v>03</v>
      </c>
      <c r="N5035" t="s">
        <v>12</v>
      </c>
    </row>
    <row r="5036" spans="1:14" x14ac:dyDescent="0.25">
      <c r="A5036">
        <v>20160311</v>
      </c>
      <c r="B5036" t="str">
        <f>"062650"</f>
        <v>062650</v>
      </c>
      <c r="C5036" t="str">
        <f>"27900"</f>
        <v>27900</v>
      </c>
      <c r="D5036" t="s">
        <v>1596</v>
      </c>
      <c r="E5036" s="3">
        <v>1220</v>
      </c>
      <c r="F5036">
        <v>20160310</v>
      </c>
      <c r="G5036" t="s">
        <v>4368</v>
      </c>
      <c r="H5036" t="s">
        <v>4365</v>
      </c>
      <c r="I5036">
        <v>0</v>
      </c>
      <c r="J5036" t="s">
        <v>1709</v>
      </c>
      <c r="K5036" t="s">
        <v>1643</v>
      </c>
      <c r="L5036" t="s">
        <v>285</v>
      </c>
      <c r="M5036" t="str">
        <f t="shared" si="355"/>
        <v>03</v>
      </c>
      <c r="N5036" t="s">
        <v>12</v>
      </c>
    </row>
    <row r="5037" spans="1:14" x14ac:dyDescent="0.25">
      <c r="A5037">
        <v>20160311</v>
      </c>
      <c r="B5037" t="str">
        <f>"062650"</f>
        <v>062650</v>
      </c>
      <c r="C5037" t="str">
        <f>"27900"</f>
        <v>27900</v>
      </c>
      <c r="D5037" t="s">
        <v>1596</v>
      </c>
      <c r="E5037" s="3">
        <v>1220</v>
      </c>
      <c r="F5037">
        <v>20160310</v>
      </c>
      <c r="G5037" t="s">
        <v>4369</v>
      </c>
      <c r="H5037" t="s">
        <v>4365</v>
      </c>
      <c r="I5037">
        <v>0</v>
      </c>
      <c r="J5037" t="s">
        <v>1709</v>
      </c>
      <c r="K5037" t="s">
        <v>33</v>
      </c>
      <c r="L5037" t="s">
        <v>285</v>
      </c>
      <c r="M5037" t="str">
        <f t="shared" si="355"/>
        <v>03</v>
      </c>
      <c r="N5037" t="s">
        <v>12</v>
      </c>
    </row>
    <row r="5038" spans="1:14" x14ac:dyDescent="0.25">
      <c r="A5038">
        <v>20160311</v>
      </c>
      <c r="B5038" t="str">
        <f>"062651"</f>
        <v>062651</v>
      </c>
      <c r="C5038" t="str">
        <f>"28680"</f>
        <v>28680</v>
      </c>
      <c r="D5038" t="s">
        <v>422</v>
      </c>
      <c r="E5038" s="3">
        <v>63.68</v>
      </c>
      <c r="F5038">
        <v>20160310</v>
      </c>
      <c r="G5038" t="s">
        <v>1794</v>
      </c>
      <c r="H5038" t="s">
        <v>4370</v>
      </c>
      <c r="I5038">
        <v>0</v>
      </c>
      <c r="J5038" t="s">
        <v>1709</v>
      </c>
      <c r="K5038" t="s">
        <v>290</v>
      </c>
      <c r="L5038" t="s">
        <v>285</v>
      </c>
      <c r="M5038" t="str">
        <f t="shared" si="355"/>
        <v>03</v>
      </c>
      <c r="N5038" t="s">
        <v>12</v>
      </c>
    </row>
    <row r="5039" spans="1:14" x14ac:dyDescent="0.25">
      <c r="A5039">
        <v>20160311</v>
      </c>
      <c r="B5039" t="str">
        <f>"062651"</f>
        <v>062651</v>
      </c>
      <c r="C5039" t="str">
        <f>"28680"</f>
        <v>28680</v>
      </c>
      <c r="D5039" t="s">
        <v>422</v>
      </c>
      <c r="E5039" s="3">
        <v>248.53</v>
      </c>
      <c r="F5039">
        <v>20160310</v>
      </c>
      <c r="G5039" t="s">
        <v>2425</v>
      </c>
      <c r="H5039" t="s">
        <v>4371</v>
      </c>
      <c r="I5039">
        <v>0</v>
      </c>
      <c r="J5039" t="s">
        <v>1709</v>
      </c>
      <c r="K5039" t="s">
        <v>290</v>
      </c>
      <c r="L5039" t="s">
        <v>285</v>
      </c>
      <c r="M5039" t="str">
        <f t="shared" si="355"/>
        <v>03</v>
      </c>
      <c r="N5039" t="s">
        <v>12</v>
      </c>
    </row>
    <row r="5040" spans="1:14" x14ac:dyDescent="0.25">
      <c r="A5040">
        <v>20160311</v>
      </c>
      <c r="B5040" t="str">
        <f>"062651"</f>
        <v>062651</v>
      </c>
      <c r="C5040" t="str">
        <f>"28680"</f>
        <v>28680</v>
      </c>
      <c r="D5040" t="s">
        <v>422</v>
      </c>
      <c r="E5040" s="3">
        <v>62.28</v>
      </c>
      <c r="F5040">
        <v>20160310</v>
      </c>
      <c r="G5040" t="s">
        <v>4066</v>
      </c>
      <c r="H5040" t="s">
        <v>4372</v>
      </c>
      <c r="I5040">
        <v>0</v>
      </c>
      <c r="J5040" t="s">
        <v>1709</v>
      </c>
      <c r="K5040" t="s">
        <v>290</v>
      </c>
      <c r="L5040" t="s">
        <v>285</v>
      </c>
      <c r="M5040" t="str">
        <f t="shared" si="355"/>
        <v>03</v>
      </c>
      <c r="N5040" t="s">
        <v>12</v>
      </c>
    </row>
    <row r="5041" spans="1:14" x14ac:dyDescent="0.25">
      <c r="A5041">
        <v>20160311</v>
      </c>
      <c r="B5041" t="str">
        <f>"062652"</f>
        <v>062652</v>
      </c>
      <c r="C5041" t="str">
        <f>"28820"</f>
        <v>28820</v>
      </c>
      <c r="D5041" t="s">
        <v>2647</v>
      </c>
      <c r="E5041" s="3">
        <v>53.15</v>
      </c>
      <c r="F5041">
        <v>20160310</v>
      </c>
      <c r="G5041" t="s">
        <v>2648</v>
      </c>
      <c r="H5041" t="s">
        <v>4052</v>
      </c>
      <c r="I5041">
        <v>0</v>
      </c>
      <c r="J5041" t="s">
        <v>1709</v>
      </c>
      <c r="K5041" t="s">
        <v>2377</v>
      </c>
      <c r="L5041" t="s">
        <v>285</v>
      </c>
      <c r="M5041" t="str">
        <f t="shared" si="355"/>
        <v>03</v>
      </c>
      <c r="N5041" t="s">
        <v>12</v>
      </c>
    </row>
    <row r="5042" spans="1:14" x14ac:dyDescent="0.25">
      <c r="A5042">
        <v>20160311</v>
      </c>
      <c r="B5042" t="str">
        <f>"062653"</f>
        <v>062653</v>
      </c>
      <c r="C5042" t="str">
        <f>"29570"</f>
        <v>29570</v>
      </c>
      <c r="D5042" t="s">
        <v>3228</v>
      </c>
      <c r="E5042" s="3">
        <v>43</v>
      </c>
      <c r="F5042">
        <v>20160310</v>
      </c>
      <c r="G5042" t="s">
        <v>2535</v>
      </c>
      <c r="H5042" t="s">
        <v>4373</v>
      </c>
      <c r="I5042">
        <v>0</v>
      </c>
      <c r="J5042" t="s">
        <v>1709</v>
      </c>
      <c r="K5042" t="s">
        <v>290</v>
      </c>
      <c r="L5042" t="s">
        <v>285</v>
      </c>
      <c r="M5042" t="str">
        <f t="shared" si="355"/>
        <v>03</v>
      </c>
      <c r="N5042" t="s">
        <v>12</v>
      </c>
    </row>
    <row r="5043" spans="1:14" x14ac:dyDescent="0.25">
      <c r="A5043">
        <v>20160311</v>
      </c>
      <c r="B5043" t="str">
        <f>"062653"</f>
        <v>062653</v>
      </c>
      <c r="C5043" t="str">
        <f>"29570"</f>
        <v>29570</v>
      </c>
      <c r="D5043" t="s">
        <v>3228</v>
      </c>
      <c r="E5043" s="3">
        <v>505</v>
      </c>
      <c r="F5043">
        <v>20160310</v>
      </c>
      <c r="G5043" t="s">
        <v>4374</v>
      </c>
      <c r="H5043" t="s">
        <v>4373</v>
      </c>
      <c r="I5043">
        <v>0</v>
      </c>
      <c r="J5043" t="s">
        <v>1709</v>
      </c>
      <c r="K5043" t="s">
        <v>290</v>
      </c>
      <c r="L5043" t="s">
        <v>285</v>
      </c>
      <c r="M5043" t="str">
        <f t="shared" si="355"/>
        <v>03</v>
      </c>
      <c r="N5043" t="s">
        <v>12</v>
      </c>
    </row>
    <row r="5044" spans="1:14" x14ac:dyDescent="0.25">
      <c r="A5044">
        <v>20160311</v>
      </c>
      <c r="B5044" t="str">
        <f>"062653"</f>
        <v>062653</v>
      </c>
      <c r="C5044" t="str">
        <f>"29570"</f>
        <v>29570</v>
      </c>
      <c r="D5044" t="s">
        <v>3228</v>
      </c>
      <c r="E5044" s="3">
        <v>64</v>
      </c>
      <c r="F5044">
        <v>20160310</v>
      </c>
      <c r="G5044" t="s">
        <v>3449</v>
      </c>
      <c r="H5044" t="s">
        <v>4373</v>
      </c>
      <c r="I5044">
        <v>0</v>
      </c>
      <c r="J5044" t="s">
        <v>1709</v>
      </c>
      <c r="K5044" t="s">
        <v>290</v>
      </c>
      <c r="L5044" t="s">
        <v>285</v>
      </c>
      <c r="M5044" t="str">
        <f t="shared" si="355"/>
        <v>03</v>
      </c>
      <c r="N5044" t="s">
        <v>12</v>
      </c>
    </row>
    <row r="5045" spans="1:14" x14ac:dyDescent="0.25">
      <c r="A5045">
        <v>20160311</v>
      </c>
      <c r="B5045" t="str">
        <f t="shared" ref="B5045:B5054" si="356">"062654"</f>
        <v>062654</v>
      </c>
      <c r="C5045" t="str">
        <f t="shared" ref="C5045:C5054" si="357">"30130"</f>
        <v>30130</v>
      </c>
      <c r="D5045" t="s">
        <v>3082</v>
      </c>
      <c r="E5045" s="3">
        <v>517.22</v>
      </c>
      <c r="F5045">
        <v>20160310</v>
      </c>
      <c r="G5045" t="s">
        <v>1854</v>
      </c>
      <c r="H5045" t="s">
        <v>4375</v>
      </c>
      <c r="I5045">
        <v>0</v>
      </c>
      <c r="J5045" t="s">
        <v>1709</v>
      </c>
      <c r="K5045" t="s">
        <v>1856</v>
      </c>
      <c r="L5045" t="s">
        <v>285</v>
      </c>
      <c r="M5045" t="str">
        <f t="shared" si="355"/>
        <v>03</v>
      </c>
      <c r="N5045" t="s">
        <v>12</v>
      </c>
    </row>
    <row r="5046" spans="1:14" x14ac:dyDescent="0.25">
      <c r="A5046">
        <v>20160311</v>
      </c>
      <c r="B5046" t="str">
        <f t="shared" si="356"/>
        <v>062654</v>
      </c>
      <c r="C5046" t="str">
        <f t="shared" si="357"/>
        <v>30130</v>
      </c>
      <c r="D5046" t="s">
        <v>3082</v>
      </c>
      <c r="E5046" s="3">
        <v>2242.65</v>
      </c>
      <c r="F5046">
        <v>20160310</v>
      </c>
      <c r="G5046" t="s">
        <v>1854</v>
      </c>
      <c r="H5046" t="s">
        <v>4376</v>
      </c>
      <c r="I5046">
        <v>0</v>
      </c>
      <c r="J5046" t="s">
        <v>1709</v>
      </c>
      <c r="K5046" t="s">
        <v>1856</v>
      </c>
      <c r="L5046" t="s">
        <v>285</v>
      </c>
      <c r="M5046" t="str">
        <f t="shared" si="355"/>
        <v>03</v>
      </c>
      <c r="N5046" t="s">
        <v>12</v>
      </c>
    </row>
    <row r="5047" spans="1:14" x14ac:dyDescent="0.25">
      <c r="A5047">
        <v>20160311</v>
      </c>
      <c r="B5047" t="str">
        <f t="shared" si="356"/>
        <v>062654</v>
      </c>
      <c r="C5047" t="str">
        <f t="shared" si="357"/>
        <v>30130</v>
      </c>
      <c r="D5047" t="s">
        <v>3082</v>
      </c>
      <c r="E5047" s="3">
        <v>974.9</v>
      </c>
      <c r="F5047">
        <v>20160310</v>
      </c>
      <c r="G5047" t="s">
        <v>1854</v>
      </c>
      <c r="H5047" t="s">
        <v>4377</v>
      </c>
      <c r="I5047">
        <v>0</v>
      </c>
      <c r="J5047" t="s">
        <v>1709</v>
      </c>
      <c r="K5047" t="s">
        <v>1856</v>
      </c>
      <c r="L5047" t="s">
        <v>285</v>
      </c>
      <c r="M5047" t="str">
        <f t="shared" si="355"/>
        <v>03</v>
      </c>
      <c r="N5047" t="s">
        <v>12</v>
      </c>
    </row>
    <row r="5048" spans="1:14" x14ac:dyDescent="0.25">
      <c r="A5048">
        <v>20160311</v>
      </c>
      <c r="B5048" t="str">
        <f t="shared" si="356"/>
        <v>062654</v>
      </c>
      <c r="C5048" t="str">
        <f t="shared" si="357"/>
        <v>30130</v>
      </c>
      <c r="D5048" t="s">
        <v>3082</v>
      </c>
      <c r="E5048" s="3">
        <v>1437.13</v>
      </c>
      <c r="F5048">
        <v>20160310</v>
      </c>
      <c r="G5048" t="s">
        <v>1854</v>
      </c>
      <c r="H5048" t="s">
        <v>4378</v>
      </c>
      <c r="I5048">
        <v>0</v>
      </c>
      <c r="J5048" t="s">
        <v>1709</v>
      </c>
      <c r="K5048" t="s">
        <v>1856</v>
      </c>
      <c r="L5048" t="s">
        <v>285</v>
      </c>
      <c r="M5048" t="str">
        <f t="shared" si="355"/>
        <v>03</v>
      </c>
      <c r="N5048" t="s">
        <v>12</v>
      </c>
    </row>
    <row r="5049" spans="1:14" x14ac:dyDescent="0.25">
      <c r="A5049">
        <v>20160311</v>
      </c>
      <c r="B5049" t="str">
        <f t="shared" si="356"/>
        <v>062654</v>
      </c>
      <c r="C5049" t="str">
        <f t="shared" si="357"/>
        <v>30130</v>
      </c>
      <c r="D5049" t="s">
        <v>3082</v>
      </c>
      <c r="E5049" s="3">
        <v>415.8</v>
      </c>
      <c r="F5049">
        <v>20160310</v>
      </c>
      <c r="G5049" t="s">
        <v>1854</v>
      </c>
      <c r="H5049" t="s">
        <v>4379</v>
      </c>
      <c r="I5049">
        <v>0</v>
      </c>
      <c r="J5049" t="s">
        <v>1709</v>
      </c>
      <c r="K5049" t="s">
        <v>1856</v>
      </c>
      <c r="L5049" t="s">
        <v>285</v>
      </c>
      <c r="M5049" t="str">
        <f t="shared" si="355"/>
        <v>03</v>
      </c>
      <c r="N5049" t="s">
        <v>12</v>
      </c>
    </row>
    <row r="5050" spans="1:14" x14ac:dyDescent="0.25">
      <c r="A5050">
        <v>20160311</v>
      </c>
      <c r="B5050" t="str">
        <f t="shared" si="356"/>
        <v>062654</v>
      </c>
      <c r="C5050" t="str">
        <f t="shared" si="357"/>
        <v>30130</v>
      </c>
      <c r="D5050" t="s">
        <v>3082</v>
      </c>
      <c r="E5050" s="3">
        <v>120.75</v>
      </c>
      <c r="F5050">
        <v>20160310</v>
      </c>
      <c r="G5050" t="s">
        <v>1854</v>
      </c>
      <c r="H5050" t="s">
        <v>4380</v>
      </c>
      <c r="I5050">
        <v>0</v>
      </c>
      <c r="J5050" t="s">
        <v>1709</v>
      </c>
      <c r="K5050" t="s">
        <v>1856</v>
      </c>
      <c r="L5050" t="s">
        <v>285</v>
      </c>
      <c r="M5050" t="str">
        <f t="shared" si="355"/>
        <v>03</v>
      </c>
      <c r="N5050" t="s">
        <v>12</v>
      </c>
    </row>
    <row r="5051" spans="1:14" x14ac:dyDescent="0.25">
      <c r="A5051">
        <v>20160311</v>
      </c>
      <c r="B5051" t="str">
        <f t="shared" si="356"/>
        <v>062654</v>
      </c>
      <c r="C5051" t="str">
        <f t="shared" si="357"/>
        <v>30130</v>
      </c>
      <c r="D5051" t="s">
        <v>3082</v>
      </c>
      <c r="E5051" s="3">
        <v>566.82000000000005</v>
      </c>
      <c r="F5051">
        <v>20160310</v>
      </c>
      <c r="G5051" t="s">
        <v>1854</v>
      </c>
      <c r="H5051" t="s">
        <v>4381</v>
      </c>
      <c r="I5051">
        <v>0</v>
      </c>
      <c r="J5051" t="s">
        <v>1709</v>
      </c>
      <c r="K5051" t="s">
        <v>1856</v>
      </c>
      <c r="L5051" t="s">
        <v>285</v>
      </c>
      <c r="M5051" t="str">
        <f t="shared" si="355"/>
        <v>03</v>
      </c>
      <c r="N5051" t="s">
        <v>12</v>
      </c>
    </row>
    <row r="5052" spans="1:14" x14ac:dyDescent="0.25">
      <c r="A5052">
        <v>20160311</v>
      </c>
      <c r="B5052" t="str">
        <f t="shared" si="356"/>
        <v>062654</v>
      </c>
      <c r="C5052" t="str">
        <f t="shared" si="357"/>
        <v>30130</v>
      </c>
      <c r="D5052" t="s">
        <v>3082</v>
      </c>
      <c r="E5052" s="3">
        <v>304.75</v>
      </c>
      <c r="F5052">
        <v>20160310</v>
      </c>
      <c r="G5052" t="s">
        <v>1854</v>
      </c>
      <c r="H5052" t="s">
        <v>4382</v>
      </c>
      <c r="I5052">
        <v>0</v>
      </c>
      <c r="J5052" t="s">
        <v>1709</v>
      </c>
      <c r="K5052" t="s">
        <v>1856</v>
      </c>
      <c r="L5052" t="s">
        <v>285</v>
      </c>
      <c r="M5052" t="str">
        <f t="shared" si="355"/>
        <v>03</v>
      </c>
      <c r="N5052" t="s">
        <v>12</v>
      </c>
    </row>
    <row r="5053" spans="1:14" x14ac:dyDescent="0.25">
      <c r="A5053">
        <v>20160311</v>
      </c>
      <c r="B5053" t="str">
        <f t="shared" si="356"/>
        <v>062654</v>
      </c>
      <c r="C5053" t="str">
        <f t="shared" si="357"/>
        <v>30130</v>
      </c>
      <c r="D5053" t="s">
        <v>3082</v>
      </c>
      <c r="E5053" s="3">
        <v>657.22</v>
      </c>
      <c r="F5053">
        <v>20160310</v>
      </c>
      <c r="G5053" t="s">
        <v>1854</v>
      </c>
      <c r="H5053" t="s">
        <v>4383</v>
      </c>
      <c r="I5053">
        <v>0</v>
      </c>
      <c r="J5053" t="s">
        <v>1709</v>
      </c>
      <c r="K5053" t="s">
        <v>1856</v>
      </c>
      <c r="L5053" t="s">
        <v>285</v>
      </c>
      <c r="M5053" t="str">
        <f t="shared" si="355"/>
        <v>03</v>
      </c>
      <c r="N5053" t="s">
        <v>12</v>
      </c>
    </row>
    <row r="5054" spans="1:14" x14ac:dyDescent="0.25">
      <c r="A5054">
        <v>20160311</v>
      </c>
      <c r="B5054" t="str">
        <f t="shared" si="356"/>
        <v>062654</v>
      </c>
      <c r="C5054" t="str">
        <f t="shared" si="357"/>
        <v>30130</v>
      </c>
      <c r="D5054" t="s">
        <v>3082</v>
      </c>
      <c r="E5054" s="3">
        <v>651.21</v>
      </c>
      <c r="F5054">
        <v>20160310</v>
      </c>
      <c r="G5054" t="s">
        <v>1854</v>
      </c>
      <c r="H5054" t="s">
        <v>4384</v>
      </c>
      <c r="I5054">
        <v>0</v>
      </c>
      <c r="J5054" t="s">
        <v>1709</v>
      </c>
      <c r="K5054" t="s">
        <v>1856</v>
      </c>
      <c r="L5054" t="s">
        <v>285</v>
      </c>
      <c r="M5054" t="str">
        <f t="shared" si="355"/>
        <v>03</v>
      </c>
      <c r="N5054" t="s">
        <v>12</v>
      </c>
    </row>
    <row r="5055" spans="1:14" x14ac:dyDescent="0.25">
      <c r="A5055">
        <v>20160311</v>
      </c>
      <c r="B5055" t="str">
        <f>"062655"</f>
        <v>062655</v>
      </c>
      <c r="C5055" t="str">
        <f>"34888"</f>
        <v>34888</v>
      </c>
      <c r="D5055" t="s">
        <v>3351</v>
      </c>
      <c r="E5055" s="3">
        <v>473.99</v>
      </c>
      <c r="F5055">
        <v>20160310</v>
      </c>
      <c r="G5055" t="s">
        <v>1854</v>
      </c>
      <c r="H5055" t="s">
        <v>4385</v>
      </c>
      <c r="I5055">
        <v>0</v>
      </c>
      <c r="J5055" t="s">
        <v>1709</v>
      </c>
      <c r="K5055" t="s">
        <v>1856</v>
      </c>
      <c r="L5055" t="s">
        <v>285</v>
      </c>
      <c r="M5055" t="str">
        <f t="shared" si="355"/>
        <v>03</v>
      </c>
      <c r="N5055" t="s">
        <v>12</v>
      </c>
    </row>
    <row r="5056" spans="1:14" x14ac:dyDescent="0.25">
      <c r="A5056">
        <v>20160311</v>
      </c>
      <c r="B5056" t="str">
        <f>"062656"</f>
        <v>062656</v>
      </c>
      <c r="C5056" t="str">
        <f>"35740"</f>
        <v>35740</v>
      </c>
      <c r="D5056" t="s">
        <v>2305</v>
      </c>
      <c r="E5056" s="3">
        <v>941.26</v>
      </c>
      <c r="F5056">
        <v>20160310</v>
      </c>
      <c r="G5056" t="s">
        <v>2883</v>
      </c>
      <c r="H5056" t="s">
        <v>4386</v>
      </c>
      <c r="I5056">
        <v>0</v>
      </c>
      <c r="J5056" t="s">
        <v>1709</v>
      </c>
      <c r="K5056" t="s">
        <v>1861</v>
      </c>
      <c r="L5056" t="s">
        <v>285</v>
      </c>
      <c r="M5056" t="str">
        <f t="shared" si="355"/>
        <v>03</v>
      </c>
      <c r="N5056" t="s">
        <v>12</v>
      </c>
    </row>
    <row r="5057" spans="1:14" x14ac:dyDescent="0.25">
      <c r="A5057">
        <v>20160311</v>
      </c>
      <c r="B5057" t="str">
        <f t="shared" ref="B5057:B5064" si="358">"062658"</f>
        <v>062658</v>
      </c>
      <c r="C5057" t="str">
        <f t="shared" ref="C5057:C5064" si="359">"37500"</f>
        <v>37500</v>
      </c>
      <c r="D5057" t="s">
        <v>1652</v>
      </c>
      <c r="E5057" s="3">
        <v>293</v>
      </c>
      <c r="F5057">
        <v>20160310</v>
      </c>
      <c r="G5057" t="s">
        <v>3892</v>
      </c>
      <c r="H5057" t="s">
        <v>4320</v>
      </c>
      <c r="I5057">
        <v>0</v>
      </c>
      <c r="J5057" t="s">
        <v>1709</v>
      </c>
      <c r="K5057" t="s">
        <v>290</v>
      </c>
      <c r="L5057" t="s">
        <v>285</v>
      </c>
      <c r="M5057" t="str">
        <f t="shared" si="355"/>
        <v>03</v>
      </c>
      <c r="N5057" t="s">
        <v>12</v>
      </c>
    </row>
    <row r="5058" spans="1:14" x14ac:dyDescent="0.25">
      <c r="A5058">
        <v>20160311</v>
      </c>
      <c r="B5058" t="str">
        <f t="shared" si="358"/>
        <v>062658</v>
      </c>
      <c r="C5058" t="str">
        <f t="shared" si="359"/>
        <v>37500</v>
      </c>
      <c r="D5058" t="s">
        <v>1652</v>
      </c>
      <c r="E5058" s="3">
        <v>132.85</v>
      </c>
      <c r="F5058">
        <v>20160310</v>
      </c>
      <c r="G5058" t="s">
        <v>2791</v>
      </c>
      <c r="H5058" t="s">
        <v>2310</v>
      </c>
      <c r="I5058">
        <v>0</v>
      </c>
      <c r="J5058" t="s">
        <v>1709</v>
      </c>
      <c r="K5058" t="s">
        <v>290</v>
      </c>
      <c r="L5058" t="s">
        <v>285</v>
      </c>
      <c r="M5058" t="str">
        <f t="shared" si="355"/>
        <v>03</v>
      </c>
      <c r="N5058" t="s">
        <v>12</v>
      </c>
    </row>
    <row r="5059" spans="1:14" x14ac:dyDescent="0.25">
      <c r="A5059">
        <v>20160311</v>
      </c>
      <c r="B5059" t="str">
        <f t="shared" si="358"/>
        <v>062658</v>
      </c>
      <c r="C5059" t="str">
        <f t="shared" si="359"/>
        <v>37500</v>
      </c>
      <c r="D5059" t="s">
        <v>1652</v>
      </c>
      <c r="E5059" s="3">
        <v>19.899999999999999</v>
      </c>
      <c r="F5059">
        <v>20160310</v>
      </c>
      <c r="G5059" t="s">
        <v>2565</v>
      </c>
      <c r="H5059" t="s">
        <v>4387</v>
      </c>
      <c r="I5059">
        <v>0</v>
      </c>
      <c r="J5059" t="s">
        <v>1709</v>
      </c>
      <c r="K5059" t="s">
        <v>1558</v>
      </c>
      <c r="L5059" t="s">
        <v>285</v>
      </c>
      <c r="M5059" t="str">
        <f t="shared" si="355"/>
        <v>03</v>
      </c>
      <c r="N5059" t="s">
        <v>12</v>
      </c>
    </row>
    <row r="5060" spans="1:14" x14ac:dyDescent="0.25">
      <c r="A5060">
        <v>20160311</v>
      </c>
      <c r="B5060" t="str">
        <f t="shared" si="358"/>
        <v>062658</v>
      </c>
      <c r="C5060" t="str">
        <f t="shared" si="359"/>
        <v>37500</v>
      </c>
      <c r="D5060" t="s">
        <v>1652</v>
      </c>
      <c r="E5060" s="3">
        <v>6.36</v>
      </c>
      <c r="F5060">
        <v>20160310</v>
      </c>
      <c r="G5060" t="s">
        <v>2565</v>
      </c>
      <c r="H5060" t="s">
        <v>4387</v>
      </c>
      <c r="I5060">
        <v>0</v>
      </c>
      <c r="J5060" t="s">
        <v>1709</v>
      </c>
      <c r="K5060" t="s">
        <v>1558</v>
      </c>
      <c r="L5060" t="s">
        <v>285</v>
      </c>
      <c r="M5060" t="str">
        <f t="shared" si="355"/>
        <v>03</v>
      </c>
      <c r="N5060" t="s">
        <v>12</v>
      </c>
    </row>
    <row r="5061" spans="1:14" x14ac:dyDescent="0.25">
      <c r="A5061">
        <v>20160311</v>
      </c>
      <c r="B5061" t="str">
        <f t="shared" si="358"/>
        <v>062658</v>
      </c>
      <c r="C5061" t="str">
        <f t="shared" si="359"/>
        <v>37500</v>
      </c>
      <c r="D5061" t="s">
        <v>1652</v>
      </c>
      <c r="E5061" s="3">
        <v>20.96</v>
      </c>
      <c r="F5061">
        <v>20160310</v>
      </c>
      <c r="G5061" t="s">
        <v>4184</v>
      </c>
      <c r="H5061" t="s">
        <v>4388</v>
      </c>
      <c r="I5061">
        <v>0</v>
      </c>
      <c r="J5061" t="s">
        <v>1709</v>
      </c>
      <c r="K5061" t="s">
        <v>290</v>
      </c>
      <c r="L5061" t="s">
        <v>285</v>
      </c>
      <c r="M5061" t="str">
        <f t="shared" si="355"/>
        <v>03</v>
      </c>
      <c r="N5061" t="s">
        <v>12</v>
      </c>
    </row>
    <row r="5062" spans="1:14" x14ac:dyDescent="0.25">
      <c r="A5062">
        <v>20160311</v>
      </c>
      <c r="B5062" t="str">
        <f t="shared" si="358"/>
        <v>062658</v>
      </c>
      <c r="C5062" t="str">
        <f t="shared" si="359"/>
        <v>37500</v>
      </c>
      <c r="D5062" t="s">
        <v>1652</v>
      </c>
      <c r="E5062" s="3">
        <v>156</v>
      </c>
      <c r="F5062">
        <v>20160310</v>
      </c>
      <c r="G5062" t="s">
        <v>4184</v>
      </c>
      <c r="H5062" t="s">
        <v>4320</v>
      </c>
      <c r="I5062">
        <v>0</v>
      </c>
      <c r="J5062" t="s">
        <v>1709</v>
      </c>
      <c r="K5062" t="s">
        <v>290</v>
      </c>
      <c r="L5062" t="s">
        <v>285</v>
      </c>
      <c r="M5062" t="str">
        <f t="shared" si="355"/>
        <v>03</v>
      </c>
      <c r="N5062" t="s">
        <v>12</v>
      </c>
    </row>
    <row r="5063" spans="1:14" x14ac:dyDescent="0.25">
      <c r="A5063">
        <v>20160311</v>
      </c>
      <c r="B5063" t="str">
        <f t="shared" si="358"/>
        <v>062658</v>
      </c>
      <c r="C5063" t="str">
        <f t="shared" si="359"/>
        <v>37500</v>
      </c>
      <c r="D5063" t="s">
        <v>1652</v>
      </c>
      <c r="E5063" s="3">
        <v>150</v>
      </c>
      <c r="F5063">
        <v>20160310</v>
      </c>
      <c r="G5063" t="s">
        <v>4184</v>
      </c>
      <c r="H5063" t="s">
        <v>4389</v>
      </c>
      <c r="I5063">
        <v>0</v>
      </c>
      <c r="J5063" t="s">
        <v>1709</v>
      </c>
      <c r="K5063" t="s">
        <v>290</v>
      </c>
      <c r="L5063" t="s">
        <v>285</v>
      </c>
      <c r="M5063" t="str">
        <f t="shared" si="355"/>
        <v>03</v>
      </c>
      <c r="N5063" t="s">
        <v>12</v>
      </c>
    </row>
    <row r="5064" spans="1:14" x14ac:dyDescent="0.25">
      <c r="A5064">
        <v>20160311</v>
      </c>
      <c r="B5064" t="str">
        <f t="shared" si="358"/>
        <v>062658</v>
      </c>
      <c r="C5064" t="str">
        <f t="shared" si="359"/>
        <v>37500</v>
      </c>
      <c r="D5064" t="s">
        <v>1652</v>
      </c>
      <c r="E5064" s="3">
        <v>28.53</v>
      </c>
      <c r="F5064">
        <v>20160310</v>
      </c>
      <c r="G5064" t="s">
        <v>4061</v>
      </c>
      <c r="H5064" t="s">
        <v>595</v>
      </c>
      <c r="I5064">
        <v>0</v>
      </c>
      <c r="J5064" t="s">
        <v>1709</v>
      </c>
      <c r="K5064" t="s">
        <v>2923</v>
      </c>
      <c r="L5064" t="s">
        <v>285</v>
      </c>
      <c r="M5064" t="str">
        <f t="shared" si="355"/>
        <v>03</v>
      </c>
      <c r="N5064" t="s">
        <v>12</v>
      </c>
    </row>
    <row r="5065" spans="1:14" x14ac:dyDescent="0.25">
      <c r="A5065">
        <v>20160311</v>
      </c>
      <c r="B5065" t="str">
        <f>"062659"</f>
        <v>062659</v>
      </c>
      <c r="C5065" t="str">
        <f>"39425"</f>
        <v>39425</v>
      </c>
      <c r="D5065" t="s">
        <v>4390</v>
      </c>
      <c r="E5065" s="3">
        <v>86.96</v>
      </c>
      <c r="F5065">
        <v>20160310</v>
      </c>
      <c r="G5065" t="s">
        <v>1859</v>
      </c>
      <c r="H5065" t="s">
        <v>2295</v>
      </c>
      <c r="I5065">
        <v>0</v>
      </c>
      <c r="J5065" t="s">
        <v>1709</v>
      </c>
      <c r="K5065" t="s">
        <v>1861</v>
      </c>
      <c r="L5065" t="s">
        <v>285</v>
      </c>
      <c r="M5065" t="str">
        <f t="shared" si="355"/>
        <v>03</v>
      </c>
      <c r="N5065" t="s">
        <v>12</v>
      </c>
    </row>
    <row r="5066" spans="1:14" x14ac:dyDescent="0.25">
      <c r="A5066">
        <v>20160311</v>
      </c>
      <c r="B5066" t="str">
        <f>"062659"</f>
        <v>062659</v>
      </c>
      <c r="C5066" t="str">
        <f>"39425"</f>
        <v>39425</v>
      </c>
      <c r="D5066" t="s">
        <v>4390</v>
      </c>
      <c r="E5066" s="3">
        <v>7.95</v>
      </c>
      <c r="F5066">
        <v>20160310</v>
      </c>
      <c r="G5066" t="s">
        <v>3912</v>
      </c>
      <c r="H5066" t="s">
        <v>4391</v>
      </c>
      <c r="I5066">
        <v>0</v>
      </c>
      <c r="J5066" t="s">
        <v>1709</v>
      </c>
      <c r="K5066" t="s">
        <v>1861</v>
      </c>
      <c r="L5066" t="s">
        <v>285</v>
      </c>
      <c r="M5066" t="str">
        <f t="shared" si="355"/>
        <v>03</v>
      </c>
      <c r="N5066" t="s">
        <v>12</v>
      </c>
    </row>
    <row r="5067" spans="1:14" x14ac:dyDescent="0.25">
      <c r="A5067">
        <v>20160311</v>
      </c>
      <c r="B5067" t="str">
        <f>"062660"</f>
        <v>062660</v>
      </c>
      <c r="C5067" t="str">
        <f>"42174"</f>
        <v>42174</v>
      </c>
      <c r="D5067" t="s">
        <v>4392</v>
      </c>
      <c r="E5067" s="3">
        <v>517.26</v>
      </c>
      <c r="F5067">
        <v>20160310</v>
      </c>
      <c r="G5067" t="s">
        <v>2585</v>
      </c>
      <c r="H5067" t="s">
        <v>3897</v>
      </c>
      <c r="I5067">
        <v>0</v>
      </c>
      <c r="J5067" t="s">
        <v>1709</v>
      </c>
      <c r="K5067" t="s">
        <v>290</v>
      </c>
      <c r="L5067" t="s">
        <v>285</v>
      </c>
      <c r="M5067" t="str">
        <f t="shared" si="355"/>
        <v>03</v>
      </c>
      <c r="N5067" t="s">
        <v>12</v>
      </c>
    </row>
    <row r="5068" spans="1:14" x14ac:dyDescent="0.25">
      <c r="A5068">
        <v>20160311</v>
      </c>
      <c r="B5068" t="str">
        <f>"062660"</f>
        <v>062660</v>
      </c>
      <c r="C5068" t="str">
        <f>"42174"</f>
        <v>42174</v>
      </c>
      <c r="D5068" t="s">
        <v>4392</v>
      </c>
      <c r="E5068" s="3">
        <v>517.26</v>
      </c>
      <c r="F5068">
        <v>20160310</v>
      </c>
      <c r="G5068" t="s">
        <v>3898</v>
      </c>
      <c r="H5068" t="s">
        <v>3897</v>
      </c>
      <c r="I5068">
        <v>0</v>
      </c>
      <c r="J5068" t="s">
        <v>1709</v>
      </c>
      <c r="K5068" t="s">
        <v>95</v>
      </c>
      <c r="L5068" t="s">
        <v>285</v>
      </c>
      <c r="M5068" t="str">
        <f t="shared" si="355"/>
        <v>03</v>
      </c>
      <c r="N5068" t="s">
        <v>12</v>
      </c>
    </row>
    <row r="5069" spans="1:14" x14ac:dyDescent="0.25">
      <c r="A5069">
        <v>20160311</v>
      </c>
      <c r="B5069" t="str">
        <f>"062660"</f>
        <v>062660</v>
      </c>
      <c r="C5069" t="str">
        <f>"42174"</f>
        <v>42174</v>
      </c>
      <c r="D5069" t="s">
        <v>4392</v>
      </c>
      <c r="E5069" s="3">
        <v>517.26</v>
      </c>
      <c r="F5069">
        <v>20160310</v>
      </c>
      <c r="G5069" t="s">
        <v>3899</v>
      </c>
      <c r="H5069" t="s">
        <v>3897</v>
      </c>
      <c r="I5069">
        <v>0</v>
      </c>
      <c r="J5069" t="s">
        <v>1709</v>
      </c>
      <c r="K5069" t="s">
        <v>1643</v>
      </c>
      <c r="L5069" t="s">
        <v>285</v>
      </c>
      <c r="M5069" t="str">
        <f t="shared" si="355"/>
        <v>03</v>
      </c>
      <c r="N5069" t="s">
        <v>12</v>
      </c>
    </row>
    <row r="5070" spans="1:14" x14ac:dyDescent="0.25">
      <c r="A5070">
        <v>20160311</v>
      </c>
      <c r="B5070" t="str">
        <f>"062660"</f>
        <v>062660</v>
      </c>
      <c r="C5070" t="str">
        <f>"42174"</f>
        <v>42174</v>
      </c>
      <c r="D5070" t="s">
        <v>4392</v>
      </c>
      <c r="E5070" s="3">
        <v>517.26</v>
      </c>
      <c r="F5070">
        <v>20160310</v>
      </c>
      <c r="G5070" t="s">
        <v>3064</v>
      </c>
      <c r="H5070" t="s">
        <v>3897</v>
      </c>
      <c r="I5070">
        <v>0</v>
      </c>
      <c r="J5070" t="s">
        <v>1709</v>
      </c>
      <c r="K5070" t="s">
        <v>33</v>
      </c>
      <c r="L5070" t="s">
        <v>285</v>
      </c>
      <c r="M5070" t="str">
        <f t="shared" si="355"/>
        <v>03</v>
      </c>
      <c r="N5070" t="s">
        <v>12</v>
      </c>
    </row>
    <row r="5071" spans="1:14" x14ac:dyDescent="0.25">
      <c r="A5071">
        <v>20160311</v>
      </c>
      <c r="B5071" t="str">
        <f t="shared" ref="B5071:B5078" si="360">"062661"</f>
        <v>062661</v>
      </c>
      <c r="C5071" t="str">
        <f t="shared" ref="C5071:C5078" si="361">"40550"</f>
        <v>40550</v>
      </c>
      <c r="D5071" t="s">
        <v>435</v>
      </c>
      <c r="E5071" s="3">
        <v>47.96</v>
      </c>
      <c r="F5071">
        <v>20160310</v>
      </c>
      <c r="G5071" t="s">
        <v>2529</v>
      </c>
      <c r="H5071" t="s">
        <v>4393</v>
      </c>
      <c r="I5071">
        <v>0</v>
      </c>
      <c r="J5071" t="s">
        <v>1709</v>
      </c>
      <c r="K5071" t="s">
        <v>95</v>
      </c>
      <c r="L5071" t="s">
        <v>285</v>
      </c>
      <c r="M5071" t="str">
        <f t="shared" si="355"/>
        <v>03</v>
      </c>
      <c r="N5071" t="s">
        <v>12</v>
      </c>
    </row>
    <row r="5072" spans="1:14" x14ac:dyDescent="0.25">
      <c r="A5072">
        <v>20160311</v>
      </c>
      <c r="B5072" t="str">
        <f t="shared" si="360"/>
        <v>062661</v>
      </c>
      <c r="C5072" t="str">
        <f t="shared" si="361"/>
        <v>40550</v>
      </c>
      <c r="D5072" t="s">
        <v>435</v>
      </c>
      <c r="E5072" s="3">
        <v>47.2</v>
      </c>
      <c r="F5072">
        <v>20160310</v>
      </c>
      <c r="G5072" t="s">
        <v>2529</v>
      </c>
      <c r="H5072" t="s">
        <v>4393</v>
      </c>
      <c r="I5072">
        <v>0</v>
      </c>
      <c r="J5072" t="s">
        <v>1709</v>
      </c>
      <c r="K5072" t="s">
        <v>95</v>
      </c>
      <c r="L5072" t="s">
        <v>285</v>
      </c>
      <c r="M5072" t="str">
        <f t="shared" si="355"/>
        <v>03</v>
      </c>
      <c r="N5072" t="s">
        <v>12</v>
      </c>
    </row>
    <row r="5073" spans="1:14" x14ac:dyDescent="0.25">
      <c r="A5073">
        <v>20160311</v>
      </c>
      <c r="B5073" t="str">
        <f t="shared" si="360"/>
        <v>062661</v>
      </c>
      <c r="C5073" t="str">
        <f t="shared" si="361"/>
        <v>40550</v>
      </c>
      <c r="D5073" t="s">
        <v>435</v>
      </c>
      <c r="E5073" s="3">
        <v>4.49</v>
      </c>
      <c r="F5073">
        <v>20160310</v>
      </c>
      <c r="G5073" t="s">
        <v>2529</v>
      </c>
      <c r="H5073" t="s">
        <v>4393</v>
      </c>
      <c r="I5073">
        <v>0</v>
      </c>
      <c r="J5073" t="s">
        <v>1709</v>
      </c>
      <c r="K5073" t="s">
        <v>95</v>
      </c>
      <c r="L5073" t="s">
        <v>285</v>
      </c>
      <c r="M5073" t="str">
        <f t="shared" si="355"/>
        <v>03</v>
      </c>
      <c r="N5073" t="s">
        <v>12</v>
      </c>
    </row>
    <row r="5074" spans="1:14" x14ac:dyDescent="0.25">
      <c r="A5074">
        <v>20160311</v>
      </c>
      <c r="B5074" t="str">
        <f t="shared" si="360"/>
        <v>062661</v>
      </c>
      <c r="C5074" t="str">
        <f t="shared" si="361"/>
        <v>40550</v>
      </c>
      <c r="D5074" t="s">
        <v>435</v>
      </c>
      <c r="E5074" s="3">
        <v>57.42</v>
      </c>
      <c r="F5074">
        <v>20160310</v>
      </c>
      <c r="G5074" t="s">
        <v>2262</v>
      </c>
      <c r="H5074" t="s">
        <v>3295</v>
      </c>
      <c r="I5074">
        <v>0</v>
      </c>
      <c r="J5074" t="s">
        <v>1709</v>
      </c>
      <c r="K5074" t="s">
        <v>1643</v>
      </c>
      <c r="L5074" t="s">
        <v>285</v>
      </c>
      <c r="M5074" t="str">
        <f t="shared" si="355"/>
        <v>03</v>
      </c>
      <c r="N5074" t="s">
        <v>12</v>
      </c>
    </row>
    <row r="5075" spans="1:14" x14ac:dyDescent="0.25">
      <c r="A5075">
        <v>20160311</v>
      </c>
      <c r="B5075" t="str">
        <f t="shared" si="360"/>
        <v>062661</v>
      </c>
      <c r="C5075" t="str">
        <f t="shared" si="361"/>
        <v>40550</v>
      </c>
      <c r="D5075" t="s">
        <v>435</v>
      </c>
      <c r="E5075" s="3">
        <v>93.46</v>
      </c>
      <c r="F5075">
        <v>20160310</v>
      </c>
      <c r="G5075" t="s">
        <v>2339</v>
      </c>
      <c r="H5075" t="s">
        <v>4393</v>
      </c>
      <c r="I5075">
        <v>0</v>
      </c>
      <c r="J5075" t="s">
        <v>1709</v>
      </c>
      <c r="K5075" t="s">
        <v>290</v>
      </c>
      <c r="L5075" t="s">
        <v>285</v>
      </c>
      <c r="M5075" t="str">
        <f t="shared" si="355"/>
        <v>03</v>
      </c>
      <c r="N5075" t="s">
        <v>12</v>
      </c>
    </row>
    <row r="5076" spans="1:14" x14ac:dyDescent="0.25">
      <c r="A5076">
        <v>20160311</v>
      </c>
      <c r="B5076" t="str">
        <f t="shared" si="360"/>
        <v>062661</v>
      </c>
      <c r="C5076" t="str">
        <f t="shared" si="361"/>
        <v>40550</v>
      </c>
      <c r="D5076" t="s">
        <v>435</v>
      </c>
      <c r="E5076" s="3">
        <v>76.42</v>
      </c>
      <c r="F5076">
        <v>20160310</v>
      </c>
      <c r="G5076" t="s">
        <v>2339</v>
      </c>
      <c r="H5076" t="s">
        <v>4393</v>
      </c>
      <c r="I5076">
        <v>0</v>
      </c>
      <c r="J5076" t="s">
        <v>1709</v>
      </c>
      <c r="K5076" t="s">
        <v>290</v>
      </c>
      <c r="L5076" t="s">
        <v>285</v>
      </c>
      <c r="M5076" t="str">
        <f t="shared" si="355"/>
        <v>03</v>
      </c>
      <c r="N5076" t="s">
        <v>12</v>
      </c>
    </row>
    <row r="5077" spans="1:14" x14ac:dyDescent="0.25">
      <c r="A5077">
        <v>20160311</v>
      </c>
      <c r="B5077" t="str">
        <f t="shared" si="360"/>
        <v>062661</v>
      </c>
      <c r="C5077" t="str">
        <f t="shared" si="361"/>
        <v>40550</v>
      </c>
      <c r="D5077" t="s">
        <v>435</v>
      </c>
      <c r="E5077" s="3">
        <v>81.48</v>
      </c>
      <c r="F5077">
        <v>20160310</v>
      </c>
      <c r="G5077" t="s">
        <v>2049</v>
      </c>
      <c r="H5077" t="s">
        <v>4394</v>
      </c>
      <c r="I5077">
        <v>0</v>
      </c>
      <c r="J5077" t="s">
        <v>1709</v>
      </c>
      <c r="K5077" t="s">
        <v>1775</v>
      </c>
      <c r="L5077" t="s">
        <v>285</v>
      </c>
      <c r="M5077" t="str">
        <f t="shared" si="355"/>
        <v>03</v>
      </c>
      <c r="N5077" t="s">
        <v>12</v>
      </c>
    </row>
    <row r="5078" spans="1:14" x14ac:dyDescent="0.25">
      <c r="A5078">
        <v>20160311</v>
      </c>
      <c r="B5078" t="str">
        <f t="shared" si="360"/>
        <v>062661</v>
      </c>
      <c r="C5078" t="str">
        <f t="shared" si="361"/>
        <v>40550</v>
      </c>
      <c r="D5078" t="s">
        <v>435</v>
      </c>
      <c r="E5078" s="3">
        <v>-7.19</v>
      </c>
      <c r="F5078">
        <v>20160219</v>
      </c>
      <c r="G5078" t="s">
        <v>2049</v>
      </c>
      <c r="H5078" t="s">
        <v>4394</v>
      </c>
      <c r="I5078">
        <v>0</v>
      </c>
      <c r="J5078" t="s">
        <v>1709</v>
      </c>
      <c r="K5078" t="s">
        <v>1775</v>
      </c>
      <c r="L5078" t="s">
        <v>1385</v>
      </c>
      <c r="M5078" t="str">
        <f t="shared" si="355"/>
        <v>03</v>
      </c>
      <c r="N5078" t="s">
        <v>12</v>
      </c>
    </row>
    <row r="5079" spans="1:14" x14ac:dyDescent="0.25">
      <c r="A5079">
        <v>20160311</v>
      </c>
      <c r="B5079" t="str">
        <f>"062662"</f>
        <v>062662</v>
      </c>
      <c r="C5079" t="str">
        <f>"40565"</f>
        <v>40565</v>
      </c>
      <c r="D5079" t="s">
        <v>3537</v>
      </c>
      <c r="E5079" s="3">
        <v>32.409999999999997</v>
      </c>
      <c r="F5079">
        <v>20160310</v>
      </c>
      <c r="G5079" t="s">
        <v>4066</v>
      </c>
      <c r="H5079" t="s">
        <v>4067</v>
      </c>
      <c r="I5079">
        <v>0</v>
      </c>
      <c r="J5079" t="s">
        <v>1709</v>
      </c>
      <c r="K5079" t="s">
        <v>290</v>
      </c>
      <c r="L5079" t="s">
        <v>285</v>
      </c>
      <c r="M5079" t="str">
        <f t="shared" si="355"/>
        <v>03</v>
      </c>
      <c r="N5079" t="s">
        <v>12</v>
      </c>
    </row>
    <row r="5080" spans="1:14" x14ac:dyDescent="0.25">
      <c r="A5080">
        <v>20160311</v>
      </c>
      <c r="B5080" t="str">
        <f>"062664"</f>
        <v>062664</v>
      </c>
      <c r="C5080" t="str">
        <f>"43532"</f>
        <v>43532</v>
      </c>
      <c r="D5080" t="s">
        <v>1979</v>
      </c>
      <c r="E5080" s="3">
        <v>270</v>
      </c>
      <c r="F5080">
        <v>20160311</v>
      </c>
      <c r="G5080" t="s">
        <v>2086</v>
      </c>
      <c r="H5080" t="s">
        <v>4395</v>
      </c>
      <c r="I5080">
        <v>0</v>
      </c>
      <c r="J5080" t="s">
        <v>1709</v>
      </c>
      <c r="K5080" t="s">
        <v>95</v>
      </c>
      <c r="L5080" t="s">
        <v>285</v>
      </c>
      <c r="M5080" t="str">
        <f t="shared" si="355"/>
        <v>03</v>
      </c>
      <c r="N5080" t="s">
        <v>12</v>
      </c>
    </row>
    <row r="5081" spans="1:14" x14ac:dyDescent="0.25">
      <c r="A5081">
        <v>20160311</v>
      </c>
      <c r="B5081" t="str">
        <f>"062666"</f>
        <v>062666</v>
      </c>
      <c r="C5081" t="str">
        <f>"45496"</f>
        <v>45496</v>
      </c>
      <c r="D5081" t="s">
        <v>2327</v>
      </c>
      <c r="E5081" s="3">
        <v>27.75</v>
      </c>
      <c r="F5081">
        <v>20160310</v>
      </c>
      <c r="G5081" t="s">
        <v>2303</v>
      </c>
      <c r="H5081" t="s">
        <v>3090</v>
      </c>
      <c r="I5081">
        <v>0</v>
      </c>
      <c r="J5081" t="s">
        <v>1709</v>
      </c>
      <c r="K5081" t="s">
        <v>235</v>
      </c>
      <c r="L5081" t="s">
        <v>285</v>
      </c>
      <c r="M5081" t="str">
        <f t="shared" si="355"/>
        <v>03</v>
      </c>
      <c r="N5081" t="s">
        <v>12</v>
      </c>
    </row>
    <row r="5082" spans="1:14" x14ac:dyDescent="0.25">
      <c r="A5082">
        <v>20160311</v>
      </c>
      <c r="B5082" t="str">
        <f>"062666"</f>
        <v>062666</v>
      </c>
      <c r="C5082" t="str">
        <f>"45496"</f>
        <v>45496</v>
      </c>
      <c r="D5082" t="s">
        <v>2327</v>
      </c>
      <c r="E5082" s="3">
        <v>467.93</v>
      </c>
      <c r="F5082">
        <v>20160310</v>
      </c>
      <c r="G5082" t="s">
        <v>2262</v>
      </c>
      <c r="H5082" t="s">
        <v>595</v>
      </c>
      <c r="I5082">
        <v>0</v>
      </c>
      <c r="J5082" t="s">
        <v>1709</v>
      </c>
      <c r="K5082" t="s">
        <v>1643</v>
      </c>
      <c r="L5082" t="s">
        <v>285</v>
      </c>
      <c r="M5082" t="str">
        <f t="shared" si="355"/>
        <v>03</v>
      </c>
      <c r="N5082" t="s">
        <v>12</v>
      </c>
    </row>
    <row r="5083" spans="1:14" x14ac:dyDescent="0.25">
      <c r="A5083">
        <v>20160311</v>
      </c>
      <c r="B5083" t="str">
        <f>"062666"</f>
        <v>062666</v>
      </c>
      <c r="C5083" t="str">
        <f>"45496"</f>
        <v>45496</v>
      </c>
      <c r="D5083" t="s">
        <v>2327</v>
      </c>
      <c r="E5083" s="3">
        <v>79.260000000000005</v>
      </c>
      <c r="F5083">
        <v>20160310</v>
      </c>
      <c r="G5083" t="s">
        <v>2047</v>
      </c>
      <c r="H5083" t="s">
        <v>595</v>
      </c>
      <c r="I5083">
        <v>0</v>
      </c>
      <c r="J5083" t="s">
        <v>1709</v>
      </c>
      <c r="K5083" t="s">
        <v>1882</v>
      </c>
      <c r="L5083" t="s">
        <v>285</v>
      </c>
      <c r="M5083" t="str">
        <f t="shared" si="355"/>
        <v>03</v>
      </c>
      <c r="N5083" t="s">
        <v>12</v>
      </c>
    </row>
    <row r="5084" spans="1:14" x14ac:dyDescent="0.25">
      <c r="A5084">
        <v>20160311</v>
      </c>
      <c r="B5084" t="str">
        <f>"062667"</f>
        <v>062667</v>
      </c>
      <c r="C5084" t="str">
        <f>"46398"</f>
        <v>46398</v>
      </c>
      <c r="D5084" t="s">
        <v>1994</v>
      </c>
      <c r="E5084" s="3">
        <v>8962.92</v>
      </c>
      <c r="F5084">
        <v>20160310</v>
      </c>
      <c r="G5084" t="s">
        <v>1995</v>
      </c>
      <c r="H5084" t="s">
        <v>4396</v>
      </c>
      <c r="I5084">
        <v>0</v>
      </c>
      <c r="J5084" t="s">
        <v>1709</v>
      </c>
      <c r="K5084" t="s">
        <v>235</v>
      </c>
      <c r="L5084" t="s">
        <v>285</v>
      </c>
      <c r="M5084" t="str">
        <f t="shared" si="355"/>
        <v>03</v>
      </c>
      <c r="N5084" t="s">
        <v>12</v>
      </c>
    </row>
    <row r="5085" spans="1:14" x14ac:dyDescent="0.25">
      <c r="A5085">
        <v>20160311</v>
      </c>
      <c r="B5085" t="str">
        <f>"062667"</f>
        <v>062667</v>
      </c>
      <c r="C5085" t="str">
        <f>"46398"</f>
        <v>46398</v>
      </c>
      <c r="D5085" t="s">
        <v>1994</v>
      </c>
      <c r="E5085" s="3">
        <v>1820</v>
      </c>
      <c r="F5085">
        <v>20160310</v>
      </c>
      <c r="G5085" t="s">
        <v>1995</v>
      </c>
      <c r="H5085" t="s">
        <v>4397</v>
      </c>
      <c r="I5085">
        <v>0</v>
      </c>
      <c r="J5085" t="s">
        <v>1709</v>
      </c>
      <c r="K5085" t="s">
        <v>235</v>
      </c>
      <c r="L5085" t="s">
        <v>285</v>
      </c>
      <c r="M5085" t="str">
        <f t="shared" si="355"/>
        <v>03</v>
      </c>
      <c r="N5085" t="s">
        <v>12</v>
      </c>
    </row>
    <row r="5086" spans="1:14" x14ac:dyDescent="0.25">
      <c r="A5086">
        <v>20160311</v>
      </c>
      <c r="B5086" t="str">
        <f>"062667"</f>
        <v>062667</v>
      </c>
      <c r="C5086" t="str">
        <f>"46398"</f>
        <v>46398</v>
      </c>
      <c r="D5086" t="s">
        <v>1994</v>
      </c>
      <c r="E5086" s="3">
        <v>747.95</v>
      </c>
      <c r="F5086">
        <v>20160310</v>
      </c>
      <c r="G5086" t="s">
        <v>1998</v>
      </c>
      <c r="H5086" t="s">
        <v>4396</v>
      </c>
      <c r="I5086">
        <v>0</v>
      </c>
      <c r="J5086" t="s">
        <v>1709</v>
      </c>
      <c r="K5086" t="s">
        <v>1942</v>
      </c>
      <c r="L5086" t="s">
        <v>285</v>
      </c>
      <c r="M5086" t="str">
        <f t="shared" si="355"/>
        <v>03</v>
      </c>
      <c r="N5086" t="s">
        <v>12</v>
      </c>
    </row>
    <row r="5087" spans="1:14" x14ac:dyDescent="0.25">
      <c r="A5087">
        <v>20160311</v>
      </c>
      <c r="B5087" t="str">
        <f>"062668"</f>
        <v>062668</v>
      </c>
      <c r="C5087" t="str">
        <f>"46351"</f>
        <v>46351</v>
      </c>
      <c r="D5087" t="s">
        <v>2518</v>
      </c>
      <c r="E5087" s="3">
        <v>10372.870000000001</v>
      </c>
      <c r="F5087">
        <v>20160310</v>
      </c>
      <c r="G5087" t="s">
        <v>1995</v>
      </c>
      <c r="H5087" t="s">
        <v>4398</v>
      </c>
      <c r="I5087">
        <v>0</v>
      </c>
      <c r="J5087" t="s">
        <v>1709</v>
      </c>
      <c r="K5087" t="s">
        <v>235</v>
      </c>
      <c r="L5087" t="s">
        <v>285</v>
      </c>
      <c r="M5087" t="str">
        <f t="shared" ref="M5087:M5150" si="362">"03"</f>
        <v>03</v>
      </c>
      <c r="N5087" t="s">
        <v>12</v>
      </c>
    </row>
    <row r="5088" spans="1:14" x14ac:dyDescent="0.25">
      <c r="A5088">
        <v>20160311</v>
      </c>
      <c r="B5088" t="str">
        <f>"062668"</f>
        <v>062668</v>
      </c>
      <c r="C5088" t="str">
        <f>"46351"</f>
        <v>46351</v>
      </c>
      <c r="D5088" t="s">
        <v>2518</v>
      </c>
      <c r="E5088" s="3">
        <v>4248.04</v>
      </c>
      <c r="F5088">
        <v>20160310</v>
      </c>
      <c r="G5088" t="s">
        <v>2523</v>
      </c>
      <c r="H5088" t="s">
        <v>4398</v>
      </c>
      <c r="I5088">
        <v>0</v>
      </c>
      <c r="J5088" t="s">
        <v>1709</v>
      </c>
      <c r="K5088" t="s">
        <v>1942</v>
      </c>
      <c r="L5088" t="s">
        <v>285</v>
      </c>
      <c r="M5088" t="str">
        <f t="shared" si="362"/>
        <v>03</v>
      </c>
      <c r="N5088" t="s">
        <v>12</v>
      </c>
    </row>
    <row r="5089" spans="1:14" x14ac:dyDescent="0.25">
      <c r="A5089">
        <v>20160311</v>
      </c>
      <c r="B5089" t="str">
        <f>"062669"</f>
        <v>062669</v>
      </c>
      <c r="C5089" t="str">
        <f>"49748"</f>
        <v>49748</v>
      </c>
      <c r="D5089" t="s">
        <v>1885</v>
      </c>
      <c r="E5089" s="3">
        <v>79</v>
      </c>
      <c r="F5089">
        <v>20160310</v>
      </c>
      <c r="G5089" t="s">
        <v>2115</v>
      </c>
      <c r="H5089" t="s">
        <v>4399</v>
      </c>
      <c r="I5089">
        <v>0</v>
      </c>
      <c r="J5089" t="s">
        <v>1709</v>
      </c>
      <c r="K5089" t="s">
        <v>290</v>
      </c>
      <c r="L5089" t="s">
        <v>285</v>
      </c>
      <c r="M5089" t="str">
        <f t="shared" si="362"/>
        <v>03</v>
      </c>
      <c r="N5089" t="s">
        <v>12</v>
      </c>
    </row>
    <row r="5090" spans="1:14" x14ac:dyDescent="0.25">
      <c r="A5090">
        <v>20160311</v>
      </c>
      <c r="B5090" t="str">
        <f>"062670"</f>
        <v>062670</v>
      </c>
      <c r="C5090" t="str">
        <f>"49959"</f>
        <v>49959</v>
      </c>
      <c r="D5090" t="s">
        <v>361</v>
      </c>
      <c r="E5090" s="3">
        <v>300</v>
      </c>
      <c r="F5090">
        <v>20160310</v>
      </c>
      <c r="G5090" t="s">
        <v>1788</v>
      </c>
      <c r="H5090" t="s">
        <v>4400</v>
      </c>
      <c r="I5090">
        <v>0</v>
      </c>
      <c r="J5090" t="s">
        <v>1709</v>
      </c>
      <c r="K5090" t="s">
        <v>1643</v>
      </c>
      <c r="L5090" t="s">
        <v>285</v>
      </c>
      <c r="M5090" t="str">
        <f t="shared" si="362"/>
        <v>03</v>
      </c>
      <c r="N5090" t="s">
        <v>12</v>
      </c>
    </row>
    <row r="5091" spans="1:14" x14ac:dyDescent="0.25">
      <c r="A5091">
        <v>20160311</v>
      </c>
      <c r="B5091" t="str">
        <f>"062672"</f>
        <v>062672</v>
      </c>
      <c r="C5091" t="str">
        <f>"50109"</f>
        <v>50109</v>
      </c>
      <c r="D5091" t="s">
        <v>3481</v>
      </c>
      <c r="E5091" s="3">
        <v>900</v>
      </c>
      <c r="F5091">
        <v>20160310</v>
      </c>
      <c r="G5091" t="s">
        <v>4401</v>
      </c>
      <c r="H5091" t="s">
        <v>4402</v>
      </c>
      <c r="I5091">
        <v>0</v>
      </c>
      <c r="J5091" t="s">
        <v>1709</v>
      </c>
      <c r="K5091" t="s">
        <v>95</v>
      </c>
      <c r="L5091" t="s">
        <v>285</v>
      </c>
      <c r="M5091" t="str">
        <f t="shared" si="362"/>
        <v>03</v>
      </c>
      <c r="N5091" t="s">
        <v>12</v>
      </c>
    </row>
    <row r="5092" spans="1:14" x14ac:dyDescent="0.25">
      <c r="A5092">
        <v>20160311</v>
      </c>
      <c r="B5092" t="str">
        <f>"062678"</f>
        <v>062678</v>
      </c>
      <c r="C5092" t="str">
        <f>"26870"</f>
        <v>26870</v>
      </c>
      <c r="D5092" t="s">
        <v>4403</v>
      </c>
      <c r="E5092" s="3">
        <v>125.97</v>
      </c>
      <c r="F5092">
        <v>20160310</v>
      </c>
      <c r="G5092" t="s">
        <v>2110</v>
      </c>
      <c r="H5092" t="s">
        <v>4404</v>
      </c>
      <c r="I5092">
        <v>0</v>
      </c>
      <c r="J5092" t="s">
        <v>1709</v>
      </c>
      <c r="K5092" t="s">
        <v>33</v>
      </c>
      <c r="L5092" t="s">
        <v>285</v>
      </c>
      <c r="M5092" t="str">
        <f t="shared" si="362"/>
        <v>03</v>
      </c>
      <c r="N5092" t="s">
        <v>12</v>
      </c>
    </row>
    <row r="5093" spans="1:14" x14ac:dyDescent="0.25">
      <c r="A5093">
        <v>20160311</v>
      </c>
      <c r="B5093" t="str">
        <f>"062680"</f>
        <v>062680</v>
      </c>
      <c r="C5093" t="str">
        <f>"53280"</f>
        <v>53280</v>
      </c>
      <c r="D5093" t="s">
        <v>3000</v>
      </c>
      <c r="E5093" s="3">
        <v>82.01</v>
      </c>
      <c r="F5093">
        <v>20160310</v>
      </c>
      <c r="G5093" t="s">
        <v>4405</v>
      </c>
      <c r="H5093" t="s">
        <v>3875</v>
      </c>
      <c r="I5093">
        <v>0</v>
      </c>
      <c r="J5093" t="s">
        <v>1709</v>
      </c>
      <c r="K5093" t="s">
        <v>95</v>
      </c>
      <c r="L5093" t="s">
        <v>285</v>
      </c>
      <c r="M5093" t="str">
        <f t="shared" si="362"/>
        <v>03</v>
      </c>
      <c r="N5093" t="s">
        <v>12</v>
      </c>
    </row>
    <row r="5094" spans="1:14" x14ac:dyDescent="0.25">
      <c r="A5094">
        <v>20160311</v>
      </c>
      <c r="B5094" t="str">
        <f>"062681"</f>
        <v>062681</v>
      </c>
      <c r="C5094" t="str">
        <f>"55881"</f>
        <v>55881</v>
      </c>
      <c r="D5094" t="s">
        <v>4406</v>
      </c>
      <c r="E5094" s="3">
        <v>215</v>
      </c>
      <c r="F5094">
        <v>20160310</v>
      </c>
      <c r="G5094" t="s">
        <v>1786</v>
      </c>
      <c r="H5094" t="s">
        <v>4407</v>
      </c>
      <c r="I5094">
        <v>0</v>
      </c>
      <c r="J5094" t="s">
        <v>1709</v>
      </c>
      <c r="K5094" t="s">
        <v>290</v>
      </c>
      <c r="L5094" t="s">
        <v>285</v>
      </c>
      <c r="M5094" t="str">
        <f t="shared" si="362"/>
        <v>03</v>
      </c>
      <c r="N5094" t="s">
        <v>12</v>
      </c>
    </row>
    <row r="5095" spans="1:14" x14ac:dyDescent="0.25">
      <c r="A5095">
        <v>20160311</v>
      </c>
      <c r="B5095" t="str">
        <f>"062684"</f>
        <v>062684</v>
      </c>
      <c r="C5095" t="str">
        <f>"55918"</f>
        <v>55918</v>
      </c>
      <c r="D5095" t="s">
        <v>4408</v>
      </c>
      <c r="E5095" s="3">
        <v>101.75</v>
      </c>
      <c r="F5095">
        <v>20160310</v>
      </c>
      <c r="G5095" t="s">
        <v>2127</v>
      </c>
      <c r="H5095" t="s">
        <v>4409</v>
      </c>
      <c r="I5095">
        <v>0</v>
      </c>
      <c r="J5095" t="s">
        <v>1709</v>
      </c>
      <c r="K5095" t="s">
        <v>33</v>
      </c>
      <c r="L5095" t="s">
        <v>285</v>
      </c>
      <c r="M5095" t="str">
        <f t="shared" si="362"/>
        <v>03</v>
      </c>
      <c r="N5095" t="s">
        <v>12</v>
      </c>
    </row>
    <row r="5096" spans="1:14" x14ac:dyDescent="0.25">
      <c r="A5096">
        <v>20160311</v>
      </c>
      <c r="B5096" t="str">
        <f>"062686"</f>
        <v>062686</v>
      </c>
      <c r="C5096" t="str">
        <f>"56013"</f>
        <v>56013</v>
      </c>
      <c r="D5096" t="s">
        <v>2355</v>
      </c>
      <c r="E5096" s="3">
        <v>320</v>
      </c>
      <c r="F5096">
        <v>20160310</v>
      </c>
      <c r="G5096" t="s">
        <v>2356</v>
      </c>
      <c r="H5096" t="s">
        <v>4410</v>
      </c>
      <c r="I5096">
        <v>0</v>
      </c>
      <c r="J5096" t="s">
        <v>1709</v>
      </c>
      <c r="K5096" t="s">
        <v>1861</v>
      </c>
      <c r="L5096" t="s">
        <v>285</v>
      </c>
      <c r="M5096" t="str">
        <f t="shared" si="362"/>
        <v>03</v>
      </c>
      <c r="N5096" t="s">
        <v>12</v>
      </c>
    </row>
    <row r="5097" spans="1:14" x14ac:dyDescent="0.25">
      <c r="A5097">
        <v>20160311</v>
      </c>
      <c r="B5097" t="str">
        <f>"062686"</f>
        <v>062686</v>
      </c>
      <c r="C5097" t="str">
        <f>"56013"</f>
        <v>56013</v>
      </c>
      <c r="D5097" t="s">
        <v>2355</v>
      </c>
      <c r="E5097" s="3">
        <v>840</v>
      </c>
      <c r="F5097">
        <v>20160310</v>
      </c>
      <c r="G5097" t="s">
        <v>2356</v>
      </c>
      <c r="H5097" t="s">
        <v>4411</v>
      </c>
      <c r="I5097">
        <v>0</v>
      </c>
      <c r="J5097" t="s">
        <v>1709</v>
      </c>
      <c r="K5097" t="s">
        <v>1861</v>
      </c>
      <c r="L5097" t="s">
        <v>285</v>
      </c>
      <c r="M5097" t="str">
        <f t="shared" si="362"/>
        <v>03</v>
      </c>
      <c r="N5097" t="s">
        <v>12</v>
      </c>
    </row>
    <row r="5098" spans="1:14" x14ac:dyDescent="0.25">
      <c r="A5098">
        <v>20160311</v>
      </c>
      <c r="B5098" t="str">
        <f>"062687"</f>
        <v>062687</v>
      </c>
      <c r="C5098" t="str">
        <f>"56183"</f>
        <v>56183</v>
      </c>
      <c r="D5098" t="s">
        <v>2359</v>
      </c>
      <c r="E5098" s="3">
        <v>58.31</v>
      </c>
      <c r="F5098">
        <v>20160310</v>
      </c>
      <c r="G5098" t="s">
        <v>2360</v>
      </c>
      <c r="H5098" t="s">
        <v>4412</v>
      </c>
      <c r="I5098">
        <v>0</v>
      </c>
      <c r="J5098" t="s">
        <v>1709</v>
      </c>
      <c r="K5098" t="s">
        <v>1856</v>
      </c>
      <c r="L5098" t="s">
        <v>285</v>
      </c>
      <c r="M5098" t="str">
        <f t="shared" si="362"/>
        <v>03</v>
      </c>
      <c r="N5098" t="s">
        <v>12</v>
      </c>
    </row>
    <row r="5099" spans="1:14" x14ac:dyDescent="0.25">
      <c r="A5099">
        <v>20160311</v>
      </c>
      <c r="B5099" t="str">
        <f>"062690"</f>
        <v>062690</v>
      </c>
      <c r="C5099" t="str">
        <f>"58927"</f>
        <v>58927</v>
      </c>
      <c r="D5099" t="s">
        <v>1899</v>
      </c>
      <c r="E5099" s="3">
        <v>240</v>
      </c>
      <c r="F5099">
        <v>20160310</v>
      </c>
      <c r="G5099" t="s">
        <v>4413</v>
      </c>
      <c r="H5099" t="s">
        <v>4414</v>
      </c>
      <c r="I5099">
        <v>0</v>
      </c>
      <c r="J5099" t="s">
        <v>1709</v>
      </c>
      <c r="K5099" t="s">
        <v>290</v>
      </c>
      <c r="L5099" t="s">
        <v>285</v>
      </c>
      <c r="M5099" t="str">
        <f t="shared" si="362"/>
        <v>03</v>
      </c>
      <c r="N5099" t="s">
        <v>12</v>
      </c>
    </row>
    <row r="5100" spans="1:14" x14ac:dyDescent="0.25">
      <c r="A5100">
        <v>20160311</v>
      </c>
      <c r="B5100" t="str">
        <f>"062690"</f>
        <v>062690</v>
      </c>
      <c r="C5100" t="str">
        <f>"58927"</f>
        <v>58927</v>
      </c>
      <c r="D5100" t="s">
        <v>1899</v>
      </c>
      <c r="E5100" s="3">
        <v>40</v>
      </c>
      <c r="F5100">
        <v>20160310</v>
      </c>
      <c r="G5100" t="s">
        <v>4413</v>
      </c>
      <c r="H5100" t="s">
        <v>4414</v>
      </c>
      <c r="I5100">
        <v>0</v>
      </c>
      <c r="J5100" t="s">
        <v>1709</v>
      </c>
      <c r="K5100" t="s">
        <v>290</v>
      </c>
      <c r="L5100" t="s">
        <v>285</v>
      </c>
      <c r="M5100" t="str">
        <f t="shared" si="362"/>
        <v>03</v>
      </c>
      <c r="N5100" t="s">
        <v>12</v>
      </c>
    </row>
    <row r="5101" spans="1:14" x14ac:dyDescent="0.25">
      <c r="A5101">
        <v>20160311</v>
      </c>
      <c r="B5101" t="str">
        <f>"062690"</f>
        <v>062690</v>
      </c>
      <c r="C5101" t="str">
        <f>"58927"</f>
        <v>58927</v>
      </c>
      <c r="D5101" t="s">
        <v>1899</v>
      </c>
      <c r="E5101" s="3">
        <v>150</v>
      </c>
      <c r="F5101">
        <v>20160310</v>
      </c>
      <c r="G5101" t="s">
        <v>2699</v>
      </c>
      <c r="H5101" t="s">
        <v>1901</v>
      </c>
      <c r="I5101">
        <v>0</v>
      </c>
      <c r="J5101" t="s">
        <v>1709</v>
      </c>
      <c r="K5101" t="s">
        <v>1856</v>
      </c>
      <c r="L5101" t="s">
        <v>285</v>
      </c>
      <c r="M5101" t="str">
        <f t="shared" si="362"/>
        <v>03</v>
      </c>
      <c r="N5101" t="s">
        <v>12</v>
      </c>
    </row>
    <row r="5102" spans="1:14" x14ac:dyDescent="0.25">
      <c r="A5102">
        <v>20160311</v>
      </c>
      <c r="B5102" t="str">
        <f>"062690"</f>
        <v>062690</v>
      </c>
      <c r="C5102" t="str">
        <f>"58927"</f>
        <v>58927</v>
      </c>
      <c r="D5102" t="s">
        <v>1899</v>
      </c>
      <c r="E5102" s="3">
        <v>150</v>
      </c>
      <c r="F5102">
        <v>20160310</v>
      </c>
      <c r="G5102" t="s">
        <v>2699</v>
      </c>
      <c r="H5102" t="s">
        <v>1901</v>
      </c>
      <c r="I5102">
        <v>0</v>
      </c>
      <c r="J5102" t="s">
        <v>1709</v>
      </c>
      <c r="K5102" t="s">
        <v>1856</v>
      </c>
      <c r="L5102" t="s">
        <v>285</v>
      </c>
      <c r="M5102" t="str">
        <f t="shared" si="362"/>
        <v>03</v>
      </c>
      <c r="N5102" t="s">
        <v>12</v>
      </c>
    </row>
    <row r="5103" spans="1:14" x14ac:dyDescent="0.25">
      <c r="A5103">
        <v>20160311</v>
      </c>
      <c r="B5103" t="str">
        <f>"062691"</f>
        <v>062691</v>
      </c>
      <c r="C5103" t="str">
        <f>"59097"</f>
        <v>59097</v>
      </c>
      <c r="D5103" t="s">
        <v>1755</v>
      </c>
      <c r="E5103" s="3">
        <v>599.79999999999995</v>
      </c>
      <c r="F5103">
        <v>20160310</v>
      </c>
      <c r="G5103" t="s">
        <v>2339</v>
      </c>
      <c r="H5103" t="s">
        <v>3719</v>
      </c>
      <c r="I5103">
        <v>0</v>
      </c>
      <c r="J5103" t="s">
        <v>1709</v>
      </c>
      <c r="K5103" t="s">
        <v>290</v>
      </c>
      <c r="L5103" t="s">
        <v>285</v>
      </c>
      <c r="M5103" t="str">
        <f t="shared" si="362"/>
        <v>03</v>
      </c>
      <c r="N5103" t="s">
        <v>12</v>
      </c>
    </row>
    <row r="5104" spans="1:14" x14ac:dyDescent="0.25">
      <c r="A5104">
        <v>20160311</v>
      </c>
      <c r="B5104" t="str">
        <f>"062692"</f>
        <v>062692</v>
      </c>
      <c r="C5104" t="str">
        <f>"60179"</f>
        <v>60179</v>
      </c>
      <c r="D5104" t="s">
        <v>3118</v>
      </c>
      <c r="E5104" s="3">
        <v>312.11</v>
      </c>
      <c r="F5104">
        <v>20160310</v>
      </c>
      <c r="G5104" t="s">
        <v>2047</v>
      </c>
      <c r="H5104" t="s">
        <v>3119</v>
      </c>
      <c r="I5104">
        <v>0</v>
      </c>
      <c r="J5104" t="s">
        <v>1709</v>
      </c>
      <c r="K5104" t="s">
        <v>1882</v>
      </c>
      <c r="L5104" t="s">
        <v>285</v>
      </c>
      <c r="M5104" t="str">
        <f t="shared" si="362"/>
        <v>03</v>
      </c>
      <c r="N5104" t="s">
        <v>12</v>
      </c>
    </row>
    <row r="5105" spans="1:14" x14ac:dyDescent="0.25">
      <c r="A5105">
        <v>20160311</v>
      </c>
      <c r="B5105" t="str">
        <f>"062693"</f>
        <v>062693</v>
      </c>
      <c r="C5105" t="str">
        <f>"60849"</f>
        <v>60849</v>
      </c>
      <c r="D5105" t="s">
        <v>3723</v>
      </c>
      <c r="E5105" s="3">
        <v>60.56</v>
      </c>
      <c r="F5105">
        <v>20160311</v>
      </c>
      <c r="G5105" t="s">
        <v>2115</v>
      </c>
      <c r="H5105" t="s">
        <v>3724</v>
      </c>
      <c r="I5105">
        <v>0</v>
      </c>
      <c r="J5105" t="s">
        <v>1709</v>
      </c>
      <c r="K5105" t="s">
        <v>290</v>
      </c>
      <c r="L5105" t="s">
        <v>285</v>
      </c>
      <c r="M5105" t="str">
        <f t="shared" si="362"/>
        <v>03</v>
      </c>
      <c r="N5105" t="s">
        <v>12</v>
      </c>
    </row>
    <row r="5106" spans="1:14" x14ac:dyDescent="0.25">
      <c r="A5106">
        <v>20160311</v>
      </c>
      <c r="B5106" t="str">
        <f>"062693"</f>
        <v>062693</v>
      </c>
      <c r="C5106" t="str">
        <f>"60849"</f>
        <v>60849</v>
      </c>
      <c r="D5106" t="s">
        <v>3723</v>
      </c>
      <c r="E5106" s="3">
        <v>104.43</v>
      </c>
      <c r="F5106">
        <v>20160311</v>
      </c>
      <c r="G5106" t="s">
        <v>2115</v>
      </c>
      <c r="H5106" t="s">
        <v>4415</v>
      </c>
      <c r="I5106">
        <v>0</v>
      </c>
      <c r="J5106" t="s">
        <v>1709</v>
      </c>
      <c r="K5106" t="s">
        <v>290</v>
      </c>
      <c r="L5106" t="s">
        <v>285</v>
      </c>
      <c r="M5106" t="str">
        <f t="shared" si="362"/>
        <v>03</v>
      </c>
      <c r="N5106" t="s">
        <v>12</v>
      </c>
    </row>
    <row r="5107" spans="1:14" x14ac:dyDescent="0.25">
      <c r="A5107">
        <v>20160311</v>
      </c>
      <c r="B5107" t="str">
        <f>"062693"</f>
        <v>062693</v>
      </c>
      <c r="C5107" t="str">
        <f>"60849"</f>
        <v>60849</v>
      </c>
      <c r="D5107" t="s">
        <v>3723</v>
      </c>
      <c r="E5107" s="3">
        <v>109.43</v>
      </c>
      <c r="F5107">
        <v>20160311</v>
      </c>
      <c r="G5107" t="s">
        <v>3726</v>
      </c>
      <c r="H5107" t="s">
        <v>3724</v>
      </c>
      <c r="I5107">
        <v>0</v>
      </c>
      <c r="J5107" t="s">
        <v>1709</v>
      </c>
      <c r="K5107" t="s">
        <v>95</v>
      </c>
      <c r="L5107" t="s">
        <v>285</v>
      </c>
      <c r="M5107" t="str">
        <f t="shared" si="362"/>
        <v>03</v>
      </c>
      <c r="N5107" t="s">
        <v>12</v>
      </c>
    </row>
    <row r="5108" spans="1:14" x14ac:dyDescent="0.25">
      <c r="A5108">
        <v>20160311</v>
      </c>
      <c r="B5108" t="str">
        <f>"062693"</f>
        <v>062693</v>
      </c>
      <c r="C5108" t="str">
        <f>"60849"</f>
        <v>60849</v>
      </c>
      <c r="D5108" t="s">
        <v>3723</v>
      </c>
      <c r="E5108" s="3">
        <v>114</v>
      </c>
      <c r="F5108">
        <v>20160311</v>
      </c>
      <c r="G5108" t="s">
        <v>3726</v>
      </c>
      <c r="H5108" t="s">
        <v>3724</v>
      </c>
      <c r="I5108">
        <v>0</v>
      </c>
      <c r="J5108" t="s">
        <v>1709</v>
      </c>
      <c r="K5108" t="s">
        <v>95</v>
      </c>
      <c r="L5108" t="s">
        <v>285</v>
      </c>
      <c r="M5108" t="str">
        <f t="shared" si="362"/>
        <v>03</v>
      </c>
      <c r="N5108" t="s">
        <v>12</v>
      </c>
    </row>
    <row r="5109" spans="1:14" x14ac:dyDescent="0.25">
      <c r="A5109">
        <v>20160311</v>
      </c>
      <c r="B5109" t="str">
        <f>"062694"</f>
        <v>062694</v>
      </c>
      <c r="C5109" t="str">
        <f>"00355"</f>
        <v>00355</v>
      </c>
      <c r="D5109" t="s">
        <v>1909</v>
      </c>
      <c r="E5109" s="3">
        <v>28</v>
      </c>
      <c r="F5109">
        <v>20160311</v>
      </c>
      <c r="G5109" t="s">
        <v>2330</v>
      </c>
      <c r="H5109" t="s">
        <v>2010</v>
      </c>
      <c r="I5109">
        <v>0</v>
      </c>
      <c r="J5109" t="s">
        <v>1709</v>
      </c>
      <c r="K5109" t="s">
        <v>1984</v>
      </c>
      <c r="L5109" t="s">
        <v>285</v>
      </c>
      <c r="M5109" t="str">
        <f t="shared" si="362"/>
        <v>03</v>
      </c>
      <c r="N5109" t="s">
        <v>12</v>
      </c>
    </row>
    <row r="5110" spans="1:14" x14ac:dyDescent="0.25">
      <c r="A5110">
        <v>20160311</v>
      </c>
      <c r="B5110" t="str">
        <f>"062695"</f>
        <v>062695</v>
      </c>
      <c r="C5110" t="str">
        <f>"62340"</f>
        <v>62340</v>
      </c>
      <c r="D5110" t="s">
        <v>1911</v>
      </c>
      <c r="E5110" s="3">
        <v>4135.32</v>
      </c>
      <c r="F5110">
        <v>20160311</v>
      </c>
      <c r="G5110" t="s">
        <v>1912</v>
      </c>
      <c r="H5110" t="s">
        <v>4138</v>
      </c>
      <c r="I5110">
        <v>0</v>
      </c>
      <c r="J5110" t="s">
        <v>1709</v>
      </c>
      <c r="K5110" t="s">
        <v>1861</v>
      </c>
      <c r="L5110" t="s">
        <v>285</v>
      </c>
      <c r="M5110" t="str">
        <f t="shared" si="362"/>
        <v>03</v>
      </c>
      <c r="N5110" t="s">
        <v>12</v>
      </c>
    </row>
    <row r="5111" spans="1:14" x14ac:dyDescent="0.25">
      <c r="A5111">
        <v>20160311</v>
      </c>
      <c r="B5111" t="str">
        <f>"062697"</f>
        <v>062697</v>
      </c>
      <c r="C5111" t="str">
        <f>"63053"</f>
        <v>63053</v>
      </c>
      <c r="D5111" t="s">
        <v>2012</v>
      </c>
      <c r="E5111" s="3">
        <v>109.89</v>
      </c>
      <c r="F5111">
        <v>20160311</v>
      </c>
      <c r="G5111" t="s">
        <v>3123</v>
      </c>
      <c r="H5111" t="s">
        <v>3833</v>
      </c>
      <c r="I5111">
        <v>0</v>
      </c>
      <c r="J5111" t="s">
        <v>1709</v>
      </c>
      <c r="K5111" t="s">
        <v>290</v>
      </c>
      <c r="L5111" t="s">
        <v>285</v>
      </c>
      <c r="M5111" t="str">
        <f t="shared" si="362"/>
        <v>03</v>
      </c>
      <c r="N5111" t="s">
        <v>12</v>
      </c>
    </row>
    <row r="5112" spans="1:14" x14ac:dyDescent="0.25">
      <c r="A5112">
        <v>20160311</v>
      </c>
      <c r="B5112" t="str">
        <f>"062697"</f>
        <v>062697</v>
      </c>
      <c r="C5112" t="str">
        <f>"63053"</f>
        <v>63053</v>
      </c>
      <c r="D5112" t="s">
        <v>2012</v>
      </c>
      <c r="E5112" s="3">
        <v>36.29</v>
      </c>
      <c r="F5112">
        <v>20160311</v>
      </c>
      <c r="G5112" t="s">
        <v>2040</v>
      </c>
      <c r="H5112" t="s">
        <v>3833</v>
      </c>
      <c r="I5112">
        <v>0</v>
      </c>
      <c r="J5112" t="s">
        <v>1709</v>
      </c>
      <c r="K5112" t="s">
        <v>290</v>
      </c>
      <c r="L5112" t="s">
        <v>285</v>
      </c>
      <c r="M5112" t="str">
        <f t="shared" si="362"/>
        <v>03</v>
      </c>
      <c r="N5112" t="s">
        <v>12</v>
      </c>
    </row>
    <row r="5113" spans="1:14" x14ac:dyDescent="0.25">
      <c r="A5113">
        <v>20160311</v>
      </c>
      <c r="B5113" t="str">
        <f>"062699"</f>
        <v>062699</v>
      </c>
      <c r="C5113" t="str">
        <f>"64610"</f>
        <v>64610</v>
      </c>
      <c r="D5113" t="s">
        <v>678</v>
      </c>
      <c r="E5113" s="3">
        <v>26.9</v>
      </c>
      <c r="F5113">
        <v>20160311</v>
      </c>
      <c r="G5113" t="s">
        <v>2762</v>
      </c>
      <c r="H5113" t="s">
        <v>4416</v>
      </c>
      <c r="I5113">
        <v>0</v>
      </c>
      <c r="J5113" t="s">
        <v>1709</v>
      </c>
      <c r="K5113" t="s">
        <v>2764</v>
      </c>
      <c r="L5113" t="s">
        <v>285</v>
      </c>
      <c r="M5113" t="str">
        <f t="shared" si="362"/>
        <v>03</v>
      </c>
      <c r="N5113" t="s">
        <v>12</v>
      </c>
    </row>
    <row r="5114" spans="1:14" x14ac:dyDescent="0.25">
      <c r="A5114">
        <v>20160311</v>
      </c>
      <c r="B5114" t="str">
        <f>"062699"</f>
        <v>062699</v>
      </c>
      <c r="C5114" t="str">
        <f>"64610"</f>
        <v>64610</v>
      </c>
      <c r="D5114" t="s">
        <v>678</v>
      </c>
      <c r="E5114" s="3">
        <v>137.05000000000001</v>
      </c>
      <c r="F5114">
        <v>20160311</v>
      </c>
      <c r="G5114" t="s">
        <v>2762</v>
      </c>
      <c r="H5114" t="s">
        <v>4417</v>
      </c>
      <c r="I5114">
        <v>0</v>
      </c>
      <c r="J5114" t="s">
        <v>1709</v>
      </c>
      <c r="K5114" t="s">
        <v>2764</v>
      </c>
      <c r="L5114" t="s">
        <v>285</v>
      </c>
      <c r="M5114" t="str">
        <f t="shared" si="362"/>
        <v>03</v>
      </c>
      <c r="N5114" t="s">
        <v>12</v>
      </c>
    </row>
    <row r="5115" spans="1:14" x14ac:dyDescent="0.25">
      <c r="A5115">
        <v>20160311</v>
      </c>
      <c r="B5115" t="str">
        <f>"062699"</f>
        <v>062699</v>
      </c>
      <c r="C5115" t="str">
        <f>"64610"</f>
        <v>64610</v>
      </c>
      <c r="D5115" t="s">
        <v>678</v>
      </c>
      <c r="E5115" s="3">
        <v>48.6</v>
      </c>
      <c r="F5115">
        <v>20160311</v>
      </c>
      <c r="G5115" t="s">
        <v>2049</v>
      </c>
      <c r="H5115" t="s">
        <v>4418</v>
      </c>
      <c r="I5115">
        <v>0</v>
      </c>
      <c r="J5115" t="s">
        <v>1709</v>
      </c>
      <c r="K5115" t="s">
        <v>1775</v>
      </c>
      <c r="L5115" t="s">
        <v>285</v>
      </c>
      <c r="M5115" t="str">
        <f t="shared" si="362"/>
        <v>03</v>
      </c>
      <c r="N5115" t="s">
        <v>12</v>
      </c>
    </row>
    <row r="5116" spans="1:14" x14ac:dyDescent="0.25">
      <c r="A5116">
        <v>20160311</v>
      </c>
      <c r="B5116" t="str">
        <f>"062699"</f>
        <v>062699</v>
      </c>
      <c r="C5116" t="str">
        <f>"64610"</f>
        <v>64610</v>
      </c>
      <c r="D5116" t="s">
        <v>678</v>
      </c>
      <c r="E5116" s="3">
        <v>47.9</v>
      </c>
      <c r="F5116">
        <v>20160311</v>
      </c>
      <c r="G5116" t="s">
        <v>1916</v>
      </c>
      <c r="H5116" t="s">
        <v>4419</v>
      </c>
      <c r="I5116">
        <v>0</v>
      </c>
      <c r="J5116" t="s">
        <v>1709</v>
      </c>
      <c r="K5116" t="s">
        <v>1782</v>
      </c>
      <c r="L5116" t="s">
        <v>285</v>
      </c>
      <c r="M5116" t="str">
        <f t="shared" si="362"/>
        <v>03</v>
      </c>
      <c r="N5116" t="s">
        <v>12</v>
      </c>
    </row>
    <row r="5117" spans="1:14" x14ac:dyDescent="0.25">
      <c r="A5117">
        <v>20160311</v>
      </c>
      <c r="B5117" t="str">
        <f>"062701"</f>
        <v>062701</v>
      </c>
      <c r="C5117" t="str">
        <f>"67100"</f>
        <v>67100</v>
      </c>
      <c r="D5117" t="s">
        <v>4420</v>
      </c>
      <c r="E5117" s="3">
        <v>720</v>
      </c>
      <c r="F5117">
        <v>20160311</v>
      </c>
      <c r="G5117" t="s">
        <v>4421</v>
      </c>
      <c r="H5117" t="s">
        <v>4422</v>
      </c>
      <c r="I5117">
        <v>0</v>
      </c>
      <c r="J5117" t="s">
        <v>1709</v>
      </c>
      <c r="K5117" t="s">
        <v>290</v>
      </c>
      <c r="L5117" t="s">
        <v>285</v>
      </c>
      <c r="M5117" t="str">
        <f t="shared" si="362"/>
        <v>03</v>
      </c>
      <c r="N5117" t="s">
        <v>12</v>
      </c>
    </row>
    <row r="5118" spans="1:14" x14ac:dyDescent="0.25">
      <c r="A5118">
        <v>20160311</v>
      </c>
      <c r="B5118" t="str">
        <f>"062702"</f>
        <v>062702</v>
      </c>
      <c r="C5118" t="str">
        <f>"67540"</f>
        <v>67540</v>
      </c>
      <c r="D5118" t="s">
        <v>4423</v>
      </c>
      <c r="E5118" s="3">
        <v>204.08</v>
      </c>
      <c r="F5118">
        <v>20160311</v>
      </c>
      <c r="G5118" t="s">
        <v>3013</v>
      </c>
      <c r="H5118" t="s">
        <v>4424</v>
      </c>
      <c r="I5118">
        <v>0</v>
      </c>
      <c r="J5118" t="s">
        <v>1709</v>
      </c>
      <c r="K5118" t="s">
        <v>1984</v>
      </c>
      <c r="L5118" t="s">
        <v>285</v>
      </c>
      <c r="M5118" t="str">
        <f t="shared" si="362"/>
        <v>03</v>
      </c>
      <c r="N5118" t="s">
        <v>12</v>
      </c>
    </row>
    <row r="5119" spans="1:14" x14ac:dyDescent="0.25">
      <c r="A5119">
        <v>20160311</v>
      </c>
      <c r="B5119" t="str">
        <f>"062703"</f>
        <v>062703</v>
      </c>
      <c r="C5119" t="str">
        <f>"71250"</f>
        <v>71250</v>
      </c>
      <c r="D5119" t="s">
        <v>2574</v>
      </c>
      <c r="E5119" s="3">
        <v>700</v>
      </c>
      <c r="F5119">
        <v>20160311</v>
      </c>
      <c r="G5119" t="s">
        <v>2333</v>
      </c>
      <c r="H5119" t="s">
        <v>4425</v>
      </c>
      <c r="I5119">
        <v>0</v>
      </c>
      <c r="J5119" t="s">
        <v>1709</v>
      </c>
      <c r="K5119" t="s">
        <v>290</v>
      </c>
      <c r="L5119" t="s">
        <v>285</v>
      </c>
      <c r="M5119" t="str">
        <f t="shared" si="362"/>
        <v>03</v>
      </c>
      <c r="N5119" t="s">
        <v>12</v>
      </c>
    </row>
    <row r="5120" spans="1:14" x14ac:dyDescent="0.25">
      <c r="A5120">
        <v>20160311</v>
      </c>
      <c r="B5120" t="str">
        <f>"062703"</f>
        <v>062703</v>
      </c>
      <c r="C5120" t="str">
        <f>"71250"</f>
        <v>71250</v>
      </c>
      <c r="D5120" t="s">
        <v>2574</v>
      </c>
      <c r="E5120" s="3">
        <v>235.47</v>
      </c>
      <c r="F5120">
        <v>20160311</v>
      </c>
      <c r="G5120" t="s">
        <v>2333</v>
      </c>
      <c r="H5120" t="s">
        <v>4425</v>
      </c>
      <c r="I5120">
        <v>0</v>
      </c>
      <c r="J5120" t="s">
        <v>1709</v>
      </c>
      <c r="K5120" t="s">
        <v>290</v>
      </c>
      <c r="L5120" t="s">
        <v>285</v>
      </c>
      <c r="M5120" t="str">
        <f t="shared" si="362"/>
        <v>03</v>
      </c>
      <c r="N5120" t="s">
        <v>12</v>
      </c>
    </row>
    <row r="5121" spans="1:14" x14ac:dyDescent="0.25">
      <c r="A5121">
        <v>20160311</v>
      </c>
      <c r="B5121" t="str">
        <f>"062704"</f>
        <v>062704</v>
      </c>
      <c r="C5121" t="str">
        <f>"72340"</f>
        <v>72340</v>
      </c>
      <c r="D5121" t="s">
        <v>1762</v>
      </c>
      <c r="E5121" s="3">
        <v>298.95999999999998</v>
      </c>
      <c r="F5121">
        <v>20160311</v>
      </c>
      <c r="G5121" t="s">
        <v>2768</v>
      </c>
      <c r="H5121" t="s">
        <v>4426</v>
      </c>
      <c r="I5121">
        <v>0</v>
      </c>
      <c r="J5121" t="s">
        <v>1709</v>
      </c>
      <c r="K5121" t="s">
        <v>1861</v>
      </c>
      <c r="L5121" t="s">
        <v>285</v>
      </c>
      <c r="M5121" t="str">
        <f t="shared" si="362"/>
        <v>03</v>
      </c>
      <c r="N5121" t="s">
        <v>12</v>
      </c>
    </row>
    <row r="5122" spans="1:14" x14ac:dyDescent="0.25">
      <c r="A5122">
        <v>20160311</v>
      </c>
      <c r="B5122" t="str">
        <f t="shared" ref="B5122:B5153" si="363">"062705"</f>
        <v>062705</v>
      </c>
      <c r="C5122" t="str">
        <f t="shared" ref="C5122:C5153" si="364">"72730"</f>
        <v>72730</v>
      </c>
      <c r="D5122" t="s">
        <v>1926</v>
      </c>
      <c r="E5122" s="3">
        <v>4.6500000000000004</v>
      </c>
      <c r="F5122">
        <v>20160311</v>
      </c>
      <c r="G5122" t="s">
        <v>4208</v>
      </c>
      <c r="H5122" t="s">
        <v>4427</v>
      </c>
      <c r="I5122">
        <v>0</v>
      </c>
      <c r="J5122" t="s">
        <v>1709</v>
      </c>
      <c r="K5122" t="s">
        <v>290</v>
      </c>
      <c r="L5122" t="s">
        <v>285</v>
      </c>
      <c r="M5122" t="str">
        <f t="shared" si="362"/>
        <v>03</v>
      </c>
      <c r="N5122" t="s">
        <v>12</v>
      </c>
    </row>
    <row r="5123" spans="1:14" x14ac:dyDescent="0.25">
      <c r="A5123">
        <v>20160311</v>
      </c>
      <c r="B5123" t="str">
        <f t="shared" si="363"/>
        <v>062705</v>
      </c>
      <c r="C5123" t="str">
        <f t="shared" si="364"/>
        <v>72730</v>
      </c>
      <c r="D5123" t="s">
        <v>1926</v>
      </c>
      <c r="E5123" s="3">
        <v>38.5</v>
      </c>
      <c r="F5123">
        <v>20160311</v>
      </c>
      <c r="G5123" t="s">
        <v>4208</v>
      </c>
      <c r="H5123" t="s">
        <v>4428</v>
      </c>
      <c r="I5123">
        <v>0</v>
      </c>
      <c r="J5123" t="s">
        <v>1709</v>
      </c>
      <c r="K5123" t="s">
        <v>290</v>
      </c>
      <c r="L5123" t="s">
        <v>285</v>
      </c>
      <c r="M5123" t="str">
        <f t="shared" si="362"/>
        <v>03</v>
      </c>
      <c r="N5123" t="s">
        <v>12</v>
      </c>
    </row>
    <row r="5124" spans="1:14" x14ac:dyDescent="0.25">
      <c r="A5124">
        <v>20160311</v>
      </c>
      <c r="B5124" t="str">
        <f t="shared" si="363"/>
        <v>062705</v>
      </c>
      <c r="C5124" t="str">
        <f t="shared" si="364"/>
        <v>72730</v>
      </c>
      <c r="D5124" t="s">
        <v>1926</v>
      </c>
      <c r="E5124" s="3">
        <v>10.88</v>
      </c>
      <c r="F5124">
        <v>20160311</v>
      </c>
      <c r="G5124" t="s">
        <v>4208</v>
      </c>
      <c r="H5124" t="s">
        <v>595</v>
      </c>
      <c r="I5124">
        <v>0</v>
      </c>
      <c r="J5124" t="s">
        <v>1709</v>
      </c>
      <c r="K5124" t="s">
        <v>290</v>
      </c>
      <c r="L5124" t="s">
        <v>285</v>
      </c>
      <c r="M5124" t="str">
        <f t="shared" si="362"/>
        <v>03</v>
      </c>
      <c r="N5124" t="s">
        <v>12</v>
      </c>
    </row>
    <row r="5125" spans="1:14" x14ac:dyDescent="0.25">
      <c r="A5125">
        <v>20160311</v>
      </c>
      <c r="B5125" t="str">
        <f t="shared" si="363"/>
        <v>062705</v>
      </c>
      <c r="C5125" t="str">
        <f t="shared" si="364"/>
        <v>72730</v>
      </c>
      <c r="D5125" t="s">
        <v>1926</v>
      </c>
      <c r="E5125" s="3">
        <v>30.18</v>
      </c>
      <c r="F5125">
        <v>20160311</v>
      </c>
      <c r="G5125" t="s">
        <v>2980</v>
      </c>
      <c r="H5125" t="s">
        <v>4429</v>
      </c>
      <c r="I5125">
        <v>0</v>
      </c>
      <c r="J5125" t="s">
        <v>1709</v>
      </c>
      <c r="K5125" t="s">
        <v>95</v>
      </c>
      <c r="L5125" t="s">
        <v>285</v>
      </c>
      <c r="M5125" t="str">
        <f t="shared" si="362"/>
        <v>03</v>
      </c>
      <c r="N5125" t="s">
        <v>12</v>
      </c>
    </row>
    <row r="5126" spans="1:14" x14ac:dyDescent="0.25">
      <c r="A5126">
        <v>20160311</v>
      </c>
      <c r="B5126" t="str">
        <f t="shared" si="363"/>
        <v>062705</v>
      </c>
      <c r="C5126" t="str">
        <f t="shared" si="364"/>
        <v>72730</v>
      </c>
      <c r="D5126" t="s">
        <v>1926</v>
      </c>
      <c r="E5126" s="3">
        <v>60.6</v>
      </c>
      <c r="F5126">
        <v>20160311</v>
      </c>
      <c r="G5126" t="s">
        <v>2980</v>
      </c>
      <c r="H5126" t="s">
        <v>4430</v>
      </c>
      <c r="I5126">
        <v>0</v>
      </c>
      <c r="J5126" t="s">
        <v>1709</v>
      </c>
      <c r="K5126" t="s">
        <v>95</v>
      </c>
      <c r="L5126" t="s">
        <v>285</v>
      </c>
      <c r="M5126" t="str">
        <f t="shared" si="362"/>
        <v>03</v>
      </c>
      <c r="N5126" t="s">
        <v>12</v>
      </c>
    </row>
    <row r="5127" spans="1:14" x14ac:dyDescent="0.25">
      <c r="A5127">
        <v>20160311</v>
      </c>
      <c r="B5127" t="str">
        <f t="shared" si="363"/>
        <v>062705</v>
      </c>
      <c r="C5127" t="str">
        <f t="shared" si="364"/>
        <v>72730</v>
      </c>
      <c r="D5127" t="s">
        <v>1926</v>
      </c>
      <c r="E5127" s="3">
        <v>37.43</v>
      </c>
      <c r="F5127">
        <v>20160311</v>
      </c>
      <c r="G5127" t="s">
        <v>2226</v>
      </c>
      <c r="H5127" t="s">
        <v>4431</v>
      </c>
      <c r="I5127">
        <v>0</v>
      </c>
      <c r="J5127" t="s">
        <v>1709</v>
      </c>
      <c r="K5127" t="s">
        <v>33</v>
      </c>
      <c r="L5127" t="s">
        <v>285</v>
      </c>
      <c r="M5127" t="str">
        <f t="shared" si="362"/>
        <v>03</v>
      </c>
      <c r="N5127" t="s">
        <v>12</v>
      </c>
    </row>
    <row r="5128" spans="1:14" x14ac:dyDescent="0.25">
      <c r="A5128">
        <v>20160311</v>
      </c>
      <c r="B5128" t="str">
        <f t="shared" si="363"/>
        <v>062705</v>
      </c>
      <c r="C5128" t="str">
        <f t="shared" si="364"/>
        <v>72730</v>
      </c>
      <c r="D5128" t="s">
        <v>1926</v>
      </c>
      <c r="E5128" s="3">
        <v>37.42</v>
      </c>
      <c r="F5128">
        <v>20160311</v>
      </c>
      <c r="G5128" t="s">
        <v>2100</v>
      </c>
      <c r="H5128" t="s">
        <v>4431</v>
      </c>
      <c r="I5128">
        <v>0</v>
      </c>
      <c r="J5128" t="s">
        <v>1709</v>
      </c>
      <c r="K5128" t="s">
        <v>33</v>
      </c>
      <c r="L5128" t="s">
        <v>285</v>
      </c>
      <c r="M5128" t="str">
        <f t="shared" si="362"/>
        <v>03</v>
      </c>
      <c r="N5128" t="s">
        <v>12</v>
      </c>
    </row>
    <row r="5129" spans="1:14" x14ac:dyDescent="0.25">
      <c r="A5129">
        <v>20160311</v>
      </c>
      <c r="B5129" t="str">
        <f t="shared" si="363"/>
        <v>062705</v>
      </c>
      <c r="C5129" t="str">
        <f t="shared" si="364"/>
        <v>72730</v>
      </c>
      <c r="D5129" t="s">
        <v>1926</v>
      </c>
      <c r="E5129" s="3">
        <v>53.4</v>
      </c>
      <c r="F5129">
        <v>20160311</v>
      </c>
      <c r="G5129" t="s">
        <v>1974</v>
      </c>
      <c r="H5129" t="s">
        <v>4432</v>
      </c>
      <c r="I5129">
        <v>0</v>
      </c>
      <c r="J5129" t="s">
        <v>1709</v>
      </c>
      <c r="K5129" t="s">
        <v>290</v>
      </c>
      <c r="L5129" t="s">
        <v>285</v>
      </c>
      <c r="M5129" t="str">
        <f t="shared" si="362"/>
        <v>03</v>
      </c>
      <c r="N5129" t="s">
        <v>12</v>
      </c>
    </row>
    <row r="5130" spans="1:14" x14ac:dyDescent="0.25">
      <c r="A5130">
        <v>20160311</v>
      </c>
      <c r="B5130" t="str">
        <f t="shared" si="363"/>
        <v>062705</v>
      </c>
      <c r="C5130" t="str">
        <f t="shared" si="364"/>
        <v>72730</v>
      </c>
      <c r="D5130" t="s">
        <v>1926</v>
      </c>
      <c r="E5130" s="3">
        <v>93.6</v>
      </c>
      <c r="F5130">
        <v>20160311</v>
      </c>
      <c r="G5130" t="s">
        <v>1974</v>
      </c>
      <c r="H5130" t="s">
        <v>4433</v>
      </c>
      <c r="I5130">
        <v>0</v>
      </c>
      <c r="J5130" t="s">
        <v>1709</v>
      </c>
      <c r="K5130" t="s">
        <v>290</v>
      </c>
      <c r="L5130" t="s">
        <v>285</v>
      </c>
      <c r="M5130" t="str">
        <f t="shared" si="362"/>
        <v>03</v>
      </c>
      <c r="N5130" t="s">
        <v>12</v>
      </c>
    </row>
    <row r="5131" spans="1:14" x14ac:dyDescent="0.25">
      <c r="A5131">
        <v>20160311</v>
      </c>
      <c r="B5131" t="str">
        <f t="shared" si="363"/>
        <v>062705</v>
      </c>
      <c r="C5131" t="str">
        <f t="shared" si="364"/>
        <v>72730</v>
      </c>
      <c r="D5131" t="s">
        <v>1926</v>
      </c>
      <c r="E5131" s="3">
        <v>61.65</v>
      </c>
      <c r="F5131">
        <v>20160311</v>
      </c>
      <c r="G5131" t="s">
        <v>1974</v>
      </c>
      <c r="H5131" t="s">
        <v>4434</v>
      </c>
      <c r="I5131">
        <v>0</v>
      </c>
      <c r="J5131" t="s">
        <v>1709</v>
      </c>
      <c r="K5131" t="s">
        <v>290</v>
      </c>
      <c r="L5131" t="s">
        <v>285</v>
      </c>
      <c r="M5131" t="str">
        <f t="shared" si="362"/>
        <v>03</v>
      </c>
      <c r="N5131" t="s">
        <v>12</v>
      </c>
    </row>
    <row r="5132" spans="1:14" x14ac:dyDescent="0.25">
      <c r="A5132">
        <v>20160311</v>
      </c>
      <c r="B5132" t="str">
        <f t="shared" si="363"/>
        <v>062705</v>
      </c>
      <c r="C5132" t="str">
        <f t="shared" si="364"/>
        <v>72730</v>
      </c>
      <c r="D5132" t="s">
        <v>1926</v>
      </c>
      <c r="E5132" s="3">
        <v>116.95</v>
      </c>
      <c r="F5132">
        <v>20160311</v>
      </c>
      <c r="G5132" t="s">
        <v>1974</v>
      </c>
      <c r="H5132" t="s">
        <v>595</v>
      </c>
      <c r="I5132">
        <v>0</v>
      </c>
      <c r="J5132" t="s">
        <v>1709</v>
      </c>
      <c r="K5132" t="s">
        <v>290</v>
      </c>
      <c r="L5132" t="s">
        <v>285</v>
      </c>
      <c r="M5132" t="str">
        <f t="shared" si="362"/>
        <v>03</v>
      </c>
      <c r="N5132" t="s">
        <v>12</v>
      </c>
    </row>
    <row r="5133" spans="1:14" x14ac:dyDescent="0.25">
      <c r="A5133">
        <v>20160311</v>
      </c>
      <c r="B5133" t="str">
        <f t="shared" si="363"/>
        <v>062705</v>
      </c>
      <c r="C5133" t="str">
        <f t="shared" si="364"/>
        <v>72730</v>
      </c>
      <c r="D5133" t="s">
        <v>1926</v>
      </c>
      <c r="E5133" s="3">
        <v>451.08</v>
      </c>
      <c r="F5133">
        <v>20160311</v>
      </c>
      <c r="G5133" t="s">
        <v>2300</v>
      </c>
      <c r="H5133" t="s">
        <v>4435</v>
      </c>
      <c r="I5133">
        <v>0</v>
      </c>
      <c r="J5133" t="s">
        <v>1709</v>
      </c>
      <c r="K5133" t="s">
        <v>290</v>
      </c>
      <c r="L5133" t="s">
        <v>285</v>
      </c>
      <c r="M5133" t="str">
        <f t="shared" si="362"/>
        <v>03</v>
      </c>
      <c r="N5133" t="s">
        <v>12</v>
      </c>
    </row>
    <row r="5134" spans="1:14" x14ac:dyDescent="0.25">
      <c r="A5134">
        <v>20160311</v>
      </c>
      <c r="B5134" t="str">
        <f t="shared" si="363"/>
        <v>062705</v>
      </c>
      <c r="C5134" t="str">
        <f t="shared" si="364"/>
        <v>72730</v>
      </c>
      <c r="D5134" t="s">
        <v>1926</v>
      </c>
      <c r="E5134" s="3">
        <v>135.30000000000001</v>
      </c>
      <c r="F5134">
        <v>20160311</v>
      </c>
      <c r="G5134" t="s">
        <v>2300</v>
      </c>
      <c r="H5134" t="s">
        <v>4435</v>
      </c>
      <c r="I5134">
        <v>0</v>
      </c>
      <c r="J5134" t="s">
        <v>1709</v>
      </c>
      <c r="K5134" t="s">
        <v>290</v>
      </c>
      <c r="L5134" t="s">
        <v>285</v>
      </c>
      <c r="M5134" t="str">
        <f t="shared" si="362"/>
        <v>03</v>
      </c>
      <c r="N5134" t="s">
        <v>12</v>
      </c>
    </row>
    <row r="5135" spans="1:14" x14ac:dyDescent="0.25">
      <c r="A5135">
        <v>20160311</v>
      </c>
      <c r="B5135" t="str">
        <f t="shared" si="363"/>
        <v>062705</v>
      </c>
      <c r="C5135" t="str">
        <f t="shared" si="364"/>
        <v>72730</v>
      </c>
      <c r="D5135" t="s">
        <v>1926</v>
      </c>
      <c r="E5135" s="3">
        <v>18.78</v>
      </c>
      <c r="F5135">
        <v>20160311</v>
      </c>
      <c r="G5135" t="s">
        <v>3180</v>
      </c>
      <c r="H5135" t="s">
        <v>4436</v>
      </c>
      <c r="I5135">
        <v>0</v>
      </c>
      <c r="J5135" t="s">
        <v>1709</v>
      </c>
      <c r="K5135" t="s">
        <v>290</v>
      </c>
      <c r="L5135" t="s">
        <v>285</v>
      </c>
      <c r="M5135" t="str">
        <f t="shared" si="362"/>
        <v>03</v>
      </c>
      <c r="N5135" t="s">
        <v>12</v>
      </c>
    </row>
    <row r="5136" spans="1:14" x14ac:dyDescent="0.25">
      <c r="A5136">
        <v>20160311</v>
      </c>
      <c r="B5136" t="str">
        <f t="shared" si="363"/>
        <v>062705</v>
      </c>
      <c r="C5136" t="str">
        <f t="shared" si="364"/>
        <v>72730</v>
      </c>
      <c r="D5136" t="s">
        <v>1926</v>
      </c>
      <c r="E5136" s="3">
        <v>377.29</v>
      </c>
      <c r="F5136">
        <v>20160311</v>
      </c>
      <c r="G5136" t="s">
        <v>3180</v>
      </c>
      <c r="H5136" t="s">
        <v>595</v>
      </c>
      <c r="I5136">
        <v>0</v>
      </c>
      <c r="J5136" t="s">
        <v>1709</v>
      </c>
      <c r="K5136" t="s">
        <v>290</v>
      </c>
      <c r="L5136" t="s">
        <v>285</v>
      </c>
      <c r="M5136" t="str">
        <f t="shared" si="362"/>
        <v>03</v>
      </c>
      <c r="N5136" t="s">
        <v>12</v>
      </c>
    </row>
    <row r="5137" spans="1:14" x14ac:dyDescent="0.25">
      <c r="A5137">
        <v>20160311</v>
      </c>
      <c r="B5137" t="str">
        <f t="shared" si="363"/>
        <v>062705</v>
      </c>
      <c r="C5137" t="str">
        <f t="shared" si="364"/>
        <v>72730</v>
      </c>
      <c r="D5137" t="s">
        <v>1926</v>
      </c>
      <c r="E5137" s="3">
        <v>74.260000000000005</v>
      </c>
      <c r="F5137">
        <v>20160311</v>
      </c>
      <c r="G5137" t="s">
        <v>3180</v>
      </c>
      <c r="H5137" t="s">
        <v>4437</v>
      </c>
      <c r="I5137">
        <v>0</v>
      </c>
      <c r="J5137" t="s">
        <v>1709</v>
      </c>
      <c r="K5137" t="s">
        <v>290</v>
      </c>
      <c r="L5137" t="s">
        <v>285</v>
      </c>
      <c r="M5137" t="str">
        <f t="shared" si="362"/>
        <v>03</v>
      </c>
      <c r="N5137" t="s">
        <v>12</v>
      </c>
    </row>
    <row r="5138" spans="1:14" x14ac:dyDescent="0.25">
      <c r="A5138">
        <v>20160311</v>
      </c>
      <c r="B5138" t="str">
        <f t="shared" si="363"/>
        <v>062705</v>
      </c>
      <c r="C5138" t="str">
        <f t="shared" si="364"/>
        <v>72730</v>
      </c>
      <c r="D5138" t="s">
        <v>1926</v>
      </c>
      <c r="E5138" s="3">
        <v>54.4</v>
      </c>
      <c r="F5138">
        <v>20160311</v>
      </c>
      <c r="G5138" t="s">
        <v>3180</v>
      </c>
      <c r="H5138" t="s">
        <v>4438</v>
      </c>
      <c r="I5138">
        <v>0</v>
      </c>
      <c r="J5138" t="s">
        <v>1709</v>
      </c>
      <c r="K5138" t="s">
        <v>290</v>
      </c>
      <c r="L5138" t="s">
        <v>285</v>
      </c>
      <c r="M5138" t="str">
        <f t="shared" si="362"/>
        <v>03</v>
      </c>
      <c r="N5138" t="s">
        <v>12</v>
      </c>
    </row>
    <row r="5139" spans="1:14" x14ac:dyDescent="0.25">
      <c r="A5139">
        <v>20160311</v>
      </c>
      <c r="B5139" t="str">
        <f t="shared" si="363"/>
        <v>062705</v>
      </c>
      <c r="C5139" t="str">
        <f t="shared" si="364"/>
        <v>72730</v>
      </c>
      <c r="D5139" t="s">
        <v>1926</v>
      </c>
      <c r="E5139" s="3">
        <v>35.94</v>
      </c>
      <c r="F5139">
        <v>20160311</v>
      </c>
      <c r="G5139" t="s">
        <v>3180</v>
      </c>
      <c r="H5139" t="s">
        <v>4439</v>
      </c>
      <c r="I5139">
        <v>0</v>
      </c>
      <c r="J5139" t="s">
        <v>1709</v>
      </c>
      <c r="K5139" t="s">
        <v>290</v>
      </c>
      <c r="L5139" t="s">
        <v>285</v>
      </c>
      <c r="M5139" t="str">
        <f t="shared" si="362"/>
        <v>03</v>
      </c>
      <c r="N5139" t="s">
        <v>12</v>
      </c>
    </row>
    <row r="5140" spans="1:14" x14ac:dyDescent="0.25">
      <c r="A5140">
        <v>20160311</v>
      </c>
      <c r="B5140" t="str">
        <f t="shared" si="363"/>
        <v>062705</v>
      </c>
      <c r="C5140" t="str">
        <f t="shared" si="364"/>
        <v>72730</v>
      </c>
      <c r="D5140" t="s">
        <v>1926</v>
      </c>
      <c r="E5140" s="3">
        <v>91.01</v>
      </c>
      <c r="F5140">
        <v>20160311</v>
      </c>
      <c r="G5140" t="s">
        <v>2714</v>
      </c>
      <c r="H5140" t="s">
        <v>4440</v>
      </c>
      <c r="I5140">
        <v>0</v>
      </c>
      <c r="J5140" t="s">
        <v>1709</v>
      </c>
      <c r="K5140" t="s">
        <v>33</v>
      </c>
      <c r="L5140" t="s">
        <v>285</v>
      </c>
      <c r="M5140" t="str">
        <f t="shared" si="362"/>
        <v>03</v>
      </c>
      <c r="N5140" t="s">
        <v>12</v>
      </c>
    </row>
    <row r="5141" spans="1:14" x14ac:dyDescent="0.25">
      <c r="A5141">
        <v>20160311</v>
      </c>
      <c r="B5141" t="str">
        <f t="shared" si="363"/>
        <v>062705</v>
      </c>
      <c r="C5141" t="str">
        <f t="shared" si="364"/>
        <v>72730</v>
      </c>
      <c r="D5141" t="s">
        <v>1926</v>
      </c>
      <c r="E5141" s="3">
        <v>93.6</v>
      </c>
      <c r="F5141">
        <v>20160311</v>
      </c>
      <c r="G5141" t="s">
        <v>2714</v>
      </c>
      <c r="H5141" t="s">
        <v>4441</v>
      </c>
      <c r="I5141">
        <v>0</v>
      </c>
      <c r="J5141" t="s">
        <v>1709</v>
      </c>
      <c r="K5141" t="s">
        <v>33</v>
      </c>
      <c r="L5141" t="s">
        <v>285</v>
      </c>
      <c r="M5141" t="str">
        <f t="shared" si="362"/>
        <v>03</v>
      </c>
      <c r="N5141" t="s">
        <v>12</v>
      </c>
    </row>
    <row r="5142" spans="1:14" x14ac:dyDescent="0.25">
      <c r="A5142">
        <v>20160311</v>
      </c>
      <c r="B5142" t="str">
        <f t="shared" si="363"/>
        <v>062705</v>
      </c>
      <c r="C5142" t="str">
        <f t="shared" si="364"/>
        <v>72730</v>
      </c>
      <c r="D5142" t="s">
        <v>1926</v>
      </c>
      <c r="E5142" s="3">
        <v>324.83</v>
      </c>
      <c r="F5142">
        <v>20160311</v>
      </c>
      <c r="G5142" t="s">
        <v>1845</v>
      </c>
      <c r="H5142" t="s">
        <v>595</v>
      </c>
      <c r="I5142">
        <v>0</v>
      </c>
      <c r="J5142" t="s">
        <v>1709</v>
      </c>
      <c r="K5142" t="s">
        <v>290</v>
      </c>
      <c r="L5142" t="s">
        <v>285</v>
      </c>
      <c r="M5142" t="str">
        <f t="shared" si="362"/>
        <v>03</v>
      </c>
      <c r="N5142" t="s">
        <v>12</v>
      </c>
    </row>
    <row r="5143" spans="1:14" x14ac:dyDescent="0.25">
      <c r="A5143">
        <v>20160311</v>
      </c>
      <c r="B5143" t="str">
        <f t="shared" si="363"/>
        <v>062705</v>
      </c>
      <c r="C5143" t="str">
        <f t="shared" si="364"/>
        <v>72730</v>
      </c>
      <c r="D5143" t="s">
        <v>1926</v>
      </c>
      <c r="E5143" s="3">
        <v>11.2</v>
      </c>
      <c r="F5143">
        <v>20160311</v>
      </c>
      <c r="G5143" t="s">
        <v>3746</v>
      </c>
      <c r="H5143" t="s">
        <v>4442</v>
      </c>
      <c r="I5143">
        <v>0</v>
      </c>
      <c r="J5143" t="s">
        <v>1709</v>
      </c>
      <c r="K5143" t="s">
        <v>33</v>
      </c>
      <c r="L5143" t="s">
        <v>285</v>
      </c>
      <c r="M5143" t="str">
        <f t="shared" si="362"/>
        <v>03</v>
      </c>
      <c r="N5143" t="s">
        <v>12</v>
      </c>
    </row>
    <row r="5144" spans="1:14" x14ac:dyDescent="0.25">
      <c r="A5144">
        <v>20160311</v>
      </c>
      <c r="B5144" t="str">
        <f t="shared" si="363"/>
        <v>062705</v>
      </c>
      <c r="C5144" t="str">
        <f t="shared" si="364"/>
        <v>72730</v>
      </c>
      <c r="D5144" t="s">
        <v>1926</v>
      </c>
      <c r="E5144" s="3">
        <v>902.16</v>
      </c>
      <c r="F5144">
        <v>20160311</v>
      </c>
      <c r="G5144" t="s">
        <v>2133</v>
      </c>
      <c r="H5144" t="s">
        <v>4435</v>
      </c>
      <c r="I5144">
        <v>0</v>
      </c>
      <c r="J5144" t="s">
        <v>1709</v>
      </c>
      <c r="K5144" t="s">
        <v>290</v>
      </c>
      <c r="L5144" t="s">
        <v>285</v>
      </c>
      <c r="M5144" t="str">
        <f t="shared" si="362"/>
        <v>03</v>
      </c>
      <c r="N5144" t="s">
        <v>12</v>
      </c>
    </row>
    <row r="5145" spans="1:14" x14ac:dyDescent="0.25">
      <c r="A5145">
        <v>20160311</v>
      </c>
      <c r="B5145" t="str">
        <f t="shared" si="363"/>
        <v>062705</v>
      </c>
      <c r="C5145" t="str">
        <f t="shared" si="364"/>
        <v>72730</v>
      </c>
      <c r="D5145" t="s">
        <v>1926</v>
      </c>
      <c r="E5145" s="3">
        <v>183.58</v>
      </c>
      <c r="F5145">
        <v>20160311</v>
      </c>
      <c r="G5145" t="s">
        <v>2817</v>
      </c>
      <c r="H5145" t="s">
        <v>595</v>
      </c>
      <c r="I5145">
        <v>0</v>
      </c>
      <c r="J5145" t="s">
        <v>1709</v>
      </c>
      <c r="K5145" t="s">
        <v>290</v>
      </c>
      <c r="L5145" t="s">
        <v>285</v>
      </c>
      <c r="M5145" t="str">
        <f t="shared" si="362"/>
        <v>03</v>
      </c>
      <c r="N5145" t="s">
        <v>12</v>
      </c>
    </row>
    <row r="5146" spans="1:14" x14ac:dyDescent="0.25">
      <c r="A5146">
        <v>20160311</v>
      </c>
      <c r="B5146" t="str">
        <f t="shared" si="363"/>
        <v>062705</v>
      </c>
      <c r="C5146" t="str">
        <f t="shared" si="364"/>
        <v>72730</v>
      </c>
      <c r="D5146" t="s">
        <v>1926</v>
      </c>
      <c r="E5146" s="3">
        <v>111.2</v>
      </c>
      <c r="F5146">
        <v>20160311</v>
      </c>
      <c r="G5146" t="s">
        <v>4443</v>
      </c>
      <c r="H5146" t="s">
        <v>4444</v>
      </c>
      <c r="I5146">
        <v>0</v>
      </c>
      <c r="J5146" t="s">
        <v>1709</v>
      </c>
      <c r="K5146" t="s">
        <v>290</v>
      </c>
      <c r="L5146" t="s">
        <v>285</v>
      </c>
      <c r="M5146" t="str">
        <f t="shared" si="362"/>
        <v>03</v>
      </c>
      <c r="N5146" t="s">
        <v>12</v>
      </c>
    </row>
    <row r="5147" spans="1:14" x14ac:dyDescent="0.25">
      <c r="A5147">
        <v>20160311</v>
      </c>
      <c r="B5147" t="str">
        <f t="shared" si="363"/>
        <v>062705</v>
      </c>
      <c r="C5147" t="str">
        <f t="shared" si="364"/>
        <v>72730</v>
      </c>
      <c r="D5147" t="s">
        <v>1926</v>
      </c>
      <c r="E5147" s="3">
        <v>18.78</v>
      </c>
      <c r="F5147">
        <v>20160311</v>
      </c>
      <c r="G5147" t="s">
        <v>1886</v>
      </c>
      <c r="H5147" t="s">
        <v>4436</v>
      </c>
      <c r="I5147">
        <v>0</v>
      </c>
      <c r="J5147" t="s">
        <v>1709</v>
      </c>
      <c r="K5147" t="s">
        <v>290</v>
      </c>
      <c r="L5147" t="s">
        <v>285</v>
      </c>
      <c r="M5147" t="str">
        <f t="shared" si="362"/>
        <v>03</v>
      </c>
      <c r="N5147" t="s">
        <v>12</v>
      </c>
    </row>
    <row r="5148" spans="1:14" x14ac:dyDescent="0.25">
      <c r="A5148">
        <v>20160311</v>
      </c>
      <c r="B5148" t="str">
        <f t="shared" si="363"/>
        <v>062705</v>
      </c>
      <c r="C5148" t="str">
        <f t="shared" si="364"/>
        <v>72730</v>
      </c>
      <c r="D5148" t="s">
        <v>1926</v>
      </c>
      <c r="E5148" s="3">
        <v>632.77</v>
      </c>
      <c r="F5148">
        <v>20160311</v>
      </c>
      <c r="G5148" t="s">
        <v>3006</v>
      </c>
      <c r="H5148" t="s">
        <v>595</v>
      </c>
      <c r="I5148">
        <v>0</v>
      </c>
      <c r="J5148" t="s">
        <v>1709</v>
      </c>
      <c r="K5148" t="s">
        <v>290</v>
      </c>
      <c r="L5148" t="s">
        <v>285</v>
      </c>
      <c r="M5148" t="str">
        <f t="shared" si="362"/>
        <v>03</v>
      </c>
      <c r="N5148" t="s">
        <v>12</v>
      </c>
    </row>
    <row r="5149" spans="1:14" x14ac:dyDescent="0.25">
      <c r="A5149">
        <v>20160311</v>
      </c>
      <c r="B5149" t="str">
        <f t="shared" si="363"/>
        <v>062705</v>
      </c>
      <c r="C5149" t="str">
        <f t="shared" si="364"/>
        <v>72730</v>
      </c>
      <c r="D5149" t="s">
        <v>1926</v>
      </c>
      <c r="E5149" s="3">
        <v>23.35</v>
      </c>
      <c r="F5149">
        <v>20160311</v>
      </c>
      <c r="G5149" t="s">
        <v>2648</v>
      </c>
      <c r="H5149" t="s">
        <v>2786</v>
      </c>
      <c r="I5149">
        <v>0</v>
      </c>
      <c r="J5149" t="s">
        <v>1709</v>
      </c>
      <c r="K5149" t="s">
        <v>2377</v>
      </c>
      <c r="L5149" t="s">
        <v>285</v>
      </c>
      <c r="M5149" t="str">
        <f t="shared" si="362"/>
        <v>03</v>
      </c>
      <c r="N5149" t="s">
        <v>12</v>
      </c>
    </row>
    <row r="5150" spans="1:14" x14ac:dyDescent="0.25">
      <c r="A5150">
        <v>20160311</v>
      </c>
      <c r="B5150" t="str">
        <f t="shared" si="363"/>
        <v>062705</v>
      </c>
      <c r="C5150" t="str">
        <f t="shared" si="364"/>
        <v>72730</v>
      </c>
      <c r="D5150" t="s">
        <v>1926</v>
      </c>
      <c r="E5150" s="3">
        <v>19.86</v>
      </c>
      <c r="F5150">
        <v>20160311</v>
      </c>
      <c r="G5150" t="s">
        <v>2047</v>
      </c>
      <c r="H5150" t="s">
        <v>4445</v>
      </c>
      <c r="I5150">
        <v>0</v>
      </c>
      <c r="J5150" t="s">
        <v>1709</v>
      </c>
      <c r="K5150" t="s">
        <v>1882</v>
      </c>
      <c r="L5150" t="s">
        <v>285</v>
      </c>
      <c r="M5150" t="str">
        <f t="shared" si="362"/>
        <v>03</v>
      </c>
      <c r="N5150" t="s">
        <v>12</v>
      </c>
    </row>
    <row r="5151" spans="1:14" x14ac:dyDescent="0.25">
      <c r="A5151">
        <v>20160311</v>
      </c>
      <c r="B5151" t="str">
        <f t="shared" si="363"/>
        <v>062705</v>
      </c>
      <c r="C5151" t="str">
        <f t="shared" si="364"/>
        <v>72730</v>
      </c>
      <c r="D5151" t="s">
        <v>1926</v>
      </c>
      <c r="E5151" s="3">
        <v>201.9</v>
      </c>
      <c r="F5151">
        <v>20160311</v>
      </c>
      <c r="G5151" t="s">
        <v>2047</v>
      </c>
      <c r="H5151" t="s">
        <v>4446</v>
      </c>
      <c r="I5151">
        <v>0</v>
      </c>
      <c r="J5151" t="s">
        <v>1709</v>
      </c>
      <c r="K5151" t="s">
        <v>1882</v>
      </c>
      <c r="L5151" t="s">
        <v>285</v>
      </c>
      <c r="M5151" t="str">
        <f t="shared" ref="M5151:M5176" si="365">"03"</f>
        <v>03</v>
      </c>
      <c r="N5151" t="s">
        <v>12</v>
      </c>
    </row>
    <row r="5152" spans="1:14" x14ac:dyDescent="0.25">
      <c r="A5152">
        <v>20160311</v>
      </c>
      <c r="B5152" t="str">
        <f t="shared" si="363"/>
        <v>062705</v>
      </c>
      <c r="C5152" t="str">
        <f t="shared" si="364"/>
        <v>72730</v>
      </c>
      <c r="D5152" t="s">
        <v>1926</v>
      </c>
      <c r="E5152" s="3">
        <v>48.09</v>
      </c>
      <c r="F5152">
        <v>20160311</v>
      </c>
      <c r="G5152" t="s">
        <v>2047</v>
      </c>
      <c r="H5152" t="s">
        <v>4447</v>
      </c>
      <c r="I5152">
        <v>0</v>
      </c>
      <c r="J5152" t="s">
        <v>1709</v>
      </c>
      <c r="K5152" t="s">
        <v>1882</v>
      </c>
      <c r="L5152" t="s">
        <v>285</v>
      </c>
      <c r="M5152" t="str">
        <f t="shared" si="365"/>
        <v>03</v>
      </c>
      <c r="N5152" t="s">
        <v>12</v>
      </c>
    </row>
    <row r="5153" spans="1:14" x14ac:dyDescent="0.25">
      <c r="A5153">
        <v>20160311</v>
      </c>
      <c r="B5153" t="str">
        <f t="shared" si="363"/>
        <v>062705</v>
      </c>
      <c r="C5153" t="str">
        <f t="shared" si="364"/>
        <v>72730</v>
      </c>
      <c r="D5153" t="s">
        <v>1926</v>
      </c>
      <c r="E5153" s="3">
        <v>54.93</v>
      </c>
      <c r="F5153">
        <v>20160311</v>
      </c>
      <c r="G5153" t="s">
        <v>2047</v>
      </c>
      <c r="H5153" t="s">
        <v>2786</v>
      </c>
      <c r="I5153">
        <v>0</v>
      </c>
      <c r="J5153" t="s">
        <v>1709</v>
      </c>
      <c r="K5153" t="s">
        <v>1882</v>
      </c>
      <c r="L5153" t="s">
        <v>285</v>
      </c>
      <c r="M5153" t="str">
        <f t="shared" si="365"/>
        <v>03</v>
      </c>
      <c r="N5153" t="s">
        <v>12</v>
      </c>
    </row>
    <row r="5154" spans="1:14" x14ac:dyDescent="0.25">
      <c r="A5154">
        <v>20160311</v>
      </c>
      <c r="B5154" t="str">
        <f>"062710"</f>
        <v>062710</v>
      </c>
      <c r="C5154" t="str">
        <f>"79680"</f>
        <v>79680</v>
      </c>
      <c r="D5154" t="s">
        <v>781</v>
      </c>
      <c r="E5154" s="3">
        <v>405</v>
      </c>
      <c r="F5154">
        <v>20160311</v>
      </c>
      <c r="G5154" t="s">
        <v>3908</v>
      </c>
      <c r="H5154" t="s">
        <v>3676</v>
      </c>
      <c r="I5154">
        <v>0</v>
      </c>
      <c r="J5154" t="s">
        <v>1709</v>
      </c>
      <c r="K5154" t="s">
        <v>1861</v>
      </c>
      <c r="L5154" t="s">
        <v>285</v>
      </c>
      <c r="M5154" t="str">
        <f t="shared" si="365"/>
        <v>03</v>
      </c>
      <c r="N5154" t="s">
        <v>12</v>
      </c>
    </row>
    <row r="5155" spans="1:14" x14ac:dyDescent="0.25">
      <c r="A5155">
        <v>20160311</v>
      </c>
      <c r="B5155" t="str">
        <f t="shared" ref="B5155:B5160" si="366">"062711"</f>
        <v>062711</v>
      </c>
      <c r="C5155" t="str">
        <f t="shared" ref="C5155:C5160" si="367">"80481"</f>
        <v>80481</v>
      </c>
      <c r="D5155" t="s">
        <v>1935</v>
      </c>
      <c r="E5155" s="3">
        <v>74</v>
      </c>
      <c r="F5155">
        <v>20160311</v>
      </c>
      <c r="G5155" t="s">
        <v>1938</v>
      </c>
      <c r="H5155" t="s">
        <v>4138</v>
      </c>
      <c r="I5155">
        <v>0</v>
      </c>
      <c r="J5155" t="s">
        <v>1709</v>
      </c>
      <c r="K5155" t="s">
        <v>1643</v>
      </c>
      <c r="L5155" t="s">
        <v>285</v>
      </c>
      <c r="M5155" t="str">
        <f t="shared" si="365"/>
        <v>03</v>
      </c>
      <c r="N5155" t="s">
        <v>12</v>
      </c>
    </row>
    <row r="5156" spans="1:14" x14ac:dyDescent="0.25">
      <c r="A5156">
        <v>20160311</v>
      </c>
      <c r="B5156" t="str">
        <f t="shared" si="366"/>
        <v>062711</v>
      </c>
      <c r="C5156" t="str">
        <f t="shared" si="367"/>
        <v>80481</v>
      </c>
      <c r="D5156" t="s">
        <v>1935</v>
      </c>
      <c r="E5156" s="3">
        <v>74</v>
      </c>
      <c r="F5156">
        <v>20160311</v>
      </c>
      <c r="G5156" t="s">
        <v>1939</v>
      </c>
      <c r="H5156" t="s">
        <v>4138</v>
      </c>
      <c r="I5156">
        <v>0</v>
      </c>
      <c r="J5156" t="s">
        <v>1709</v>
      </c>
      <c r="K5156" t="s">
        <v>33</v>
      </c>
      <c r="L5156" t="s">
        <v>285</v>
      </c>
      <c r="M5156" t="str">
        <f t="shared" si="365"/>
        <v>03</v>
      </c>
      <c r="N5156" t="s">
        <v>12</v>
      </c>
    </row>
    <row r="5157" spans="1:14" x14ac:dyDescent="0.25">
      <c r="A5157">
        <v>20160311</v>
      </c>
      <c r="B5157" t="str">
        <f t="shared" si="366"/>
        <v>062711</v>
      </c>
      <c r="C5157" t="str">
        <f t="shared" si="367"/>
        <v>80481</v>
      </c>
      <c r="D5157" t="s">
        <v>1935</v>
      </c>
      <c r="E5157" s="3">
        <v>74</v>
      </c>
      <c r="F5157">
        <v>20160311</v>
      </c>
      <c r="G5157" t="s">
        <v>1940</v>
      </c>
      <c r="H5157" t="s">
        <v>4138</v>
      </c>
      <c r="I5157">
        <v>0</v>
      </c>
      <c r="J5157" t="s">
        <v>1709</v>
      </c>
      <c r="K5157" t="s">
        <v>290</v>
      </c>
      <c r="L5157" t="s">
        <v>285</v>
      </c>
      <c r="M5157" t="str">
        <f t="shared" si="365"/>
        <v>03</v>
      </c>
      <c r="N5157" t="s">
        <v>12</v>
      </c>
    </row>
    <row r="5158" spans="1:14" x14ac:dyDescent="0.25">
      <c r="A5158">
        <v>20160311</v>
      </c>
      <c r="B5158" t="str">
        <f t="shared" si="366"/>
        <v>062711</v>
      </c>
      <c r="C5158" t="str">
        <f t="shared" si="367"/>
        <v>80481</v>
      </c>
      <c r="D5158" t="s">
        <v>1935</v>
      </c>
      <c r="E5158" s="3">
        <v>74</v>
      </c>
      <c r="F5158">
        <v>20160311</v>
      </c>
      <c r="G5158" t="s">
        <v>1940</v>
      </c>
      <c r="H5158" t="s">
        <v>4138</v>
      </c>
      <c r="I5158">
        <v>0</v>
      </c>
      <c r="J5158" t="s">
        <v>1709</v>
      </c>
      <c r="K5158" t="s">
        <v>290</v>
      </c>
      <c r="L5158" t="s">
        <v>285</v>
      </c>
      <c r="M5158" t="str">
        <f t="shared" si="365"/>
        <v>03</v>
      </c>
      <c r="N5158" t="s">
        <v>12</v>
      </c>
    </row>
    <row r="5159" spans="1:14" x14ac:dyDescent="0.25">
      <c r="A5159">
        <v>20160311</v>
      </c>
      <c r="B5159" t="str">
        <f t="shared" si="366"/>
        <v>062711</v>
      </c>
      <c r="C5159" t="str">
        <f t="shared" si="367"/>
        <v>80481</v>
      </c>
      <c r="D5159" t="s">
        <v>1935</v>
      </c>
      <c r="E5159" s="3">
        <v>6.96</v>
      </c>
      <c r="F5159">
        <v>20160311</v>
      </c>
      <c r="G5159" t="s">
        <v>1941</v>
      </c>
      <c r="H5159" t="s">
        <v>4448</v>
      </c>
      <c r="I5159">
        <v>0</v>
      </c>
      <c r="J5159" t="s">
        <v>1709</v>
      </c>
      <c r="K5159" t="s">
        <v>1942</v>
      </c>
      <c r="L5159" t="s">
        <v>285</v>
      </c>
      <c r="M5159" t="str">
        <f t="shared" si="365"/>
        <v>03</v>
      </c>
      <c r="N5159" t="s">
        <v>12</v>
      </c>
    </row>
    <row r="5160" spans="1:14" x14ac:dyDescent="0.25">
      <c r="A5160">
        <v>20160311</v>
      </c>
      <c r="B5160" t="str">
        <f t="shared" si="366"/>
        <v>062711</v>
      </c>
      <c r="C5160" t="str">
        <f t="shared" si="367"/>
        <v>80481</v>
      </c>
      <c r="D5160" t="s">
        <v>1935</v>
      </c>
      <c r="E5160" s="3">
        <v>43.78</v>
      </c>
      <c r="F5160">
        <v>20160311</v>
      </c>
      <c r="G5160" t="s">
        <v>1941</v>
      </c>
      <c r="H5160" t="s">
        <v>4138</v>
      </c>
      <c r="I5160">
        <v>0</v>
      </c>
      <c r="J5160" t="s">
        <v>1709</v>
      </c>
      <c r="K5160" t="s">
        <v>1942</v>
      </c>
      <c r="L5160" t="s">
        <v>285</v>
      </c>
      <c r="M5160" t="str">
        <f t="shared" si="365"/>
        <v>03</v>
      </c>
      <c r="N5160" t="s">
        <v>12</v>
      </c>
    </row>
    <row r="5161" spans="1:14" x14ac:dyDescent="0.25">
      <c r="A5161">
        <v>20160311</v>
      </c>
      <c r="B5161" t="str">
        <f>"062712"</f>
        <v>062712</v>
      </c>
      <c r="C5161" t="str">
        <f>"80500"</f>
        <v>80500</v>
      </c>
      <c r="D5161" t="s">
        <v>2409</v>
      </c>
      <c r="E5161" s="3">
        <v>139.41</v>
      </c>
      <c r="F5161">
        <v>20160311</v>
      </c>
      <c r="G5161" t="s">
        <v>2349</v>
      </c>
      <c r="H5161" t="s">
        <v>3258</v>
      </c>
      <c r="I5161">
        <v>0</v>
      </c>
      <c r="J5161" t="s">
        <v>1709</v>
      </c>
      <c r="K5161" t="s">
        <v>1558</v>
      </c>
      <c r="L5161" t="s">
        <v>285</v>
      </c>
      <c r="M5161" t="str">
        <f t="shared" si="365"/>
        <v>03</v>
      </c>
      <c r="N5161" t="s">
        <v>12</v>
      </c>
    </row>
    <row r="5162" spans="1:14" x14ac:dyDescent="0.25">
      <c r="A5162">
        <v>20160311</v>
      </c>
      <c r="B5162" t="str">
        <f>"062714"</f>
        <v>062714</v>
      </c>
      <c r="C5162" t="str">
        <f>"81299"</f>
        <v>81299</v>
      </c>
      <c r="D5162" t="s">
        <v>2415</v>
      </c>
      <c r="E5162" s="3">
        <v>420</v>
      </c>
      <c r="F5162">
        <v>20160311</v>
      </c>
      <c r="G5162" t="s">
        <v>4184</v>
      </c>
      <c r="H5162" t="s">
        <v>4449</v>
      </c>
      <c r="I5162">
        <v>0</v>
      </c>
      <c r="J5162" t="s">
        <v>1709</v>
      </c>
      <c r="K5162" t="s">
        <v>290</v>
      </c>
      <c r="L5162" t="s">
        <v>285</v>
      </c>
      <c r="M5162" t="str">
        <f t="shared" si="365"/>
        <v>03</v>
      </c>
      <c r="N5162" t="s">
        <v>12</v>
      </c>
    </row>
    <row r="5163" spans="1:14" x14ac:dyDescent="0.25">
      <c r="A5163">
        <v>20160311</v>
      </c>
      <c r="B5163" t="str">
        <f>"062715"</f>
        <v>062715</v>
      </c>
      <c r="C5163" t="str">
        <f>"82126"</f>
        <v>82126</v>
      </c>
      <c r="D5163" t="s">
        <v>1800</v>
      </c>
      <c r="E5163" s="3">
        <v>355</v>
      </c>
      <c r="F5163">
        <v>20160311</v>
      </c>
      <c r="G5163" t="s">
        <v>1710</v>
      </c>
      <c r="H5163" t="s">
        <v>4450</v>
      </c>
      <c r="I5163">
        <v>0</v>
      </c>
      <c r="J5163" t="s">
        <v>1709</v>
      </c>
      <c r="K5163" t="s">
        <v>290</v>
      </c>
      <c r="L5163" t="s">
        <v>285</v>
      </c>
      <c r="M5163" t="str">
        <f t="shared" si="365"/>
        <v>03</v>
      </c>
      <c r="N5163" t="s">
        <v>12</v>
      </c>
    </row>
    <row r="5164" spans="1:14" x14ac:dyDescent="0.25">
      <c r="A5164">
        <v>20160311</v>
      </c>
      <c r="B5164" t="str">
        <f>"062716"</f>
        <v>062716</v>
      </c>
      <c r="C5164" t="str">
        <f>"82126"</f>
        <v>82126</v>
      </c>
      <c r="D5164" t="s">
        <v>1800</v>
      </c>
      <c r="E5164" s="3">
        <v>1065</v>
      </c>
      <c r="F5164">
        <v>20160311</v>
      </c>
      <c r="G5164" t="s">
        <v>2040</v>
      </c>
      <c r="H5164" t="s">
        <v>4451</v>
      </c>
      <c r="I5164">
        <v>0</v>
      </c>
      <c r="J5164" t="s">
        <v>1709</v>
      </c>
      <c r="K5164" t="s">
        <v>290</v>
      </c>
      <c r="L5164" t="s">
        <v>285</v>
      </c>
      <c r="M5164" t="str">
        <f t="shared" si="365"/>
        <v>03</v>
      </c>
      <c r="N5164" t="s">
        <v>12</v>
      </c>
    </row>
    <row r="5165" spans="1:14" x14ac:dyDescent="0.25">
      <c r="A5165">
        <v>20160311</v>
      </c>
      <c r="B5165" t="str">
        <f>"062717"</f>
        <v>062717</v>
      </c>
      <c r="C5165" t="str">
        <f>"82370"</f>
        <v>82370</v>
      </c>
      <c r="D5165" t="s">
        <v>4452</v>
      </c>
      <c r="E5165" s="3">
        <v>49.76</v>
      </c>
      <c r="F5165">
        <v>20160311</v>
      </c>
      <c r="G5165" t="s">
        <v>4453</v>
      </c>
      <c r="H5165" t="s">
        <v>4095</v>
      </c>
      <c r="I5165">
        <v>0</v>
      </c>
      <c r="J5165" t="s">
        <v>1709</v>
      </c>
      <c r="K5165" t="s">
        <v>290</v>
      </c>
      <c r="L5165" t="s">
        <v>285</v>
      </c>
      <c r="M5165" t="str">
        <f t="shared" si="365"/>
        <v>03</v>
      </c>
      <c r="N5165" t="s">
        <v>12</v>
      </c>
    </row>
    <row r="5166" spans="1:14" x14ac:dyDescent="0.25">
      <c r="A5166">
        <v>20160311</v>
      </c>
      <c r="B5166" t="str">
        <f>"062717"</f>
        <v>062717</v>
      </c>
      <c r="C5166" t="str">
        <f>"82370"</f>
        <v>82370</v>
      </c>
      <c r="D5166" t="s">
        <v>4452</v>
      </c>
      <c r="E5166" s="3">
        <v>32.200000000000003</v>
      </c>
      <c r="F5166">
        <v>20160311</v>
      </c>
      <c r="G5166" t="s">
        <v>2425</v>
      </c>
      <c r="H5166" t="s">
        <v>4095</v>
      </c>
      <c r="I5166">
        <v>0</v>
      </c>
      <c r="J5166" t="s">
        <v>1709</v>
      </c>
      <c r="K5166" t="s">
        <v>290</v>
      </c>
      <c r="L5166" t="s">
        <v>285</v>
      </c>
      <c r="M5166" t="str">
        <f t="shared" si="365"/>
        <v>03</v>
      </c>
      <c r="N5166" t="s">
        <v>12</v>
      </c>
    </row>
    <row r="5167" spans="1:14" x14ac:dyDescent="0.25">
      <c r="A5167">
        <v>20160311</v>
      </c>
      <c r="B5167" t="str">
        <f>"062718"</f>
        <v>062718</v>
      </c>
      <c r="C5167" t="str">
        <f>"82432"</f>
        <v>82432</v>
      </c>
      <c r="D5167" t="s">
        <v>4454</v>
      </c>
      <c r="E5167" s="3">
        <v>272</v>
      </c>
      <c r="F5167">
        <v>20160311</v>
      </c>
      <c r="G5167" t="s">
        <v>3127</v>
      </c>
      <c r="H5167" t="s">
        <v>3932</v>
      </c>
      <c r="I5167">
        <v>0</v>
      </c>
      <c r="J5167" t="s">
        <v>1709</v>
      </c>
      <c r="K5167" t="s">
        <v>95</v>
      </c>
      <c r="L5167" t="s">
        <v>285</v>
      </c>
      <c r="M5167" t="str">
        <f t="shared" si="365"/>
        <v>03</v>
      </c>
      <c r="N5167" t="s">
        <v>12</v>
      </c>
    </row>
    <row r="5168" spans="1:14" x14ac:dyDescent="0.25">
      <c r="A5168">
        <v>20160229</v>
      </c>
      <c r="B5168" t="str">
        <f t="shared" ref="B5168:B5175" si="368">"062719"</f>
        <v>062719</v>
      </c>
      <c r="C5168" t="str">
        <f t="shared" ref="C5168:C5175" si="369">"83007"</f>
        <v>83007</v>
      </c>
      <c r="D5168" t="s">
        <v>4200</v>
      </c>
      <c r="E5168" s="3">
        <v>31.03</v>
      </c>
      <c r="F5168">
        <v>20160316</v>
      </c>
      <c r="G5168" t="s">
        <v>4455</v>
      </c>
      <c r="H5168" t="s">
        <v>4095</v>
      </c>
      <c r="I5168">
        <v>0</v>
      </c>
      <c r="J5168" t="s">
        <v>1709</v>
      </c>
      <c r="K5168" t="s">
        <v>290</v>
      </c>
      <c r="L5168" t="s">
        <v>17</v>
      </c>
      <c r="M5168" t="str">
        <f t="shared" si="365"/>
        <v>03</v>
      </c>
      <c r="N5168" t="s">
        <v>12</v>
      </c>
    </row>
    <row r="5169" spans="1:14" x14ac:dyDescent="0.25">
      <c r="A5169">
        <v>20160229</v>
      </c>
      <c r="B5169" t="str">
        <f t="shared" si="368"/>
        <v>062719</v>
      </c>
      <c r="C5169" t="str">
        <f t="shared" si="369"/>
        <v>83007</v>
      </c>
      <c r="D5169" t="s">
        <v>4200</v>
      </c>
      <c r="E5169" s="3">
        <v>-31.03</v>
      </c>
      <c r="F5169">
        <v>20160407</v>
      </c>
      <c r="G5169" t="s">
        <v>4455</v>
      </c>
      <c r="H5169" t="s">
        <v>4456</v>
      </c>
      <c r="I5169">
        <v>0</v>
      </c>
      <c r="J5169" t="s">
        <v>1709</v>
      </c>
      <c r="K5169" t="s">
        <v>290</v>
      </c>
      <c r="L5169" t="s">
        <v>17</v>
      </c>
      <c r="M5169" t="str">
        <f t="shared" si="365"/>
        <v>03</v>
      </c>
      <c r="N5169" t="s">
        <v>12</v>
      </c>
    </row>
    <row r="5170" spans="1:14" x14ac:dyDescent="0.25">
      <c r="A5170">
        <v>20160311</v>
      </c>
      <c r="B5170" t="str">
        <f t="shared" si="368"/>
        <v>062719</v>
      </c>
      <c r="C5170" t="str">
        <f t="shared" si="369"/>
        <v>83007</v>
      </c>
      <c r="D5170" t="s">
        <v>4200</v>
      </c>
      <c r="E5170" s="3">
        <v>32.99</v>
      </c>
      <c r="F5170">
        <v>20160311</v>
      </c>
      <c r="G5170" t="s">
        <v>4453</v>
      </c>
      <c r="H5170" t="s">
        <v>4095</v>
      </c>
      <c r="I5170">
        <v>0</v>
      </c>
      <c r="J5170" t="s">
        <v>1709</v>
      </c>
      <c r="K5170" t="s">
        <v>290</v>
      </c>
      <c r="L5170" t="s">
        <v>285</v>
      </c>
      <c r="M5170" t="str">
        <f t="shared" si="365"/>
        <v>03</v>
      </c>
      <c r="N5170" t="s">
        <v>12</v>
      </c>
    </row>
    <row r="5171" spans="1:14" x14ac:dyDescent="0.25">
      <c r="A5171">
        <v>20160311</v>
      </c>
      <c r="B5171" t="str">
        <f t="shared" si="368"/>
        <v>062719</v>
      </c>
      <c r="C5171" t="str">
        <f t="shared" si="369"/>
        <v>83007</v>
      </c>
      <c r="D5171" t="s">
        <v>4200</v>
      </c>
      <c r="E5171" s="3">
        <v>31.03</v>
      </c>
      <c r="F5171">
        <v>20160311</v>
      </c>
      <c r="G5171" t="s">
        <v>4453</v>
      </c>
      <c r="H5171" t="s">
        <v>4095</v>
      </c>
      <c r="I5171">
        <v>0</v>
      </c>
      <c r="J5171" t="s">
        <v>1709</v>
      </c>
      <c r="K5171" t="s">
        <v>290</v>
      </c>
      <c r="L5171" t="s">
        <v>285</v>
      </c>
      <c r="M5171" t="str">
        <f t="shared" si="365"/>
        <v>03</v>
      </c>
      <c r="N5171" t="s">
        <v>12</v>
      </c>
    </row>
    <row r="5172" spans="1:14" x14ac:dyDescent="0.25">
      <c r="A5172">
        <v>20160311</v>
      </c>
      <c r="B5172" t="str">
        <f t="shared" si="368"/>
        <v>062719</v>
      </c>
      <c r="C5172" t="str">
        <f t="shared" si="369"/>
        <v>83007</v>
      </c>
      <c r="D5172" t="s">
        <v>4200</v>
      </c>
      <c r="E5172" s="3">
        <v>-32.99</v>
      </c>
      <c r="F5172">
        <v>20160311</v>
      </c>
      <c r="G5172" t="s">
        <v>4453</v>
      </c>
      <c r="H5172" t="s">
        <v>4457</v>
      </c>
      <c r="I5172">
        <v>0</v>
      </c>
      <c r="J5172" t="s">
        <v>1709</v>
      </c>
      <c r="K5172" t="s">
        <v>290</v>
      </c>
      <c r="L5172" t="s">
        <v>17</v>
      </c>
      <c r="M5172" t="str">
        <f t="shared" si="365"/>
        <v>03</v>
      </c>
      <c r="N5172" t="s">
        <v>12</v>
      </c>
    </row>
    <row r="5173" spans="1:14" x14ac:dyDescent="0.25">
      <c r="A5173">
        <v>20160311</v>
      </c>
      <c r="B5173" t="str">
        <f t="shared" si="368"/>
        <v>062719</v>
      </c>
      <c r="C5173" t="str">
        <f t="shared" si="369"/>
        <v>83007</v>
      </c>
      <c r="D5173" t="s">
        <v>4200</v>
      </c>
      <c r="E5173" s="3">
        <v>-31.03</v>
      </c>
      <c r="F5173">
        <v>20160311</v>
      </c>
      <c r="G5173" t="s">
        <v>4453</v>
      </c>
      <c r="H5173" t="s">
        <v>4457</v>
      </c>
      <c r="I5173">
        <v>0</v>
      </c>
      <c r="J5173" t="s">
        <v>1709</v>
      </c>
      <c r="K5173" t="s">
        <v>290</v>
      </c>
      <c r="L5173" t="s">
        <v>17</v>
      </c>
      <c r="M5173" t="str">
        <f t="shared" si="365"/>
        <v>03</v>
      </c>
      <c r="N5173" t="s">
        <v>12</v>
      </c>
    </row>
    <row r="5174" spans="1:14" x14ac:dyDescent="0.25">
      <c r="A5174">
        <v>20160311</v>
      </c>
      <c r="B5174" t="str">
        <f t="shared" si="368"/>
        <v>062719</v>
      </c>
      <c r="C5174" t="str">
        <f t="shared" si="369"/>
        <v>83007</v>
      </c>
      <c r="D5174" t="s">
        <v>4200</v>
      </c>
      <c r="E5174" s="3">
        <v>32.99</v>
      </c>
      <c r="F5174">
        <v>20160316</v>
      </c>
      <c r="G5174" t="s">
        <v>4453</v>
      </c>
      <c r="H5174" t="s">
        <v>4095</v>
      </c>
      <c r="I5174">
        <v>0</v>
      </c>
      <c r="J5174" t="s">
        <v>1709</v>
      </c>
      <c r="K5174" t="s">
        <v>290</v>
      </c>
      <c r="L5174" t="s">
        <v>17</v>
      </c>
      <c r="M5174" t="str">
        <f t="shared" si="365"/>
        <v>03</v>
      </c>
      <c r="N5174" t="s">
        <v>12</v>
      </c>
    </row>
    <row r="5175" spans="1:14" x14ac:dyDescent="0.25">
      <c r="A5175">
        <v>20160311</v>
      </c>
      <c r="B5175" t="str">
        <f t="shared" si="368"/>
        <v>062719</v>
      </c>
      <c r="C5175" t="str">
        <f t="shared" si="369"/>
        <v>83007</v>
      </c>
      <c r="D5175" t="s">
        <v>4200</v>
      </c>
      <c r="E5175" s="3">
        <v>31.03</v>
      </c>
      <c r="F5175">
        <v>20160407</v>
      </c>
      <c r="G5175" t="s">
        <v>4453</v>
      </c>
      <c r="H5175" t="s">
        <v>4095</v>
      </c>
      <c r="I5175">
        <v>0</v>
      </c>
      <c r="J5175" t="s">
        <v>1709</v>
      </c>
      <c r="K5175" t="s">
        <v>290</v>
      </c>
      <c r="L5175" t="s">
        <v>17</v>
      </c>
      <c r="M5175" t="str">
        <f t="shared" si="365"/>
        <v>03</v>
      </c>
      <c r="N5175" t="s">
        <v>12</v>
      </c>
    </row>
    <row r="5176" spans="1:14" x14ac:dyDescent="0.25">
      <c r="A5176">
        <v>20160311</v>
      </c>
      <c r="B5176" t="str">
        <f>"062720"</f>
        <v>062720</v>
      </c>
      <c r="C5176" t="str">
        <f>"86106"</f>
        <v>86106</v>
      </c>
      <c r="D5176" t="s">
        <v>4458</v>
      </c>
      <c r="E5176" s="3">
        <v>249</v>
      </c>
      <c r="F5176">
        <v>20160311</v>
      </c>
      <c r="G5176" t="s">
        <v>2115</v>
      </c>
      <c r="H5176" t="s">
        <v>4459</v>
      </c>
      <c r="I5176">
        <v>0</v>
      </c>
      <c r="J5176" t="s">
        <v>1709</v>
      </c>
      <c r="K5176" t="s">
        <v>290</v>
      </c>
      <c r="L5176" t="s">
        <v>285</v>
      </c>
      <c r="M5176" t="str">
        <f t="shared" si="365"/>
        <v>03</v>
      </c>
      <c r="N5176" t="s">
        <v>12</v>
      </c>
    </row>
    <row r="5177" spans="1:14" x14ac:dyDescent="0.25">
      <c r="A5177">
        <v>20160311</v>
      </c>
      <c r="B5177" t="str">
        <f>"062720"</f>
        <v>062720</v>
      </c>
      <c r="C5177" t="str">
        <f>"86106"</f>
        <v>86106</v>
      </c>
      <c r="D5177" t="s">
        <v>4458</v>
      </c>
      <c r="E5177" s="3">
        <v>-249</v>
      </c>
      <c r="F5177">
        <v>20160427</v>
      </c>
      <c r="G5177" t="s">
        <v>2115</v>
      </c>
      <c r="H5177" t="s">
        <v>228</v>
      </c>
      <c r="I5177">
        <v>0</v>
      </c>
      <c r="J5177" t="s">
        <v>1709</v>
      </c>
      <c r="K5177" t="s">
        <v>290</v>
      </c>
      <c r="L5177" t="s">
        <v>17</v>
      </c>
      <c r="M5177" t="str">
        <f>"04"</f>
        <v>04</v>
      </c>
      <c r="N5177" t="s">
        <v>12</v>
      </c>
    </row>
    <row r="5178" spans="1:14" x14ac:dyDescent="0.25">
      <c r="A5178">
        <v>20160318</v>
      </c>
      <c r="B5178" t="str">
        <f>"062721"</f>
        <v>062721</v>
      </c>
      <c r="C5178" t="str">
        <f>"02230"</f>
        <v>02230</v>
      </c>
      <c r="D5178" t="s">
        <v>1945</v>
      </c>
      <c r="E5178" s="3">
        <v>118.34</v>
      </c>
      <c r="F5178">
        <v>20160316</v>
      </c>
      <c r="G5178" t="s">
        <v>2333</v>
      </c>
      <c r="H5178" t="s">
        <v>3676</v>
      </c>
      <c r="I5178">
        <v>0</v>
      </c>
      <c r="J5178" t="s">
        <v>1709</v>
      </c>
      <c r="K5178" t="s">
        <v>290</v>
      </c>
      <c r="L5178" t="s">
        <v>285</v>
      </c>
      <c r="M5178" t="str">
        <f t="shared" ref="M5178:M5241" si="370">"03"</f>
        <v>03</v>
      </c>
      <c r="N5178" t="s">
        <v>12</v>
      </c>
    </row>
    <row r="5179" spans="1:14" x14ac:dyDescent="0.25">
      <c r="A5179">
        <v>20160318</v>
      </c>
      <c r="B5179" t="str">
        <f>"062722"</f>
        <v>062722</v>
      </c>
      <c r="C5179" t="str">
        <f>"29779"</f>
        <v>29779</v>
      </c>
      <c r="D5179" t="s">
        <v>1806</v>
      </c>
      <c r="E5179" s="3">
        <v>737.48</v>
      </c>
      <c r="F5179">
        <v>20160316</v>
      </c>
      <c r="G5179" t="s">
        <v>2192</v>
      </c>
      <c r="H5179" t="s">
        <v>2051</v>
      </c>
      <c r="I5179">
        <v>0</v>
      </c>
      <c r="J5179" t="s">
        <v>1709</v>
      </c>
      <c r="K5179" t="s">
        <v>2194</v>
      </c>
      <c r="L5179" t="s">
        <v>285</v>
      </c>
      <c r="M5179" t="str">
        <f t="shared" si="370"/>
        <v>03</v>
      </c>
      <c r="N5179" t="s">
        <v>12</v>
      </c>
    </row>
    <row r="5180" spans="1:14" x14ac:dyDescent="0.25">
      <c r="A5180">
        <v>20160318</v>
      </c>
      <c r="B5180" t="str">
        <f>"062722"</f>
        <v>062722</v>
      </c>
      <c r="C5180" t="str">
        <f>"29779"</f>
        <v>29779</v>
      </c>
      <c r="D5180" t="s">
        <v>1806</v>
      </c>
      <c r="E5180" s="3">
        <v>818.74</v>
      </c>
      <c r="F5180">
        <v>20160316</v>
      </c>
      <c r="G5180" t="s">
        <v>2192</v>
      </c>
      <c r="H5180" t="s">
        <v>2051</v>
      </c>
      <c r="I5180">
        <v>0</v>
      </c>
      <c r="J5180" t="s">
        <v>1709</v>
      </c>
      <c r="K5180" t="s">
        <v>2194</v>
      </c>
      <c r="L5180" t="s">
        <v>285</v>
      </c>
      <c r="M5180" t="str">
        <f t="shared" si="370"/>
        <v>03</v>
      </c>
      <c r="N5180" t="s">
        <v>12</v>
      </c>
    </row>
    <row r="5181" spans="1:14" x14ac:dyDescent="0.25">
      <c r="A5181">
        <v>20160318</v>
      </c>
      <c r="B5181" t="str">
        <f>"062725"</f>
        <v>062725</v>
      </c>
      <c r="C5181" t="str">
        <f>"04350"</f>
        <v>04350</v>
      </c>
      <c r="D5181" t="s">
        <v>1694</v>
      </c>
      <c r="E5181" s="3">
        <v>4800</v>
      </c>
      <c r="F5181">
        <v>20160316</v>
      </c>
      <c r="G5181" t="s">
        <v>3574</v>
      </c>
      <c r="H5181" t="s">
        <v>4460</v>
      </c>
      <c r="I5181">
        <v>0</v>
      </c>
      <c r="J5181" t="s">
        <v>1709</v>
      </c>
      <c r="K5181" t="s">
        <v>95</v>
      </c>
      <c r="L5181" t="s">
        <v>285</v>
      </c>
      <c r="M5181" t="str">
        <f t="shared" si="370"/>
        <v>03</v>
      </c>
      <c r="N5181" t="s">
        <v>12</v>
      </c>
    </row>
    <row r="5182" spans="1:14" x14ac:dyDescent="0.25">
      <c r="A5182">
        <v>20160318</v>
      </c>
      <c r="B5182" t="str">
        <f>"062726"</f>
        <v>062726</v>
      </c>
      <c r="C5182" t="str">
        <f>"24208"</f>
        <v>24208</v>
      </c>
      <c r="D5182" t="s">
        <v>1541</v>
      </c>
      <c r="E5182" s="3">
        <v>95</v>
      </c>
      <c r="F5182">
        <v>20160316</v>
      </c>
      <c r="G5182" t="s">
        <v>1854</v>
      </c>
      <c r="H5182" t="s">
        <v>4461</v>
      </c>
      <c r="I5182">
        <v>0</v>
      </c>
      <c r="J5182" t="s">
        <v>1709</v>
      </c>
      <c r="K5182" t="s">
        <v>1856</v>
      </c>
      <c r="L5182" t="s">
        <v>285</v>
      </c>
      <c r="M5182" t="str">
        <f t="shared" si="370"/>
        <v>03</v>
      </c>
      <c r="N5182" t="s">
        <v>12</v>
      </c>
    </row>
    <row r="5183" spans="1:14" x14ac:dyDescent="0.25">
      <c r="A5183">
        <v>20160318</v>
      </c>
      <c r="B5183" t="str">
        <f>"062726"</f>
        <v>062726</v>
      </c>
      <c r="C5183" t="str">
        <f>"24208"</f>
        <v>24208</v>
      </c>
      <c r="D5183" t="s">
        <v>1541</v>
      </c>
      <c r="E5183" s="3">
        <v>95</v>
      </c>
      <c r="F5183">
        <v>20160316</v>
      </c>
      <c r="G5183" t="s">
        <v>1854</v>
      </c>
      <c r="H5183" t="s">
        <v>4462</v>
      </c>
      <c r="I5183">
        <v>0</v>
      </c>
      <c r="J5183" t="s">
        <v>1709</v>
      </c>
      <c r="K5183" t="s">
        <v>1856</v>
      </c>
      <c r="L5183" t="s">
        <v>285</v>
      </c>
      <c r="M5183" t="str">
        <f t="shared" si="370"/>
        <v>03</v>
      </c>
      <c r="N5183" t="s">
        <v>12</v>
      </c>
    </row>
    <row r="5184" spans="1:14" x14ac:dyDescent="0.25">
      <c r="A5184">
        <v>20160318</v>
      </c>
      <c r="B5184" t="str">
        <f>"062726"</f>
        <v>062726</v>
      </c>
      <c r="C5184" t="str">
        <f>"24208"</f>
        <v>24208</v>
      </c>
      <c r="D5184" t="s">
        <v>1541</v>
      </c>
      <c r="E5184" s="3">
        <v>80</v>
      </c>
      <c r="F5184">
        <v>20160316</v>
      </c>
      <c r="G5184" t="s">
        <v>2164</v>
      </c>
      <c r="H5184" t="s">
        <v>4463</v>
      </c>
      <c r="I5184">
        <v>0</v>
      </c>
      <c r="J5184" t="s">
        <v>1709</v>
      </c>
      <c r="K5184" t="s">
        <v>1861</v>
      </c>
      <c r="L5184" t="s">
        <v>285</v>
      </c>
      <c r="M5184" t="str">
        <f t="shared" si="370"/>
        <v>03</v>
      </c>
      <c r="N5184" t="s">
        <v>12</v>
      </c>
    </row>
    <row r="5185" spans="1:14" x14ac:dyDescent="0.25">
      <c r="A5185">
        <v>20160318</v>
      </c>
      <c r="B5185" t="str">
        <f>"062728"</f>
        <v>062728</v>
      </c>
      <c r="C5185" t="str">
        <f>"07699"</f>
        <v>07699</v>
      </c>
      <c r="D5185" t="s">
        <v>2822</v>
      </c>
      <c r="E5185" s="3">
        <v>441.02</v>
      </c>
      <c r="F5185">
        <v>20160316</v>
      </c>
      <c r="G5185" t="s">
        <v>2339</v>
      </c>
      <c r="H5185" t="s">
        <v>3719</v>
      </c>
      <c r="I5185">
        <v>0</v>
      </c>
      <c r="J5185" t="s">
        <v>1709</v>
      </c>
      <c r="K5185" t="s">
        <v>290</v>
      </c>
      <c r="L5185" t="s">
        <v>285</v>
      </c>
      <c r="M5185" t="str">
        <f t="shared" si="370"/>
        <v>03</v>
      </c>
      <c r="N5185" t="s">
        <v>12</v>
      </c>
    </row>
    <row r="5186" spans="1:14" x14ac:dyDescent="0.25">
      <c r="A5186">
        <v>20160318</v>
      </c>
      <c r="B5186" t="str">
        <f>"062729"</f>
        <v>062729</v>
      </c>
      <c r="C5186" t="str">
        <f>"10022"</f>
        <v>10022</v>
      </c>
      <c r="D5186" t="s">
        <v>2445</v>
      </c>
      <c r="E5186" s="3">
        <v>12518</v>
      </c>
      <c r="F5186">
        <v>20160316</v>
      </c>
      <c r="G5186" t="s">
        <v>2281</v>
      </c>
      <c r="H5186" t="s">
        <v>4464</v>
      </c>
      <c r="I5186">
        <v>0</v>
      </c>
      <c r="J5186" t="s">
        <v>1709</v>
      </c>
      <c r="K5186" t="s">
        <v>290</v>
      </c>
      <c r="L5186" t="s">
        <v>285</v>
      </c>
      <c r="M5186" t="str">
        <f t="shared" si="370"/>
        <v>03</v>
      </c>
      <c r="N5186" t="s">
        <v>12</v>
      </c>
    </row>
    <row r="5187" spans="1:14" x14ac:dyDescent="0.25">
      <c r="A5187">
        <v>20160318</v>
      </c>
      <c r="B5187" t="str">
        <f t="shared" ref="B5187:B5194" si="371">"062731"</f>
        <v>062731</v>
      </c>
      <c r="C5187" t="str">
        <f t="shared" ref="C5187:C5194" si="372">"13268"</f>
        <v>13268</v>
      </c>
      <c r="D5187" t="s">
        <v>2450</v>
      </c>
      <c r="E5187" s="3">
        <v>112.95</v>
      </c>
      <c r="F5187">
        <v>20160316</v>
      </c>
      <c r="G5187" t="s">
        <v>2303</v>
      </c>
      <c r="H5187" t="s">
        <v>4465</v>
      </c>
      <c r="I5187">
        <v>0</v>
      </c>
      <c r="J5187" t="s">
        <v>1709</v>
      </c>
      <c r="K5187" t="s">
        <v>235</v>
      </c>
      <c r="L5187" t="s">
        <v>285</v>
      </c>
      <c r="M5187" t="str">
        <f t="shared" si="370"/>
        <v>03</v>
      </c>
      <c r="N5187" t="s">
        <v>12</v>
      </c>
    </row>
    <row r="5188" spans="1:14" x14ac:dyDescent="0.25">
      <c r="A5188">
        <v>20160318</v>
      </c>
      <c r="B5188" t="str">
        <f t="shared" si="371"/>
        <v>062731</v>
      </c>
      <c r="C5188" t="str">
        <f t="shared" si="372"/>
        <v>13268</v>
      </c>
      <c r="D5188" t="s">
        <v>2450</v>
      </c>
      <c r="E5188" s="3">
        <v>22.59</v>
      </c>
      <c r="F5188">
        <v>20160316</v>
      </c>
      <c r="G5188" t="s">
        <v>2303</v>
      </c>
      <c r="H5188" t="s">
        <v>4465</v>
      </c>
      <c r="I5188">
        <v>0</v>
      </c>
      <c r="J5188" t="s">
        <v>1709</v>
      </c>
      <c r="K5188" t="s">
        <v>235</v>
      </c>
      <c r="L5188" t="s">
        <v>285</v>
      </c>
      <c r="M5188" t="str">
        <f t="shared" si="370"/>
        <v>03</v>
      </c>
      <c r="N5188" t="s">
        <v>12</v>
      </c>
    </row>
    <row r="5189" spans="1:14" x14ac:dyDescent="0.25">
      <c r="A5189">
        <v>20160318</v>
      </c>
      <c r="B5189" t="str">
        <f t="shared" si="371"/>
        <v>062731</v>
      </c>
      <c r="C5189" t="str">
        <f t="shared" si="372"/>
        <v>13268</v>
      </c>
      <c r="D5189" t="s">
        <v>2450</v>
      </c>
      <c r="E5189" s="3">
        <v>1578.54</v>
      </c>
      <c r="F5189">
        <v>20160316</v>
      </c>
      <c r="G5189" t="s">
        <v>2303</v>
      </c>
      <c r="H5189" t="s">
        <v>4466</v>
      </c>
      <c r="I5189">
        <v>0</v>
      </c>
      <c r="J5189" t="s">
        <v>1709</v>
      </c>
      <c r="K5189" t="s">
        <v>235</v>
      </c>
      <c r="L5189" t="s">
        <v>285</v>
      </c>
      <c r="M5189" t="str">
        <f t="shared" si="370"/>
        <v>03</v>
      </c>
      <c r="N5189" t="s">
        <v>12</v>
      </c>
    </row>
    <row r="5190" spans="1:14" x14ac:dyDescent="0.25">
      <c r="A5190">
        <v>20160318</v>
      </c>
      <c r="B5190" t="str">
        <f t="shared" si="371"/>
        <v>062731</v>
      </c>
      <c r="C5190" t="str">
        <f t="shared" si="372"/>
        <v>13268</v>
      </c>
      <c r="D5190" t="s">
        <v>2450</v>
      </c>
      <c r="E5190" s="3">
        <v>57.32</v>
      </c>
      <c r="F5190">
        <v>20160316</v>
      </c>
      <c r="G5190" t="s">
        <v>2303</v>
      </c>
      <c r="H5190" t="s">
        <v>4467</v>
      </c>
      <c r="I5190">
        <v>0</v>
      </c>
      <c r="J5190" t="s">
        <v>1709</v>
      </c>
      <c r="K5190" t="s">
        <v>235</v>
      </c>
      <c r="L5190" t="s">
        <v>285</v>
      </c>
      <c r="M5190" t="str">
        <f t="shared" si="370"/>
        <v>03</v>
      </c>
      <c r="N5190" t="s">
        <v>12</v>
      </c>
    </row>
    <row r="5191" spans="1:14" x14ac:dyDescent="0.25">
      <c r="A5191">
        <v>20160318</v>
      </c>
      <c r="B5191" t="str">
        <f t="shared" si="371"/>
        <v>062731</v>
      </c>
      <c r="C5191" t="str">
        <f t="shared" si="372"/>
        <v>13268</v>
      </c>
      <c r="D5191" t="s">
        <v>2450</v>
      </c>
      <c r="E5191" s="3">
        <v>84.96</v>
      </c>
      <c r="F5191">
        <v>20160316</v>
      </c>
      <c r="G5191" t="s">
        <v>2303</v>
      </c>
      <c r="H5191" t="s">
        <v>4468</v>
      </c>
      <c r="I5191">
        <v>0</v>
      </c>
      <c r="J5191" t="s">
        <v>1709</v>
      </c>
      <c r="K5191" t="s">
        <v>235</v>
      </c>
      <c r="L5191" t="s">
        <v>285</v>
      </c>
      <c r="M5191" t="str">
        <f t="shared" si="370"/>
        <v>03</v>
      </c>
      <c r="N5191" t="s">
        <v>12</v>
      </c>
    </row>
    <row r="5192" spans="1:14" x14ac:dyDescent="0.25">
      <c r="A5192">
        <v>20160318</v>
      </c>
      <c r="B5192" t="str">
        <f t="shared" si="371"/>
        <v>062731</v>
      </c>
      <c r="C5192" t="str">
        <f t="shared" si="372"/>
        <v>13268</v>
      </c>
      <c r="D5192" t="s">
        <v>2450</v>
      </c>
      <c r="E5192" s="3">
        <v>4001.94</v>
      </c>
      <c r="F5192">
        <v>20160316</v>
      </c>
      <c r="G5192" t="s">
        <v>2303</v>
      </c>
      <c r="H5192" t="s">
        <v>3420</v>
      </c>
      <c r="I5192">
        <v>0</v>
      </c>
      <c r="J5192" t="s">
        <v>1709</v>
      </c>
      <c r="K5192" t="s">
        <v>235</v>
      </c>
      <c r="L5192" t="s">
        <v>285</v>
      </c>
      <c r="M5192" t="str">
        <f t="shared" si="370"/>
        <v>03</v>
      </c>
      <c r="N5192" t="s">
        <v>12</v>
      </c>
    </row>
    <row r="5193" spans="1:14" x14ac:dyDescent="0.25">
      <c r="A5193">
        <v>20160318</v>
      </c>
      <c r="B5193" t="str">
        <f t="shared" si="371"/>
        <v>062731</v>
      </c>
      <c r="C5193" t="str">
        <f t="shared" si="372"/>
        <v>13268</v>
      </c>
      <c r="D5193" t="s">
        <v>2450</v>
      </c>
      <c r="E5193" s="3">
        <v>1614.3</v>
      </c>
      <c r="F5193">
        <v>20160316</v>
      </c>
      <c r="G5193" t="s">
        <v>2303</v>
      </c>
      <c r="H5193" t="s">
        <v>3420</v>
      </c>
      <c r="I5193">
        <v>0</v>
      </c>
      <c r="J5193" t="s">
        <v>1709</v>
      </c>
      <c r="K5193" t="s">
        <v>235</v>
      </c>
      <c r="L5193" t="s">
        <v>285</v>
      </c>
      <c r="M5193" t="str">
        <f t="shared" si="370"/>
        <v>03</v>
      </c>
      <c r="N5193" t="s">
        <v>12</v>
      </c>
    </row>
    <row r="5194" spans="1:14" x14ac:dyDescent="0.25">
      <c r="A5194">
        <v>20160318</v>
      </c>
      <c r="B5194" t="str">
        <f t="shared" si="371"/>
        <v>062731</v>
      </c>
      <c r="C5194" t="str">
        <f t="shared" si="372"/>
        <v>13268</v>
      </c>
      <c r="D5194" t="s">
        <v>2450</v>
      </c>
      <c r="E5194" s="3">
        <v>7226.86</v>
      </c>
      <c r="F5194">
        <v>20160316</v>
      </c>
      <c r="G5194" t="s">
        <v>2303</v>
      </c>
      <c r="H5194" t="s">
        <v>3420</v>
      </c>
      <c r="I5194">
        <v>0</v>
      </c>
      <c r="J5194" t="s">
        <v>1709</v>
      </c>
      <c r="K5194" t="s">
        <v>235</v>
      </c>
      <c r="L5194" t="s">
        <v>285</v>
      </c>
      <c r="M5194" t="str">
        <f t="shared" si="370"/>
        <v>03</v>
      </c>
      <c r="N5194" t="s">
        <v>12</v>
      </c>
    </row>
    <row r="5195" spans="1:14" x14ac:dyDescent="0.25">
      <c r="A5195">
        <v>20160318</v>
      </c>
      <c r="B5195" t="str">
        <f>"062732"</f>
        <v>062732</v>
      </c>
      <c r="C5195" t="str">
        <f>"10196"</f>
        <v>10196</v>
      </c>
      <c r="D5195" t="s">
        <v>4469</v>
      </c>
      <c r="E5195" s="3">
        <v>1237.5</v>
      </c>
      <c r="F5195">
        <v>20160316</v>
      </c>
      <c r="G5195" t="s">
        <v>4470</v>
      </c>
      <c r="H5195" t="s">
        <v>4471</v>
      </c>
      <c r="I5195">
        <v>0</v>
      </c>
      <c r="J5195" t="s">
        <v>1709</v>
      </c>
      <c r="K5195" t="s">
        <v>290</v>
      </c>
      <c r="L5195" t="s">
        <v>285</v>
      </c>
      <c r="M5195" t="str">
        <f t="shared" si="370"/>
        <v>03</v>
      </c>
      <c r="N5195" t="s">
        <v>12</v>
      </c>
    </row>
    <row r="5196" spans="1:14" x14ac:dyDescent="0.25">
      <c r="A5196">
        <v>20160318</v>
      </c>
      <c r="B5196" t="str">
        <f>"062732"</f>
        <v>062732</v>
      </c>
      <c r="C5196" t="str">
        <f>"10196"</f>
        <v>10196</v>
      </c>
      <c r="D5196" t="s">
        <v>4469</v>
      </c>
      <c r="E5196" s="3">
        <v>1237.5</v>
      </c>
      <c r="F5196">
        <v>20160316</v>
      </c>
      <c r="G5196" t="s">
        <v>4472</v>
      </c>
      <c r="H5196" t="s">
        <v>4471</v>
      </c>
      <c r="I5196">
        <v>0</v>
      </c>
      <c r="J5196" t="s">
        <v>1709</v>
      </c>
      <c r="K5196" t="s">
        <v>95</v>
      </c>
      <c r="L5196" t="s">
        <v>285</v>
      </c>
      <c r="M5196" t="str">
        <f t="shared" si="370"/>
        <v>03</v>
      </c>
      <c r="N5196" t="s">
        <v>12</v>
      </c>
    </row>
    <row r="5197" spans="1:14" x14ac:dyDescent="0.25">
      <c r="A5197">
        <v>20160318</v>
      </c>
      <c r="B5197" t="str">
        <f>"062732"</f>
        <v>062732</v>
      </c>
      <c r="C5197" t="str">
        <f>"10196"</f>
        <v>10196</v>
      </c>
      <c r="D5197" t="s">
        <v>4469</v>
      </c>
      <c r="E5197" s="3">
        <v>1237.5</v>
      </c>
      <c r="F5197">
        <v>20160316</v>
      </c>
      <c r="G5197" t="s">
        <v>4473</v>
      </c>
      <c r="H5197" t="s">
        <v>4471</v>
      </c>
      <c r="I5197">
        <v>0</v>
      </c>
      <c r="J5197" t="s">
        <v>1709</v>
      </c>
      <c r="K5197" t="s">
        <v>1643</v>
      </c>
      <c r="L5197" t="s">
        <v>285</v>
      </c>
      <c r="M5197" t="str">
        <f t="shared" si="370"/>
        <v>03</v>
      </c>
      <c r="N5197" t="s">
        <v>12</v>
      </c>
    </row>
    <row r="5198" spans="1:14" x14ac:dyDescent="0.25">
      <c r="A5198">
        <v>20160318</v>
      </c>
      <c r="B5198" t="str">
        <f>"062732"</f>
        <v>062732</v>
      </c>
      <c r="C5198" t="str">
        <f>"10196"</f>
        <v>10196</v>
      </c>
      <c r="D5198" t="s">
        <v>4469</v>
      </c>
      <c r="E5198" s="3">
        <v>1237.5</v>
      </c>
      <c r="F5198">
        <v>20160316</v>
      </c>
      <c r="G5198" t="s">
        <v>4474</v>
      </c>
      <c r="H5198" t="s">
        <v>4471</v>
      </c>
      <c r="I5198">
        <v>0</v>
      </c>
      <c r="J5198" t="s">
        <v>1709</v>
      </c>
      <c r="K5198" t="s">
        <v>33</v>
      </c>
      <c r="L5198" t="s">
        <v>285</v>
      </c>
      <c r="M5198" t="str">
        <f t="shared" si="370"/>
        <v>03</v>
      </c>
      <c r="N5198" t="s">
        <v>12</v>
      </c>
    </row>
    <row r="5199" spans="1:14" x14ac:dyDescent="0.25">
      <c r="A5199">
        <v>20160318</v>
      </c>
      <c r="B5199" t="str">
        <f t="shared" ref="B5199:B5214" si="373">"062733"</f>
        <v>062733</v>
      </c>
      <c r="C5199" t="str">
        <f t="shared" ref="C5199:C5214" si="374">"14821"</f>
        <v>14821</v>
      </c>
      <c r="D5199" t="s">
        <v>2461</v>
      </c>
      <c r="E5199" s="3">
        <v>14656.66</v>
      </c>
      <c r="F5199">
        <v>20160316</v>
      </c>
      <c r="G5199" t="s">
        <v>2303</v>
      </c>
      <c r="H5199" t="s">
        <v>3420</v>
      </c>
      <c r="I5199">
        <v>0</v>
      </c>
      <c r="J5199" t="s">
        <v>1709</v>
      </c>
      <c r="K5199" t="s">
        <v>235</v>
      </c>
      <c r="L5199" t="s">
        <v>285</v>
      </c>
      <c r="M5199" t="str">
        <f t="shared" si="370"/>
        <v>03</v>
      </c>
      <c r="N5199" t="s">
        <v>12</v>
      </c>
    </row>
    <row r="5200" spans="1:14" x14ac:dyDescent="0.25">
      <c r="A5200">
        <v>20160318</v>
      </c>
      <c r="B5200" t="str">
        <f t="shared" si="373"/>
        <v>062733</v>
      </c>
      <c r="C5200" t="str">
        <f t="shared" si="374"/>
        <v>14821</v>
      </c>
      <c r="D5200" t="s">
        <v>2461</v>
      </c>
      <c r="E5200" s="3">
        <v>3.5</v>
      </c>
      <c r="F5200">
        <v>20160316</v>
      </c>
      <c r="G5200" t="s">
        <v>2303</v>
      </c>
      <c r="H5200" t="s">
        <v>3317</v>
      </c>
      <c r="I5200">
        <v>0</v>
      </c>
      <c r="J5200" t="s">
        <v>1709</v>
      </c>
      <c r="K5200" t="s">
        <v>235</v>
      </c>
      <c r="L5200" t="s">
        <v>285</v>
      </c>
      <c r="M5200" t="str">
        <f t="shared" si="370"/>
        <v>03</v>
      </c>
      <c r="N5200" t="s">
        <v>12</v>
      </c>
    </row>
    <row r="5201" spans="1:14" x14ac:dyDescent="0.25">
      <c r="A5201">
        <v>20160318</v>
      </c>
      <c r="B5201" t="str">
        <f t="shared" si="373"/>
        <v>062733</v>
      </c>
      <c r="C5201" t="str">
        <f t="shared" si="374"/>
        <v>14821</v>
      </c>
      <c r="D5201" t="s">
        <v>2461</v>
      </c>
      <c r="E5201" s="3">
        <v>14.54</v>
      </c>
      <c r="F5201">
        <v>20160316</v>
      </c>
      <c r="G5201" t="s">
        <v>2303</v>
      </c>
      <c r="H5201" t="s">
        <v>4475</v>
      </c>
      <c r="I5201">
        <v>0</v>
      </c>
      <c r="J5201" t="s">
        <v>1709</v>
      </c>
      <c r="K5201" t="s">
        <v>235</v>
      </c>
      <c r="L5201" t="s">
        <v>285</v>
      </c>
      <c r="M5201" t="str">
        <f t="shared" si="370"/>
        <v>03</v>
      </c>
      <c r="N5201" t="s">
        <v>12</v>
      </c>
    </row>
    <row r="5202" spans="1:14" x14ac:dyDescent="0.25">
      <c r="A5202">
        <v>20160318</v>
      </c>
      <c r="B5202" t="str">
        <f t="shared" si="373"/>
        <v>062733</v>
      </c>
      <c r="C5202" t="str">
        <f t="shared" si="374"/>
        <v>14821</v>
      </c>
      <c r="D5202" t="s">
        <v>2461</v>
      </c>
      <c r="E5202" s="3">
        <v>22.5</v>
      </c>
      <c r="F5202">
        <v>20160316</v>
      </c>
      <c r="G5202" t="s">
        <v>2303</v>
      </c>
      <c r="H5202" t="s">
        <v>4476</v>
      </c>
      <c r="I5202">
        <v>0</v>
      </c>
      <c r="J5202" t="s">
        <v>1709</v>
      </c>
      <c r="K5202" t="s">
        <v>235</v>
      </c>
      <c r="L5202" t="s">
        <v>285</v>
      </c>
      <c r="M5202" t="str">
        <f t="shared" si="370"/>
        <v>03</v>
      </c>
      <c r="N5202" t="s">
        <v>12</v>
      </c>
    </row>
    <row r="5203" spans="1:14" x14ac:dyDescent="0.25">
      <c r="A5203">
        <v>20160318</v>
      </c>
      <c r="B5203" t="str">
        <f t="shared" si="373"/>
        <v>062733</v>
      </c>
      <c r="C5203" t="str">
        <f t="shared" si="374"/>
        <v>14821</v>
      </c>
      <c r="D5203" t="s">
        <v>2461</v>
      </c>
      <c r="E5203" s="3">
        <v>112.5</v>
      </c>
      <c r="F5203">
        <v>20160316</v>
      </c>
      <c r="G5203" t="s">
        <v>2303</v>
      </c>
      <c r="H5203" t="s">
        <v>4476</v>
      </c>
      <c r="I5203">
        <v>0</v>
      </c>
      <c r="J5203" t="s">
        <v>1709</v>
      </c>
      <c r="K5203" t="s">
        <v>235</v>
      </c>
      <c r="L5203" t="s">
        <v>285</v>
      </c>
      <c r="M5203" t="str">
        <f t="shared" si="370"/>
        <v>03</v>
      </c>
      <c r="N5203" t="s">
        <v>12</v>
      </c>
    </row>
    <row r="5204" spans="1:14" x14ac:dyDescent="0.25">
      <c r="A5204">
        <v>20160318</v>
      </c>
      <c r="B5204" t="str">
        <f t="shared" si="373"/>
        <v>062733</v>
      </c>
      <c r="C5204" t="str">
        <f t="shared" si="374"/>
        <v>14821</v>
      </c>
      <c r="D5204" t="s">
        <v>2461</v>
      </c>
      <c r="E5204" s="3">
        <v>5527.16</v>
      </c>
      <c r="F5204">
        <v>20160316</v>
      </c>
      <c r="G5204" t="s">
        <v>2303</v>
      </c>
      <c r="H5204" t="s">
        <v>3420</v>
      </c>
      <c r="I5204">
        <v>0</v>
      </c>
      <c r="J5204" t="s">
        <v>1709</v>
      </c>
      <c r="K5204" t="s">
        <v>235</v>
      </c>
      <c r="L5204" t="s">
        <v>285</v>
      </c>
      <c r="M5204" t="str">
        <f t="shared" si="370"/>
        <v>03</v>
      </c>
      <c r="N5204" t="s">
        <v>12</v>
      </c>
    </row>
    <row r="5205" spans="1:14" x14ac:dyDescent="0.25">
      <c r="A5205">
        <v>20160318</v>
      </c>
      <c r="B5205" t="str">
        <f t="shared" si="373"/>
        <v>062733</v>
      </c>
      <c r="C5205" t="str">
        <f t="shared" si="374"/>
        <v>14821</v>
      </c>
      <c r="D5205" t="s">
        <v>2461</v>
      </c>
      <c r="E5205" s="3">
        <v>62.52</v>
      </c>
      <c r="F5205">
        <v>20160316</v>
      </c>
      <c r="G5205" t="s">
        <v>2303</v>
      </c>
      <c r="H5205" t="s">
        <v>4477</v>
      </c>
      <c r="I5205">
        <v>0</v>
      </c>
      <c r="J5205" t="s">
        <v>1709</v>
      </c>
      <c r="K5205" t="s">
        <v>235</v>
      </c>
      <c r="L5205" t="s">
        <v>285</v>
      </c>
      <c r="M5205" t="str">
        <f t="shared" si="370"/>
        <v>03</v>
      </c>
      <c r="N5205" t="s">
        <v>12</v>
      </c>
    </row>
    <row r="5206" spans="1:14" x14ac:dyDescent="0.25">
      <c r="A5206">
        <v>20160318</v>
      </c>
      <c r="B5206" t="str">
        <f t="shared" si="373"/>
        <v>062733</v>
      </c>
      <c r="C5206" t="str">
        <f t="shared" si="374"/>
        <v>14821</v>
      </c>
      <c r="D5206" t="s">
        <v>2461</v>
      </c>
      <c r="E5206" s="3">
        <v>41.09</v>
      </c>
      <c r="F5206">
        <v>20160316</v>
      </c>
      <c r="G5206" t="s">
        <v>2303</v>
      </c>
      <c r="H5206" t="s">
        <v>4478</v>
      </c>
      <c r="I5206">
        <v>0</v>
      </c>
      <c r="J5206" t="s">
        <v>1709</v>
      </c>
      <c r="K5206" t="s">
        <v>235</v>
      </c>
      <c r="L5206" t="s">
        <v>285</v>
      </c>
      <c r="M5206" t="str">
        <f t="shared" si="370"/>
        <v>03</v>
      </c>
      <c r="N5206" t="s">
        <v>12</v>
      </c>
    </row>
    <row r="5207" spans="1:14" x14ac:dyDescent="0.25">
      <c r="A5207">
        <v>20160318</v>
      </c>
      <c r="B5207" t="str">
        <f t="shared" si="373"/>
        <v>062733</v>
      </c>
      <c r="C5207" t="str">
        <f t="shared" si="374"/>
        <v>14821</v>
      </c>
      <c r="D5207" t="s">
        <v>2461</v>
      </c>
      <c r="E5207" s="3">
        <v>102.8</v>
      </c>
      <c r="F5207">
        <v>20160316</v>
      </c>
      <c r="G5207" t="s">
        <v>2303</v>
      </c>
      <c r="H5207" t="s">
        <v>4479</v>
      </c>
      <c r="I5207">
        <v>0</v>
      </c>
      <c r="J5207" t="s">
        <v>1709</v>
      </c>
      <c r="K5207" t="s">
        <v>235</v>
      </c>
      <c r="L5207" t="s">
        <v>285</v>
      </c>
      <c r="M5207" t="str">
        <f t="shared" si="370"/>
        <v>03</v>
      </c>
      <c r="N5207" t="s">
        <v>12</v>
      </c>
    </row>
    <row r="5208" spans="1:14" x14ac:dyDescent="0.25">
      <c r="A5208">
        <v>20160318</v>
      </c>
      <c r="B5208" t="str">
        <f t="shared" si="373"/>
        <v>062733</v>
      </c>
      <c r="C5208" t="str">
        <f t="shared" si="374"/>
        <v>14821</v>
      </c>
      <c r="D5208" t="s">
        <v>2461</v>
      </c>
      <c r="E5208" s="3">
        <v>87.24</v>
      </c>
      <c r="F5208">
        <v>20160316</v>
      </c>
      <c r="G5208" t="s">
        <v>2303</v>
      </c>
      <c r="H5208" t="s">
        <v>4480</v>
      </c>
      <c r="I5208">
        <v>0</v>
      </c>
      <c r="J5208" t="s">
        <v>1709</v>
      </c>
      <c r="K5208" t="s">
        <v>235</v>
      </c>
      <c r="L5208" t="s">
        <v>285</v>
      </c>
      <c r="M5208" t="str">
        <f t="shared" si="370"/>
        <v>03</v>
      </c>
      <c r="N5208" t="s">
        <v>12</v>
      </c>
    </row>
    <row r="5209" spans="1:14" x14ac:dyDescent="0.25">
      <c r="A5209">
        <v>20160318</v>
      </c>
      <c r="B5209" t="str">
        <f t="shared" si="373"/>
        <v>062733</v>
      </c>
      <c r="C5209" t="str">
        <f t="shared" si="374"/>
        <v>14821</v>
      </c>
      <c r="D5209" t="s">
        <v>2461</v>
      </c>
      <c r="E5209" s="3">
        <v>2088.96</v>
      </c>
      <c r="F5209">
        <v>20160316</v>
      </c>
      <c r="G5209" t="s">
        <v>2303</v>
      </c>
      <c r="H5209" t="s">
        <v>3421</v>
      </c>
      <c r="I5209">
        <v>0</v>
      </c>
      <c r="J5209" t="s">
        <v>1709</v>
      </c>
      <c r="K5209" t="s">
        <v>235</v>
      </c>
      <c r="L5209" t="s">
        <v>285</v>
      </c>
      <c r="M5209" t="str">
        <f t="shared" si="370"/>
        <v>03</v>
      </c>
      <c r="N5209" t="s">
        <v>12</v>
      </c>
    </row>
    <row r="5210" spans="1:14" x14ac:dyDescent="0.25">
      <c r="A5210">
        <v>20160318</v>
      </c>
      <c r="B5210" t="str">
        <f t="shared" si="373"/>
        <v>062733</v>
      </c>
      <c r="C5210" t="str">
        <f t="shared" si="374"/>
        <v>14821</v>
      </c>
      <c r="D5210" t="s">
        <v>2461</v>
      </c>
      <c r="E5210" s="3">
        <v>4458.6000000000004</v>
      </c>
      <c r="F5210">
        <v>20160316</v>
      </c>
      <c r="G5210" t="s">
        <v>2303</v>
      </c>
      <c r="H5210" t="s">
        <v>3420</v>
      </c>
      <c r="I5210">
        <v>0</v>
      </c>
      <c r="J5210" t="s">
        <v>1709</v>
      </c>
      <c r="K5210" t="s">
        <v>235</v>
      </c>
      <c r="L5210" t="s">
        <v>285</v>
      </c>
      <c r="M5210" t="str">
        <f t="shared" si="370"/>
        <v>03</v>
      </c>
      <c r="N5210" t="s">
        <v>12</v>
      </c>
    </row>
    <row r="5211" spans="1:14" x14ac:dyDescent="0.25">
      <c r="A5211">
        <v>20160318</v>
      </c>
      <c r="B5211" t="str">
        <f t="shared" si="373"/>
        <v>062733</v>
      </c>
      <c r="C5211" t="str">
        <f t="shared" si="374"/>
        <v>14821</v>
      </c>
      <c r="D5211" t="s">
        <v>2461</v>
      </c>
      <c r="E5211" s="3">
        <v>621.49</v>
      </c>
      <c r="F5211">
        <v>20160316</v>
      </c>
      <c r="G5211" t="s">
        <v>2303</v>
      </c>
      <c r="H5211" t="s">
        <v>3420</v>
      </c>
      <c r="I5211">
        <v>0</v>
      </c>
      <c r="J5211" t="s">
        <v>1709</v>
      </c>
      <c r="K5211" t="s">
        <v>235</v>
      </c>
      <c r="L5211" t="s">
        <v>285</v>
      </c>
      <c r="M5211" t="str">
        <f t="shared" si="370"/>
        <v>03</v>
      </c>
      <c r="N5211" t="s">
        <v>12</v>
      </c>
    </row>
    <row r="5212" spans="1:14" x14ac:dyDescent="0.25">
      <c r="A5212">
        <v>20160318</v>
      </c>
      <c r="B5212" t="str">
        <f t="shared" si="373"/>
        <v>062733</v>
      </c>
      <c r="C5212" t="str">
        <f t="shared" si="374"/>
        <v>14821</v>
      </c>
      <c r="D5212" t="s">
        <v>2461</v>
      </c>
      <c r="E5212" s="3">
        <v>75.400000000000006</v>
      </c>
      <c r="F5212">
        <v>20160316</v>
      </c>
      <c r="G5212" t="s">
        <v>2303</v>
      </c>
      <c r="H5212" t="s">
        <v>4481</v>
      </c>
      <c r="I5212">
        <v>0</v>
      </c>
      <c r="J5212" t="s">
        <v>1709</v>
      </c>
      <c r="K5212" t="s">
        <v>235</v>
      </c>
      <c r="L5212" t="s">
        <v>285</v>
      </c>
      <c r="M5212" t="str">
        <f t="shared" si="370"/>
        <v>03</v>
      </c>
      <c r="N5212" t="s">
        <v>12</v>
      </c>
    </row>
    <row r="5213" spans="1:14" x14ac:dyDescent="0.25">
      <c r="A5213">
        <v>20160318</v>
      </c>
      <c r="B5213" t="str">
        <f t="shared" si="373"/>
        <v>062733</v>
      </c>
      <c r="C5213" t="str">
        <f t="shared" si="374"/>
        <v>14821</v>
      </c>
      <c r="D5213" t="s">
        <v>2461</v>
      </c>
      <c r="E5213" s="3">
        <v>-62.52</v>
      </c>
      <c r="F5213">
        <v>20160114</v>
      </c>
      <c r="G5213" t="s">
        <v>2303</v>
      </c>
      <c r="H5213" t="s">
        <v>4482</v>
      </c>
      <c r="I5213">
        <v>0</v>
      </c>
      <c r="J5213" t="s">
        <v>1709</v>
      </c>
      <c r="K5213" t="s">
        <v>235</v>
      </c>
      <c r="L5213" t="s">
        <v>1385</v>
      </c>
      <c r="M5213" t="str">
        <f t="shared" si="370"/>
        <v>03</v>
      </c>
      <c r="N5213" t="s">
        <v>12</v>
      </c>
    </row>
    <row r="5214" spans="1:14" x14ac:dyDescent="0.25">
      <c r="A5214">
        <v>20160318</v>
      </c>
      <c r="B5214" t="str">
        <f t="shared" si="373"/>
        <v>062733</v>
      </c>
      <c r="C5214" t="str">
        <f t="shared" si="374"/>
        <v>14821</v>
      </c>
      <c r="D5214" t="s">
        <v>2461</v>
      </c>
      <c r="E5214" s="3">
        <v>56.69</v>
      </c>
      <c r="F5214">
        <v>20160316</v>
      </c>
      <c r="G5214" t="s">
        <v>4483</v>
      </c>
      <c r="H5214" t="s">
        <v>4484</v>
      </c>
      <c r="I5214">
        <v>0</v>
      </c>
      <c r="J5214" t="s">
        <v>1709</v>
      </c>
      <c r="K5214" t="s">
        <v>1754</v>
      </c>
      <c r="L5214" t="s">
        <v>285</v>
      </c>
      <c r="M5214" t="str">
        <f t="shared" si="370"/>
        <v>03</v>
      </c>
      <c r="N5214" t="s">
        <v>12</v>
      </c>
    </row>
    <row r="5215" spans="1:14" x14ac:dyDescent="0.25">
      <c r="A5215">
        <v>20160318</v>
      </c>
      <c r="B5215" t="str">
        <f>"062734"</f>
        <v>062734</v>
      </c>
      <c r="C5215" t="str">
        <f>"74150"</f>
        <v>74150</v>
      </c>
      <c r="D5215" t="s">
        <v>3047</v>
      </c>
      <c r="E5215" s="3">
        <v>408.99</v>
      </c>
      <c r="F5215">
        <v>20160316</v>
      </c>
      <c r="G5215" t="s">
        <v>2192</v>
      </c>
      <c r="H5215" t="s">
        <v>4485</v>
      </c>
      <c r="I5215">
        <v>0</v>
      </c>
      <c r="J5215" t="s">
        <v>1709</v>
      </c>
      <c r="K5215" t="s">
        <v>2194</v>
      </c>
      <c r="L5215" t="s">
        <v>285</v>
      </c>
      <c r="M5215" t="str">
        <f t="shared" si="370"/>
        <v>03</v>
      </c>
      <c r="N5215" t="s">
        <v>12</v>
      </c>
    </row>
    <row r="5216" spans="1:14" x14ac:dyDescent="0.25">
      <c r="A5216">
        <v>20160318</v>
      </c>
      <c r="B5216" t="str">
        <f t="shared" ref="B5216:B5227" si="375">"062736"</f>
        <v>062736</v>
      </c>
      <c r="C5216" t="str">
        <f t="shared" ref="C5216:C5227" si="376">"20683"</f>
        <v>20683</v>
      </c>
      <c r="D5216" t="s">
        <v>1818</v>
      </c>
      <c r="E5216" s="3">
        <v>112.76</v>
      </c>
      <c r="F5216">
        <v>20160316</v>
      </c>
      <c r="G5216" t="s">
        <v>2469</v>
      </c>
      <c r="H5216" t="s">
        <v>4486</v>
      </c>
      <c r="I5216">
        <v>0</v>
      </c>
      <c r="J5216" t="s">
        <v>1709</v>
      </c>
      <c r="K5216" t="s">
        <v>290</v>
      </c>
      <c r="L5216" t="s">
        <v>285</v>
      </c>
      <c r="M5216" t="str">
        <f t="shared" si="370"/>
        <v>03</v>
      </c>
      <c r="N5216" t="s">
        <v>12</v>
      </c>
    </row>
    <row r="5217" spans="1:14" x14ac:dyDescent="0.25">
      <c r="A5217">
        <v>20160318</v>
      </c>
      <c r="B5217" t="str">
        <f t="shared" si="375"/>
        <v>062736</v>
      </c>
      <c r="C5217" t="str">
        <f t="shared" si="376"/>
        <v>20683</v>
      </c>
      <c r="D5217" t="s">
        <v>1818</v>
      </c>
      <c r="E5217" s="3">
        <v>47.56</v>
      </c>
      <c r="F5217">
        <v>20160316</v>
      </c>
      <c r="G5217" t="s">
        <v>2469</v>
      </c>
      <c r="H5217" t="s">
        <v>4487</v>
      </c>
      <c r="I5217">
        <v>0</v>
      </c>
      <c r="J5217" t="s">
        <v>1709</v>
      </c>
      <c r="K5217" t="s">
        <v>290</v>
      </c>
      <c r="L5217" t="s">
        <v>285</v>
      </c>
      <c r="M5217" t="str">
        <f t="shared" si="370"/>
        <v>03</v>
      </c>
      <c r="N5217" t="s">
        <v>12</v>
      </c>
    </row>
    <row r="5218" spans="1:14" x14ac:dyDescent="0.25">
      <c r="A5218">
        <v>20160318</v>
      </c>
      <c r="B5218" t="str">
        <f t="shared" si="375"/>
        <v>062736</v>
      </c>
      <c r="C5218" t="str">
        <f t="shared" si="376"/>
        <v>20683</v>
      </c>
      <c r="D5218" t="s">
        <v>1818</v>
      </c>
      <c r="E5218" s="3">
        <v>47.56</v>
      </c>
      <c r="F5218">
        <v>20160316</v>
      </c>
      <c r="G5218" t="s">
        <v>2469</v>
      </c>
      <c r="H5218" t="s">
        <v>4488</v>
      </c>
      <c r="I5218">
        <v>0</v>
      </c>
      <c r="J5218" t="s">
        <v>1709</v>
      </c>
      <c r="K5218" t="s">
        <v>290</v>
      </c>
      <c r="L5218" t="s">
        <v>285</v>
      </c>
      <c r="M5218" t="str">
        <f t="shared" si="370"/>
        <v>03</v>
      </c>
      <c r="N5218" t="s">
        <v>12</v>
      </c>
    </row>
    <row r="5219" spans="1:14" x14ac:dyDescent="0.25">
      <c r="A5219">
        <v>20160318</v>
      </c>
      <c r="B5219" t="str">
        <f t="shared" si="375"/>
        <v>062736</v>
      </c>
      <c r="C5219" t="str">
        <f t="shared" si="376"/>
        <v>20683</v>
      </c>
      <c r="D5219" t="s">
        <v>1818</v>
      </c>
      <c r="E5219" s="3">
        <v>47.56</v>
      </c>
      <c r="F5219">
        <v>20160316</v>
      </c>
      <c r="G5219" t="s">
        <v>2469</v>
      </c>
      <c r="H5219" t="s">
        <v>4489</v>
      </c>
      <c r="I5219">
        <v>0</v>
      </c>
      <c r="J5219" t="s">
        <v>1709</v>
      </c>
      <c r="K5219" t="s">
        <v>290</v>
      </c>
      <c r="L5219" t="s">
        <v>285</v>
      </c>
      <c r="M5219" t="str">
        <f t="shared" si="370"/>
        <v>03</v>
      </c>
      <c r="N5219" t="s">
        <v>12</v>
      </c>
    </row>
    <row r="5220" spans="1:14" x14ac:dyDescent="0.25">
      <c r="A5220">
        <v>20160318</v>
      </c>
      <c r="B5220" t="str">
        <f t="shared" si="375"/>
        <v>062736</v>
      </c>
      <c r="C5220" t="str">
        <f t="shared" si="376"/>
        <v>20683</v>
      </c>
      <c r="D5220" t="s">
        <v>1818</v>
      </c>
      <c r="E5220" s="3">
        <v>75.540000000000006</v>
      </c>
      <c r="F5220">
        <v>20160316</v>
      </c>
      <c r="G5220" t="s">
        <v>2469</v>
      </c>
      <c r="H5220" t="s">
        <v>4490</v>
      </c>
      <c r="I5220">
        <v>0</v>
      </c>
      <c r="J5220" t="s">
        <v>1709</v>
      </c>
      <c r="K5220" t="s">
        <v>290</v>
      </c>
      <c r="L5220" t="s">
        <v>285</v>
      </c>
      <c r="M5220" t="str">
        <f t="shared" si="370"/>
        <v>03</v>
      </c>
      <c r="N5220" t="s">
        <v>12</v>
      </c>
    </row>
    <row r="5221" spans="1:14" x14ac:dyDescent="0.25">
      <c r="A5221">
        <v>20160318</v>
      </c>
      <c r="B5221" t="str">
        <f t="shared" si="375"/>
        <v>062736</v>
      </c>
      <c r="C5221" t="str">
        <f t="shared" si="376"/>
        <v>20683</v>
      </c>
      <c r="D5221" t="s">
        <v>1818</v>
      </c>
      <c r="E5221" s="3">
        <v>63.14</v>
      </c>
      <c r="F5221">
        <v>20160317</v>
      </c>
      <c r="G5221" t="s">
        <v>2469</v>
      </c>
      <c r="H5221" t="s">
        <v>4491</v>
      </c>
      <c r="I5221">
        <v>0</v>
      </c>
      <c r="J5221" t="s">
        <v>1709</v>
      </c>
      <c r="K5221" t="s">
        <v>290</v>
      </c>
      <c r="L5221" t="s">
        <v>285</v>
      </c>
      <c r="M5221" t="str">
        <f t="shared" si="370"/>
        <v>03</v>
      </c>
      <c r="N5221" t="s">
        <v>12</v>
      </c>
    </row>
    <row r="5222" spans="1:14" x14ac:dyDescent="0.25">
      <c r="A5222">
        <v>20160318</v>
      </c>
      <c r="B5222" t="str">
        <f t="shared" si="375"/>
        <v>062736</v>
      </c>
      <c r="C5222" t="str">
        <f t="shared" si="376"/>
        <v>20683</v>
      </c>
      <c r="D5222" t="s">
        <v>1818</v>
      </c>
      <c r="E5222" s="3">
        <v>34.229999999999997</v>
      </c>
      <c r="F5222">
        <v>20160316</v>
      </c>
      <c r="G5222" t="s">
        <v>2333</v>
      </c>
      <c r="H5222" t="s">
        <v>4486</v>
      </c>
      <c r="I5222">
        <v>0</v>
      </c>
      <c r="J5222" t="s">
        <v>1709</v>
      </c>
      <c r="K5222" t="s">
        <v>290</v>
      </c>
      <c r="L5222" t="s">
        <v>285</v>
      </c>
      <c r="M5222" t="str">
        <f t="shared" si="370"/>
        <v>03</v>
      </c>
      <c r="N5222" t="s">
        <v>12</v>
      </c>
    </row>
    <row r="5223" spans="1:14" x14ac:dyDescent="0.25">
      <c r="A5223">
        <v>20160318</v>
      </c>
      <c r="B5223" t="str">
        <f t="shared" si="375"/>
        <v>062736</v>
      </c>
      <c r="C5223" t="str">
        <f t="shared" si="376"/>
        <v>20683</v>
      </c>
      <c r="D5223" t="s">
        <v>1818</v>
      </c>
      <c r="E5223" s="3">
        <v>34.25</v>
      </c>
      <c r="F5223">
        <v>20160316</v>
      </c>
      <c r="G5223" t="s">
        <v>2333</v>
      </c>
      <c r="H5223" t="s">
        <v>4491</v>
      </c>
      <c r="I5223">
        <v>0</v>
      </c>
      <c r="J5223" t="s">
        <v>1709</v>
      </c>
      <c r="K5223" t="s">
        <v>290</v>
      </c>
      <c r="L5223" t="s">
        <v>285</v>
      </c>
      <c r="M5223" t="str">
        <f t="shared" si="370"/>
        <v>03</v>
      </c>
      <c r="N5223" t="s">
        <v>12</v>
      </c>
    </row>
    <row r="5224" spans="1:14" x14ac:dyDescent="0.25">
      <c r="A5224">
        <v>20160318</v>
      </c>
      <c r="B5224" t="str">
        <f t="shared" si="375"/>
        <v>062736</v>
      </c>
      <c r="C5224" t="str">
        <f t="shared" si="376"/>
        <v>20683</v>
      </c>
      <c r="D5224" t="s">
        <v>1818</v>
      </c>
      <c r="E5224" s="3">
        <v>12.43</v>
      </c>
      <c r="F5224">
        <v>20160316</v>
      </c>
      <c r="G5224" t="s">
        <v>2333</v>
      </c>
      <c r="H5224" t="s">
        <v>4487</v>
      </c>
      <c r="I5224">
        <v>0</v>
      </c>
      <c r="J5224" t="s">
        <v>1709</v>
      </c>
      <c r="K5224" t="s">
        <v>290</v>
      </c>
      <c r="L5224" t="s">
        <v>285</v>
      </c>
      <c r="M5224" t="str">
        <f t="shared" si="370"/>
        <v>03</v>
      </c>
      <c r="N5224" t="s">
        <v>12</v>
      </c>
    </row>
    <row r="5225" spans="1:14" x14ac:dyDescent="0.25">
      <c r="A5225">
        <v>20160318</v>
      </c>
      <c r="B5225" t="str">
        <f t="shared" si="375"/>
        <v>062736</v>
      </c>
      <c r="C5225" t="str">
        <f t="shared" si="376"/>
        <v>20683</v>
      </c>
      <c r="D5225" t="s">
        <v>1818</v>
      </c>
      <c r="E5225" s="3">
        <v>12.43</v>
      </c>
      <c r="F5225">
        <v>20160316</v>
      </c>
      <c r="G5225" t="s">
        <v>2333</v>
      </c>
      <c r="H5225" t="s">
        <v>4488</v>
      </c>
      <c r="I5225">
        <v>0</v>
      </c>
      <c r="J5225" t="s">
        <v>1709</v>
      </c>
      <c r="K5225" t="s">
        <v>290</v>
      </c>
      <c r="L5225" t="s">
        <v>285</v>
      </c>
      <c r="M5225" t="str">
        <f t="shared" si="370"/>
        <v>03</v>
      </c>
      <c r="N5225" t="s">
        <v>12</v>
      </c>
    </row>
    <row r="5226" spans="1:14" x14ac:dyDescent="0.25">
      <c r="A5226">
        <v>20160318</v>
      </c>
      <c r="B5226" t="str">
        <f t="shared" si="375"/>
        <v>062736</v>
      </c>
      <c r="C5226" t="str">
        <f t="shared" si="376"/>
        <v>20683</v>
      </c>
      <c r="D5226" t="s">
        <v>1818</v>
      </c>
      <c r="E5226" s="3">
        <v>12.43</v>
      </c>
      <c r="F5226">
        <v>20160316</v>
      </c>
      <c r="G5226" t="s">
        <v>2333</v>
      </c>
      <c r="H5226" t="s">
        <v>4489</v>
      </c>
      <c r="I5226">
        <v>0</v>
      </c>
      <c r="J5226" t="s">
        <v>1709</v>
      </c>
      <c r="K5226" t="s">
        <v>290</v>
      </c>
      <c r="L5226" t="s">
        <v>285</v>
      </c>
      <c r="M5226" t="str">
        <f t="shared" si="370"/>
        <v>03</v>
      </c>
      <c r="N5226" t="s">
        <v>12</v>
      </c>
    </row>
    <row r="5227" spans="1:14" x14ac:dyDescent="0.25">
      <c r="A5227">
        <v>20160318</v>
      </c>
      <c r="B5227" t="str">
        <f t="shared" si="375"/>
        <v>062736</v>
      </c>
      <c r="C5227" t="str">
        <f t="shared" si="376"/>
        <v>20683</v>
      </c>
      <c r="D5227" t="s">
        <v>1818</v>
      </c>
      <c r="E5227" s="3">
        <v>34.25</v>
      </c>
      <c r="F5227">
        <v>20160316</v>
      </c>
      <c r="G5227" t="s">
        <v>2333</v>
      </c>
      <c r="H5227" t="s">
        <v>4490</v>
      </c>
      <c r="I5227">
        <v>0</v>
      </c>
      <c r="J5227" t="s">
        <v>1709</v>
      </c>
      <c r="K5227" t="s">
        <v>290</v>
      </c>
      <c r="L5227" t="s">
        <v>285</v>
      </c>
      <c r="M5227" t="str">
        <f t="shared" si="370"/>
        <v>03</v>
      </c>
      <c r="N5227" t="s">
        <v>12</v>
      </c>
    </row>
    <row r="5228" spans="1:14" x14ac:dyDescent="0.25">
      <c r="A5228">
        <v>20160318</v>
      </c>
      <c r="B5228" t="str">
        <f>"062737"</f>
        <v>062737</v>
      </c>
      <c r="C5228" t="str">
        <f>"21468"</f>
        <v>21468</v>
      </c>
      <c r="D5228" t="s">
        <v>4492</v>
      </c>
      <c r="E5228" s="3">
        <v>8634</v>
      </c>
      <c r="F5228">
        <v>20160316</v>
      </c>
      <c r="G5228" t="s">
        <v>4493</v>
      </c>
      <c r="H5228" t="s">
        <v>4494</v>
      </c>
      <c r="I5228">
        <v>0</v>
      </c>
      <c r="J5228" t="s">
        <v>1709</v>
      </c>
      <c r="K5228" t="s">
        <v>1984</v>
      </c>
      <c r="L5228" t="s">
        <v>285</v>
      </c>
      <c r="M5228" t="str">
        <f t="shared" si="370"/>
        <v>03</v>
      </c>
      <c r="N5228" t="s">
        <v>12</v>
      </c>
    </row>
    <row r="5229" spans="1:14" x14ac:dyDescent="0.25">
      <c r="A5229">
        <v>20160318</v>
      </c>
      <c r="B5229" t="str">
        <f>"062738"</f>
        <v>062738</v>
      </c>
      <c r="C5229" t="str">
        <f>"21769"</f>
        <v>21769</v>
      </c>
      <c r="D5229" t="s">
        <v>1836</v>
      </c>
      <c r="E5229" s="3">
        <v>1015</v>
      </c>
      <c r="F5229">
        <v>20160316</v>
      </c>
      <c r="G5229" t="s">
        <v>2192</v>
      </c>
      <c r="H5229" t="s">
        <v>4495</v>
      </c>
      <c r="I5229">
        <v>0</v>
      </c>
      <c r="J5229" t="s">
        <v>1709</v>
      </c>
      <c r="K5229" t="s">
        <v>2194</v>
      </c>
      <c r="L5229" t="s">
        <v>285</v>
      </c>
      <c r="M5229" t="str">
        <f t="shared" si="370"/>
        <v>03</v>
      </c>
      <c r="N5229" t="s">
        <v>12</v>
      </c>
    </row>
    <row r="5230" spans="1:14" x14ac:dyDescent="0.25">
      <c r="A5230">
        <v>20160318</v>
      </c>
      <c r="B5230" t="str">
        <f>"062739"</f>
        <v>062739</v>
      </c>
      <c r="C5230" t="str">
        <f>"22253"</f>
        <v>22253</v>
      </c>
      <c r="D5230" t="s">
        <v>1646</v>
      </c>
      <c r="E5230" s="3">
        <v>37.950000000000003</v>
      </c>
      <c r="F5230">
        <v>20160316</v>
      </c>
      <c r="G5230" t="s">
        <v>2264</v>
      </c>
      <c r="H5230" t="s">
        <v>1647</v>
      </c>
      <c r="I5230">
        <v>0</v>
      </c>
      <c r="J5230" t="s">
        <v>1709</v>
      </c>
      <c r="K5230" t="s">
        <v>1643</v>
      </c>
      <c r="L5230" t="s">
        <v>285</v>
      </c>
      <c r="M5230" t="str">
        <f t="shared" si="370"/>
        <v>03</v>
      </c>
      <c r="N5230" t="s">
        <v>12</v>
      </c>
    </row>
    <row r="5231" spans="1:14" x14ac:dyDescent="0.25">
      <c r="A5231">
        <v>20160318</v>
      </c>
      <c r="B5231" t="str">
        <f>"062742"</f>
        <v>062742</v>
      </c>
      <c r="C5231" t="str">
        <f>"24960"</f>
        <v>24960</v>
      </c>
      <c r="D5231" t="s">
        <v>39</v>
      </c>
      <c r="E5231" s="3">
        <v>549.15</v>
      </c>
      <c r="F5231">
        <v>20160316</v>
      </c>
      <c r="G5231" t="s">
        <v>1841</v>
      </c>
      <c r="H5231" t="s">
        <v>4496</v>
      </c>
      <c r="I5231">
        <v>0</v>
      </c>
      <c r="J5231" t="s">
        <v>1709</v>
      </c>
      <c r="K5231" t="s">
        <v>1775</v>
      </c>
      <c r="L5231" t="s">
        <v>285</v>
      </c>
      <c r="M5231" t="str">
        <f t="shared" si="370"/>
        <v>03</v>
      </c>
      <c r="N5231" t="s">
        <v>12</v>
      </c>
    </row>
    <row r="5232" spans="1:14" x14ac:dyDescent="0.25">
      <c r="A5232">
        <v>20160318</v>
      </c>
      <c r="B5232" t="str">
        <f>"062743"</f>
        <v>062743</v>
      </c>
      <c r="C5232" t="str">
        <f>"25871"</f>
        <v>25871</v>
      </c>
      <c r="D5232" t="s">
        <v>647</v>
      </c>
      <c r="E5232" s="3">
        <v>96.5</v>
      </c>
      <c r="F5232">
        <v>20160316</v>
      </c>
      <c r="G5232" t="s">
        <v>4497</v>
      </c>
      <c r="H5232" t="s">
        <v>4050</v>
      </c>
      <c r="I5232">
        <v>0</v>
      </c>
      <c r="J5232" t="s">
        <v>1709</v>
      </c>
      <c r="K5232" t="s">
        <v>290</v>
      </c>
      <c r="L5232" t="s">
        <v>285</v>
      </c>
      <c r="M5232" t="str">
        <f t="shared" si="370"/>
        <v>03</v>
      </c>
      <c r="N5232" t="s">
        <v>12</v>
      </c>
    </row>
    <row r="5233" spans="1:14" x14ac:dyDescent="0.25">
      <c r="A5233">
        <v>20160318</v>
      </c>
      <c r="B5233" t="str">
        <f>"062744"</f>
        <v>062744</v>
      </c>
      <c r="C5233" t="str">
        <f>"29548"</f>
        <v>29548</v>
      </c>
      <c r="D5233" t="s">
        <v>1862</v>
      </c>
      <c r="E5233" s="3">
        <v>268.55</v>
      </c>
      <c r="F5233">
        <v>20160316</v>
      </c>
      <c r="G5233" t="s">
        <v>1859</v>
      </c>
      <c r="H5233" t="s">
        <v>4498</v>
      </c>
      <c r="I5233">
        <v>0</v>
      </c>
      <c r="J5233" t="s">
        <v>1709</v>
      </c>
      <c r="K5233" t="s">
        <v>1861</v>
      </c>
      <c r="L5233" t="s">
        <v>285</v>
      </c>
      <c r="M5233" t="str">
        <f t="shared" si="370"/>
        <v>03</v>
      </c>
      <c r="N5233" t="s">
        <v>12</v>
      </c>
    </row>
    <row r="5234" spans="1:14" x14ac:dyDescent="0.25">
      <c r="A5234">
        <v>20160318</v>
      </c>
      <c r="B5234" t="str">
        <f>"062744"</f>
        <v>062744</v>
      </c>
      <c r="C5234" t="str">
        <f>"29548"</f>
        <v>29548</v>
      </c>
      <c r="D5234" t="s">
        <v>1862</v>
      </c>
      <c r="E5234" s="3">
        <v>300</v>
      </c>
      <c r="F5234">
        <v>20160316</v>
      </c>
      <c r="G5234" t="s">
        <v>1859</v>
      </c>
      <c r="H5234" t="s">
        <v>2295</v>
      </c>
      <c r="I5234">
        <v>0</v>
      </c>
      <c r="J5234" t="s">
        <v>1709</v>
      </c>
      <c r="K5234" t="s">
        <v>1861</v>
      </c>
      <c r="L5234" t="s">
        <v>285</v>
      </c>
      <c r="M5234" t="str">
        <f t="shared" si="370"/>
        <v>03</v>
      </c>
      <c r="N5234" t="s">
        <v>12</v>
      </c>
    </row>
    <row r="5235" spans="1:14" x14ac:dyDescent="0.25">
      <c r="A5235">
        <v>20160318</v>
      </c>
      <c r="B5235" t="str">
        <f>"062744"</f>
        <v>062744</v>
      </c>
      <c r="C5235" t="str">
        <f>"29548"</f>
        <v>29548</v>
      </c>
      <c r="D5235" t="s">
        <v>1862</v>
      </c>
      <c r="E5235" s="3">
        <v>285.05</v>
      </c>
      <c r="F5235">
        <v>20160316</v>
      </c>
      <c r="G5235" t="s">
        <v>1859</v>
      </c>
      <c r="H5235" t="s">
        <v>4499</v>
      </c>
      <c r="I5235">
        <v>0</v>
      </c>
      <c r="J5235" t="s">
        <v>1709</v>
      </c>
      <c r="K5235" t="s">
        <v>1861</v>
      </c>
      <c r="L5235" t="s">
        <v>285</v>
      </c>
      <c r="M5235" t="str">
        <f t="shared" si="370"/>
        <v>03</v>
      </c>
      <c r="N5235" t="s">
        <v>12</v>
      </c>
    </row>
    <row r="5236" spans="1:14" x14ac:dyDescent="0.25">
      <c r="A5236">
        <v>20160318</v>
      </c>
      <c r="B5236" t="str">
        <f>"062746"</f>
        <v>062746</v>
      </c>
      <c r="C5236" t="str">
        <f>"29633"</f>
        <v>29633</v>
      </c>
      <c r="D5236" t="s">
        <v>2107</v>
      </c>
      <c r="E5236" s="3">
        <v>471.48</v>
      </c>
      <c r="F5236">
        <v>20160316</v>
      </c>
      <c r="G5236" t="s">
        <v>1859</v>
      </c>
      <c r="H5236" t="s">
        <v>2295</v>
      </c>
      <c r="I5236">
        <v>0</v>
      </c>
      <c r="J5236" t="s">
        <v>1709</v>
      </c>
      <c r="K5236" t="s">
        <v>1861</v>
      </c>
      <c r="L5236" t="s">
        <v>285</v>
      </c>
      <c r="M5236" t="str">
        <f t="shared" si="370"/>
        <v>03</v>
      </c>
      <c r="N5236" t="s">
        <v>12</v>
      </c>
    </row>
    <row r="5237" spans="1:14" x14ac:dyDescent="0.25">
      <c r="A5237">
        <v>20160318</v>
      </c>
      <c r="B5237" t="str">
        <f>"062749"</f>
        <v>062749</v>
      </c>
      <c r="C5237" t="str">
        <f>"34271"</f>
        <v>34271</v>
      </c>
      <c r="D5237" t="s">
        <v>1704</v>
      </c>
      <c r="E5237" s="3">
        <v>1750</v>
      </c>
      <c r="F5237">
        <v>20160316</v>
      </c>
      <c r="G5237" t="s">
        <v>3574</v>
      </c>
      <c r="H5237" t="s">
        <v>4500</v>
      </c>
      <c r="I5237">
        <v>0</v>
      </c>
      <c r="J5237" t="s">
        <v>1709</v>
      </c>
      <c r="K5237" t="s">
        <v>95</v>
      </c>
      <c r="L5237" t="s">
        <v>285</v>
      </c>
      <c r="M5237" t="str">
        <f t="shared" si="370"/>
        <v>03</v>
      </c>
      <c r="N5237" t="s">
        <v>12</v>
      </c>
    </row>
    <row r="5238" spans="1:14" x14ac:dyDescent="0.25">
      <c r="A5238">
        <v>20160318</v>
      </c>
      <c r="B5238" t="str">
        <f>"062750"</f>
        <v>062750</v>
      </c>
      <c r="C5238" t="str">
        <f>"34888"</f>
        <v>34888</v>
      </c>
      <c r="D5238" t="s">
        <v>3351</v>
      </c>
      <c r="E5238" s="3">
        <v>92.95</v>
      </c>
      <c r="F5238">
        <v>20160316</v>
      </c>
      <c r="G5238" t="s">
        <v>1854</v>
      </c>
      <c r="H5238" t="s">
        <v>4501</v>
      </c>
      <c r="I5238">
        <v>0</v>
      </c>
      <c r="J5238" t="s">
        <v>1709</v>
      </c>
      <c r="K5238" t="s">
        <v>1856</v>
      </c>
      <c r="L5238" t="s">
        <v>285</v>
      </c>
      <c r="M5238" t="str">
        <f t="shared" si="370"/>
        <v>03</v>
      </c>
      <c r="N5238" t="s">
        <v>12</v>
      </c>
    </row>
    <row r="5239" spans="1:14" x14ac:dyDescent="0.25">
      <c r="A5239">
        <v>20160318</v>
      </c>
      <c r="B5239" t="str">
        <f>"062751"</f>
        <v>062751</v>
      </c>
      <c r="C5239" t="str">
        <f>"34949"</f>
        <v>34949</v>
      </c>
      <c r="D5239" t="s">
        <v>396</v>
      </c>
      <c r="E5239" s="3">
        <v>250</v>
      </c>
      <c r="F5239">
        <v>20160316</v>
      </c>
      <c r="G5239" t="s">
        <v>1710</v>
      </c>
      <c r="H5239" t="s">
        <v>4502</v>
      </c>
      <c r="I5239">
        <v>0</v>
      </c>
      <c r="J5239" t="s">
        <v>1709</v>
      </c>
      <c r="K5239" t="s">
        <v>290</v>
      </c>
      <c r="L5239" t="s">
        <v>285</v>
      </c>
      <c r="M5239" t="str">
        <f t="shared" si="370"/>
        <v>03</v>
      </c>
      <c r="N5239" t="s">
        <v>12</v>
      </c>
    </row>
    <row r="5240" spans="1:14" x14ac:dyDescent="0.25">
      <c r="A5240">
        <v>20160318</v>
      </c>
      <c r="B5240" t="str">
        <f>"062751"</f>
        <v>062751</v>
      </c>
      <c r="C5240" t="str">
        <f>"34949"</f>
        <v>34949</v>
      </c>
      <c r="D5240" t="s">
        <v>396</v>
      </c>
      <c r="E5240" s="3">
        <v>250</v>
      </c>
      <c r="F5240">
        <v>20160316</v>
      </c>
      <c r="G5240" t="s">
        <v>1710</v>
      </c>
      <c r="H5240" t="s">
        <v>4502</v>
      </c>
      <c r="I5240">
        <v>0</v>
      </c>
      <c r="J5240" t="s">
        <v>1709</v>
      </c>
      <c r="K5240" t="s">
        <v>290</v>
      </c>
      <c r="L5240" t="s">
        <v>285</v>
      </c>
      <c r="M5240" t="str">
        <f t="shared" si="370"/>
        <v>03</v>
      </c>
      <c r="N5240" t="s">
        <v>12</v>
      </c>
    </row>
    <row r="5241" spans="1:14" x14ac:dyDescent="0.25">
      <c r="A5241">
        <v>20160318</v>
      </c>
      <c r="B5241" t="str">
        <f>"062752"</f>
        <v>062752</v>
      </c>
      <c r="C5241" t="str">
        <f>"45665"</f>
        <v>45665</v>
      </c>
      <c r="D5241" t="s">
        <v>2887</v>
      </c>
      <c r="E5241" s="3">
        <v>240</v>
      </c>
      <c r="F5241">
        <v>20160316</v>
      </c>
      <c r="G5241" t="s">
        <v>2888</v>
      </c>
      <c r="H5241" t="s">
        <v>4503</v>
      </c>
      <c r="I5241">
        <v>0</v>
      </c>
      <c r="J5241" t="s">
        <v>1709</v>
      </c>
      <c r="K5241" t="s">
        <v>290</v>
      </c>
      <c r="L5241" t="s">
        <v>285</v>
      </c>
      <c r="M5241" t="str">
        <f t="shared" si="370"/>
        <v>03</v>
      </c>
      <c r="N5241" t="s">
        <v>12</v>
      </c>
    </row>
    <row r="5242" spans="1:14" x14ac:dyDescent="0.25">
      <c r="A5242">
        <v>20160318</v>
      </c>
      <c r="B5242" t="str">
        <f>"062755"</f>
        <v>062755</v>
      </c>
      <c r="C5242" t="str">
        <f>"40565"</f>
        <v>40565</v>
      </c>
      <c r="D5242" t="s">
        <v>3537</v>
      </c>
      <c r="E5242" s="3">
        <v>65</v>
      </c>
      <c r="F5242">
        <v>20160316</v>
      </c>
      <c r="G5242" t="s">
        <v>3846</v>
      </c>
      <c r="H5242" t="s">
        <v>4504</v>
      </c>
      <c r="I5242">
        <v>0</v>
      </c>
      <c r="J5242" t="s">
        <v>1709</v>
      </c>
      <c r="K5242" t="s">
        <v>290</v>
      </c>
      <c r="L5242" t="s">
        <v>285</v>
      </c>
      <c r="M5242" t="str">
        <f t="shared" ref="M5242:M5305" si="377">"03"</f>
        <v>03</v>
      </c>
      <c r="N5242" t="s">
        <v>12</v>
      </c>
    </row>
    <row r="5243" spans="1:14" x14ac:dyDescent="0.25">
      <c r="A5243">
        <v>20160318</v>
      </c>
      <c r="B5243" t="str">
        <f>"062756"</f>
        <v>062756</v>
      </c>
      <c r="C5243" t="str">
        <f>"40816"</f>
        <v>40816</v>
      </c>
      <c r="D5243" t="s">
        <v>4505</v>
      </c>
      <c r="E5243" s="3">
        <v>80</v>
      </c>
      <c r="F5243">
        <v>20160316</v>
      </c>
      <c r="G5243" t="s">
        <v>4506</v>
      </c>
      <c r="H5243" t="s">
        <v>4507</v>
      </c>
      <c r="I5243">
        <v>0</v>
      </c>
      <c r="J5243" t="s">
        <v>1709</v>
      </c>
      <c r="K5243" t="s">
        <v>290</v>
      </c>
      <c r="L5243" t="s">
        <v>285</v>
      </c>
      <c r="M5243" t="str">
        <f t="shared" si="377"/>
        <v>03</v>
      </c>
      <c r="N5243" t="s">
        <v>12</v>
      </c>
    </row>
    <row r="5244" spans="1:14" x14ac:dyDescent="0.25">
      <c r="A5244">
        <v>20160318</v>
      </c>
      <c r="B5244" t="str">
        <f t="shared" ref="B5244:B5266" si="378">"062757"</f>
        <v>062757</v>
      </c>
      <c r="C5244" t="str">
        <f t="shared" ref="C5244:C5266" si="379">"41230"</f>
        <v>41230</v>
      </c>
      <c r="D5244" t="s">
        <v>604</v>
      </c>
      <c r="E5244" s="3">
        <v>204.88</v>
      </c>
      <c r="F5244">
        <v>20160316</v>
      </c>
      <c r="G5244" t="s">
        <v>2339</v>
      </c>
      <c r="H5244" t="s">
        <v>4508</v>
      </c>
      <c r="I5244">
        <v>0</v>
      </c>
      <c r="J5244" t="s">
        <v>1709</v>
      </c>
      <c r="K5244" t="s">
        <v>290</v>
      </c>
      <c r="L5244" t="s">
        <v>285</v>
      </c>
      <c r="M5244" t="str">
        <f t="shared" si="377"/>
        <v>03</v>
      </c>
      <c r="N5244" t="s">
        <v>12</v>
      </c>
    </row>
    <row r="5245" spans="1:14" x14ac:dyDescent="0.25">
      <c r="A5245">
        <v>20160318</v>
      </c>
      <c r="B5245" t="str">
        <f t="shared" si="378"/>
        <v>062757</v>
      </c>
      <c r="C5245" t="str">
        <f t="shared" si="379"/>
        <v>41230</v>
      </c>
      <c r="D5245" t="s">
        <v>604</v>
      </c>
      <c r="E5245" s="3">
        <v>212.92</v>
      </c>
      <c r="F5245">
        <v>20160316</v>
      </c>
      <c r="G5245" t="s">
        <v>2339</v>
      </c>
      <c r="H5245" t="s">
        <v>4508</v>
      </c>
      <c r="I5245">
        <v>0</v>
      </c>
      <c r="J5245" t="s">
        <v>1709</v>
      </c>
      <c r="K5245" t="s">
        <v>290</v>
      </c>
      <c r="L5245" t="s">
        <v>285</v>
      </c>
      <c r="M5245" t="str">
        <f t="shared" si="377"/>
        <v>03</v>
      </c>
      <c r="N5245" t="s">
        <v>12</v>
      </c>
    </row>
    <row r="5246" spans="1:14" x14ac:dyDescent="0.25">
      <c r="A5246">
        <v>20160318</v>
      </c>
      <c r="B5246" t="str">
        <f t="shared" si="378"/>
        <v>062757</v>
      </c>
      <c r="C5246" t="str">
        <f t="shared" si="379"/>
        <v>41230</v>
      </c>
      <c r="D5246" t="s">
        <v>604</v>
      </c>
      <c r="E5246" s="3">
        <v>24.1</v>
      </c>
      <c r="F5246">
        <v>20160316</v>
      </c>
      <c r="G5246" t="s">
        <v>2339</v>
      </c>
      <c r="H5246" t="s">
        <v>4508</v>
      </c>
      <c r="I5246">
        <v>0</v>
      </c>
      <c r="J5246" t="s">
        <v>1709</v>
      </c>
      <c r="K5246" t="s">
        <v>290</v>
      </c>
      <c r="L5246" t="s">
        <v>285</v>
      </c>
      <c r="M5246" t="str">
        <f t="shared" si="377"/>
        <v>03</v>
      </c>
      <c r="N5246" t="s">
        <v>12</v>
      </c>
    </row>
    <row r="5247" spans="1:14" x14ac:dyDescent="0.25">
      <c r="A5247">
        <v>20160318</v>
      </c>
      <c r="B5247" t="str">
        <f t="shared" si="378"/>
        <v>062757</v>
      </c>
      <c r="C5247" t="str">
        <f t="shared" si="379"/>
        <v>41230</v>
      </c>
      <c r="D5247" t="s">
        <v>604</v>
      </c>
      <c r="E5247" s="3">
        <v>151.62</v>
      </c>
      <c r="F5247">
        <v>20160316</v>
      </c>
      <c r="G5247" t="s">
        <v>2339</v>
      </c>
      <c r="H5247" t="s">
        <v>4508</v>
      </c>
      <c r="I5247">
        <v>0</v>
      </c>
      <c r="J5247" t="s">
        <v>1709</v>
      </c>
      <c r="K5247" t="s">
        <v>290</v>
      </c>
      <c r="L5247" t="s">
        <v>285</v>
      </c>
      <c r="M5247" t="str">
        <f t="shared" si="377"/>
        <v>03</v>
      </c>
      <c r="N5247" t="s">
        <v>12</v>
      </c>
    </row>
    <row r="5248" spans="1:14" x14ac:dyDescent="0.25">
      <c r="A5248">
        <v>20160318</v>
      </c>
      <c r="B5248" t="str">
        <f t="shared" si="378"/>
        <v>062757</v>
      </c>
      <c r="C5248" t="str">
        <f t="shared" si="379"/>
        <v>41230</v>
      </c>
      <c r="D5248" t="s">
        <v>604</v>
      </c>
      <c r="E5248" s="3">
        <v>87.53</v>
      </c>
      <c r="F5248">
        <v>20160316</v>
      </c>
      <c r="G5248" t="s">
        <v>2339</v>
      </c>
      <c r="H5248" t="s">
        <v>4508</v>
      </c>
      <c r="I5248">
        <v>0</v>
      </c>
      <c r="J5248" t="s">
        <v>1709</v>
      </c>
      <c r="K5248" t="s">
        <v>290</v>
      </c>
      <c r="L5248" t="s">
        <v>285</v>
      </c>
      <c r="M5248" t="str">
        <f t="shared" si="377"/>
        <v>03</v>
      </c>
      <c r="N5248" t="s">
        <v>12</v>
      </c>
    </row>
    <row r="5249" spans="1:14" x14ac:dyDescent="0.25">
      <c r="A5249">
        <v>20160318</v>
      </c>
      <c r="B5249" t="str">
        <f t="shared" si="378"/>
        <v>062757</v>
      </c>
      <c r="C5249" t="str">
        <f t="shared" si="379"/>
        <v>41230</v>
      </c>
      <c r="D5249" t="s">
        <v>604</v>
      </c>
      <c r="E5249" s="3">
        <v>42.72</v>
      </c>
      <c r="F5249">
        <v>20160316</v>
      </c>
      <c r="G5249" t="s">
        <v>2339</v>
      </c>
      <c r="H5249" t="s">
        <v>4508</v>
      </c>
      <c r="I5249">
        <v>0</v>
      </c>
      <c r="J5249" t="s">
        <v>1709</v>
      </c>
      <c r="K5249" t="s">
        <v>290</v>
      </c>
      <c r="L5249" t="s">
        <v>285</v>
      </c>
      <c r="M5249" t="str">
        <f t="shared" si="377"/>
        <v>03</v>
      </c>
      <c r="N5249" t="s">
        <v>12</v>
      </c>
    </row>
    <row r="5250" spans="1:14" x14ac:dyDescent="0.25">
      <c r="A5250">
        <v>20160318</v>
      </c>
      <c r="B5250" t="str">
        <f t="shared" si="378"/>
        <v>062757</v>
      </c>
      <c r="C5250" t="str">
        <f t="shared" si="379"/>
        <v>41230</v>
      </c>
      <c r="D5250" t="s">
        <v>604</v>
      </c>
      <c r="E5250" s="3">
        <v>119.2</v>
      </c>
      <c r="F5250">
        <v>20160316</v>
      </c>
      <c r="G5250" t="s">
        <v>2339</v>
      </c>
      <c r="H5250" t="s">
        <v>4508</v>
      </c>
      <c r="I5250">
        <v>0</v>
      </c>
      <c r="J5250" t="s">
        <v>1709</v>
      </c>
      <c r="K5250" t="s">
        <v>290</v>
      </c>
      <c r="L5250" t="s">
        <v>285</v>
      </c>
      <c r="M5250" t="str">
        <f t="shared" si="377"/>
        <v>03</v>
      </c>
      <c r="N5250" t="s">
        <v>12</v>
      </c>
    </row>
    <row r="5251" spans="1:14" x14ac:dyDescent="0.25">
      <c r="A5251">
        <v>20160318</v>
      </c>
      <c r="B5251" t="str">
        <f t="shared" si="378"/>
        <v>062757</v>
      </c>
      <c r="C5251" t="str">
        <f t="shared" si="379"/>
        <v>41230</v>
      </c>
      <c r="D5251" t="s">
        <v>604</v>
      </c>
      <c r="E5251" s="3">
        <v>100.45</v>
      </c>
      <c r="F5251">
        <v>20160316</v>
      </c>
      <c r="G5251" t="s">
        <v>2339</v>
      </c>
      <c r="H5251" t="s">
        <v>4508</v>
      </c>
      <c r="I5251">
        <v>0</v>
      </c>
      <c r="J5251" t="s">
        <v>1709</v>
      </c>
      <c r="K5251" t="s">
        <v>290</v>
      </c>
      <c r="L5251" t="s">
        <v>285</v>
      </c>
      <c r="M5251" t="str">
        <f t="shared" si="377"/>
        <v>03</v>
      </c>
      <c r="N5251" t="s">
        <v>12</v>
      </c>
    </row>
    <row r="5252" spans="1:14" x14ac:dyDescent="0.25">
      <c r="A5252">
        <v>20160318</v>
      </c>
      <c r="B5252" t="str">
        <f t="shared" si="378"/>
        <v>062757</v>
      </c>
      <c r="C5252" t="str">
        <f t="shared" si="379"/>
        <v>41230</v>
      </c>
      <c r="D5252" t="s">
        <v>604</v>
      </c>
      <c r="E5252" s="3">
        <v>125.72</v>
      </c>
      <c r="F5252">
        <v>20160316</v>
      </c>
      <c r="G5252" t="s">
        <v>2339</v>
      </c>
      <c r="H5252" t="s">
        <v>4508</v>
      </c>
      <c r="I5252">
        <v>0</v>
      </c>
      <c r="J5252" t="s">
        <v>1709</v>
      </c>
      <c r="K5252" t="s">
        <v>290</v>
      </c>
      <c r="L5252" t="s">
        <v>285</v>
      </c>
      <c r="M5252" t="str">
        <f t="shared" si="377"/>
        <v>03</v>
      </c>
      <c r="N5252" t="s">
        <v>12</v>
      </c>
    </row>
    <row r="5253" spans="1:14" x14ac:dyDescent="0.25">
      <c r="A5253">
        <v>20160318</v>
      </c>
      <c r="B5253" t="str">
        <f t="shared" si="378"/>
        <v>062757</v>
      </c>
      <c r="C5253" t="str">
        <f t="shared" si="379"/>
        <v>41230</v>
      </c>
      <c r="D5253" t="s">
        <v>604</v>
      </c>
      <c r="E5253" s="3">
        <v>78.39</v>
      </c>
      <c r="F5253">
        <v>20160316</v>
      </c>
      <c r="G5253" t="s">
        <v>2339</v>
      </c>
      <c r="H5253" t="s">
        <v>4508</v>
      </c>
      <c r="I5253">
        <v>0</v>
      </c>
      <c r="J5253" t="s">
        <v>1709</v>
      </c>
      <c r="K5253" t="s">
        <v>290</v>
      </c>
      <c r="L5253" t="s">
        <v>285</v>
      </c>
      <c r="M5253" t="str">
        <f t="shared" si="377"/>
        <v>03</v>
      </c>
      <c r="N5253" t="s">
        <v>12</v>
      </c>
    </row>
    <row r="5254" spans="1:14" x14ac:dyDescent="0.25">
      <c r="A5254">
        <v>20160318</v>
      </c>
      <c r="B5254" t="str">
        <f t="shared" si="378"/>
        <v>062757</v>
      </c>
      <c r="C5254" t="str">
        <f t="shared" si="379"/>
        <v>41230</v>
      </c>
      <c r="D5254" t="s">
        <v>604</v>
      </c>
      <c r="E5254" s="3">
        <v>24.09</v>
      </c>
      <c r="F5254">
        <v>20160316</v>
      </c>
      <c r="G5254" t="s">
        <v>2339</v>
      </c>
      <c r="H5254" t="s">
        <v>4508</v>
      </c>
      <c r="I5254">
        <v>0</v>
      </c>
      <c r="J5254" t="s">
        <v>1709</v>
      </c>
      <c r="K5254" t="s">
        <v>290</v>
      </c>
      <c r="L5254" t="s">
        <v>285</v>
      </c>
      <c r="M5254" t="str">
        <f t="shared" si="377"/>
        <v>03</v>
      </c>
      <c r="N5254" t="s">
        <v>12</v>
      </c>
    </row>
    <row r="5255" spans="1:14" x14ac:dyDescent="0.25">
      <c r="A5255">
        <v>20160318</v>
      </c>
      <c r="B5255" t="str">
        <f t="shared" si="378"/>
        <v>062757</v>
      </c>
      <c r="C5255" t="str">
        <f t="shared" si="379"/>
        <v>41230</v>
      </c>
      <c r="D5255" t="s">
        <v>604</v>
      </c>
      <c r="E5255" s="3">
        <v>25.51</v>
      </c>
      <c r="F5255">
        <v>20160316</v>
      </c>
      <c r="G5255" t="s">
        <v>2339</v>
      </c>
      <c r="H5255" t="s">
        <v>4508</v>
      </c>
      <c r="I5255">
        <v>0</v>
      </c>
      <c r="J5255" t="s">
        <v>1709</v>
      </c>
      <c r="K5255" t="s">
        <v>290</v>
      </c>
      <c r="L5255" t="s">
        <v>285</v>
      </c>
      <c r="M5255" t="str">
        <f t="shared" si="377"/>
        <v>03</v>
      </c>
      <c r="N5255" t="s">
        <v>12</v>
      </c>
    </row>
    <row r="5256" spans="1:14" x14ac:dyDescent="0.25">
      <c r="A5256">
        <v>20160318</v>
      </c>
      <c r="B5256" t="str">
        <f t="shared" si="378"/>
        <v>062757</v>
      </c>
      <c r="C5256" t="str">
        <f t="shared" si="379"/>
        <v>41230</v>
      </c>
      <c r="D5256" t="s">
        <v>604</v>
      </c>
      <c r="E5256" s="3">
        <v>15.54</v>
      </c>
      <c r="F5256">
        <v>20160316</v>
      </c>
      <c r="G5256" t="s">
        <v>2339</v>
      </c>
      <c r="H5256" t="s">
        <v>4508</v>
      </c>
      <c r="I5256">
        <v>0</v>
      </c>
      <c r="J5256" t="s">
        <v>1709</v>
      </c>
      <c r="K5256" t="s">
        <v>290</v>
      </c>
      <c r="L5256" t="s">
        <v>285</v>
      </c>
      <c r="M5256" t="str">
        <f t="shared" si="377"/>
        <v>03</v>
      </c>
      <c r="N5256" t="s">
        <v>12</v>
      </c>
    </row>
    <row r="5257" spans="1:14" x14ac:dyDescent="0.25">
      <c r="A5257">
        <v>20160318</v>
      </c>
      <c r="B5257" t="str">
        <f t="shared" si="378"/>
        <v>062757</v>
      </c>
      <c r="C5257" t="str">
        <f t="shared" si="379"/>
        <v>41230</v>
      </c>
      <c r="D5257" t="s">
        <v>604</v>
      </c>
      <c r="E5257" s="3">
        <v>35.479999999999997</v>
      </c>
      <c r="F5257">
        <v>20160316</v>
      </c>
      <c r="G5257" t="s">
        <v>2339</v>
      </c>
      <c r="H5257" t="s">
        <v>4508</v>
      </c>
      <c r="I5257">
        <v>0</v>
      </c>
      <c r="J5257" t="s">
        <v>1709</v>
      </c>
      <c r="K5257" t="s">
        <v>290</v>
      </c>
      <c r="L5257" t="s">
        <v>285</v>
      </c>
      <c r="M5257" t="str">
        <f t="shared" si="377"/>
        <v>03</v>
      </c>
      <c r="N5257" t="s">
        <v>12</v>
      </c>
    </row>
    <row r="5258" spans="1:14" x14ac:dyDescent="0.25">
      <c r="A5258">
        <v>20160318</v>
      </c>
      <c r="B5258" t="str">
        <f t="shared" si="378"/>
        <v>062757</v>
      </c>
      <c r="C5258" t="str">
        <f t="shared" si="379"/>
        <v>41230</v>
      </c>
      <c r="D5258" t="s">
        <v>604</v>
      </c>
      <c r="E5258" s="3">
        <v>87.12</v>
      </c>
      <c r="F5258">
        <v>20160316</v>
      </c>
      <c r="G5258" t="s">
        <v>2339</v>
      </c>
      <c r="H5258" t="s">
        <v>4508</v>
      </c>
      <c r="I5258">
        <v>0</v>
      </c>
      <c r="J5258" t="s">
        <v>1709</v>
      </c>
      <c r="K5258" t="s">
        <v>290</v>
      </c>
      <c r="L5258" t="s">
        <v>285</v>
      </c>
      <c r="M5258" t="str">
        <f t="shared" si="377"/>
        <v>03</v>
      </c>
      <c r="N5258" t="s">
        <v>12</v>
      </c>
    </row>
    <row r="5259" spans="1:14" x14ac:dyDescent="0.25">
      <c r="A5259">
        <v>20160318</v>
      </c>
      <c r="B5259" t="str">
        <f t="shared" si="378"/>
        <v>062757</v>
      </c>
      <c r="C5259" t="str">
        <f t="shared" si="379"/>
        <v>41230</v>
      </c>
      <c r="D5259" t="s">
        <v>604</v>
      </c>
      <c r="E5259" s="3">
        <v>36.29</v>
      </c>
      <c r="F5259">
        <v>20160316</v>
      </c>
      <c r="G5259" t="s">
        <v>2339</v>
      </c>
      <c r="H5259" t="s">
        <v>4508</v>
      </c>
      <c r="I5259">
        <v>0</v>
      </c>
      <c r="J5259" t="s">
        <v>1709</v>
      </c>
      <c r="K5259" t="s">
        <v>290</v>
      </c>
      <c r="L5259" t="s">
        <v>285</v>
      </c>
      <c r="M5259" t="str">
        <f t="shared" si="377"/>
        <v>03</v>
      </c>
      <c r="N5259" t="s">
        <v>12</v>
      </c>
    </row>
    <row r="5260" spans="1:14" x14ac:dyDescent="0.25">
      <c r="A5260">
        <v>20160318</v>
      </c>
      <c r="B5260" t="str">
        <f t="shared" si="378"/>
        <v>062757</v>
      </c>
      <c r="C5260" t="str">
        <f t="shared" si="379"/>
        <v>41230</v>
      </c>
      <c r="D5260" t="s">
        <v>604</v>
      </c>
      <c r="E5260" s="3">
        <v>79.510000000000005</v>
      </c>
      <c r="F5260">
        <v>20160316</v>
      </c>
      <c r="G5260" t="s">
        <v>2339</v>
      </c>
      <c r="H5260" t="s">
        <v>4508</v>
      </c>
      <c r="I5260">
        <v>0</v>
      </c>
      <c r="J5260" t="s">
        <v>1709</v>
      </c>
      <c r="K5260" t="s">
        <v>290</v>
      </c>
      <c r="L5260" t="s">
        <v>285</v>
      </c>
      <c r="M5260" t="str">
        <f t="shared" si="377"/>
        <v>03</v>
      </c>
      <c r="N5260" t="s">
        <v>12</v>
      </c>
    </row>
    <row r="5261" spans="1:14" x14ac:dyDescent="0.25">
      <c r="A5261">
        <v>20160318</v>
      </c>
      <c r="B5261" t="str">
        <f t="shared" si="378"/>
        <v>062757</v>
      </c>
      <c r="C5261" t="str">
        <f t="shared" si="379"/>
        <v>41230</v>
      </c>
      <c r="D5261" t="s">
        <v>604</v>
      </c>
      <c r="E5261" s="3">
        <v>39.58</v>
      </c>
      <c r="F5261">
        <v>20160316</v>
      </c>
      <c r="G5261" t="s">
        <v>2339</v>
      </c>
      <c r="H5261" t="s">
        <v>4508</v>
      </c>
      <c r="I5261">
        <v>0</v>
      </c>
      <c r="J5261" t="s">
        <v>1709</v>
      </c>
      <c r="K5261" t="s">
        <v>290</v>
      </c>
      <c r="L5261" t="s">
        <v>285</v>
      </c>
      <c r="M5261" t="str">
        <f t="shared" si="377"/>
        <v>03</v>
      </c>
      <c r="N5261" t="s">
        <v>12</v>
      </c>
    </row>
    <row r="5262" spans="1:14" x14ac:dyDescent="0.25">
      <c r="A5262">
        <v>20160318</v>
      </c>
      <c r="B5262" t="str">
        <f t="shared" si="378"/>
        <v>062757</v>
      </c>
      <c r="C5262" t="str">
        <f t="shared" si="379"/>
        <v>41230</v>
      </c>
      <c r="D5262" t="s">
        <v>604</v>
      </c>
      <c r="E5262" s="3">
        <v>121.58</v>
      </c>
      <c r="F5262">
        <v>20160316</v>
      </c>
      <c r="G5262" t="s">
        <v>2074</v>
      </c>
      <c r="H5262" t="s">
        <v>4509</v>
      </c>
      <c r="I5262">
        <v>0</v>
      </c>
      <c r="J5262" t="s">
        <v>1709</v>
      </c>
      <c r="K5262" t="s">
        <v>1861</v>
      </c>
      <c r="L5262" t="s">
        <v>285</v>
      </c>
      <c r="M5262" t="str">
        <f t="shared" si="377"/>
        <v>03</v>
      </c>
      <c r="N5262" t="s">
        <v>12</v>
      </c>
    </row>
    <row r="5263" spans="1:14" x14ac:dyDescent="0.25">
      <c r="A5263">
        <v>20160318</v>
      </c>
      <c r="B5263" t="str">
        <f t="shared" si="378"/>
        <v>062757</v>
      </c>
      <c r="C5263" t="str">
        <f t="shared" si="379"/>
        <v>41230</v>
      </c>
      <c r="D5263" t="s">
        <v>604</v>
      </c>
      <c r="E5263" s="3">
        <v>287.25</v>
      </c>
      <c r="F5263">
        <v>20160316</v>
      </c>
      <c r="G5263" t="s">
        <v>1859</v>
      </c>
      <c r="H5263" t="s">
        <v>2295</v>
      </c>
      <c r="I5263">
        <v>0</v>
      </c>
      <c r="J5263" t="s">
        <v>1709</v>
      </c>
      <c r="K5263" t="s">
        <v>1861</v>
      </c>
      <c r="L5263" t="s">
        <v>285</v>
      </c>
      <c r="M5263" t="str">
        <f t="shared" si="377"/>
        <v>03</v>
      </c>
      <c r="N5263" t="s">
        <v>12</v>
      </c>
    </row>
    <row r="5264" spans="1:14" x14ac:dyDescent="0.25">
      <c r="A5264">
        <v>20160318</v>
      </c>
      <c r="B5264" t="str">
        <f t="shared" si="378"/>
        <v>062757</v>
      </c>
      <c r="C5264" t="str">
        <f t="shared" si="379"/>
        <v>41230</v>
      </c>
      <c r="D5264" t="s">
        <v>604</v>
      </c>
      <c r="E5264" s="3">
        <v>599.07000000000005</v>
      </c>
      <c r="F5264">
        <v>20160316</v>
      </c>
      <c r="G5264" t="s">
        <v>1859</v>
      </c>
      <c r="H5264" t="s">
        <v>2295</v>
      </c>
      <c r="I5264">
        <v>0</v>
      </c>
      <c r="J5264" t="s">
        <v>1709</v>
      </c>
      <c r="K5264" t="s">
        <v>1861</v>
      </c>
      <c r="L5264" t="s">
        <v>285</v>
      </c>
      <c r="M5264" t="str">
        <f t="shared" si="377"/>
        <v>03</v>
      </c>
      <c r="N5264" t="s">
        <v>12</v>
      </c>
    </row>
    <row r="5265" spans="1:14" x14ac:dyDescent="0.25">
      <c r="A5265">
        <v>20160318</v>
      </c>
      <c r="B5265" t="str">
        <f t="shared" si="378"/>
        <v>062757</v>
      </c>
      <c r="C5265" t="str">
        <f t="shared" si="379"/>
        <v>41230</v>
      </c>
      <c r="D5265" t="s">
        <v>604</v>
      </c>
      <c r="E5265" s="3">
        <v>41.54</v>
      </c>
      <c r="F5265">
        <v>20160316</v>
      </c>
      <c r="G5265" t="s">
        <v>1859</v>
      </c>
      <c r="H5265" t="s">
        <v>4510</v>
      </c>
      <c r="I5265">
        <v>0</v>
      </c>
      <c r="J5265" t="s">
        <v>1709</v>
      </c>
      <c r="K5265" t="s">
        <v>1861</v>
      </c>
      <c r="L5265" t="s">
        <v>285</v>
      </c>
      <c r="M5265" t="str">
        <f t="shared" si="377"/>
        <v>03</v>
      </c>
      <c r="N5265" t="s">
        <v>12</v>
      </c>
    </row>
    <row r="5266" spans="1:14" x14ac:dyDescent="0.25">
      <c r="A5266">
        <v>20160318</v>
      </c>
      <c r="B5266" t="str">
        <f t="shared" si="378"/>
        <v>062757</v>
      </c>
      <c r="C5266" t="str">
        <f t="shared" si="379"/>
        <v>41230</v>
      </c>
      <c r="D5266" t="s">
        <v>604</v>
      </c>
      <c r="E5266" s="3">
        <v>99</v>
      </c>
      <c r="F5266">
        <v>20160316</v>
      </c>
      <c r="G5266" t="s">
        <v>3013</v>
      </c>
      <c r="H5266" t="s">
        <v>4511</v>
      </c>
      <c r="I5266">
        <v>0</v>
      </c>
      <c r="J5266" t="s">
        <v>1709</v>
      </c>
      <c r="K5266" t="s">
        <v>1984</v>
      </c>
      <c r="L5266" t="s">
        <v>285</v>
      </c>
      <c r="M5266" t="str">
        <f t="shared" si="377"/>
        <v>03</v>
      </c>
      <c r="N5266" t="s">
        <v>12</v>
      </c>
    </row>
    <row r="5267" spans="1:14" x14ac:dyDescent="0.25">
      <c r="A5267">
        <v>20160318</v>
      </c>
      <c r="B5267" t="str">
        <f>"062759"</f>
        <v>062759</v>
      </c>
      <c r="C5267" t="str">
        <f>"42212"</f>
        <v>42212</v>
      </c>
      <c r="D5267" t="s">
        <v>2513</v>
      </c>
      <c r="E5267" s="3">
        <v>360</v>
      </c>
      <c r="F5267">
        <v>20160316</v>
      </c>
      <c r="G5267" t="s">
        <v>3846</v>
      </c>
      <c r="H5267" t="s">
        <v>4504</v>
      </c>
      <c r="I5267">
        <v>0</v>
      </c>
      <c r="J5267" t="s">
        <v>1709</v>
      </c>
      <c r="K5267" t="s">
        <v>290</v>
      </c>
      <c r="L5267" t="s">
        <v>285</v>
      </c>
      <c r="M5267" t="str">
        <f t="shared" si="377"/>
        <v>03</v>
      </c>
      <c r="N5267" t="s">
        <v>12</v>
      </c>
    </row>
    <row r="5268" spans="1:14" x14ac:dyDescent="0.25">
      <c r="A5268">
        <v>20160318</v>
      </c>
      <c r="B5268" t="str">
        <f>"062760"</f>
        <v>062760</v>
      </c>
      <c r="C5268" t="str">
        <f>"40838"</f>
        <v>40838</v>
      </c>
      <c r="D5268" t="s">
        <v>4512</v>
      </c>
      <c r="E5268" s="3">
        <v>180</v>
      </c>
      <c r="F5268">
        <v>20160316</v>
      </c>
      <c r="G5268" t="s">
        <v>4506</v>
      </c>
      <c r="H5268" t="s">
        <v>4507</v>
      </c>
      <c r="I5268">
        <v>0</v>
      </c>
      <c r="J5268" t="s">
        <v>1709</v>
      </c>
      <c r="K5268" t="s">
        <v>290</v>
      </c>
      <c r="L5268" t="s">
        <v>285</v>
      </c>
      <c r="M5268" t="str">
        <f t="shared" si="377"/>
        <v>03</v>
      </c>
      <c r="N5268" t="s">
        <v>12</v>
      </c>
    </row>
    <row r="5269" spans="1:14" x14ac:dyDescent="0.25">
      <c r="A5269">
        <v>20160318</v>
      </c>
      <c r="B5269" t="str">
        <f>"062761"</f>
        <v>062761</v>
      </c>
      <c r="C5269" t="str">
        <f>"45855"</f>
        <v>45855</v>
      </c>
      <c r="D5269" t="s">
        <v>2546</v>
      </c>
      <c r="E5269" s="3">
        <v>69.709999999999994</v>
      </c>
      <c r="F5269">
        <v>20160316</v>
      </c>
      <c r="G5269" t="s">
        <v>2995</v>
      </c>
      <c r="H5269" t="s">
        <v>4513</v>
      </c>
      <c r="I5269">
        <v>0</v>
      </c>
      <c r="J5269" t="s">
        <v>1709</v>
      </c>
      <c r="K5269" t="s">
        <v>2194</v>
      </c>
      <c r="L5269" t="s">
        <v>285</v>
      </c>
      <c r="M5269" t="str">
        <f t="shared" si="377"/>
        <v>03</v>
      </c>
      <c r="N5269" t="s">
        <v>12</v>
      </c>
    </row>
    <row r="5270" spans="1:14" x14ac:dyDescent="0.25">
      <c r="A5270">
        <v>20160318</v>
      </c>
      <c r="B5270" t="str">
        <f t="shared" ref="B5270:B5278" si="380">"062765"</f>
        <v>062765</v>
      </c>
      <c r="C5270" t="str">
        <f t="shared" ref="C5270:C5278" si="381">"46369"</f>
        <v>46369</v>
      </c>
      <c r="D5270" t="s">
        <v>1991</v>
      </c>
      <c r="E5270" s="3">
        <v>2880</v>
      </c>
      <c r="F5270">
        <v>20160316</v>
      </c>
      <c r="G5270" t="s">
        <v>1992</v>
      </c>
      <c r="H5270" t="s">
        <v>4514</v>
      </c>
      <c r="I5270">
        <v>0</v>
      </c>
      <c r="J5270" t="s">
        <v>1709</v>
      </c>
      <c r="K5270" t="s">
        <v>1861</v>
      </c>
      <c r="L5270" t="s">
        <v>285</v>
      </c>
      <c r="M5270" t="str">
        <f t="shared" si="377"/>
        <v>03</v>
      </c>
      <c r="N5270" t="s">
        <v>12</v>
      </c>
    </row>
    <row r="5271" spans="1:14" x14ac:dyDescent="0.25">
      <c r="A5271">
        <v>20160318</v>
      </c>
      <c r="B5271" t="str">
        <f t="shared" si="380"/>
        <v>062765</v>
      </c>
      <c r="C5271" t="str">
        <f t="shared" si="381"/>
        <v>46369</v>
      </c>
      <c r="D5271" t="s">
        <v>1991</v>
      </c>
      <c r="E5271" s="3">
        <v>1200</v>
      </c>
      <c r="F5271">
        <v>20160316</v>
      </c>
      <c r="G5271" t="s">
        <v>1992</v>
      </c>
      <c r="H5271" t="s">
        <v>4515</v>
      </c>
      <c r="I5271">
        <v>0</v>
      </c>
      <c r="J5271" t="s">
        <v>1709</v>
      </c>
      <c r="K5271" t="s">
        <v>1861</v>
      </c>
      <c r="L5271" t="s">
        <v>285</v>
      </c>
      <c r="M5271" t="str">
        <f t="shared" si="377"/>
        <v>03</v>
      </c>
      <c r="N5271" t="s">
        <v>12</v>
      </c>
    </row>
    <row r="5272" spans="1:14" x14ac:dyDescent="0.25">
      <c r="A5272">
        <v>20160318</v>
      </c>
      <c r="B5272" t="str">
        <f t="shared" si="380"/>
        <v>062765</v>
      </c>
      <c r="C5272" t="str">
        <f t="shared" si="381"/>
        <v>46369</v>
      </c>
      <c r="D5272" t="s">
        <v>1991</v>
      </c>
      <c r="E5272" s="3">
        <v>800</v>
      </c>
      <c r="F5272">
        <v>20160316</v>
      </c>
      <c r="G5272" t="s">
        <v>1992</v>
      </c>
      <c r="H5272" t="s">
        <v>4516</v>
      </c>
      <c r="I5272">
        <v>0</v>
      </c>
      <c r="J5272" t="s">
        <v>1709</v>
      </c>
      <c r="K5272" t="s">
        <v>1861</v>
      </c>
      <c r="L5272" t="s">
        <v>285</v>
      </c>
      <c r="M5272" t="str">
        <f t="shared" si="377"/>
        <v>03</v>
      </c>
      <c r="N5272" t="s">
        <v>12</v>
      </c>
    </row>
    <row r="5273" spans="1:14" x14ac:dyDescent="0.25">
      <c r="A5273">
        <v>20160318</v>
      </c>
      <c r="B5273" t="str">
        <f t="shared" si="380"/>
        <v>062765</v>
      </c>
      <c r="C5273" t="str">
        <f t="shared" si="381"/>
        <v>46369</v>
      </c>
      <c r="D5273" t="s">
        <v>1991</v>
      </c>
      <c r="E5273" s="3">
        <v>40</v>
      </c>
      <c r="F5273">
        <v>20160316</v>
      </c>
      <c r="G5273" t="s">
        <v>1992</v>
      </c>
      <c r="H5273" t="s">
        <v>4517</v>
      </c>
      <c r="I5273">
        <v>0</v>
      </c>
      <c r="J5273" t="s">
        <v>1709</v>
      </c>
      <c r="K5273" t="s">
        <v>1861</v>
      </c>
      <c r="L5273" t="s">
        <v>285</v>
      </c>
      <c r="M5273" t="str">
        <f t="shared" si="377"/>
        <v>03</v>
      </c>
      <c r="N5273" t="s">
        <v>12</v>
      </c>
    </row>
    <row r="5274" spans="1:14" x14ac:dyDescent="0.25">
      <c r="A5274">
        <v>20160318</v>
      </c>
      <c r="B5274" t="str">
        <f t="shared" si="380"/>
        <v>062765</v>
      </c>
      <c r="C5274" t="str">
        <f t="shared" si="381"/>
        <v>46369</v>
      </c>
      <c r="D5274" t="s">
        <v>1991</v>
      </c>
      <c r="E5274" s="3">
        <v>950</v>
      </c>
      <c r="F5274">
        <v>20160316</v>
      </c>
      <c r="G5274" t="s">
        <v>1992</v>
      </c>
      <c r="H5274" t="s">
        <v>4518</v>
      </c>
      <c r="I5274">
        <v>0</v>
      </c>
      <c r="J5274" t="s">
        <v>1709</v>
      </c>
      <c r="K5274" t="s">
        <v>1861</v>
      </c>
      <c r="L5274" t="s">
        <v>285</v>
      </c>
      <c r="M5274" t="str">
        <f t="shared" si="377"/>
        <v>03</v>
      </c>
      <c r="N5274" t="s">
        <v>12</v>
      </c>
    </row>
    <row r="5275" spans="1:14" x14ac:dyDescent="0.25">
      <c r="A5275">
        <v>20160318</v>
      </c>
      <c r="B5275" t="str">
        <f t="shared" si="380"/>
        <v>062765</v>
      </c>
      <c r="C5275" t="str">
        <f t="shared" si="381"/>
        <v>46369</v>
      </c>
      <c r="D5275" t="s">
        <v>1991</v>
      </c>
      <c r="E5275" s="3">
        <v>40</v>
      </c>
      <c r="F5275">
        <v>20160316</v>
      </c>
      <c r="G5275" t="s">
        <v>1992</v>
      </c>
      <c r="H5275" t="s">
        <v>4519</v>
      </c>
      <c r="I5275">
        <v>0</v>
      </c>
      <c r="J5275" t="s">
        <v>1709</v>
      </c>
      <c r="K5275" t="s">
        <v>1861</v>
      </c>
      <c r="L5275" t="s">
        <v>285</v>
      </c>
      <c r="M5275" t="str">
        <f t="shared" si="377"/>
        <v>03</v>
      </c>
      <c r="N5275" t="s">
        <v>12</v>
      </c>
    </row>
    <row r="5276" spans="1:14" x14ac:dyDescent="0.25">
      <c r="A5276">
        <v>20160318</v>
      </c>
      <c r="B5276" t="str">
        <f t="shared" si="380"/>
        <v>062765</v>
      </c>
      <c r="C5276" t="str">
        <f t="shared" si="381"/>
        <v>46369</v>
      </c>
      <c r="D5276" t="s">
        <v>1991</v>
      </c>
      <c r="E5276" s="3">
        <v>250</v>
      </c>
      <c r="F5276">
        <v>20160316</v>
      </c>
      <c r="G5276" t="s">
        <v>1992</v>
      </c>
      <c r="H5276" t="s">
        <v>4520</v>
      </c>
      <c r="I5276">
        <v>0</v>
      </c>
      <c r="J5276" t="s">
        <v>1709</v>
      </c>
      <c r="K5276" t="s">
        <v>1861</v>
      </c>
      <c r="L5276" t="s">
        <v>285</v>
      </c>
      <c r="M5276" t="str">
        <f t="shared" si="377"/>
        <v>03</v>
      </c>
      <c r="N5276" t="s">
        <v>12</v>
      </c>
    </row>
    <row r="5277" spans="1:14" x14ac:dyDescent="0.25">
      <c r="A5277">
        <v>20160318</v>
      </c>
      <c r="B5277" t="str">
        <f t="shared" si="380"/>
        <v>062765</v>
      </c>
      <c r="C5277" t="str">
        <f t="shared" si="381"/>
        <v>46369</v>
      </c>
      <c r="D5277" t="s">
        <v>1991</v>
      </c>
      <c r="E5277" s="3">
        <v>250</v>
      </c>
      <c r="F5277">
        <v>20160316</v>
      </c>
      <c r="G5277" t="s">
        <v>1992</v>
      </c>
      <c r="H5277" t="s">
        <v>4521</v>
      </c>
      <c r="I5277">
        <v>0</v>
      </c>
      <c r="J5277" t="s">
        <v>1709</v>
      </c>
      <c r="K5277" t="s">
        <v>1861</v>
      </c>
      <c r="L5277" t="s">
        <v>285</v>
      </c>
      <c r="M5277" t="str">
        <f t="shared" si="377"/>
        <v>03</v>
      </c>
      <c r="N5277" t="s">
        <v>12</v>
      </c>
    </row>
    <row r="5278" spans="1:14" x14ac:dyDescent="0.25">
      <c r="A5278">
        <v>20160318</v>
      </c>
      <c r="B5278" t="str">
        <f t="shared" si="380"/>
        <v>062765</v>
      </c>
      <c r="C5278" t="str">
        <f t="shared" si="381"/>
        <v>46369</v>
      </c>
      <c r="D5278" t="s">
        <v>1991</v>
      </c>
      <c r="E5278" s="3">
        <v>375</v>
      </c>
      <c r="F5278">
        <v>20160316</v>
      </c>
      <c r="G5278" t="s">
        <v>1992</v>
      </c>
      <c r="H5278" t="s">
        <v>3098</v>
      </c>
      <c r="I5278">
        <v>0</v>
      </c>
      <c r="J5278" t="s">
        <v>1709</v>
      </c>
      <c r="K5278" t="s">
        <v>1861</v>
      </c>
      <c r="L5278" t="s">
        <v>285</v>
      </c>
      <c r="M5278" t="str">
        <f t="shared" si="377"/>
        <v>03</v>
      </c>
      <c r="N5278" t="s">
        <v>12</v>
      </c>
    </row>
    <row r="5279" spans="1:14" x14ac:dyDescent="0.25">
      <c r="A5279">
        <v>20160318</v>
      </c>
      <c r="B5279" t="str">
        <f>"062766"</f>
        <v>062766</v>
      </c>
      <c r="C5279" t="str">
        <f>"47700"</f>
        <v>47700</v>
      </c>
      <c r="D5279" t="s">
        <v>4522</v>
      </c>
      <c r="E5279" s="3">
        <v>99.5</v>
      </c>
      <c r="F5279">
        <v>20160316</v>
      </c>
      <c r="G5279" t="s">
        <v>3518</v>
      </c>
      <c r="H5279" t="s">
        <v>4523</v>
      </c>
      <c r="I5279">
        <v>0</v>
      </c>
      <c r="J5279" t="s">
        <v>1709</v>
      </c>
      <c r="K5279" t="s">
        <v>33</v>
      </c>
      <c r="L5279" t="s">
        <v>285</v>
      </c>
      <c r="M5279" t="str">
        <f t="shared" si="377"/>
        <v>03</v>
      </c>
      <c r="N5279" t="s">
        <v>12</v>
      </c>
    </row>
    <row r="5280" spans="1:14" x14ac:dyDescent="0.25">
      <c r="A5280">
        <v>20160318</v>
      </c>
      <c r="B5280" t="str">
        <f>"062767"</f>
        <v>062767</v>
      </c>
      <c r="C5280" t="str">
        <f>"49748"</f>
        <v>49748</v>
      </c>
      <c r="D5280" t="s">
        <v>1885</v>
      </c>
      <c r="E5280" s="3">
        <v>126.43</v>
      </c>
      <c r="F5280">
        <v>20160316</v>
      </c>
      <c r="G5280" t="s">
        <v>2789</v>
      </c>
      <c r="H5280" t="s">
        <v>4524</v>
      </c>
      <c r="I5280">
        <v>0</v>
      </c>
      <c r="J5280" t="s">
        <v>1709</v>
      </c>
      <c r="K5280" t="s">
        <v>290</v>
      </c>
      <c r="L5280" t="s">
        <v>285</v>
      </c>
      <c r="M5280" t="str">
        <f t="shared" si="377"/>
        <v>03</v>
      </c>
      <c r="N5280" t="s">
        <v>12</v>
      </c>
    </row>
    <row r="5281" spans="1:14" x14ac:dyDescent="0.25">
      <c r="A5281">
        <v>20160318</v>
      </c>
      <c r="B5281" t="str">
        <f>"062767"</f>
        <v>062767</v>
      </c>
      <c r="C5281" t="str">
        <f>"49748"</f>
        <v>49748</v>
      </c>
      <c r="D5281" t="s">
        <v>1885</v>
      </c>
      <c r="E5281" s="3">
        <v>100</v>
      </c>
      <c r="F5281">
        <v>20160316</v>
      </c>
      <c r="G5281" t="s">
        <v>1886</v>
      </c>
      <c r="H5281" t="s">
        <v>4525</v>
      </c>
      <c r="I5281">
        <v>0</v>
      </c>
      <c r="J5281" t="s">
        <v>1709</v>
      </c>
      <c r="K5281" t="s">
        <v>290</v>
      </c>
      <c r="L5281" t="s">
        <v>285</v>
      </c>
      <c r="M5281" t="str">
        <f t="shared" si="377"/>
        <v>03</v>
      </c>
      <c r="N5281" t="s">
        <v>12</v>
      </c>
    </row>
    <row r="5282" spans="1:14" x14ac:dyDescent="0.25">
      <c r="A5282">
        <v>20160318</v>
      </c>
      <c r="B5282" t="str">
        <f>"062767"</f>
        <v>062767</v>
      </c>
      <c r="C5282" t="str">
        <f>"49748"</f>
        <v>49748</v>
      </c>
      <c r="D5282" t="s">
        <v>1885</v>
      </c>
      <c r="E5282" s="3">
        <v>24.95</v>
      </c>
      <c r="F5282">
        <v>20160316</v>
      </c>
      <c r="G5282" t="s">
        <v>2368</v>
      </c>
      <c r="H5282" t="s">
        <v>4526</v>
      </c>
      <c r="I5282">
        <v>0</v>
      </c>
      <c r="J5282" t="s">
        <v>1709</v>
      </c>
      <c r="K5282" t="s">
        <v>290</v>
      </c>
      <c r="L5282" t="s">
        <v>285</v>
      </c>
      <c r="M5282" t="str">
        <f t="shared" si="377"/>
        <v>03</v>
      </c>
      <c r="N5282" t="s">
        <v>12</v>
      </c>
    </row>
    <row r="5283" spans="1:14" x14ac:dyDescent="0.25">
      <c r="A5283">
        <v>20160318</v>
      </c>
      <c r="B5283" t="str">
        <f>"062767"</f>
        <v>062767</v>
      </c>
      <c r="C5283" t="str">
        <f>"49748"</f>
        <v>49748</v>
      </c>
      <c r="D5283" t="s">
        <v>1885</v>
      </c>
      <c r="E5283" s="3">
        <v>77.900000000000006</v>
      </c>
      <c r="F5283">
        <v>20160316</v>
      </c>
      <c r="G5283" t="s">
        <v>1715</v>
      </c>
      <c r="H5283" t="s">
        <v>4527</v>
      </c>
      <c r="I5283">
        <v>0</v>
      </c>
      <c r="J5283" t="s">
        <v>1709</v>
      </c>
      <c r="K5283" t="s">
        <v>290</v>
      </c>
      <c r="L5283" t="s">
        <v>285</v>
      </c>
      <c r="M5283" t="str">
        <f t="shared" si="377"/>
        <v>03</v>
      </c>
      <c r="N5283" t="s">
        <v>12</v>
      </c>
    </row>
    <row r="5284" spans="1:14" x14ac:dyDescent="0.25">
      <c r="A5284">
        <v>20160318</v>
      </c>
      <c r="B5284" t="str">
        <f>"062768"</f>
        <v>062768</v>
      </c>
      <c r="C5284" t="str">
        <f>"49898"</f>
        <v>49898</v>
      </c>
      <c r="D5284" t="s">
        <v>2342</v>
      </c>
      <c r="E5284" s="3">
        <v>201.33</v>
      </c>
      <c r="F5284">
        <v>20160316</v>
      </c>
      <c r="G5284" t="s">
        <v>1859</v>
      </c>
      <c r="H5284" t="s">
        <v>4528</v>
      </c>
      <c r="I5284">
        <v>0</v>
      </c>
      <c r="J5284" t="s">
        <v>1709</v>
      </c>
      <c r="K5284" t="s">
        <v>1861</v>
      </c>
      <c r="L5284" t="s">
        <v>285</v>
      </c>
      <c r="M5284" t="str">
        <f t="shared" si="377"/>
        <v>03</v>
      </c>
      <c r="N5284" t="s">
        <v>12</v>
      </c>
    </row>
    <row r="5285" spans="1:14" x14ac:dyDescent="0.25">
      <c r="A5285">
        <v>20160318</v>
      </c>
      <c r="B5285" t="str">
        <f>"062768"</f>
        <v>062768</v>
      </c>
      <c r="C5285" t="str">
        <f>"49898"</f>
        <v>49898</v>
      </c>
      <c r="D5285" t="s">
        <v>2342</v>
      </c>
      <c r="E5285" s="3">
        <v>833.4</v>
      </c>
      <c r="F5285">
        <v>20160316</v>
      </c>
      <c r="G5285" t="s">
        <v>1859</v>
      </c>
      <c r="H5285" t="s">
        <v>4529</v>
      </c>
      <c r="I5285">
        <v>0</v>
      </c>
      <c r="J5285" t="s">
        <v>1709</v>
      </c>
      <c r="K5285" t="s">
        <v>1861</v>
      </c>
      <c r="L5285" t="s">
        <v>285</v>
      </c>
      <c r="M5285" t="str">
        <f t="shared" si="377"/>
        <v>03</v>
      </c>
      <c r="N5285" t="s">
        <v>12</v>
      </c>
    </row>
    <row r="5286" spans="1:14" x14ac:dyDescent="0.25">
      <c r="A5286">
        <v>20160318</v>
      </c>
      <c r="B5286" t="str">
        <f>"062768"</f>
        <v>062768</v>
      </c>
      <c r="C5286" t="str">
        <f>"49898"</f>
        <v>49898</v>
      </c>
      <c r="D5286" t="s">
        <v>2342</v>
      </c>
      <c r="E5286" s="3">
        <v>833.4</v>
      </c>
      <c r="F5286">
        <v>20160316</v>
      </c>
      <c r="G5286" t="s">
        <v>1859</v>
      </c>
      <c r="H5286" t="s">
        <v>4529</v>
      </c>
      <c r="I5286">
        <v>0</v>
      </c>
      <c r="J5286" t="s">
        <v>1709</v>
      </c>
      <c r="K5286" t="s">
        <v>1861</v>
      </c>
      <c r="L5286" t="s">
        <v>285</v>
      </c>
      <c r="M5286" t="str">
        <f t="shared" si="377"/>
        <v>03</v>
      </c>
      <c r="N5286" t="s">
        <v>12</v>
      </c>
    </row>
    <row r="5287" spans="1:14" x14ac:dyDescent="0.25">
      <c r="A5287">
        <v>20160318</v>
      </c>
      <c r="B5287" t="str">
        <f>"062770"</f>
        <v>062770</v>
      </c>
      <c r="C5287" t="str">
        <f>"49927"</f>
        <v>49927</v>
      </c>
      <c r="D5287" t="s">
        <v>4530</v>
      </c>
      <c r="E5287" s="3">
        <v>20</v>
      </c>
      <c r="F5287">
        <v>20160316</v>
      </c>
      <c r="G5287" t="s">
        <v>4531</v>
      </c>
      <c r="H5287" t="s">
        <v>4532</v>
      </c>
      <c r="I5287">
        <v>0</v>
      </c>
      <c r="J5287" t="s">
        <v>1709</v>
      </c>
      <c r="K5287" t="s">
        <v>290</v>
      </c>
      <c r="L5287" t="s">
        <v>285</v>
      </c>
      <c r="M5287" t="str">
        <f t="shared" si="377"/>
        <v>03</v>
      </c>
      <c r="N5287" t="s">
        <v>12</v>
      </c>
    </row>
    <row r="5288" spans="1:14" x14ac:dyDescent="0.25">
      <c r="A5288">
        <v>20160318</v>
      </c>
      <c r="B5288" t="str">
        <f>"062770"</f>
        <v>062770</v>
      </c>
      <c r="C5288" t="str">
        <f>"49927"</f>
        <v>49927</v>
      </c>
      <c r="D5288" t="s">
        <v>4530</v>
      </c>
      <c r="E5288" s="3">
        <v>520</v>
      </c>
      <c r="F5288">
        <v>20160316</v>
      </c>
      <c r="G5288" t="s">
        <v>1728</v>
      </c>
      <c r="H5288" t="s">
        <v>4532</v>
      </c>
      <c r="I5288">
        <v>0</v>
      </c>
      <c r="J5288" t="s">
        <v>1709</v>
      </c>
      <c r="K5288" t="s">
        <v>290</v>
      </c>
      <c r="L5288" t="s">
        <v>285</v>
      </c>
      <c r="M5288" t="str">
        <f t="shared" si="377"/>
        <v>03</v>
      </c>
      <c r="N5288" t="s">
        <v>12</v>
      </c>
    </row>
    <row r="5289" spans="1:14" x14ac:dyDescent="0.25">
      <c r="A5289">
        <v>20160318</v>
      </c>
      <c r="B5289" t="str">
        <f>"062771"</f>
        <v>062771</v>
      </c>
      <c r="C5289" t="str">
        <f>"49959"</f>
        <v>49959</v>
      </c>
      <c r="D5289" t="s">
        <v>361</v>
      </c>
      <c r="E5289" s="3">
        <v>300</v>
      </c>
      <c r="F5289">
        <v>20160316</v>
      </c>
      <c r="G5289" t="s">
        <v>1788</v>
      </c>
      <c r="H5289" t="s">
        <v>4533</v>
      </c>
      <c r="I5289">
        <v>0</v>
      </c>
      <c r="J5289" t="s">
        <v>1709</v>
      </c>
      <c r="K5289" t="s">
        <v>1643</v>
      </c>
      <c r="L5289" t="s">
        <v>285</v>
      </c>
      <c r="M5289" t="str">
        <f t="shared" si="377"/>
        <v>03</v>
      </c>
      <c r="N5289" t="s">
        <v>12</v>
      </c>
    </row>
    <row r="5290" spans="1:14" x14ac:dyDescent="0.25">
      <c r="A5290">
        <v>20160318</v>
      </c>
      <c r="B5290" t="str">
        <f>"062772"</f>
        <v>062772</v>
      </c>
      <c r="C5290" t="str">
        <f>"49964"</f>
        <v>49964</v>
      </c>
      <c r="D5290" t="s">
        <v>2346</v>
      </c>
      <c r="E5290" s="3">
        <v>84.28</v>
      </c>
      <c r="F5290">
        <v>20160316</v>
      </c>
      <c r="G5290" t="s">
        <v>2347</v>
      </c>
      <c r="H5290" t="s">
        <v>4534</v>
      </c>
      <c r="I5290">
        <v>0</v>
      </c>
      <c r="J5290" t="s">
        <v>1709</v>
      </c>
      <c r="K5290" t="s">
        <v>2194</v>
      </c>
      <c r="L5290" t="s">
        <v>285</v>
      </c>
      <c r="M5290" t="str">
        <f t="shared" si="377"/>
        <v>03</v>
      </c>
      <c r="N5290" t="s">
        <v>12</v>
      </c>
    </row>
    <row r="5291" spans="1:14" x14ac:dyDescent="0.25">
      <c r="A5291">
        <v>20160318</v>
      </c>
      <c r="B5291" t="str">
        <f>"062773"</f>
        <v>062773</v>
      </c>
      <c r="C5291" t="str">
        <f>"53006"</f>
        <v>53006</v>
      </c>
      <c r="D5291" t="s">
        <v>2909</v>
      </c>
      <c r="E5291" s="3">
        <v>112.77</v>
      </c>
      <c r="F5291">
        <v>20160316</v>
      </c>
      <c r="G5291" t="s">
        <v>2910</v>
      </c>
      <c r="H5291" t="s">
        <v>4535</v>
      </c>
      <c r="I5291">
        <v>0</v>
      </c>
      <c r="J5291" t="s">
        <v>1709</v>
      </c>
      <c r="K5291" t="s">
        <v>33</v>
      </c>
      <c r="L5291" t="s">
        <v>285</v>
      </c>
      <c r="M5291" t="str">
        <f t="shared" si="377"/>
        <v>03</v>
      </c>
      <c r="N5291" t="s">
        <v>12</v>
      </c>
    </row>
    <row r="5292" spans="1:14" x14ac:dyDescent="0.25">
      <c r="A5292">
        <v>20160318</v>
      </c>
      <c r="B5292" t="str">
        <f>"062775"</f>
        <v>062775</v>
      </c>
      <c r="C5292" t="str">
        <f>"54550"</f>
        <v>54550</v>
      </c>
      <c r="D5292" t="s">
        <v>4536</v>
      </c>
      <c r="E5292" s="3">
        <v>310.88</v>
      </c>
      <c r="F5292">
        <v>20160316</v>
      </c>
      <c r="G5292" t="s">
        <v>4506</v>
      </c>
      <c r="H5292" t="s">
        <v>4507</v>
      </c>
      <c r="I5292">
        <v>0</v>
      </c>
      <c r="J5292" t="s">
        <v>1709</v>
      </c>
      <c r="K5292" t="s">
        <v>290</v>
      </c>
      <c r="L5292" t="s">
        <v>285</v>
      </c>
      <c r="M5292" t="str">
        <f t="shared" si="377"/>
        <v>03</v>
      </c>
      <c r="N5292" t="s">
        <v>12</v>
      </c>
    </row>
    <row r="5293" spans="1:14" x14ac:dyDescent="0.25">
      <c r="A5293">
        <v>20160318</v>
      </c>
      <c r="B5293" t="str">
        <f>"062776"</f>
        <v>062776</v>
      </c>
      <c r="C5293" t="str">
        <f>"56564"</f>
        <v>56564</v>
      </c>
      <c r="D5293" t="s">
        <v>1578</v>
      </c>
      <c r="E5293" s="3">
        <v>142.26</v>
      </c>
      <c r="F5293">
        <v>20160316</v>
      </c>
      <c r="G5293" t="s">
        <v>3551</v>
      </c>
      <c r="H5293" t="s">
        <v>4537</v>
      </c>
      <c r="I5293">
        <v>0</v>
      </c>
      <c r="J5293" t="s">
        <v>1709</v>
      </c>
      <c r="K5293" t="s">
        <v>1558</v>
      </c>
      <c r="L5293" t="s">
        <v>285</v>
      </c>
      <c r="M5293" t="str">
        <f t="shared" si="377"/>
        <v>03</v>
      </c>
      <c r="N5293" t="s">
        <v>12</v>
      </c>
    </row>
    <row r="5294" spans="1:14" x14ac:dyDescent="0.25">
      <c r="A5294">
        <v>20160318</v>
      </c>
      <c r="B5294" t="str">
        <f>"062777"</f>
        <v>062777</v>
      </c>
      <c r="C5294" t="str">
        <f>"56570"</f>
        <v>56570</v>
      </c>
      <c r="D5294" t="s">
        <v>2687</v>
      </c>
      <c r="E5294" s="3">
        <v>55.45</v>
      </c>
      <c r="F5294">
        <v>20160316</v>
      </c>
      <c r="G5294" t="s">
        <v>2025</v>
      </c>
      <c r="H5294" t="s">
        <v>4538</v>
      </c>
      <c r="I5294">
        <v>0</v>
      </c>
      <c r="J5294" t="s">
        <v>1709</v>
      </c>
      <c r="K5294" t="s">
        <v>1984</v>
      </c>
      <c r="L5294" t="s">
        <v>285</v>
      </c>
      <c r="M5294" t="str">
        <f t="shared" si="377"/>
        <v>03</v>
      </c>
      <c r="N5294" t="s">
        <v>12</v>
      </c>
    </row>
    <row r="5295" spans="1:14" x14ac:dyDescent="0.25">
      <c r="A5295">
        <v>20160318</v>
      </c>
      <c r="B5295" t="str">
        <f t="shared" ref="B5295:B5302" si="382">"062780"</f>
        <v>062780</v>
      </c>
      <c r="C5295" t="str">
        <f t="shared" ref="C5295:C5302" si="383">"58200"</f>
        <v>58200</v>
      </c>
      <c r="D5295" t="s">
        <v>2454</v>
      </c>
      <c r="E5295" s="3">
        <v>9</v>
      </c>
      <c r="F5295">
        <v>20160317</v>
      </c>
      <c r="G5295" t="s">
        <v>4539</v>
      </c>
      <c r="H5295" t="s">
        <v>4540</v>
      </c>
      <c r="I5295">
        <v>0</v>
      </c>
      <c r="J5295" t="s">
        <v>1709</v>
      </c>
      <c r="K5295" t="s">
        <v>95</v>
      </c>
      <c r="L5295" t="s">
        <v>285</v>
      </c>
      <c r="M5295" t="str">
        <f t="shared" si="377"/>
        <v>03</v>
      </c>
      <c r="N5295" t="s">
        <v>12</v>
      </c>
    </row>
    <row r="5296" spans="1:14" x14ac:dyDescent="0.25">
      <c r="A5296">
        <v>20160318</v>
      </c>
      <c r="B5296" t="str">
        <f t="shared" si="382"/>
        <v>062780</v>
      </c>
      <c r="C5296" t="str">
        <f t="shared" si="383"/>
        <v>58200</v>
      </c>
      <c r="D5296" t="s">
        <v>2454</v>
      </c>
      <c r="E5296" s="3">
        <v>5.45</v>
      </c>
      <c r="F5296">
        <v>20160317</v>
      </c>
      <c r="G5296" t="s">
        <v>2360</v>
      </c>
      <c r="H5296" t="s">
        <v>4541</v>
      </c>
      <c r="I5296">
        <v>0</v>
      </c>
      <c r="J5296" t="s">
        <v>1709</v>
      </c>
      <c r="K5296" t="s">
        <v>1856</v>
      </c>
      <c r="L5296" t="s">
        <v>285</v>
      </c>
      <c r="M5296" t="str">
        <f t="shared" si="377"/>
        <v>03</v>
      </c>
      <c r="N5296" t="s">
        <v>12</v>
      </c>
    </row>
    <row r="5297" spans="1:14" x14ac:dyDescent="0.25">
      <c r="A5297">
        <v>20160318</v>
      </c>
      <c r="B5297" t="str">
        <f t="shared" si="382"/>
        <v>062780</v>
      </c>
      <c r="C5297" t="str">
        <f t="shared" si="383"/>
        <v>58200</v>
      </c>
      <c r="D5297" t="s">
        <v>2454</v>
      </c>
      <c r="E5297" s="3">
        <v>12.1</v>
      </c>
      <c r="F5297">
        <v>20160317</v>
      </c>
      <c r="G5297" t="s">
        <v>4542</v>
      </c>
      <c r="H5297" t="s">
        <v>2993</v>
      </c>
      <c r="I5297">
        <v>0</v>
      </c>
      <c r="J5297" t="s">
        <v>1709</v>
      </c>
      <c r="K5297" t="s">
        <v>1775</v>
      </c>
      <c r="L5297" t="s">
        <v>285</v>
      </c>
      <c r="M5297" t="str">
        <f t="shared" si="377"/>
        <v>03</v>
      </c>
      <c r="N5297" t="s">
        <v>12</v>
      </c>
    </row>
    <row r="5298" spans="1:14" x14ac:dyDescent="0.25">
      <c r="A5298">
        <v>20160318</v>
      </c>
      <c r="B5298" t="str">
        <f t="shared" si="382"/>
        <v>062780</v>
      </c>
      <c r="C5298" t="str">
        <f t="shared" si="383"/>
        <v>58200</v>
      </c>
      <c r="D5298" t="s">
        <v>2454</v>
      </c>
      <c r="E5298" s="3">
        <v>12</v>
      </c>
      <c r="F5298">
        <v>20160317</v>
      </c>
      <c r="G5298" t="s">
        <v>1880</v>
      </c>
      <c r="H5298" t="s">
        <v>4543</v>
      </c>
      <c r="I5298">
        <v>0</v>
      </c>
      <c r="J5298" t="s">
        <v>1709</v>
      </c>
      <c r="K5298" t="s">
        <v>1882</v>
      </c>
      <c r="L5298" t="s">
        <v>285</v>
      </c>
      <c r="M5298" t="str">
        <f t="shared" si="377"/>
        <v>03</v>
      </c>
      <c r="N5298" t="s">
        <v>12</v>
      </c>
    </row>
    <row r="5299" spans="1:14" x14ac:dyDescent="0.25">
      <c r="A5299">
        <v>20160318</v>
      </c>
      <c r="B5299" t="str">
        <f t="shared" si="382"/>
        <v>062780</v>
      </c>
      <c r="C5299" t="str">
        <f t="shared" si="383"/>
        <v>58200</v>
      </c>
      <c r="D5299" t="s">
        <v>2454</v>
      </c>
      <c r="E5299" s="3">
        <v>12</v>
      </c>
      <c r="F5299">
        <v>20160317</v>
      </c>
      <c r="G5299" t="s">
        <v>1880</v>
      </c>
      <c r="H5299" t="s">
        <v>4544</v>
      </c>
      <c r="I5299">
        <v>0</v>
      </c>
      <c r="J5299" t="s">
        <v>1709</v>
      </c>
      <c r="K5299" t="s">
        <v>1882</v>
      </c>
      <c r="L5299" t="s">
        <v>285</v>
      </c>
      <c r="M5299" t="str">
        <f t="shared" si="377"/>
        <v>03</v>
      </c>
      <c r="N5299" t="s">
        <v>12</v>
      </c>
    </row>
    <row r="5300" spans="1:14" x14ac:dyDescent="0.25">
      <c r="A5300">
        <v>20160318</v>
      </c>
      <c r="B5300" t="str">
        <f t="shared" si="382"/>
        <v>062780</v>
      </c>
      <c r="C5300" t="str">
        <f t="shared" si="383"/>
        <v>58200</v>
      </c>
      <c r="D5300" t="s">
        <v>2454</v>
      </c>
      <c r="E5300" s="3">
        <v>36.200000000000003</v>
      </c>
      <c r="F5300">
        <v>20160317</v>
      </c>
      <c r="G5300" t="s">
        <v>4545</v>
      </c>
      <c r="H5300" t="s">
        <v>4546</v>
      </c>
      <c r="I5300">
        <v>0</v>
      </c>
      <c r="J5300" t="s">
        <v>1709</v>
      </c>
      <c r="K5300" t="s">
        <v>1775</v>
      </c>
      <c r="L5300" t="s">
        <v>285</v>
      </c>
      <c r="M5300" t="str">
        <f t="shared" si="377"/>
        <v>03</v>
      </c>
      <c r="N5300" t="s">
        <v>12</v>
      </c>
    </row>
    <row r="5301" spans="1:14" x14ac:dyDescent="0.25">
      <c r="A5301">
        <v>20160318</v>
      </c>
      <c r="B5301" t="str">
        <f t="shared" si="382"/>
        <v>062780</v>
      </c>
      <c r="C5301" t="str">
        <f t="shared" si="383"/>
        <v>58200</v>
      </c>
      <c r="D5301" t="s">
        <v>2454</v>
      </c>
      <c r="E5301" s="3">
        <v>16.5</v>
      </c>
      <c r="F5301">
        <v>20160317</v>
      </c>
      <c r="G5301" t="s">
        <v>2990</v>
      </c>
      <c r="H5301" t="s">
        <v>4547</v>
      </c>
      <c r="I5301">
        <v>0</v>
      </c>
      <c r="J5301" t="s">
        <v>1709</v>
      </c>
      <c r="K5301" t="s">
        <v>1779</v>
      </c>
      <c r="L5301" t="s">
        <v>285</v>
      </c>
      <c r="M5301" t="str">
        <f t="shared" si="377"/>
        <v>03</v>
      </c>
      <c r="N5301" t="s">
        <v>12</v>
      </c>
    </row>
    <row r="5302" spans="1:14" x14ac:dyDescent="0.25">
      <c r="A5302">
        <v>20160318</v>
      </c>
      <c r="B5302" t="str">
        <f t="shared" si="382"/>
        <v>062780</v>
      </c>
      <c r="C5302" t="str">
        <f t="shared" si="383"/>
        <v>58200</v>
      </c>
      <c r="D5302" t="s">
        <v>2454</v>
      </c>
      <c r="E5302" s="3">
        <v>23.2</v>
      </c>
      <c r="F5302">
        <v>20160317</v>
      </c>
      <c r="G5302" t="s">
        <v>1916</v>
      </c>
      <c r="H5302" t="s">
        <v>4548</v>
      </c>
      <c r="I5302">
        <v>0</v>
      </c>
      <c r="J5302" t="s">
        <v>1709</v>
      </c>
      <c r="K5302" t="s">
        <v>1782</v>
      </c>
      <c r="L5302" t="s">
        <v>285</v>
      </c>
      <c r="M5302" t="str">
        <f t="shared" si="377"/>
        <v>03</v>
      </c>
      <c r="N5302" t="s">
        <v>12</v>
      </c>
    </row>
    <row r="5303" spans="1:14" x14ac:dyDescent="0.25">
      <c r="A5303">
        <v>20160318</v>
      </c>
      <c r="B5303" t="str">
        <f>"062781"</f>
        <v>062781</v>
      </c>
      <c r="C5303" t="str">
        <f>"58204"</f>
        <v>58204</v>
      </c>
      <c r="D5303" t="s">
        <v>1816</v>
      </c>
      <c r="E5303" s="3">
        <v>98.32</v>
      </c>
      <c r="F5303">
        <v>20160317</v>
      </c>
      <c r="G5303" t="s">
        <v>2339</v>
      </c>
      <c r="H5303" t="s">
        <v>4050</v>
      </c>
      <c r="I5303">
        <v>0</v>
      </c>
      <c r="J5303" t="s">
        <v>1709</v>
      </c>
      <c r="K5303" t="s">
        <v>290</v>
      </c>
      <c r="L5303" t="s">
        <v>285</v>
      </c>
      <c r="M5303" t="str">
        <f t="shared" si="377"/>
        <v>03</v>
      </c>
      <c r="N5303" t="s">
        <v>12</v>
      </c>
    </row>
    <row r="5304" spans="1:14" x14ac:dyDescent="0.25">
      <c r="A5304">
        <v>20160318</v>
      </c>
      <c r="B5304" t="str">
        <f>"062781"</f>
        <v>062781</v>
      </c>
      <c r="C5304" t="str">
        <f>"58204"</f>
        <v>58204</v>
      </c>
      <c r="D5304" t="s">
        <v>1816</v>
      </c>
      <c r="E5304" s="3">
        <v>22.78</v>
      </c>
      <c r="F5304">
        <v>20160317</v>
      </c>
      <c r="G5304" t="s">
        <v>2553</v>
      </c>
      <c r="H5304" t="s">
        <v>4549</v>
      </c>
      <c r="I5304">
        <v>0</v>
      </c>
      <c r="J5304" t="s">
        <v>1709</v>
      </c>
      <c r="K5304" t="s">
        <v>290</v>
      </c>
      <c r="L5304" t="s">
        <v>285</v>
      </c>
      <c r="M5304" t="str">
        <f t="shared" si="377"/>
        <v>03</v>
      </c>
      <c r="N5304" t="s">
        <v>12</v>
      </c>
    </row>
    <row r="5305" spans="1:14" x14ac:dyDescent="0.25">
      <c r="A5305">
        <v>20160318</v>
      </c>
      <c r="B5305" t="str">
        <f>"062781"</f>
        <v>062781</v>
      </c>
      <c r="C5305" t="str">
        <f>"58204"</f>
        <v>58204</v>
      </c>
      <c r="D5305" t="s">
        <v>1816</v>
      </c>
      <c r="E5305" s="3">
        <v>42</v>
      </c>
      <c r="F5305">
        <v>20160317</v>
      </c>
      <c r="G5305" t="s">
        <v>4550</v>
      </c>
      <c r="H5305" t="s">
        <v>4551</v>
      </c>
      <c r="I5305">
        <v>0</v>
      </c>
      <c r="J5305" t="s">
        <v>1709</v>
      </c>
      <c r="K5305" t="s">
        <v>290</v>
      </c>
      <c r="L5305" t="s">
        <v>285</v>
      </c>
      <c r="M5305" t="str">
        <f t="shared" si="377"/>
        <v>03</v>
      </c>
      <c r="N5305" t="s">
        <v>12</v>
      </c>
    </row>
    <row r="5306" spans="1:14" x14ac:dyDescent="0.25">
      <c r="A5306">
        <v>20160318</v>
      </c>
      <c r="B5306" t="str">
        <f>"062782"</f>
        <v>062782</v>
      </c>
      <c r="C5306" t="str">
        <f>"58203"</f>
        <v>58203</v>
      </c>
      <c r="D5306" t="s">
        <v>2371</v>
      </c>
      <c r="E5306" s="3">
        <v>6.99</v>
      </c>
      <c r="F5306">
        <v>20160317</v>
      </c>
      <c r="G5306" t="s">
        <v>2262</v>
      </c>
      <c r="H5306" t="s">
        <v>4552</v>
      </c>
      <c r="I5306">
        <v>0</v>
      </c>
      <c r="J5306" t="s">
        <v>1709</v>
      </c>
      <c r="K5306" t="s">
        <v>1643</v>
      </c>
      <c r="L5306" t="s">
        <v>285</v>
      </c>
      <c r="M5306" t="str">
        <f t="shared" ref="M5306:M5369" si="384">"03"</f>
        <v>03</v>
      </c>
      <c r="N5306" t="s">
        <v>12</v>
      </c>
    </row>
    <row r="5307" spans="1:14" x14ac:dyDescent="0.25">
      <c r="A5307">
        <v>20160318</v>
      </c>
      <c r="B5307" t="str">
        <f>"062783"</f>
        <v>062783</v>
      </c>
      <c r="C5307" t="str">
        <f>"59040"</f>
        <v>59040</v>
      </c>
      <c r="D5307" t="s">
        <v>4079</v>
      </c>
      <c r="E5307" s="3">
        <v>30</v>
      </c>
      <c r="F5307">
        <v>20160317</v>
      </c>
      <c r="G5307" t="s">
        <v>3968</v>
      </c>
      <c r="H5307" t="s">
        <v>4553</v>
      </c>
      <c r="I5307">
        <v>0</v>
      </c>
      <c r="J5307" t="s">
        <v>1709</v>
      </c>
      <c r="K5307" t="s">
        <v>290</v>
      </c>
      <c r="L5307" t="s">
        <v>285</v>
      </c>
      <c r="M5307" t="str">
        <f t="shared" si="384"/>
        <v>03</v>
      </c>
      <c r="N5307" t="s">
        <v>12</v>
      </c>
    </row>
    <row r="5308" spans="1:14" x14ac:dyDescent="0.25">
      <c r="A5308">
        <v>20160318</v>
      </c>
      <c r="B5308" t="str">
        <f>"062783"</f>
        <v>062783</v>
      </c>
      <c r="C5308" t="str">
        <f>"59040"</f>
        <v>59040</v>
      </c>
      <c r="D5308" t="s">
        <v>4079</v>
      </c>
      <c r="E5308" s="3">
        <v>180</v>
      </c>
      <c r="F5308">
        <v>20160317</v>
      </c>
      <c r="G5308" t="s">
        <v>4080</v>
      </c>
      <c r="H5308" t="s">
        <v>4553</v>
      </c>
      <c r="I5308">
        <v>0</v>
      </c>
      <c r="J5308" t="s">
        <v>1709</v>
      </c>
      <c r="K5308" t="s">
        <v>290</v>
      </c>
      <c r="L5308" t="s">
        <v>285</v>
      </c>
      <c r="M5308" t="str">
        <f t="shared" si="384"/>
        <v>03</v>
      </c>
      <c r="N5308" t="s">
        <v>12</v>
      </c>
    </row>
    <row r="5309" spans="1:14" x14ac:dyDescent="0.25">
      <c r="A5309">
        <v>20160318</v>
      </c>
      <c r="B5309" t="str">
        <f>"062784"</f>
        <v>062784</v>
      </c>
      <c r="C5309" t="str">
        <f>"59097"</f>
        <v>59097</v>
      </c>
      <c r="D5309" t="s">
        <v>1755</v>
      </c>
      <c r="E5309" s="3">
        <v>360</v>
      </c>
      <c r="F5309">
        <v>20160317</v>
      </c>
      <c r="G5309" t="s">
        <v>3846</v>
      </c>
      <c r="H5309" t="s">
        <v>4554</v>
      </c>
      <c r="I5309">
        <v>0</v>
      </c>
      <c r="J5309" t="s">
        <v>1709</v>
      </c>
      <c r="K5309" t="s">
        <v>290</v>
      </c>
      <c r="L5309" t="s">
        <v>285</v>
      </c>
      <c r="M5309" t="str">
        <f t="shared" si="384"/>
        <v>03</v>
      </c>
      <c r="N5309" t="s">
        <v>12</v>
      </c>
    </row>
    <row r="5310" spans="1:14" x14ac:dyDescent="0.25">
      <c r="A5310">
        <v>20160318</v>
      </c>
      <c r="B5310" t="str">
        <f>"062785"</f>
        <v>062785</v>
      </c>
      <c r="C5310" t="str">
        <f>"60362"</f>
        <v>60362</v>
      </c>
      <c r="D5310" t="s">
        <v>2006</v>
      </c>
      <c r="E5310" s="3">
        <v>4079</v>
      </c>
      <c r="F5310">
        <v>20160317</v>
      </c>
      <c r="G5310" t="s">
        <v>2007</v>
      </c>
      <c r="H5310" t="s">
        <v>4555</v>
      </c>
      <c r="I5310">
        <v>0</v>
      </c>
      <c r="J5310" t="s">
        <v>1709</v>
      </c>
      <c r="K5310" t="s">
        <v>235</v>
      </c>
      <c r="L5310" t="s">
        <v>285</v>
      </c>
      <c r="M5310" t="str">
        <f t="shared" si="384"/>
        <v>03</v>
      </c>
      <c r="N5310" t="s">
        <v>12</v>
      </c>
    </row>
    <row r="5311" spans="1:14" x14ac:dyDescent="0.25">
      <c r="A5311">
        <v>20160318</v>
      </c>
      <c r="B5311" t="str">
        <f>"062786"</f>
        <v>062786</v>
      </c>
      <c r="C5311" t="str">
        <f>"60603"</f>
        <v>60603</v>
      </c>
      <c r="D5311" t="s">
        <v>2702</v>
      </c>
      <c r="E5311" s="3">
        <v>383.94</v>
      </c>
      <c r="F5311">
        <v>20160317</v>
      </c>
      <c r="G5311" t="s">
        <v>2226</v>
      </c>
      <c r="H5311" t="s">
        <v>4556</v>
      </c>
      <c r="I5311">
        <v>0</v>
      </c>
      <c r="J5311" t="s">
        <v>1709</v>
      </c>
      <c r="K5311" t="s">
        <v>33</v>
      </c>
      <c r="L5311" t="s">
        <v>285</v>
      </c>
      <c r="M5311" t="str">
        <f t="shared" si="384"/>
        <v>03</v>
      </c>
      <c r="N5311" t="s">
        <v>12</v>
      </c>
    </row>
    <row r="5312" spans="1:14" x14ac:dyDescent="0.25">
      <c r="A5312">
        <v>20160318</v>
      </c>
      <c r="B5312" t="str">
        <f>"062786"</f>
        <v>062786</v>
      </c>
      <c r="C5312" t="str">
        <f>"60603"</f>
        <v>60603</v>
      </c>
      <c r="D5312" t="s">
        <v>2702</v>
      </c>
      <c r="E5312" s="3">
        <v>62.04</v>
      </c>
      <c r="F5312">
        <v>20160317</v>
      </c>
      <c r="G5312" t="s">
        <v>2226</v>
      </c>
      <c r="H5312" t="s">
        <v>4557</v>
      </c>
      <c r="I5312">
        <v>0</v>
      </c>
      <c r="J5312" t="s">
        <v>1709</v>
      </c>
      <c r="K5312" t="s">
        <v>33</v>
      </c>
      <c r="L5312" t="s">
        <v>285</v>
      </c>
      <c r="M5312" t="str">
        <f t="shared" si="384"/>
        <v>03</v>
      </c>
      <c r="N5312" t="s">
        <v>12</v>
      </c>
    </row>
    <row r="5313" spans="1:14" x14ac:dyDescent="0.25">
      <c r="A5313">
        <v>20160318</v>
      </c>
      <c r="B5313" t="str">
        <f>"062793"</f>
        <v>062793</v>
      </c>
      <c r="C5313" t="str">
        <f>"64029"</f>
        <v>64029</v>
      </c>
      <c r="D5313" t="s">
        <v>4558</v>
      </c>
      <c r="E5313" s="3">
        <v>150</v>
      </c>
      <c r="F5313">
        <v>20160317</v>
      </c>
      <c r="G5313" t="s">
        <v>4506</v>
      </c>
      <c r="H5313" t="s">
        <v>4507</v>
      </c>
      <c r="I5313">
        <v>0</v>
      </c>
      <c r="J5313" t="s">
        <v>1709</v>
      </c>
      <c r="K5313" t="s">
        <v>290</v>
      </c>
      <c r="L5313" t="s">
        <v>285</v>
      </c>
      <c r="M5313" t="str">
        <f t="shared" si="384"/>
        <v>03</v>
      </c>
      <c r="N5313" t="s">
        <v>12</v>
      </c>
    </row>
    <row r="5314" spans="1:14" x14ac:dyDescent="0.25">
      <c r="A5314">
        <v>20160318</v>
      </c>
      <c r="B5314" t="str">
        <f>"062794"</f>
        <v>062794</v>
      </c>
      <c r="C5314" t="str">
        <f>"65106"</f>
        <v>65106</v>
      </c>
      <c r="D5314" t="s">
        <v>1568</v>
      </c>
      <c r="E5314" s="3">
        <v>104.9</v>
      </c>
      <c r="F5314">
        <v>20160317</v>
      </c>
      <c r="G5314" t="s">
        <v>3180</v>
      </c>
      <c r="H5314" t="s">
        <v>4559</v>
      </c>
      <c r="I5314">
        <v>0</v>
      </c>
      <c r="J5314" t="s">
        <v>1709</v>
      </c>
      <c r="K5314" t="s">
        <v>290</v>
      </c>
      <c r="L5314" t="s">
        <v>285</v>
      </c>
      <c r="M5314" t="str">
        <f t="shared" si="384"/>
        <v>03</v>
      </c>
      <c r="N5314" t="s">
        <v>12</v>
      </c>
    </row>
    <row r="5315" spans="1:14" x14ac:dyDescent="0.25">
      <c r="A5315">
        <v>20160318</v>
      </c>
      <c r="B5315" t="str">
        <f>"062794"</f>
        <v>062794</v>
      </c>
      <c r="C5315" t="str">
        <f>"65106"</f>
        <v>65106</v>
      </c>
      <c r="D5315" t="s">
        <v>1568</v>
      </c>
      <c r="E5315" s="3">
        <v>1063.8</v>
      </c>
      <c r="F5315">
        <v>20160317</v>
      </c>
      <c r="G5315" t="s">
        <v>4560</v>
      </c>
      <c r="H5315" t="s">
        <v>2782</v>
      </c>
      <c r="I5315">
        <v>0</v>
      </c>
      <c r="J5315" t="s">
        <v>1709</v>
      </c>
      <c r="K5315" t="s">
        <v>290</v>
      </c>
      <c r="L5315" t="s">
        <v>285</v>
      </c>
      <c r="M5315" t="str">
        <f t="shared" si="384"/>
        <v>03</v>
      </c>
      <c r="N5315" t="s">
        <v>12</v>
      </c>
    </row>
    <row r="5316" spans="1:14" x14ac:dyDescent="0.25">
      <c r="A5316">
        <v>20160318</v>
      </c>
      <c r="B5316" t="str">
        <f>"062794"</f>
        <v>062794</v>
      </c>
      <c r="C5316" t="str">
        <f>"65106"</f>
        <v>65106</v>
      </c>
      <c r="D5316" t="s">
        <v>1568</v>
      </c>
      <c r="E5316" s="3">
        <v>78.3</v>
      </c>
      <c r="F5316">
        <v>20160317</v>
      </c>
      <c r="G5316" t="s">
        <v>2626</v>
      </c>
      <c r="H5316" t="s">
        <v>2173</v>
      </c>
      <c r="I5316">
        <v>0</v>
      </c>
      <c r="J5316" t="s">
        <v>1709</v>
      </c>
      <c r="K5316" t="s">
        <v>290</v>
      </c>
      <c r="L5316" t="s">
        <v>285</v>
      </c>
      <c r="M5316" t="str">
        <f t="shared" si="384"/>
        <v>03</v>
      </c>
      <c r="N5316" t="s">
        <v>12</v>
      </c>
    </row>
    <row r="5317" spans="1:14" x14ac:dyDescent="0.25">
      <c r="A5317">
        <v>20160318</v>
      </c>
      <c r="B5317" t="str">
        <f>"062794"</f>
        <v>062794</v>
      </c>
      <c r="C5317" t="str">
        <f>"65106"</f>
        <v>65106</v>
      </c>
      <c r="D5317" t="s">
        <v>1568</v>
      </c>
      <c r="E5317" s="3">
        <v>39.619999999999997</v>
      </c>
      <c r="F5317">
        <v>20160317</v>
      </c>
      <c r="G5317" t="s">
        <v>2368</v>
      </c>
      <c r="H5317" t="s">
        <v>2023</v>
      </c>
      <c r="I5317">
        <v>0</v>
      </c>
      <c r="J5317" t="s">
        <v>1709</v>
      </c>
      <c r="K5317" t="s">
        <v>290</v>
      </c>
      <c r="L5317" t="s">
        <v>285</v>
      </c>
      <c r="M5317" t="str">
        <f t="shared" si="384"/>
        <v>03</v>
      </c>
      <c r="N5317" t="s">
        <v>12</v>
      </c>
    </row>
    <row r="5318" spans="1:14" x14ac:dyDescent="0.25">
      <c r="A5318">
        <v>20160318</v>
      </c>
      <c r="B5318" t="str">
        <f>"062797"</f>
        <v>062797</v>
      </c>
      <c r="C5318" t="str">
        <f>"65212"</f>
        <v>65212</v>
      </c>
      <c r="D5318" t="s">
        <v>2017</v>
      </c>
      <c r="E5318" s="3">
        <v>6585.01</v>
      </c>
      <c r="F5318">
        <v>20160317</v>
      </c>
      <c r="G5318" t="s">
        <v>2018</v>
      </c>
      <c r="H5318" t="s">
        <v>4561</v>
      </c>
      <c r="I5318">
        <v>0</v>
      </c>
      <c r="J5318" t="s">
        <v>1709</v>
      </c>
      <c r="K5318" t="s">
        <v>1856</v>
      </c>
      <c r="L5318" t="s">
        <v>285</v>
      </c>
      <c r="M5318" t="str">
        <f t="shared" si="384"/>
        <v>03</v>
      </c>
      <c r="N5318" t="s">
        <v>12</v>
      </c>
    </row>
    <row r="5319" spans="1:14" x14ac:dyDescent="0.25">
      <c r="A5319">
        <v>20160318</v>
      </c>
      <c r="B5319" t="str">
        <f>"062797"</f>
        <v>062797</v>
      </c>
      <c r="C5319" t="str">
        <f>"65212"</f>
        <v>65212</v>
      </c>
      <c r="D5319" t="s">
        <v>2017</v>
      </c>
      <c r="E5319" s="3">
        <v>8968.5400000000009</v>
      </c>
      <c r="F5319">
        <v>20160317</v>
      </c>
      <c r="G5319" t="s">
        <v>2018</v>
      </c>
      <c r="H5319" t="s">
        <v>4562</v>
      </c>
      <c r="I5319">
        <v>0</v>
      </c>
      <c r="J5319" t="s">
        <v>1709</v>
      </c>
      <c r="K5319" t="s">
        <v>1856</v>
      </c>
      <c r="L5319" t="s">
        <v>285</v>
      </c>
      <c r="M5319" t="str">
        <f t="shared" si="384"/>
        <v>03</v>
      </c>
      <c r="N5319" t="s">
        <v>12</v>
      </c>
    </row>
    <row r="5320" spans="1:14" x14ac:dyDescent="0.25">
      <c r="A5320">
        <v>20160318</v>
      </c>
      <c r="B5320" t="str">
        <f>"062798"</f>
        <v>062798</v>
      </c>
      <c r="C5320" t="str">
        <f>"65760"</f>
        <v>65760</v>
      </c>
      <c r="D5320" t="s">
        <v>3283</v>
      </c>
      <c r="E5320" s="3">
        <v>24164.47</v>
      </c>
      <c r="F5320">
        <v>20160317</v>
      </c>
      <c r="G5320" t="s">
        <v>4563</v>
      </c>
      <c r="H5320" t="s">
        <v>4564</v>
      </c>
      <c r="I5320">
        <v>0</v>
      </c>
      <c r="J5320" t="s">
        <v>1709</v>
      </c>
      <c r="K5320" t="s">
        <v>1861</v>
      </c>
      <c r="L5320" t="s">
        <v>285</v>
      </c>
      <c r="M5320" t="str">
        <f t="shared" si="384"/>
        <v>03</v>
      </c>
      <c r="N5320" t="s">
        <v>12</v>
      </c>
    </row>
    <row r="5321" spans="1:14" x14ac:dyDescent="0.25">
      <c r="A5321">
        <v>20160318</v>
      </c>
      <c r="B5321" t="str">
        <f>"062800"</f>
        <v>062800</v>
      </c>
      <c r="C5321" t="str">
        <f>"65826"</f>
        <v>65826</v>
      </c>
      <c r="D5321" t="s">
        <v>2386</v>
      </c>
      <c r="E5321" s="3">
        <v>110.66</v>
      </c>
      <c r="F5321">
        <v>20160317</v>
      </c>
      <c r="G5321" t="s">
        <v>2100</v>
      </c>
      <c r="H5321" t="s">
        <v>4565</v>
      </c>
      <c r="I5321">
        <v>0</v>
      </c>
      <c r="J5321" t="s">
        <v>1709</v>
      </c>
      <c r="K5321" t="s">
        <v>33</v>
      </c>
      <c r="L5321" t="s">
        <v>285</v>
      </c>
      <c r="M5321" t="str">
        <f t="shared" si="384"/>
        <v>03</v>
      </c>
      <c r="N5321" t="s">
        <v>12</v>
      </c>
    </row>
    <row r="5322" spans="1:14" x14ac:dyDescent="0.25">
      <c r="A5322">
        <v>20160318</v>
      </c>
      <c r="B5322" t="str">
        <f>"062800"</f>
        <v>062800</v>
      </c>
      <c r="C5322" t="str">
        <f>"65826"</f>
        <v>65826</v>
      </c>
      <c r="D5322" t="s">
        <v>2386</v>
      </c>
      <c r="E5322" s="3">
        <v>752.01</v>
      </c>
      <c r="F5322">
        <v>20160317</v>
      </c>
      <c r="G5322" t="s">
        <v>1758</v>
      </c>
      <c r="H5322" t="s">
        <v>4566</v>
      </c>
      <c r="I5322">
        <v>0</v>
      </c>
      <c r="J5322" t="s">
        <v>1709</v>
      </c>
      <c r="K5322" t="s">
        <v>1643</v>
      </c>
      <c r="L5322" t="s">
        <v>285</v>
      </c>
      <c r="M5322" t="str">
        <f t="shared" si="384"/>
        <v>03</v>
      </c>
      <c r="N5322" t="s">
        <v>12</v>
      </c>
    </row>
    <row r="5323" spans="1:14" x14ac:dyDescent="0.25">
      <c r="A5323">
        <v>20160318</v>
      </c>
      <c r="B5323" t="str">
        <f>"062801"</f>
        <v>062801</v>
      </c>
      <c r="C5323" t="str">
        <f>"79765"</f>
        <v>79765</v>
      </c>
      <c r="D5323" t="s">
        <v>3972</v>
      </c>
      <c r="E5323" s="3">
        <v>150</v>
      </c>
      <c r="F5323">
        <v>20160317</v>
      </c>
      <c r="G5323" t="s">
        <v>3968</v>
      </c>
      <c r="H5323" t="s">
        <v>4553</v>
      </c>
      <c r="I5323">
        <v>0</v>
      </c>
      <c r="J5323" t="s">
        <v>1709</v>
      </c>
      <c r="K5323" t="s">
        <v>290</v>
      </c>
      <c r="L5323" t="s">
        <v>285</v>
      </c>
      <c r="M5323" t="str">
        <f t="shared" si="384"/>
        <v>03</v>
      </c>
      <c r="N5323" t="s">
        <v>12</v>
      </c>
    </row>
    <row r="5324" spans="1:14" x14ac:dyDescent="0.25">
      <c r="A5324">
        <v>20160318</v>
      </c>
      <c r="B5324" t="str">
        <f>"062801"</f>
        <v>062801</v>
      </c>
      <c r="C5324" t="str">
        <f>"79765"</f>
        <v>79765</v>
      </c>
      <c r="D5324" t="s">
        <v>3972</v>
      </c>
      <c r="E5324" s="3">
        <v>75</v>
      </c>
      <c r="F5324">
        <v>20160317</v>
      </c>
      <c r="G5324" t="s">
        <v>3968</v>
      </c>
      <c r="H5324" t="s">
        <v>4553</v>
      </c>
      <c r="I5324">
        <v>0</v>
      </c>
      <c r="J5324" t="s">
        <v>1709</v>
      </c>
      <c r="K5324" t="s">
        <v>290</v>
      </c>
      <c r="L5324" t="s">
        <v>285</v>
      </c>
      <c r="M5324" t="str">
        <f t="shared" si="384"/>
        <v>03</v>
      </c>
      <c r="N5324" t="s">
        <v>12</v>
      </c>
    </row>
    <row r="5325" spans="1:14" x14ac:dyDescent="0.25">
      <c r="A5325">
        <v>20160318</v>
      </c>
      <c r="B5325" t="str">
        <f>"062801"</f>
        <v>062801</v>
      </c>
      <c r="C5325" t="str">
        <f>"79765"</f>
        <v>79765</v>
      </c>
      <c r="D5325" t="s">
        <v>3972</v>
      </c>
      <c r="E5325" s="3">
        <v>75</v>
      </c>
      <c r="F5325">
        <v>20160317</v>
      </c>
      <c r="G5325" t="s">
        <v>3971</v>
      </c>
      <c r="H5325" t="s">
        <v>4553</v>
      </c>
      <c r="I5325">
        <v>0</v>
      </c>
      <c r="J5325" t="s">
        <v>1709</v>
      </c>
      <c r="K5325" t="s">
        <v>290</v>
      </c>
      <c r="L5325" t="s">
        <v>285</v>
      </c>
      <c r="M5325" t="str">
        <f t="shared" si="384"/>
        <v>03</v>
      </c>
      <c r="N5325" t="s">
        <v>12</v>
      </c>
    </row>
    <row r="5326" spans="1:14" x14ac:dyDescent="0.25">
      <c r="A5326">
        <v>20160318</v>
      </c>
      <c r="B5326" t="str">
        <f>"062803"</f>
        <v>062803</v>
      </c>
      <c r="C5326" t="str">
        <f>"70166"</f>
        <v>70166</v>
      </c>
      <c r="D5326" t="s">
        <v>4186</v>
      </c>
      <c r="E5326" s="3">
        <v>99</v>
      </c>
      <c r="F5326">
        <v>20160317</v>
      </c>
      <c r="G5326" t="s">
        <v>2000</v>
      </c>
      <c r="H5326" t="s">
        <v>4567</v>
      </c>
      <c r="I5326">
        <v>0</v>
      </c>
      <c r="J5326" t="s">
        <v>1709</v>
      </c>
      <c r="K5326" t="s">
        <v>290</v>
      </c>
      <c r="L5326" t="s">
        <v>285</v>
      </c>
      <c r="M5326" t="str">
        <f t="shared" si="384"/>
        <v>03</v>
      </c>
      <c r="N5326" t="s">
        <v>12</v>
      </c>
    </row>
    <row r="5327" spans="1:14" x14ac:dyDescent="0.25">
      <c r="A5327">
        <v>20160318</v>
      </c>
      <c r="B5327" t="str">
        <f>"062805"</f>
        <v>062805</v>
      </c>
      <c r="C5327" t="str">
        <f>"74142"</f>
        <v>74142</v>
      </c>
      <c r="D5327" t="s">
        <v>4568</v>
      </c>
      <c r="E5327" s="3">
        <v>438.96</v>
      </c>
      <c r="F5327">
        <v>20160317</v>
      </c>
      <c r="G5327" t="s">
        <v>1712</v>
      </c>
      <c r="H5327" t="s">
        <v>4503</v>
      </c>
      <c r="I5327">
        <v>0</v>
      </c>
      <c r="J5327" t="s">
        <v>1709</v>
      </c>
      <c r="K5327" t="s">
        <v>290</v>
      </c>
      <c r="L5327" t="s">
        <v>285</v>
      </c>
      <c r="M5327" t="str">
        <f t="shared" si="384"/>
        <v>03</v>
      </c>
      <c r="N5327" t="s">
        <v>12</v>
      </c>
    </row>
    <row r="5328" spans="1:14" x14ac:dyDescent="0.25">
      <c r="A5328">
        <v>20160318</v>
      </c>
      <c r="B5328" t="str">
        <f>"062805"</f>
        <v>062805</v>
      </c>
      <c r="C5328" t="str">
        <f>"74142"</f>
        <v>74142</v>
      </c>
      <c r="D5328" t="s">
        <v>4568</v>
      </c>
      <c r="E5328" s="3">
        <v>109.74</v>
      </c>
      <c r="F5328">
        <v>20160317</v>
      </c>
      <c r="G5328" t="s">
        <v>4159</v>
      </c>
      <c r="H5328" t="s">
        <v>4503</v>
      </c>
      <c r="I5328">
        <v>0</v>
      </c>
      <c r="J5328" t="s">
        <v>1709</v>
      </c>
      <c r="K5328" t="s">
        <v>290</v>
      </c>
      <c r="L5328" t="s">
        <v>285</v>
      </c>
      <c r="M5328" t="str">
        <f t="shared" si="384"/>
        <v>03</v>
      </c>
      <c r="N5328" t="s">
        <v>12</v>
      </c>
    </row>
    <row r="5329" spans="1:14" x14ac:dyDescent="0.25">
      <c r="A5329">
        <v>20160318</v>
      </c>
      <c r="B5329" t="str">
        <f>"062807"</f>
        <v>062807</v>
      </c>
      <c r="C5329" t="str">
        <f>"45162"</f>
        <v>45162</v>
      </c>
      <c r="D5329" t="s">
        <v>4569</v>
      </c>
      <c r="E5329" s="3">
        <v>250</v>
      </c>
      <c r="F5329">
        <v>20160317</v>
      </c>
      <c r="G5329" t="s">
        <v>4570</v>
      </c>
      <c r="H5329" t="s">
        <v>4571</v>
      </c>
      <c r="I5329">
        <v>0</v>
      </c>
      <c r="J5329" t="s">
        <v>1709</v>
      </c>
      <c r="K5329" t="s">
        <v>290</v>
      </c>
      <c r="L5329" t="s">
        <v>285</v>
      </c>
      <c r="M5329" t="str">
        <f t="shared" si="384"/>
        <v>03</v>
      </c>
      <c r="N5329" t="s">
        <v>12</v>
      </c>
    </row>
    <row r="5330" spans="1:14" x14ac:dyDescent="0.25">
      <c r="A5330">
        <v>20160318</v>
      </c>
      <c r="B5330" t="str">
        <f>"062808"</f>
        <v>062808</v>
      </c>
      <c r="C5330" t="str">
        <f>"74242"</f>
        <v>74242</v>
      </c>
      <c r="D5330" t="s">
        <v>1790</v>
      </c>
      <c r="E5330" s="3">
        <v>500</v>
      </c>
      <c r="F5330">
        <v>20160317</v>
      </c>
      <c r="G5330" t="s">
        <v>4066</v>
      </c>
      <c r="H5330" t="s">
        <v>4067</v>
      </c>
      <c r="I5330">
        <v>0</v>
      </c>
      <c r="J5330" t="s">
        <v>1709</v>
      </c>
      <c r="K5330" t="s">
        <v>290</v>
      </c>
      <c r="L5330" t="s">
        <v>285</v>
      </c>
      <c r="M5330" t="str">
        <f t="shared" si="384"/>
        <v>03</v>
      </c>
      <c r="N5330" t="s">
        <v>12</v>
      </c>
    </row>
    <row r="5331" spans="1:14" x14ac:dyDescent="0.25">
      <c r="A5331">
        <v>20160318</v>
      </c>
      <c r="B5331" t="str">
        <f>"062808"</f>
        <v>062808</v>
      </c>
      <c r="C5331" t="str">
        <f>"74242"</f>
        <v>74242</v>
      </c>
      <c r="D5331" t="s">
        <v>1790</v>
      </c>
      <c r="E5331" s="3">
        <v>500</v>
      </c>
      <c r="F5331">
        <v>20160317</v>
      </c>
      <c r="G5331" t="s">
        <v>4066</v>
      </c>
      <c r="H5331" t="s">
        <v>4572</v>
      </c>
      <c r="I5331">
        <v>0</v>
      </c>
      <c r="J5331" t="s">
        <v>1709</v>
      </c>
      <c r="K5331" t="s">
        <v>290</v>
      </c>
      <c r="L5331" t="s">
        <v>285</v>
      </c>
      <c r="M5331" t="str">
        <f t="shared" si="384"/>
        <v>03</v>
      </c>
      <c r="N5331" t="s">
        <v>12</v>
      </c>
    </row>
    <row r="5332" spans="1:14" x14ac:dyDescent="0.25">
      <c r="A5332">
        <v>20160318</v>
      </c>
      <c r="B5332" t="str">
        <f>"062808"</f>
        <v>062808</v>
      </c>
      <c r="C5332" t="str">
        <f>"74242"</f>
        <v>74242</v>
      </c>
      <c r="D5332" t="s">
        <v>1790</v>
      </c>
      <c r="E5332" s="3">
        <v>-500</v>
      </c>
      <c r="F5332">
        <v>20160329</v>
      </c>
      <c r="G5332" t="s">
        <v>4066</v>
      </c>
      <c r="H5332" t="s">
        <v>214</v>
      </c>
      <c r="I5332">
        <v>0</v>
      </c>
      <c r="J5332" t="s">
        <v>1709</v>
      </c>
      <c r="K5332" t="s">
        <v>290</v>
      </c>
      <c r="L5332" t="s">
        <v>17</v>
      </c>
      <c r="M5332" t="str">
        <f t="shared" si="384"/>
        <v>03</v>
      </c>
      <c r="N5332" t="s">
        <v>12</v>
      </c>
    </row>
    <row r="5333" spans="1:14" x14ac:dyDescent="0.25">
      <c r="A5333">
        <v>20160318</v>
      </c>
      <c r="B5333" t="str">
        <f>"062808"</f>
        <v>062808</v>
      </c>
      <c r="C5333" t="str">
        <f>"74242"</f>
        <v>74242</v>
      </c>
      <c r="D5333" t="s">
        <v>1790</v>
      </c>
      <c r="E5333" s="3">
        <v>-500</v>
      </c>
      <c r="F5333">
        <v>20160329</v>
      </c>
      <c r="G5333" t="s">
        <v>4066</v>
      </c>
      <c r="H5333" t="s">
        <v>214</v>
      </c>
      <c r="I5333">
        <v>0</v>
      </c>
      <c r="J5333" t="s">
        <v>1709</v>
      </c>
      <c r="K5333" t="s">
        <v>290</v>
      </c>
      <c r="L5333" t="s">
        <v>17</v>
      </c>
      <c r="M5333" t="str">
        <f t="shared" si="384"/>
        <v>03</v>
      </c>
      <c r="N5333" t="s">
        <v>12</v>
      </c>
    </row>
    <row r="5334" spans="1:14" x14ac:dyDescent="0.25">
      <c r="A5334">
        <v>20160318</v>
      </c>
      <c r="B5334" t="str">
        <f>"062810"</f>
        <v>062810</v>
      </c>
      <c r="C5334" t="str">
        <f>"80389"</f>
        <v>80389</v>
      </c>
      <c r="D5334" t="s">
        <v>2032</v>
      </c>
      <c r="E5334" s="3">
        <v>84.58</v>
      </c>
      <c r="F5334">
        <v>20160317</v>
      </c>
      <c r="G5334" t="s">
        <v>2033</v>
      </c>
      <c r="H5334" t="s">
        <v>4573</v>
      </c>
      <c r="I5334">
        <v>0</v>
      </c>
      <c r="J5334" t="s">
        <v>1709</v>
      </c>
      <c r="K5334" t="s">
        <v>1984</v>
      </c>
      <c r="L5334" t="s">
        <v>285</v>
      </c>
      <c r="M5334" t="str">
        <f t="shared" si="384"/>
        <v>03</v>
      </c>
      <c r="N5334" t="s">
        <v>12</v>
      </c>
    </row>
    <row r="5335" spans="1:14" x14ac:dyDescent="0.25">
      <c r="A5335">
        <v>20160318</v>
      </c>
      <c r="B5335" t="str">
        <f>"062810"</f>
        <v>062810</v>
      </c>
      <c r="C5335" t="str">
        <f>"80389"</f>
        <v>80389</v>
      </c>
      <c r="D5335" t="s">
        <v>2032</v>
      </c>
      <c r="E5335" s="3">
        <v>894.61</v>
      </c>
      <c r="F5335">
        <v>20160317</v>
      </c>
      <c r="G5335" t="s">
        <v>2035</v>
      </c>
      <c r="H5335" t="s">
        <v>4574</v>
      </c>
      <c r="I5335">
        <v>0</v>
      </c>
      <c r="J5335" t="s">
        <v>1709</v>
      </c>
      <c r="K5335" t="s">
        <v>1984</v>
      </c>
      <c r="L5335" t="s">
        <v>285</v>
      </c>
      <c r="M5335" t="str">
        <f t="shared" si="384"/>
        <v>03</v>
      </c>
      <c r="N5335" t="s">
        <v>12</v>
      </c>
    </row>
    <row r="5336" spans="1:14" x14ac:dyDescent="0.25">
      <c r="A5336">
        <v>20160318</v>
      </c>
      <c r="B5336" t="str">
        <f>"062810"</f>
        <v>062810</v>
      </c>
      <c r="C5336" t="str">
        <f>"80389"</f>
        <v>80389</v>
      </c>
      <c r="D5336" t="s">
        <v>2032</v>
      </c>
      <c r="E5336" s="3">
        <v>1435.07</v>
      </c>
      <c r="F5336">
        <v>20160317</v>
      </c>
      <c r="G5336" t="s">
        <v>2037</v>
      </c>
      <c r="H5336" t="s">
        <v>4575</v>
      </c>
      <c r="I5336">
        <v>0</v>
      </c>
      <c r="J5336" t="s">
        <v>1709</v>
      </c>
      <c r="K5336" t="s">
        <v>1984</v>
      </c>
      <c r="L5336" t="s">
        <v>285</v>
      </c>
      <c r="M5336" t="str">
        <f t="shared" si="384"/>
        <v>03</v>
      </c>
      <c r="N5336" t="s">
        <v>12</v>
      </c>
    </row>
    <row r="5337" spans="1:14" x14ac:dyDescent="0.25">
      <c r="A5337">
        <v>20160318</v>
      </c>
      <c r="B5337" t="str">
        <f>"062813"</f>
        <v>062813</v>
      </c>
      <c r="C5337" t="str">
        <f>"82126"</f>
        <v>82126</v>
      </c>
      <c r="D5337" t="s">
        <v>1800</v>
      </c>
      <c r="E5337" s="3">
        <v>335</v>
      </c>
      <c r="F5337">
        <v>20160317</v>
      </c>
      <c r="G5337" t="s">
        <v>1710</v>
      </c>
      <c r="H5337" t="s">
        <v>4532</v>
      </c>
      <c r="I5337">
        <v>0</v>
      </c>
      <c r="J5337" t="s">
        <v>1709</v>
      </c>
      <c r="K5337" t="s">
        <v>290</v>
      </c>
      <c r="L5337" t="s">
        <v>285</v>
      </c>
      <c r="M5337" t="str">
        <f t="shared" si="384"/>
        <v>03</v>
      </c>
      <c r="N5337" t="s">
        <v>12</v>
      </c>
    </row>
    <row r="5338" spans="1:14" x14ac:dyDescent="0.25">
      <c r="A5338">
        <v>20160318</v>
      </c>
      <c r="B5338" t="str">
        <f>"062817"</f>
        <v>062817</v>
      </c>
      <c r="C5338" t="str">
        <f>"43069"</f>
        <v>43069</v>
      </c>
      <c r="D5338" t="s">
        <v>4576</v>
      </c>
      <c r="E5338" s="3">
        <v>150</v>
      </c>
      <c r="F5338">
        <v>20160317</v>
      </c>
      <c r="G5338" t="s">
        <v>4506</v>
      </c>
      <c r="H5338" t="s">
        <v>4507</v>
      </c>
      <c r="I5338">
        <v>0</v>
      </c>
      <c r="J5338" t="s">
        <v>1709</v>
      </c>
      <c r="K5338" t="s">
        <v>290</v>
      </c>
      <c r="L5338" t="s">
        <v>285</v>
      </c>
      <c r="M5338" t="str">
        <f t="shared" si="384"/>
        <v>03</v>
      </c>
      <c r="N5338" t="s">
        <v>12</v>
      </c>
    </row>
    <row r="5339" spans="1:14" x14ac:dyDescent="0.25">
      <c r="A5339">
        <v>20160324</v>
      </c>
      <c r="B5339" t="str">
        <f>"062822"</f>
        <v>062822</v>
      </c>
      <c r="C5339" t="str">
        <f>"01530"</f>
        <v>01530</v>
      </c>
      <c r="D5339" t="s">
        <v>1943</v>
      </c>
      <c r="E5339" s="3">
        <v>52</v>
      </c>
      <c r="F5339">
        <v>20160322</v>
      </c>
      <c r="G5339" t="s">
        <v>2424</v>
      </c>
      <c r="H5339" t="s">
        <v>3676</v>
      </c>
      <c r="I5339">
        <v>0</v>
      </c>
      <c r="J5339" t="s">
        <v>1709</v>
      </c>
      <c r="K5339" t="s">
        <v>1775</v>
      </c>
      <c r="L5339" t="s">
        <v>285</v>
      </c>
      <c r="M5339" t="str">
        <f t="shared" si="384"/>
        <v>03</v>
      </c>
      <c r="N5339" t="s">
        <v>12</v>
      </c>
    </row>
    <row r="5340" spans="1:14" x14ac:dyDescent="0.25">
      <c r="A5340">
        <v>20160324</v>
      </c>
      <c r="B5340" t="str">
        <f>"062824"</f>
        <v>062824</v>
      </c>
      <c r="C5340" t="str">
        <f>"09981"</f>
        <v>09981</v>
      </c>
      <c r="D5340" t="s">
        <v>1959</v>
      </c>
      <c r="E5340" s="3">
        <v>30</v>
      </c>
      <c r="F5340">
        <v>20160322</v>
      </c>
      <c r="G5340" t="s">
        <v>2416</v>
      </c>
      <c r="H5340" t="s">
        <v>4577</v>
      </c>
      <c r="I5340">
        <v>0</v>
      </c>
      <c r="J5340" t="s">
        <v>1709</v>
      </c>
      <c r="K5340" t="s">
        <v>1744</v>
      </c>
      <c r="L5340" t="s">
        <v>285</v>
      </c>
      <c r="M5340" t="str">
        <f t="shared" si="384"/>
        <v>03</v>
      </c>
      <c r="N5340" t="s">
        <v>12</v>
      </c>
    </row>
    <row r="5341" spans="1:14" x14ac:dyDescent="0.25">
      <c r="A5341">
        <v>20160324</v>
      </c>
      <c r="B5341" t="str">
        <f>"062824"</f>
        <v>062824</v>
      </c>
      <c r="C5341" t="str">
        <f>"09981"</f>
        <v>09981</v>
      </c>
      <c r="D5341" t="s">
        <v>1959</v>
      </c>
      <c r="E5341" s="3">
        <v>30</v>
      </c>
      <c r="F5341">
        <v>20160322</v>
      </c>
      <c r="G5341" t="s">
        <v>4578</v>
      </c>
      <c r="H5341" t="s">
        <v>4577</v>
      </c>
      <c r="I5341">
        <v>0</v>
      </c>
      <c r="J5341" t="s">
        <v>1709</v>
      </c>
      <c r="K5341" t="s">
        <v>133</v>
      </c>
      <c r="L5341" t="s">
        <v>285</v>
      </c>
      <c r="M5341" t="str">
        <f t="shared" si="384"/>
        <v>03</v>
      </c>
      <c r="N5341" t="s">
        <v>12</v>
      </c>
    </row>
    <row r="5342" spans="1:14" x14ac:dyDescent="0.25">
      <c r="A5342">
        <v>20160324</v>
      </c>
      <c r="B5342" t="str">
        <f>"062825"</f>
        <v>062825</v>
      </c>
      <c r="C5342" t="str">
        <f>"10085"</f>
        <v>10085</v>
      </c>
      <c r="D5342" t="s">
        <v>4227</v>
      </c>
      <c r="E5342" s="3">
        <v>229.09</v>
      </c>
      <c r="F5342">
        <v>20160322</v>
      </c>
      <c r="G5342" t="s">
        <v>1933</v>
      </c>
      <c r="H5342" t="s">
        <v>4579</v>
      </c>
      <c r="I5342">
        <v>0</v>
      </c>
      <c r="J5342" t="s">
        <v>1709</v>
      </c>
      <c r="K5342" t="s">
        <v>1558</v>
      </c>
      <c r="L5342" t="s">
        <v>285</v>
      </c>
      <c r="M5342" t="str">
        <f t="shared" si="384"/>
        <v>03</v>
      </c>
      <c r="N5342" t="s">
        <v>12</v>
      </c>
    </row>
    <row r="5343" spans="1:14" x14ac:dyDescent="0.25">
      <c r="A5343">
        <v>20160324</v>
      </c>
      <c r="B5343" t="str">
        <f>"062827"</f>
        <v>062827</v>
      </c>
      <c r="C5343" t="str">
        <f>"13268"</f>
        <v>13268</v>
      </c>
      <c r="D5343" t="s">
        <v>2450</v>
      </c>
      <c r="E5343" s="3">
        <v>959.64</v>
      </c>
      <c r="F5343">
        <v>20160322</v>
      </c>
      <c r="G5343" t="s">
        <v>2303</v>
      </c>
      <c r="H5343" t="s">
        <v>4580</v>
      </c>
      <c r="I5343">
        <v>0</v>
      </c>
      <c r="J5343" t="s">
        <v>1709</v>
      </c>
      <c r="K5343" t="s">
        <v>235</v>
      </c>
      <c r="L5343" t="s">
        <v>285</v>
      </c>
      <c r="M5343" t="str">
        <f t="shared" si="384"/>
        <v>03</v>
      </c>
      <c r="N5343" t="s">
        <v>12</v>
      </c>
    </row>
    <row r="5344" spans="1:14" x14ac:dyDescent="0.25">
      <c r="A5344">
        <v>20160324</v>
      </c>
      <c r="B5344" t="str">
        <f>"062828"</f>
        <v>062828</v>
      </c>
      <c r="C5344" t="str">
        <f>"19160"</f>
        <v>19160</v>
      </c>
      <c r="D5344" t="s">
        <v>4006</v>
      </c>
      <c r="E5344" s="3">
        <v>1356.6</v>
      </c>
      <c r="F5344">
        <v>20160322</v>
      </c>
      <c r="G5344" t="s">
        <v>4007</v>
      </c>
      <c r="H5344" t="s">
        <v>4581</v>
      </c>
      <c r="I5344">
        <v>0</v>
      </c>
      <c r="J5344" t="s">
        <v>1709</v>
      </c>
      <c r="K5344" t="s">
        <v>290</v>
      </c>
      <c r="L5344" t="s">
        <v>285</v>
      </c>
      <c r="M5344" t="str">
        <f t="shared" si="384"/>
        <v>03</v>
      </c>
      <c r="N5344" t="s">
        <v>12</v>
      </c>
    </row>
    <row r="5345" spans="1:14" x14ac:dyDescent="0.25">
      <c r="A5345">
        <v>20160324</v>
      </c>
      <c r="B5345" t="str">
        <f>"062830"</f>
        <v>062830</v>
      </c>
      <c r="C5345" t="str">
        <f>"16807"</f>
        <v>16807</v>
      </c>
      <c r="D5345" t="s">
        <v>1560</v>
      </c>
      <c r="E5345" s="3">
        <v>87</v>
      </c>
      <c r="F5345">
        <v>20160322</v>
      </c>
      <c r="G5345" t="s">
        <v>3888</v>
      </c>
      <c r="H5345" t="s">
        <v>4582</v>
      </c>
      <c r="I5345">
        <v>0</v>
      </c>
      <c r="J5345" t="s">
        <v>1709</v>
      </c>
      <c r="K5345" t="s">
        <v>95</v>
      </c>
      <c r="L5345" t="s">
        <v>285</v>
      </c>
      <c r="M5345" t="str">
        <f t="shared" si="384"/>
        <v>03</v>
      </c>
      <c r="N5345" t="s">
        <v>12</v>
      </c>
    </row>
    <row r="5346" spans="1:14" x14ac:dyDescent="0.25">
      <c r="A5346">
        <v>20160324</v>
      </c>
      <c r="B5346" t="str">
        <f>"062830"</f>
        <v>062830</v>
      </c>
      <c r="C5346" t="str">
        <f>"16807"</f>
        <v>16807</v>
      </c>
      <c r="D5346" t="s">
        <v>1560</v>
      </c>
      <c r="E5346" s="3">
        <v>650</v>
      </c>
      <c r="F5346">
        <v>20160322</v>
      </c>
      <c r="G5346" t="s">
        <v>3427</v>
      </c>
      <c r="H5346" t="s">
        <v>4583</v>
      </c>
      <c r="I5346">
        <v>0</v>
      </c>
      <c r="J5346" t="s">
        <v>1709</v>
      </c>
      <c r="K5346" t="s">
        <v>33</v>
      </c>
      <c r="L5346" t="s">
        <v>285</v>
      </c>
      <c r="M5346" t="str">
        <f t="shared" si="384"/>
        <v>03</v>
      </c>
      <c r="N5346" t="s">
        <v>12</v>
      </c>
    </row>
    <row r="5347" spans="1:14" x14ac:dyDescent="0.25">
      <c r="A5347">
        <v>20160324</v>
      </c>
      <c r="B5347" t="str">
        <f>"062830"</f>
        <v>062830</v>
      </c>
      <c r="C5347" t="str">
        <f>"16807"</f>
        <v>16807</v>
      </c>
      <c r="D5347" t="s">
        <v>1560</v>
      </c>
      <c r="E5347" s="3">
        <v>258.3</v>
      </c>
      <c r="F5347">
        <v>20160322</v>
      </c>
      <c r="G5347" t="s">
        <v>2570</v>
      </c>
      <c r="H5347" t="s">
        <v>4584</v>
      </c>
      <c r="I5347">
        <v>0</v>
      </c>
      <c r="J5347" t="s">
        <v>1709</v>
      </c>
      <c r="K5347" t="s">
        <v>95</v>
      </c>
      <c r="L5347" t="s">
        <v>285</v>
      </c>
      <c r="M5347" t="str">
        <f t="shared" si="384"/>
        <v>03</v>
      </c>
      <c r="N5347" t="s">
        <v>12</v>
      </c>
    </row>
    <row r="5348" spans="1:14" x14ac:dyDescent="0.25">
      <c r="A5348">
        <v>20160324</v>
      </c>
      <c r="B5348" t="str">
        <f>"062835"</f>
        <v>062835</v>
      </c>
      <c r="C5348" t="str">
        <f>"21049"</f>
        <v>21049</v>
      </c>
      <c r="D5348" t="s">
        <v>2094</v>
      </c>
      <c r="E5348" s="3">
        <v>31</v>
      </c>
      <c r="F5348">
        <v>20160322</v>
      </c>
      <c r="G5348" t="s">
        <v>2333</v>
      </c>
      <c r="H5348" t="s">
        <v>4585</v>
      </c>
      <c r="I5348">
        <v>0</v>
      </c>
      <c r="J5348" t="s">
        <v>1709</v>
      </c>
      <c r="K5348" t="s">
        <v>290</v>
      </c>
      <c r="L5348" t="s">
        <v>285</v>
      </c>
      <c r="M5348" t="str">
        <f t="shared" si="384"/>
        <v>03</v>
      </c>
      <c r="N5348" t="s">
        <v>12</v>
      </c>
    </row>
    <row r="5349" spans="1:14" x14ac:dyDescent="0.25">
      <c r="A5349">
        <v>20160324</v>
      </c>
      <c r="B5349" t="str">
        <f>"062835"</f>
        <v>062835</v>
      </c>
      <c r="C5349" t="str">
        <f>"21049"</f>
        <v>21049</v>
      </c>
      <c r="D5349" t="s">
        <v>2094</v>
      </c>
      <c r="E5349" s="3">
        <v>444</v>
      </c>
      <c r="F5349">
        <v>20160322</v>
      </c>
      <c r="G5349" t="s">
        <v>1712</v>
      </c>
      <c r="H5349" t="s">
        <v>4586</v>
      </c>
      <c r="I5349">
        <v>0</v>
      </c>
      <c r="J5349" t="s">
        <v>1709</v>
      </c>
      <c r="K5349" t="s">
        <v>290</v>
      </c>
      <c r="L5349" t="s">
        <v>285</v>
      </c>
      <c r="M5349" t="str">
        <f t="shared" si="384"/>
        <v>03</v>
      </c>
      <c r="N5349" t="s">
        <v>12</v>
      </c>
    </row>
    <row r="5350" spans="1:14" x14ac:dyDescent="0.25">
      <c r="A5350">
        <v>20160324</v>
      </c>
      <c r="B5350" t="str">
        <f>"062836"</f>
        <v>062836</v>
      </c>
      <c r="C5350" t="str">
        <f>"21901"</f>
        <v>21901</v>
      </c>
      <c r="D5350" t="s">
        <v>1965</v>
      </c>
      <c r="E5350" s="3">
        <v>3093</v>
      </c>
      <c r="F5350">
        <v>20160322</v>
      </c>
      <c r="G5350" t="s">
        <v>1854</v>
      </c>
      <c r="H5350" t="s">
        <v>4587</v>
      </c>
      <c r="I5350">
        <v>0</v>
      </c>
      <c r="J5350" t="s">
        <v>1709</v>
      </c>
      <c r="K5350" t="s">
        <v>1856</v>
      </c>
      <c r="L5350" t="s">
        <v>285</v>
      </c>
      <c r="M5350" t="str">
        <f t="shared" si="384"/>
        <v>03</v>
      </c>
      <c r="N5350" t="s">
        <v>12</v>
      </c>
    </row>
    <row r="5351" spans="1:14" x14ac:dyDescent="0.25">
      <c r="A5351">
        <v>20160324</v>
      </c>
      <c r="B5351" t="str">
        <f>"062840"</f>
        <v>062840</v>
      </c>
      <c r="C5351" t="str">
        <f>"77113"</f>
        <v>77113</v>
      </c>
      <c r="D5351" t="s">
        <v>3679</v>
      </c>
      <c r="E5351" s="3">
        <v>87.34</v>
      </c>
      <c r="F5351">
        <v>20160322</v>
      </c>
      <c r="G5351" t="s">
        <v>3680</v>
      </c>
      <c r="H5351" t="s">
        <v>3676</v>
      </c>
      <c r="I5351">
        <v>0</v>
      </c>
      <c r="J5351" t="s">
        <v>1709</v>
      </c>
      <c r="K5351" t="s">
        <v>1984</v>
      </c>
      <c r="L5351" t="s">
        <v>285</v>
      </c>
      <c r="M5351" t="str">
        <f t="shared" si="384"/>
        <v>03</v>
      </c>
      <c r="N5351" t="s">
        <v>12</v>
      </c>
    </row>
    <row r="5352" spans="1:14" x14ac:dyDescent="0.25">
      <c r="A5352">
        <v>20160324</v>
      </c>
      <c r="B5352" t="str">
        <f>"062844"</f>
        <v>062844</v>
      </c>
      <c r="C5352" t="str">
        <f>"28733"</f>
        <v>28733</v>
      </c>
      <c r="D5352" t="s">
        <v>4049</v>
      </c>
      <c r="E5352" s="3">
        <v>233.03</v>
      </c>
      <c r="F5352">
        <v>20160322</v>
      </c>
      <c r="G5352" t="s">
        <v>2529</v>
      </c>
      <c r="H5352" t="s">
        <v>4050</v>
      </c>
      <c r="I5352">
        <v>0</v>
      </c>
      <c r="J5352" t="s">
        <v>1709</v>
      </c>
      <c r="K5352" t="s">
        <v>95</v>
      </c>
      <c r="L5352" t="s">
        <v>285</v>
      </c>
      <c r="M5352" t="str">
        <f t="shared" si="384"/>
        <v>03</v>
      </c>
      <c r="N5352" t="s">
        <v>12</v>
      </c>
    </row>
    <row r="5353" spans="1:14" x14ac:dyDescent="0.25">
      <c r="A5353">
        <v>20160324</v>
      </c>
      <c r="B5353" t="str">
        <f>"062845"</f>
        <v>062845</v>
      </c>
      <c r="C5353" t="str">
        <f>"27119"</f>
        <v>27119</v>
      </c>
      <c r="D5353" t="s">
        <v>4588</v>
      </c>
      <c r="E5353" s="3">
        <v>0.22</v>
      </c>
      <c r="F5353">
        <v>20160322</v>
      </c>
      <c r="G5353" t="s">
        <v>2570</v>
      </c>
      <c r="H5353" t="s">
        <v>4589</v>
      </c>
      <c r="I5353">
        <v>0</v>
      </c>
      <c r="J5353" t="s">
        <v>1709</v>
      </c>
      <c r="K5353" t="s">
        <v>95</v>
      </c>
      <c r="L5353" t="s">
        <v>285</v>
      </c>
      <c r="M5353" t="str">
        <f t="shared" si="384"/>
        <v>03</v>
      </c>
      <c r="N5353" t="s">
        <v>12</v>
      </c>
    </row>
    <row r="5354" spans="1:14" x14ac:dyDescent="0.25">
      <c r="A5354">
        <v>20160324</v>
      </c>
      <c r="B5354" t="str">
        <f>"062848"</f>
        <v>062848</v>
      </c>
      <c r="C5354" t="str">
        <f>"30479"</f>
        <v>30479</v>
      </c>
      <c r="D5354" t="s">
        <v>2663</v>
      </c>
      <c r="E5354" s="3">
        <v>737.5</v>
      </c>
      <c r="F5354">
        <v>20160322</v>
      </c>
      <c r="G5354" t="s">
        <v>2664</v>
      </c>
      <c r="H5354" s="2">
        <v>42418</v>
      </c>
      <c r="I5354">
        <v>0</v>
      </c>
      <c r="J5354" t="s">
        <v>1709</v>
      </c>
      <c r="K5354" t="s">
        <v>1744</v>
      </c>
      <c r="L5354" t="s">
        <v>285</v>
      </c>
      <c r="M5354" t="str">
        <f t="shared" si="384"/>
        <v>03</v>
      </c>
      <c r="N5354" t="s">
        <v>12</v>
      </c>
    </row>
    <row r="5355" spans="1:14" x14ac:dyDescent="0.25">
      <c r="A5355">
        <v>20160324</v>
      </c>
      <c r="B5355" t="str">
        <f>"062851"</f>
        <v>062851</v>
      </c>
      <c r="C5355" t="str">
        <f>"34680"</f>
        <v>34680</v>
      </c>
      <c r="D5355" t="s">
        <v>1683</v>
      </c>
      <c r="E5355" s="3">
        <v>48</v>
      </c>
      <c r="F5355">
        <v>20160322</v>
      </c>
      <c r="G5355" t="s">
        <v>2230</v>
      </c>
      <c r="H5355" t="s">
        <v>3236</v>
      </c>
      <c r="I5355">
        <v>0</v>
      </c>
      <c r="J5355" t="s">
        <v>1709</v>
      </c>
      <c r="K5355" t="s">
        <v>1643</v>
      </c>
      <c r="L5355" t="s">
        <v>285</v>
      </c>
      <c r="M5355" t="str">
        <f t="shared" si="384"/>
        <v>03</v>
      </c>
      <c r="N5355" t="s">
        <v>12</v>
      </c>
    </row>
    <row r="5356" spans="1:14" x14ac:dyDescent="0.25">
      <c r="A5356">
        <v>20160324</v>
      </c>
      <c r="B5356" t="str">
        <f>"062852"</f>
        <v>062852</v>
      </c>
      <c r="C5356" t="str">
        <f>"36780"</f>
        <v>36780</v>
      </c>
      <c r="D5356" t="s">
        <v>3836</v>
      </c>
      <c r="E5356" s="3">
        <v>60</v>
      </c>
      <c r="F5356">
        <v>20160322</v>
      </c>
      <c r="G5356" t="s">
        <v>2535</v>
      </c>
      <c r="H5356" t="s">
        <v>4373</v>
      </c>
      <c r="I5356">
        <v>0</v>
      </c>
      <c r="J5356" t="s">
        <v>1709</v>
      </c>
      <c r="K5356" t="s">
        <v>290</v>
      </c>
      <c r="L5356" t="s">
        <v>285</v>
      </c>
      <c r="M5356" t="str">
        <f t="shared" si="384"/>
        <v>03</v>
      </c>
      <c r="N5356" t="s">
        <v>12</v>
      </c>
    </row>
    <row r="5357" spans="1:14" x14ac:dyDescent="0.25">
      <c r="A5357">
        <v>20160324</v>
      </c>
      <c r="B5357" t="str">
        <f>"062852"</f>
        <v>062852</v>
      </c>
      <c r="C5357" t="str">
        <f>"36780"</f>
        <v>36780</v>
      </c>
      <c r="D5357" t="s">
        <v>3836</v>
      </c>
      <c r="E5357" s="3">
        <v>800</v>
      </c>
      <c r="F5357">
        <v>20160322</v>
      </c>
      <c r="G5357" t="s">
        <v>4374</v>
      </c>
      <c r="H5357" t="s">
        <v>4373</v>
      </c>
      <c r="I5357">
        <v>0</v>
      </c>
      <c r="J5357" t="s">
        <v>1709</v>
      </c>
      <c r="K5357" t="s">
        <v>290</v>
      </c>
      <c r="L5357" t="s">
        <v>285</v>
      </c>
      <c r="M5357" t="str">
        <f t="shared" si="384"/>
        <v>03</v>
      </c>
      <c r="N5357" t="s">
        <v>12</v>
      </c>
    </row>
    <row r="5358" spans="1:14" x14ac:dyDescent="0.25">
      <c r="A5358">
        <v>20160324</v>
      </c>
      <c r="B5358" t="str">
        <f>"062853"</f>
        <v>062853</v>
      </c>
      <c r="C5358" t="str">
        <f>"45665"</f>
        <v>45665</v>
      </c>
      <c r="D5358" t="s">
        <v>2887</v>
      </c>
      <c r="E5358" s="3">
        <v>47</v>
      </c>
      <c r="F5358">
        <v>20160323</v>
      </c>
      <c r="G5358" t="s">
        <v>1712</v>
      </c>
      <c r="H5358" t="s">
        <v>4140</v>
      </c>
      <c r="I5358">
        <v>0</v>
      </c>
      <c r="J5358" t="s">
        <v>1709</v>
      </c>
      <c r="K5358" t="s">
        <v>290</v>
      </c>
      <c r="L5358" t="s">
        <v>285</v>
      </c>
      <c r="M5358" t="str">
        <f t="shared" si="384"/>
        <v>03</v>
      </c>
      <c r="N5358" t="s">
        <v>12</v>
      </c>
    </row>
    <row r="5359" spans="1:14" x14ac:dyDescent="0.25">
      <c r="A5359">
        <v>20160324</v>
      </c>
      <c r="B5359" t="str">
        <f>"062854"</f>
        <v>062854</v>
      </c>
      <c r="C5359" t="str">
        <f>"45665"</f>
        <v>45665</v>
      </c>
      <c r="D5359" t="s">
        <v>2887</v>
      </c>
      <c r="E5359" s="3">
        <v>555</v>
      </c>
      <c r="F5359">
        <v>20160323</v>
      </c>
      <c r="G5359" t="s">
        <v>2888</v>
      </c>
      <c r="H5359" t="s">
        <v>4590</v>
      </c>
      <c r="I5359">
        <v>0</v>
      </c>
      <c r="J5359" t="s">
        <v>1709</v>
      </c>
      <c r="K5359" t="s">
        <v>290</v>
      </c>
      <c r="L5359" t="s">
        <v>285</v>
      </c>
      <c r="M5359" t="str">
        <f t="shared" si="384"/>
        <v>03</v>
      </c>
      <c r="N5359" t="s">
        <v>12</v>
      </c>
    </row>
    <row r="5360" spans="1:14" x14ac:dyDescent="0.25">
      <c r="A5360">
        <v>20160324</v>
      </c>
      <c r="B5360" t="str">
        <f>"062855"</f>
        <v>062855</v>
      </c>
      <c r="C5360" t="str">
        <f>"45665"</f>
        <v>45665</v>
      </c>
      <c r="D5360" t="s">
        <v>2887</v>
      </c>
      <c r="E5360" s="3">
        <v>410</v>
      </c>
      <c r="F5360">
        <v>20160323</v>
      </c>
      <c r="G5360" t="s">
        <v>1712</v>
      </c>
      <c r="H5360" t="s">
        <v>4591</v>
      </c>
      <c r="I5360">
        <v>0</v>
      </c>
      <c r="J5360" t="s">
        <v>1709</v>
      </c>
      <c r="K5360" t="s">
        <v>290</v>
      </c>
      <c r="L5360" t="s">
        <v>285</v>
      </c>
      <c r="M5360" t="str">
        <f t="shared" si="384"/>
        <v>03</v>
      </c>
      <c r="N5360" t="s">
        <v>12</v>
      </c>
    </row>
    <row r="5361" spans="1:14" x14ac:dyDescent="0.25">
      <c r="A5361">
        <v>20160324</v>
      </c>
      <c r="B5361" t="str">
        <f>"062856"</f>
        <v>062856</v>
      </c>
      <c r="C5361" t="str">
        <f>"39572"</f>
        <v>39572</v>
      </c>
      <c r="D5361" t="s">
        <v>2112</v>
      </c>
      <c r="E5361" s="3">
        <v>125</v>
      </c>
      <c r="F5361">
        <v>20160323</v>
      </c>
      <c r="G5361" t="s">
        <v>2113</v>
      </c>
      <c r="H5361" t="s">
        <v>4592</v>
      </c>
      <c r="I5361">
        <v>0</v>
      </c>
      <c r="J5361" t="s">
        <v>1709</v>
      </c>
      <c r="K5361" t="s">
        <v>290</v>
      </c>
      <c r="L5361" t="s">
        <v>285</v>
      </c>
      <c r="M5361" t="str">
        <f t="shared" si="384"/>
        <v>03</v>
      </c>
      <c r="N5361" t="s">
        <v>12</v>
      </c>
    </row>
    <row r="5362" spans="1:14" x14ac:dyDescent="0.25">
      <c r="A5362">
        <v>20160324</v>
      </c>
      <c r="B5362" t="str">
        <f>"062856"</f>
        <v>062856</v>
      </c>
      <c r="C5362" t="str">
        <f>"39572"</f>
        <v>39572</v>
      </c>
      <c r="D5362" t="s">
        <v>2112</v>
      </c>
      <c r="E5362" s="3">
        <v>60</v>
      </c>
      <c r="F5362">
        <v>20160323</v>
      </c>
      <c r="G5362" t="s">
        <v>2113</v>
      </c>
      <c r="H5362" t="s">
        <v>4593</v>
      </c>
      <c r="I5362">
        <v>0</v>
      </c>
      <c r="J5362" t="s">
        <v>1709</v>
      </c>
      <c r="K5362" t="s">
        <v>290</v>
      </c>
      <c r="L5362" t="s">
        <v>285</v>
      </c>
      <c r="M5362" t="str">
        <f t="shared" si="384"/>
        <v>03</v>
      </c>
      <c r="N5362" t="s">
        <v>12</v>
      </c>
    </row>
    <row r="5363" spans="1:14" x14ac:dyDescent="0.25">
      <c r="A5363">
        <v>20160324</v>
      </c>
      <c r="B5363" t="str">
        <f>"062856"</f>
        <v>062856</v>
      </c>
      <c r="C5363" t="str">
        <f>"39572"</f>
        <v>39572</v>
      </c>
      <c r="D5363" t="s">
        <v>2112</v>
      </c>
      <c r="E5363" s="3">
        <v>129.35</v>
      </c>
      <c r="F5363">
        <v>20160323</v>
      </c>
      <c r="G5363" t="s">
        <v>2115</v>
      </c>
      <c r="H5363" t="s">
        <v>3843</v>
      </c>
      <c r="I5363">
        <v>0</v>
      </c>
      <c r="J5363" t="s">
        <v>1709</v>
      </c>
      <c r="K5363" t="s">
        <v>290</v>
      </c>
      <c r="L5363" t="s">
        <v>285</v>
      </c>
      <c r="M5363" t="str">
        <f t="shared" si="384"/>
        <v>03</v>
      </c>
      <c r="N5363" t="s">
        <v>12</v>
      </c>
    </row>
    <row r="5364" spans="1:14" x14ac:dyDescent="0.25">
      <c r="A5364">
        <v>20160324</v>
      </c>
      <c r="B5364" t="str">
        <f>"062858"</f>
        <v>062858</v>
      </c>
      <c r="C5364" t="str">
        <f>"39226"</f>
        <v>39226</v>
      </c>
      <c r="D5364" t="s">
        <v>2319</v>
      </c>
      <c r="E5364" s="3">
        <v>50</v>
      </c>
      <c r="F5364">
        <v>20160323</v>
      </c>
      <c r="G5364" t="s">
        <v>1957</v>
      </c>
      <c r="H5364" t="s">
        <v>4594</v>
      </c>
      <c r="I5364">
        <v>0</v>
      </c>
      <c r="J5364" t="s">
        <v>1709</v>
      </c>
      <c r="K5364" t="s">
        <v>290</v>
      </c>
      <c r="L5364" t="s">
        <v>285</v>
      </c>
      <c r="M5364" t="str">
        <f t="shared" si="384"/>
        <v>03</v>
      </c>
      <c r="N5364" t="s">
        <v>12</v>
      </c>
    </row>
    <row r="5365" spans="1:14" x14ac:dyDescent="0.25">
      <c r="A5365">
        <v>20160324</v>
      </c>
      <c r="B5365" t="str">
        <f>"062858"</f>
        <v>062858</v>
      </c>
      <c r="C5365" t="str">
        <f>"39226"</f>
        <v>39226</v>
      </c>
      <c r="D5365" t="s">
        <v>2319</v>
      </c>
      <c r="E5365" s="3">
        <v>25</v>
      </c>
      <c r="F5365">
        <v>20160323</v>
      </c>
      <c r="G5365" t="s">
        <v>2320</v>
      </c>
      <c r="H5365" t="s">
        <v>4594</v>
      </c>
      <c r="I5365">
        <v>0</v>
      </c>
      <c r="J5365" t="s">
        <v>1709</v>
      </c>
      <c r="K5365" t="s">
        <v>290</v>
      </c>
      <c r="L5365" t="s">
        <v>285</v>
      </c>
      <c r="M5365" t="str">
        <f t="shared" si="384"/>
        <v>03</v>
      </c>
      <c r="N5365" t="s">
        <v>12</v>
      </c>
    </row>
    <row r="5366" spans="1:14" x14ac:dyDescent="0.25">
      <c r="A5366">
        <v>20160324</v>
      </c>
      <c r="B5366" t="str">
        <f>"062859"</f>
        <v>062859</v>
      </c>
      <c r="C5366" t="str">
        <f>"42212"</f>
        <v>42212</v>
      </c>
      <c r="D5366" t="s">
        <v>2513</v>
      </c>
      <c r="E5366" s="3">
        <v>63.01</v>
      </c>
      <c r="F5366">
        <v>20160323</v>
      </c>
      <c r="G5366" t="s">
        <v>4595</v>
      </c>
      <c r="H5366" t="s">
        <v>4120</v>
      </c>
      <c r="I5366">
        <v>0</v>
      </c>
      <c r="J5366" t="s">
        <v>1709</v>
      </c>
      <c r="K5366" t="s">
        <v>290</v>
      </c>
      <c r="L5366" t="s">
        <v>285</v>
      </c>
      <c r="M5366" t="str">
        <f t="shared" si="384"/>
        <v>03</v>
      </c>
      <c r="N5366" t="s">
        <v>12</v>
      </c>
    </row>
    <row r="5367" spans="1:14" x14ac:dyDescent="0.25">
      <c r="A5367">
        <v>20160324</v>
      </c>
      <c r="B5367" t="str">
        <f>"062859"</f>
        <v>062859</v>
      </c>
      <c r="C5367" t="str">
        <f>"42212"</f>
        <v>42212</v>
      </c>
      <c r="D5367" t="s">
        <v>2513</v>
      </c>
      <c r="E5367" s="3">
        <v>50.77</v>
      </c>
      <c r="F5367">
        <v>20160323</v>
      </c>
      <c r="G5367" t="s">
        <v>2642</v>
      </c>
      <c r="H5367" t="s">
        <v>4095</v>
      </c>
      <c r="I5367">
        <v>0</v>
      </c>
      <c r="J5367" t="s">
        <v>1709</v>
      </c>
      <c r="K5367" t="s">
        <v>290</v>
      </c>
      <c r="L5367" t="s">
        <v>285</v>
      </c>
      <c r="M5367" t="str">
        <f t="shared" si="384"/>
        <v>03</v>
      </c>
      <c r="N5367" t="s">
        <v>12</v>
      </c>
    </row>
    <row r="5368" spans="1:14" x14ac:dyDescent="0.25">
      <c r="A5368">
        <v>20160324</v>
      </c>
      <c r="B5368" t="str">
        <f>"062859"</f>
        <v>062859</v>
      </c>
      <c r="C5368" t="str">
        <f>"42212"</f>
        <v>42212</v>
      </c>
      <c r="D5368" t="s">
        <v>2513</v>
      </c>
      <c r="E5368" s="3">
        <v>60.19</v>
      </c>
      <c r="F5368">
        <v>20160323</v>
      </c>
      <c r="G5368" t="s">
        <v>3358</v>
      </c>
      <c r="H5368" t="s">
        <v>4095</v>
      </c>
      <c r="I5368">
        <v>0</v>
      </c>
      <c r="J5368" t="s">
        <v>1709</v>
      </c>
      <c r="K5368" t="s">
        <v>290</v>
      </c>
      <c r="L5368" t="s">
        <v>285</v>
      </c>
      <c r="M5368" t="str">
        <f t="shared" si="384"/>
        <v>03</v>
      </c>
      <c r="N5368" t="s">
        <v>12</v>
      </c>
    </row>
    <row r="5369" spans="1:14" x14ac:dyDescent="0.25">
      <c r="A5369">
        <v>20160324</v>
      </c>
      <c r="B5369" t="str">
        <f>"062860"</f>
        <v>062860</v>
      </c>
      <c r="C5369" t="str">
        <f>"45063"</f>
        <v>45063</v>
      </c>
      <c r="D5369" t="s">
        <v>4596</v>
      </c>
      <c r="E5369" s="3">
        <v>20.92</v>
      </c>
      <c r="F5369">
        <v>20160323</v>
      </c>
      <c r="G5369" t="s">
        <v>4121</v>
      </c>
      <c r="H5369" t="s">
        <v>4120</v>
      </c>
      <c r="I5369">
        <v>0</v>
      </c>
      <c r="J5369" t="s">
        <v>1709</v>
      </c>
      <c r="K5369" t="s">
        <v>290</v>
      </c>
      <c r="L5369" t="s">
        <v>285</v>
      </c>
      <c r="M5369" t="str">
        <f t="shared" si="384"/>
        <v>03</v>
      </c>
      <c r="N5369" t="s">
        <v>12</v>
      </c>
    </row>
    <row r="5370" spans="1:14" x14ac:dyDescent="0.25">
      <c r="A5370">
        <v>20160324</v>
      </c>
      <c r="B5370" t="str">
        <f>"062861"</f>
        <v>062861</v>
      </c>
      <c r="C5370" t="str">
        <f>"45093"</f>
        <v>45093</v>
      </c>
      <c r="D5370" t="s">
        <v>538</v>
      </c>
      <c r="E5370" s="3">
        <v>221</v>
      </c>
      <c r="F5370">
        <v>20160323</v>
      </c>
      <c r="G5370" t="s">
        <v>4328</v>
      </c>
      <c r="H5370" t="s">
        <v>4597</v>
      </c>
      <c r="I5370">
        <v>0</v>
      </c>
      <c r="J5370" t="s">
        <v>1709</v>
      </c>
      <c r="K5370" t="s">
        <v>290</v>
      </c>
      <c r="L5370" t="s">
        <v>285</v>
      </c>
      <c r="M5370" t="str">
        <f t="shared" ref="M5370:M5433" si="385">"03"</f>
        <v>03</v>
      </c>
      <c r="N5370" t="s">
        <v>12</v>
      </c>
    </row>
    <row r="5371" spans="1:14" x14ac:dyDescent="0.25">
      <c r="A5371">
        <v>20160324</v>
      </c>
      <c r="B5371" t="str">
        <f>"062863"</f>
        <v>062863</v>
      </c>
      <c r="C5371" t="str">
        <f>"46020"</f>
        <v>46020</v>
      </c>
      <c r="D5371" t="s">
        <v>3594</v>
      </c>
      <c r="E5371" s="3">
        <v>17.309999999999999</v>
      </c>
      <c r="F5371">
        <v>20160323</v>
      </c>
      <c r="G5371" t="s">
        <v>2995</v>
      </c>
      <c r="H5371" t="s">
        <v>4598</v>
      </c>
      <c r="I5371">
        <v>0</v>
      </c>
      <c r="J5371" t="s">
        <v>1709</v>
      </c>
      <c r="K5371" t="s">
        <v>2194</v>
      </c>
      <c r="L5371" t="s">
        <v>285</v>
      </c>
      <c r="M5371" t="str">
        <f t="shared" si="385"/>
        <v>03</v>
      </c>
      <c r="N5371" t="s">
        <v>12</v>
      </c>
    </row>
    <row r="5372" spans="1:14" x14ac:dyDescent="0.25">
      <c r="A5372">
        <v>20160324</v>
      </c>
      <c r="B5372" t="str">
        <f>"062864"</f>
        <v>062864</v>
      </c>
      <c r="C5372" t="str">
        <f>"46351"</f>
        <v>46351</v>
      </c>
      <c r="D5372" t="s">
        <v>2518</v>
      </c>
      <c r="E5372" s="3">
        <v>633.32000000000005</v>
      </c>
      <c r="F5372">
        <v>20160323</v>
      </c>
      <c r="G5372" t="s">
        <v>1995</v>
      </c>
      <c r="H5372" t="s">
        <v>4599</v>
      </c>
      <c r="I5372">
        <v>0</v>
      </c>
      <c r="J5372" t="s">
        <v>1709</v>
      </c>
      <c r="K5372" t="s">
        <v>235</v>
      </c>
      <c r="L5372" t="s">
        <v>285</v>
      </c>
      <c r="M5372" t="str">
        <f t="shared" si="385"/>
        <v>03</v>
      </c>
      <c r="N5372" t="s">
        <v>12</v>
      </c>
    </row>
    <row r="5373" spans="1:14" x14ac:dyDescent="0.25">
      <c r="A5373">
        <v>20160324</v>
      </c>
      <c r="B5373" t="str">
        <f>"062865"</f>
        <v>062865</v>
      </c>
      <c r="C5373" t="str">
        <f>"49748"</f>
        <v>49748</v>
      </c>
      <c r="D5373" t="s">
        <v>1885</v>
      </c>
      <c r="E5373" s="3">
        <v>75.97</v>
      </c>
      <c r="F5373">
        <v>20160323</v>
      </c>
      <c r="G5373" t="s">
        <v>2317</v>
      </c>
      <c r="H5373" t="s">
        <v>4600</v>
      </c>
      <c r="I5373">
        <v>0</v>
      </c>
      <c r="J5373" t="s">
        <v>1709</v>
      </c>
      <c r="K5373" t="s">
        <v>290</v>
      </c>
      <c r="L5373" t="s">
        <v>285</v>
      </c>
      <c r="M5373" t="str">
        <f t="shared" si="385"/>
        <v>03</v>
      </c>
      <c r="N5373" t="s">
        <v>12</v>
      </c>
    </row>
    <row r="5374" spans="1:14" x14ac:dyDescent="0.25">
      <c r="A5374">
        <v>20160324</v>
      </c>
      <c r="B5374" t="str">
        <f>"062866"</f>
        <v>062866</v>
      </c>
      <c r="C5374" t="str">
        <f>"52223"</f>
        <v>52223</v>
      </c>
      <c r="D5374" t="s">
        <v>4601</v>
      </c>
      <c r="E5374" s="3">
        <v>1349</v>
      </c>
      <c r="F5374">
        <v>20160323</v>
      </c>
      <c r="G5374" t="s">
        <v>3597</v>
      </c>
      <c r="H5374" t="s">
        <v>4602</v>
      </c>
      <c r="I5374">
        <v>0</v>
      </c>
      <c r="J5374" t="s">
        <v>1709</v>
      </c>
      <c r="K5374" t="s">
        <v>290</v>
      </c>
      <c r="L5374" t="s">
        <v>285</v>
      </c>
      <c r="M5374" t="str">
        <f t="shared" si="385"/>
        <v>03</v>
      </c>
      <c r="N5374" t="s">
        <v>12</v>
      </c>
    </row>
    <row r="5375" spans="1:14" x14ac:dyDescent="0.25">
      <c r="A5375">
        <v>20160324</v>
      </c>
      <c r="B5375" t="str">
        <f>"062867"</f>
        <v>062867</v>
      </c>
      <c r="C5375" t="str">
        <f>"53280"</f>
        <v>53280</v>
      </c>
      <c r="D5375" t="s">
        <v>3000</v>
      </c>
      <c r="E5375" s="3">
        <v>136.88999999999999</v>
      </c>
      <c r="F5375">
        <v>20160323</v>
      </c>
      <c r="G5375" t="s">
        <v>2785</v>
      </c>
      <c r="H5375" t="s">
        <v>4603</v>
      </c>
      <c r="I5375">
        <v>0</v>
      </c>
      <c r="J5375" t="s">
        <v>1709</v>
      </c>
      <c r="K5375" t="s">
        <v>95</v>
      </c>
      <c r="L5375" t="s">
        <v>285</v>
      </c>
      <c r="M5375" t="str">
        <f t="shared" si="385"/>
        <v>03</v>
      </c>
      <c r="N5375" t="s">
        <v>12</v>
      </c>
    </row>
    <row r="5376" spans="1:14" x14ac:dyDescent="0.25">
      <c r="A5376">
        <v>20160324</v>
      </c>
      <c r="B5376" t="str">
        <f>"062868"</f>
        <v>062868</v>
      </c>
      <c r="C5376" t="str">
        <f>"53483"</f>
        <v>53483</v>
      </c>
      <c r="D5376" t="s">
        <v>2132</v>
      </c>
      <c r="E5376" s="3">
        <v>137.25</v>
      </c>
      <c r="F5376">
        <v>20160323</v>
      </c>
      <c r="G5376" t="s">
        <v>2424</v>
      </c>
      <c r="H5376" t="s">
        <v>2480</v>
      </c>
      <c r="I5376">
        <v>0</v>
      </c>
      <c r="J5376" t="s">
        <v>1709</v>
      </c>
      <c r="K5376" t="s">
        <v>1775</v>
      </c>
      <c r="L5376" t="s">
        <v>285</v>
      </c>
      <c r="M5376" t="str">
        <f t="shared" si="385"/>
        <v>03</v>
      </c>
      <c r="N5376" t="s">
        <v>12</v>
      </c>
    </row>
    <row r="5377" spans="1:14" x14ac:dyDescent="0.25">
      <c r="A5377">
        <v>20160324</v>
      </c>
      <c r="B5377" t="str">
        <f>"062869"</f>
        <v>062869</v>
      </c>
      <c r="C5377" t="str">
        <f>"55795"</f>
        <v>55795</v>
      </c>
      <c r="D5377" t="s">
        <v>4604</v>
      </c>
      <c r="E5377" s="3">
        <v>96.4</v>
      </c>
      <c r="F5377">
        <v>20160323</v>
      </c>
      <c r="G5377" t="s">
        <v>2339</v>
      </c>
      <c r="H5377" t="s">
        <v>4605</v>
      </c>
      <c r="I5377">
        <v>0</v>
      </c>
      <c r="J5377" t="s">
        <v>1709</v>
      </c>
      <c r="K5377" t="s">
        <v>290</v>
      </c>
      <c r="L5377" t="s">
        <v>285</v>
      </c>
      <c r="M5377" t="str">
        <f t="shared" si="385"/>
        <v>03</v>
      </c>
      <c r="N5377" t="s">
        <v>12</v>
      </c>
    </row>
    <row r="5378" spans="1:14" x14ac:dyDescent="0.25">
      <c r="A5378">
        <v>20160324</v>
      </c>
      <c r="B5378" t="str">
        <f>"062871"</f>
        <v>062871</v>
      </c>
      <c r="C5378" t="str">
        <f>"58202"</f>
        <v>58202</v>
      </c>
      <c r="D5378" t="s">
        <v>2695</v>
      </c>
      <c r="E5378" s="3">
        <v>34.15</v>
      </c>
      <c r="F5378">
        <v>20160323</v>
      </c>
      <c r="G5378" t="s">
        <v>3960</v>
      </c>
      <c r="H5378" t="s">
        <v>4606</v>
      </c>
      <c r="I5378">
        <v>0</v>
      </c>
      <c r="J5378" t="s">
        <v>1709</v>
      </c>
      <c r="K5378" t="s">
        <v>95</v>
      </c>
      <c r="L5378" t="s">
        <v>285</v>
      </c>
      <c r="M5378" t="str">
        <f t="shared" si="385"/>
        <v>03</v>
      </c>
      <c r="N5378" t="s">
        <v>12</v>
      </c>
    </row>
    <row r="5379" spans="1:14" x14ac:dyDescent="0.25">
      <c r="A5379">
        <v>20160324</v>
      </c>
      <c r="B5379" t="str">
        <f>"062871"</f>
        <v>062871</v>
      </c>
      <c r="C5379" t="str">
        <f>"58202"</f>
        <v>58202</v>
      </c>
      <c r="D5379" t="s">
        <v>2695</v>
      </c>
      <c r="E5379" s="3">
        <v>36.380000000000003</v>
      </c>
      <c r="F5379">
        <v>20160323</v>
      </c>
      <c r="G5379" t="s">
        <v>2275</v>
      </c>
      <c r="H5379" t="s">
        <v>4607</v>
      </c>
      <c r="I5379">
        <v>0</v>
      </c>
      <c r="J5379" t="s">
        <v>1709</v>
      </c>
      <c r="K5379" t="s">
        <v>95</v>
      </c>
      <c r="L5379" t="s">
        <v>285</v>
      </c>
      <c r="M5379" t="str">
        <f t="shared" si="385"/>
        <v>03</v>
      </c>
      <c r="N5379" t="s">
        <v>12</v>
      </c>
    </row>
    <row r="5380" spans="1:14" x14ac:dyDescent="0.25">
      <c r="A5380">
        <v>20160324</v>
      </c>
      <c r="B5380" t="str">
        <f>"062872"</f>
        <v>062872</v>
      </c>
      <c r="C5380" t="str">
        <f>"59040"</f>
        <v>59040</v>
      </c>
      <c r="D5380" t="s">
        <v>4079</v>
      </c>
      <c r="E5380" s="3">
        <v>7.3</v>
      </c>
      <c r="F5380">
        <v>20160323</v>
      </c>
      <c r="G5380" t="s">
        <v>3971</v>
      </c>
      <c r="H5380" t="s">
        <v>3969</v>
      </c>
      <c r="I5380">
        <v>0</v>
      </c>
      <c r="J5380" t="s">
        <v>1709</v>
      </c>
      <c r="K5380" t="s">
        <v>290</v>
      </c>
      <c r="L5380" t="s">
        <v>285</v>
      </c>
      <c r="M5380" t="str">
        <f t="shared" si="385"/>
        <v>03</v>
      </c>
      <c r="N5380" t="s">
        <v>12</v>
      </c>
    </row>
    <row r="5381" spans="1:14" x14ac:dyDescent="0.25">
      <c r="A5381">
        <v>20160324</v>
      </c>
      <c r="B5381" t="str">
        <f>"062873"</f>
        <v>062873</v>
      </c>
      <c r="C5381" t="str">
        <f>"59097"</f>
        <v>59097</v>
      </c>
      <c r="D5381" t="s">
        <v>1755</v>
      </c>
      <c r="E5381" s="3">
        <v>360</v>
      </c>
      <c r="F5381">
        <v>20160323</v>
      </c>
      <c r="G5381" t="s">
        <v>3846</v>
      </c>
      <c r="H5381" t="s">
        <v>4608</v>
      </c>
      <c r="I5381">
        <v>0</v>
      </c>
      <c r="J5381" t="s">
        <v>1709</v>
      </c>
      <c r="K5381" t="s">
        <v>290</v>
      </c>
      <c r="L5381" t="s">
        <v>285</v>
      </c>
      <c r="M5381" t="str">
        <f t="shared" si="385"/>
        <v>03</v>
      </c>
      <c r="N5381" t="s">
        <v>12</v>
      </c>
    </row>
    <row r="5382" spans="1:14" x14ac:dyDescent="0.25">
      <c r="A5382">
        <v>20160324</v>
      </c>
      <c r="B5382" t="str">
        <f>"062874"</f>
        <v>062874</v>
      </c>
      <c r="C5382" t="str">
        <f>"59097"</f>
        <v>59097</v>
      </c>
      <c r="D5382" t="s">
        <v>1755</v>
      </c>
      <c r="E5382" s="3">
        <v>360</v>
      </c>
      <c r="F5382">
        <v>20160323</v>
      </c>
      <c r="G5382" t="s">
        <v>3846</v>
      </c>
      <c r="H5382" t="s">
        <v>4609</v>
      </c>
      <c r="I5382">
        <v>0</v>
      </c>
      <c r="J5382" t="s">
        <v>1709</v>
      </c>
      <c r="K5382" t="s">
        <v>290</v>
      </c>
      <c r="L5382" t="s">
        <v>285</v>
      </c>
      <c r="M5382" t="str">
        <f t="shared" si="385"/>
        <v>03</v>
      </c>
      <c r="N5382" t="s">
        <v>12</v>
      </c>
    </row>
    <row r="5383" spans="1:14" x14ac:dyDescent="0.25">
      <c r="A5383">
        <v>20160324</v>
      </c>
      <c r="B5383" t="str">
        <f>"062875"</f>
        <v>062875</v>
      </c>
      <c r="C5383" t="str">
        <f>"00355"</f>
        <v>00355</v>
      </c>
      <c r="D5383" t="s">
        <v>1909</v>
      </c>
      <c r="E5383" s="3">
        <v>80</v>
      </c>
      <c r="F5383">
        <v>20160323</v>
      </c>
      <c r="G5383" t="s">
        <v>4177</v>
      </c>
      <c r="H5383" t="s">
        <v>4610</v>
      </c>
      <c r="I5383">
        <v>0</v>
      </c>
      <c r="J5383" t="s">
        <v>1709</v>
      </c>
      <c r="K5383" t="s">
        <v>2764</v>
      </c>
      <c r="L5383" t="s">
        <v>285</v>
      </c>
      <c r="M5383" t="str">
        <f t="shared" si="385"/>
        <v>03</v>
      </c>
      <c r="N5383" t="s">
        <v>12</v>
      </c>
    </row>
    <row r="5384" spans="1:14" x14ac:dyDescent="0.25">
      <c r="A5384">
        <v>20160324</v>
      </c>
      <c r="B5384" t="str">
        <f>"062877"</f>
        <v>062877</v>
      </c>
      <c r="C5384" t="str">
        <f>"65385"</f>
        <v>65385</v>
      </c>
      <c r="D5384" t="s">
        <v>4611</v>
      </c>
      <c r="E5384" s="3">
        <v>184.21</v>
      </c>
      <c r="F5384">
        <v>20160323</v>
      </c>
      <c r="G5384" t="s">
        <v>1957</v>
      </c>
      <c r="H5384" t="s">
        <v>4594</v>
      </c>
      <c r="I5384">
        <v>0</v>
      </c>
      <c r="J5384" t="s">
        <v>1709</v>
      </c>
      <c r="K5384" t="s">
        <v>290</v>
      </c>
      <c r="L5384" t="s">
        <v>285</v>
      </c>
      <c r="M5384" t="str">
        <f t="shared" si="385"/>
        <v>03</v>
      </c>
      <c r="N5384" t="s">
        <v>12</v>
      </c>
    </row>
    <row r="5385" spans="1:14" x14ac:dyDescent="0.25">
      <c r="A5385">
        <v>20160324</v>
      </c>
      <c r="B5385" t="str">
        <f>"062877"</f>
        <v>062877</v>
      </c>
      <c r="C5385" t="str">
        <f>"65385"</f>
        <v>65385</v>
      </c>
      <c r="D5385" t="s">
        <v>4611</v>
      </c>
      <c r="E5385" s="3">
        <v>184.21</v>
      </c>
      <c r="F5385">
        <v>20160323</v>
      </c>
      <c r="G5385" t="s">
        <v>2320</v>
      </c>
      <c r="H5385" t="s">
        <v>4594</v>
      </c>
      <c r="I5385">
        <v>0</v>
      </c>
      <c r="J5385" t="s">
        <v>1709</v>
      </c>
      <c r="K5385" t="s">
        <v>290</v>
      </c>
      <c r="L5385" t="s">
        <v>285</v>
      </c>
      <c r="M5385" t="str">
        <f t="shared" si="385"/>
        <v>03</v>
      </c>
      <c r="N5385" t="s">
        <v>12</v>
      </c>
    </row>
    <row r="5386" spans="1:14" x14ac:dyDescent="0.25">
      <c r="A5386">
        <v>20160324</v>
      </c>
      <c r="B5386" t="str">
        <f>"062878"</f>
        <v>062878</v>
      </c>
      <c r="C5386" t="str">
        <f>"67580"</f>
        <v>67580</v>
      </c>
      <c r="D5386" t="s">
        <v>4612</v>
      </c>
      <c r="E5386" s="3">
        <v>234.54</v>
      </c>
      <c r="F5386">
        <v>20160323</v>
      </c>
      <c r="G5386" t="s">
        <v>2535</v>
      </c>
      <c r="H5386" t="s">
        <v>4373</v>
      </c>
      <c r="I5386">
        <v>0</v>
      </c>
      <c r="J5386" t="s">
        <v>1709</v>
      </c>
      <c r="K5386" t="s">
        <v>290</v>
      </c>
      <c r="L5386" t="s">
        <v>285</v>
      </c>
      <c r="M5386" t="str">
        <f t="shared" si="385"/>
        <v>03</v>
      </c>
      <c r="N5386" t="s">
        <v>12</v>
      </c>
    </row>
    <row r="5387" spans="1:14" x14ac:dyDescent="0.25">
      <c r="A5387">
        <v>20160324</v>
      </c>
      <c r="B5387" t="str">
        <f>"062878"</f>
        <v>062878</v>
      </c>
      <c r="C5387" t="str">
        <f>"67580"</f>
        <v>67580</v>
      </c>
      <c r="D5387" t="s">
        <v>4612</v>
      </c>
      <c r="E5387" s="3">
        <v>904.62</v>
      </c>
      <c r="F5387">
        <v>20160323</v>
      </c>
      <c r="G5387" t="s">
        <v>4374</v>
      </c>
      <c r="H5387" t="s">
        <v>4373</v>
      </c>
      <c r="I5387">
        <v>0</v>
      </c>
      <c r="J5387" t="s">
        <v>1709</v>
      </c>
      <c r="K5387" t="s">
        <v>290</v>
      </c>
      <c r="L5387" t="s">
        <v>285</v>
      </c>
      <c r="M5387" t="str">
        <f t="shared" si="385"/>
        <v>03</v>
      </c>
      <c r="N5387" t="s">
        <v>12</v>
      </c>
    </row>
    <row r="5388" spans="1:14" x14ac:dyDescent="0.25">
      <c r="A5388">
        <v>20160324</v>
      </c>
      <c r="B5388" t="str">
        <f>"062878"</f>
        <v>062878</v>
      </c>
      <c r="C5388" t="str">
        <f>"67580"</f>
        <v>67580</v>
      </c>
      <c r="D5388" t="s">
        <v>4612</v>
      </c>
      <c r="E5388" s="3">
        <v>217.77</v>
      </c>
      <c r="F5388">
        <v>20160323</v>
      </c>
      <c r="G5388" t="s">
        <v>3449</v>
      </c>
      <c r="H5388" t="s">
        <v>4373</v>
      </c>
      <c r="I5388">
        <v>0</v>
      </c>
      <c r="J5388" t="s">
        <v>1709</v>
      </c>
      <c r="K5388" t="s">
        <v>290</v>
      </c>
      <c r="L5388" t="s">
        <v>285</v>
      </c>
      <c r="M5388" t="str">
        <f t="shared" si="385"/>
        <v>03</v>
      </c>
      <c r="N5388" t="s">
        <v>12</v>
      </c>
    </row>
    <row r="5389" spans="1:14" x14ac:dyDescent="0.25">
      <c r="A5389">
        <v>20160324</v>
      </c>
      <c r="B5389" t="str">
        <f>"062881"</f>
        <v>062881</v>
      </c>
      <c r="C5389" t="str">
        <f>"75515"</f>
        <v>75515</v>
      </c>
      <c r="D5389" t="s">
        <v>2729</v>
      </c>
      <c r="E5389" s="3">
        <v>40</v>
      </c>
      <c r="F5389">
        <v>20160323</v>
      </c>
      <c r="G5389" t="s">
        <v>1957</v>
      </c>
      <c r="H5389" t="s">
        <v>4594</v>
      </c>
      <c r="I5389">
        <v>0</v>
      </c>
      <c r="J5389" t="s">
        <v>1709</v>
      </c>
      <c r="K5389" t="s">
        <v>290</v>
      </c>
      <c r="L5389" t="s">
        <v>285</v>
      </c>
      <c r="M5389" t="str">
        <f t="shared" si="385"/>
        <v>03</v>
      </c>
      <c r="N5389" t="s">
        <v>12</v>
      </c>
    </row>
    <row r="5390" spans="1:14" x14ac:dyDescent="0.25">
      <c r="A5390">
        <v>20160324</v>
      </c>
      <c r="B5390" t="str">
        <f>"062882"</f>
        <v>062882</v>
      </c>
      <c r="C5390" t="str">
        <f>"77120"</f>
        <v>77120</v>
      </c>
      <c r="D5390" t="s">
        <v>4613</v>
      </c>
      <c r="E5390" s="3">
        <v>70</v>
      </c>
      <c r="F5390">
        <v>20160323</v>
      </c>
      <c r="G5390" t="s">
        <v>2279</v>
      </c>
      <c r="H5390" t="s">
        <v>4614</v>
      </c>
      <c r="I5390">
        <v>0</v>
      </c>
      <c r="J5390" t="s">
        <v>1709</v>
      </c>
      <c r="K5390" t="s">
        <v>1861</v>
      </c>
      <c r="L5390" t="s">
        <v>285</v>
      </c>
      <c r="M5390" t="str">
        <f t="shared" si="385"/>
        <v>03</v>
      </c>
      <c r="N5390" t="s">
        <v>12</v>
      </c>
    </row>
    <row r="5391" spans="1:14" x14ac:dyDescent="0.25">
      <c r="A5391">
        <v>20160324</v>
      </c>
      <c r="B5391" t="str">
        <f>"062883"</f>
        <v>062883</v>
      </c>
      <c r="C5391" t="str">
        <f>"78311"</f>
        <v>78311</v>
      </c>
      <c r="D5391" t="s">
        <v>458</v>
      </c>
      <c r="E5391" s="3">
        <v>39.43</v>
      </c>
      <c r="F5391">
        <v>20160323</v>
      </c>
      <c r="G5391" t="s">
        <v>2888</v>
      </c>
      <c r="H5391" t="s">
        <v>4129</v>
      </c>
      <c r="I5391">
        <v>0</v>
      </c>
      <c r="J5391" t="s">
        <v>1709</v>
      </c>
      <c r="K5391" t="s">
        <v>290</v>
      </c>
      <c r="L5391" t="s">
        <v>285</v>
      </c>
      <c r="M5391" t="str">
        <f t="shared" si="385"/>
        <v>03</v>
      </c>
      <c r="N5391" t="s">
        <v>12</v>
      </c>
    </row>
    <row r="5392" spans="1:14" x14ac:dyDescent="0.25">
      <c r="A5392">
        <v>20160324</v>
      </c>
      <c r="B5392" t="str">
        <f>"062883"</f>
        <v>062883</v>
      </c>
      <c r="C5392" t="str">
        <f>"78311"</f>
        <v>78311</v>
      </c>
      <c r="D5392" t="s">
        <v>458</v>
      </c>
      <c r="E5392" s="3">
        <v>29.35</v>
      </c>
      <c r="F5392">
        <v>20160323</v>
      </c>
      <c r="G5392" t="s">
        <v>3968</v>
      </c>
      <c r="H5392" t="s">
        <v>3969</v>
      </c>
      <c r="I5392">
        <v>0</v>
      </c>
      <c r="J5392" t="s">
        <v>1709</v>
      </c>
      <c r="K5392" t="s">
        <v>290</v>
      </c>
      <c r="L5392" t="s">
        <v>285</v>
      </c>
      <c r="M5392" t="str">
        <f t="shared" si="385"/>
        <v>03</v>
      </c>
      <c r="N5392" t="s">
        <v>12</v>
      </c>
    </row>
    <row r="5393" spans="1:14" x14ac:dyDescent="0.25">
      <c r="A5393">
        <v>20160324</v>
      </c>
      <c r="B5393" t="str">
        <f t="shared" ref="B5393:B5421" si="386">"062887"</f>
        <v>062887</v>
      </c>
      <c r="C5393" t="str">
        <f t="shared" ref="C5393:C5421" si="387">"83022"</f>
        <v>83022</v>
      </c>
      <c r="D5393" t="s">
        <v>394</v>
      </c>
      <c r="E5393" s="3">
        <v>2.56</v>
      </c>
      <c r="F5393">
        <v>20160323</v>
      </c>
      <c r="G5393" t="s">
        <v>3888</v>
      </c>
      <c r="H5393" t="s">
        <v>4615</v>
      </c>
      <c r="I5393">
        <v>0</v>
      </c>
      <c r="J5393" t="s">
        <v>1709</v>
      </c>
      <c r="K5393" t="s">
        <v>95</v>
      </c>
      <c r="L5393" t="s">
        <v>285</v>
      </c>
      <c r="M5393" t="str">
        <f t="shared" si="385"/>
        <v>03</v>
      </c>
      <c r="N5393" t="s">
        <v>12</v>
      </c>
    </row>
    <row r="5394" spans="1:14" x14ac:dyDescent="0.25">
      <c r="A5394">
        <v>20160324</v>
      </c>
      <c r="B5394" t="str">
        <f t="shared" si="386"/>
        <v>062887</v>
      </c>
      <c r="C5394" t="str">
        <f t="shared" si="387"/>
        <v>83022</v>
      </c>
      <c r="D5394" t="s">
        <v>394</v>
      </c>
      <c r="E5394" s="3">
        <v>28.09</v>
      </c>
      <c r="F5394">
        <v>20160323</v>
      </c>
      <c r="G5394" t="s">
        <v>2168</v>
      </c>
      <c r="H5394" t="s">
        <v>4616</v>
      </c>
      <c r="I5394">
        <v>0</v>
      </c>
      <c r="J5394" t="s">
        <v>1709</v>
      </c>
      <c r="K5394" t="s">
        <v>33</v>
      </c>
      <c r="L5394" t="s">
        <v>285</v>
      </c>
      <c r="M5394" t="str">
        <f t="shared" si="385"/>
        <v>03</v>
      </c>
      <c r="N5394" t="s">
        <v>12</v>
      </c>
    </row>
    <row r="5395" spans="1:14" x14ac:dyDescent="0.25">
      <c r="A5395">
        <v>20160324</v>
      </c>
      <c r="B5395" t="str">
        <f t="shared" si="386"/>
        <v>062887</v>
      </c>
      <c r="C5395" t="str">
        <f t="shared" si="387"/>
        <v>83022</v>
      </c>
      <c r="D5395" t="s">
        <v>394</v>
      </c>
      <c r="E5395" s="3">
        <v>176.59</v>
      </c>
      <c r="F5395">
        <v>20160323</v>
      </c>
      <c r="G5395" t="s">
        <v>2275</v>
      </c>
      <c r="H5395" t="s">
        <v>4617</v>
      </c>
      <c r="I5395">
        <v>0</v>
      </c>
      <c r="J5395" t="s">
        <v>1709</v>
      </c>
      <c r="K5395" t="s">
        <v>95</v>
      </c>
      <c r="L5395" t="s">
        <v>285</v>
      </c>
      <c r="M5395" t="str">
        <f t="shared" si="385"/>
        <v>03</v>
      </c>
      <c r="N5395" t="s">
        <v>12</v>
      </c>
    </row>
    <row r="5396" spans="1:14" x14ac:dyDescent="0.25">
      <c r="A5396">
        <v>20160324</v>
      </c>
      <c r="B5396" t="str">
        <f t="shared" si="386"/>
        <v>062887</v>
      </c>
      <c r="C5396" t="str">
        <f t="shared" si="387"/>
        <v>83022</v>
      </c>
      <c r="D5396" t="s">
        <v>394</v>
      </c>
      <c r="E5396" s="3">
        <v>38.520000000000003</v>
      </c>
      <c r="F5396">
        <v>20160323</v>
      </c>
      <c r="G5396" t="s">
        <v>2570</v>
      </c>
      <c r="H5396" t="s">
        <v>4618</v>
      </c>
      <c r="I5396">
        <v>0</v>
      </c>
      <c r="J5396" t="s">
        <v>1709</v>
      </c>
      <c r="K5396" t="s">
        <v>95</v>
      </c>
      <c r="L5396" t="s">
        <v>285</v>
      </c>
      <c r="M5396" t="str">
        <f t="shared" si="385"/>
        <v>03</v>
      </c>
      <c r="N5396" t="s">
        <v>12</v>
      </c>
    </row>
    <row r="5397" spans="1:14" x14ac:dyDescent="0.25">
      <c r="A5397">
        <v>20160324</v>
      </c>
      <c r="B5397" t="str">
        <f t="shared" si="386"/>
        <v>062887</v>
      </c>
      <c r="C5397" t="str">
        <f t="shared" si="387"/>
        <v>83022</v>
      </c>
      <c r="D5397" t="s">
        <v>394</v>
      </c>
      <c r="E5397" s="3">
        <v>19.78</v>
      </c>
      <c r="F5397">
        <v>20160323</v>
      </c>
      <c r="G5397" t="s">
        <v>2307</v>
      </c>
      <c r="H5397" t="s">
        <v>2882</v>
      </c>
      <c r="I5397">
        <v>0</v>
      </c>
      <c r="J5397" t="s">
        <v>1709</v>
      </c>
      <c r="K5397" t="s">
        <v>95</v>
      </c>
      <c r="L5397" t="s">
        <v>285</v>
      </c>
      <c r="M5397" t="str">
        <f t="shared" si="385"/>
        <v>03</v>
      </c>
      <c r="N5397" t="s">
        <v>12</v>
      </c>
    </row>
    <row r="5398" spans="1:14" x14ac:dyDescent="0.25">
      <c r="A5398">
        <v>20160324</v>
      </c>
      <c r="B5398" t="str">
        <f t="shared" si="386"/>
        <v>062887</v>
      </c>
      <c r="C5398" t="str">
        <f t="shared" si="387"/>
        <v>83022</v>
      </c>
      <c r="D5398" t="s">
        <v>394</v>
      </c>
      <c r="E5398" s="3">
        <v>24.5</v>
      </c>
      <c r="F5398">
        <v>20160323</v>
      </c>
      <c r="G5398" t="s">
        <v>3293</v>
      </c>
      <c r="H5398" t="s">
        <v>4615</v>
      </c>
      <c r="I5398">
        <v>0</v>
      </c>
      <c r="J5398" t="s">
        <v>1709</v>
      </c>
      <c r="K5398" t="s">
        <v>95</v>
      </c>
      <c r="L5398" t="s">
        <v>285</v>
      </c>
      <c r="M5398" t="str">
        <f t="shared" si="385"/>
        <v>03</v>
      </c>
      <c r="N5398" t="s">
        <v>12</v>
      </c>
    </row>
    <row r="5399" spans="1:14" x14ac:dyDescent="0.25">
      <c r="A5399">
        <v>20160324</v>
      </c>
      <c r="B5399" t="str">
        <f t="shared" si="386"/>
        <v>062887</v>
      </c>
      <c r="C5399" t="str">
        <f t="shared" si="387"/>
        <v>83022</v>
      </c>
      <c r="D5399" t="s">
        <v>394</v>
      </c>
      <c r="E5399" s="3">
        <v>342.46</v>
      </c>
      <c r="F5399">
        <v>20160323</v>
      </c>
      <c r="G5399" t="s">
        <v>2317</v>
      </c>
      <c r="H5399" t="s">
        <v>4050</v>
      </c>
      <c r="I5399">
        <v>0</v>
      </c>
      <c r="J5399" t="s">
        <v>1709</v>
      </c>
      <c r="K5399" t="s">
        <v>290</v>
      </c>
      <c r="L5399" t="s">
        <v>285</v>
      </c>
      <c r="M5399" t="str">
        <f t="shared" si="385"/>
        <v>03</v>
      </c>
      <c r="N5399" t="s">
        <v>12</v>
      </c>
    </row>
    <row r="5400" spans="1:14" x14ac:dyDescent="0.25">
      <c r="A5400">
        <v>20160324</v>
      </c>
      <c r="B5400" t="str">
        <f t="shared" si="386"/>
        <v>062887</v>
      </c>
      <c r="C5400" t="str">
        <f t="shared" si="387"/>
        <v>83022</v>
      </c>
      <c r="D5400" t="s">
        <v>394</v>
      </c>
      <c r="E5400" s="3">
        <v>46.31</v>
      </c>
      <c r="F5400">
        <v>20160323</v>
      </c>
      <c r="G5400" t="s">
        <v>2317</v>
      </c>
      <c r="H5400" t="s">
        <v>2563</v>
      </c>
      <c r="I5400">
        <v>0</v>
      </c>
      <c r="J5400" t="s">
        <v>1709</v>
      </c>
      <c r="K5400" t="s">
        <v>290</v>
      </c>
      <c r="L5400" t="s">
        <v>285</v>
      </c>
      <c r="M5400" t="str">
        <f t="shared" si="385"/>
        <v>03</v>
      </c>
      <c r="N5400" t="s">
        <v>12</v>
      </c>
    </row>
    <row r="5401" spans="1:14" x14ac:dyDescent="0.25">
      <c r="A5401">
        <v>20160324</v>
      </c>
      <c r="B5401" t="str">
        <f t="shared" si="386"/>
        <v>062887</v>
      </c>
      <c r="C5401" t="str">
        <f t="shared" si="387"/>
        <v>83022</v>
      </c>
      <c r="D5401" t="s">
        <v>394</v>
      </c>
      <c r="E5401" s="3">
        <v>31.71</v>
      </c>
      <c r="F5401">
        <v>20160323</v>
      </c>
      <c r="G5401" t="s">
        <v>2317</v>
      </c>
      <c r="H5401" t="s">
        <v>2563</v>
      </c>
      <c r="I5401">
        <v>0</v>
      </c>
      <c r="J5401" t="s">
        <v>1709</v>
      </c>
      <c r="K5401" t="s">
        <v>290</v>
      </c>
      <c r="L5401" t="s">
        <v>285</v>
      </c>
      <c r="M5401" t="str">
        <f t="shared" si="385"/>
        <v>03</v>
      </c>
      <c r="N5401" t="s">
        <v>12</v>
      </c>
    </row>
    <row r="5402" spans="1:14" x14ac:dyDescent="0.25">
      <c r="A5402">
        <v>20160324</v>
      </c>
      <c r="B5402" t="str">
        <f t="shared" si="386"/>
        <v>062887</v>
      </c>
      <c r="C5402" t="str">
        <f t="shared" si="387"/>
        <v>83022</v>
      </c>
      <c r="D5402" t="s">
        <v>394</v>
      </c>
      <c r="E5402" s="3">
        <v>144.62</v>
      </c>
      <c r="F5402">
        <v>20160323</v>
      </c>
      <c r="G5402" t="s">
        <v>2529</v>
      </c>
      <c r="H5402" t="s">
        <v>4050</v>
      </c>
      <c r="I5402">
        <v>0</v>
      </c>
      <c r="J5402" t="s">
        <v>1709</v>
      </c>
      <c r="K5402" t="s">
        <v>95</v>
      </c>
      <c r="L5402" t="s">
        <v>285</v>
      </c>
      <c r="M5402" t="str">
        <f t="shared" si="385"/>
        <v>03</v>
      </c>
      <c r="N5402" t="s">
        <v>12</v>
      </c>
    </row>
    <row r="5403" spans="1:14" x14ac:dyDescent="0.25">
      <c r="A5403">
        <v>20160324</v>
      </c>
      <c r="B5403" t="str">
        <f t="shared" si="386"/>
        <v>062887</v>
      </c>
      <c r="C5403" t="str">
        <f t="shared" si="387"/>
        <v>83022</v>
      </c>
      <c r="D5403" t="s">
        <v>394</v>
      </c>
      <c r="E5403" s="3">
        <v>46.35</v>
      </c>
      <c r="F5403">
        <v>20160323</v>
      </c>
      <c r="G5403" t="s">
        <v>2529</v>
      </c>
      <c r="H5403" t="s">
        <v>4050</v>
      </c>
      <c r="I5403">
        <v>0</v>
      </c>
      <c r="J5403" t="s">
        <v>1709</v>
      </c>
      <c r="K5403" t="s">
        <v>95</v>
      </c>
      <c r="L5403" t="s">
        <v>285</v>
      </c>
      <c r="M5403" t="str">
        <f t="shared" si="385"/>
        <v>03</v>
      </c>
      <c r="N5403" t="s">
        <v>12</v>
      </c>
    </row>
    <row r="5404" spans="1:14" x14ac:dyDescent="0.25">
      <c r="A5404">
        <v>20160324</v>
      </c>
      <c r="B5404" t="str">
        <f t="shared" si="386"/>
        <v>062887</v>
      </c>
      <c r="C5404" t="str">
        <f t="shared" si="387"/>
        <v>83022</v>
      </c>
      <c r="D5404" t="s">
        <v>394</v>
      </c>
      <c r="E5404" s="3">
        <v>88.86</v>
      </c>
      <c r="F5404">
        <v>20160323</v>
      </c>
      <c r="G5404" t="s">
        <v>2529</v>
      </c>
      <c r="H5404" t="s">
        <v>4050</v>
      </c>
      <c r="I5404">
        <v>0</v>
      </c>
      <c r="J5404" t="s">
        <v>1709</v>
      </c>
      <c r="K5404" t="s">
        <v>95</v>
      </c>
      <c r="L5404" t="s">
        <v>285</v>
      </c>
      <c r="M5404" t="str">
        <f t="shared" si="385"/>
        <v>03</v>
      </c>
      <c r="N5404" t="s">
        <v>12</v>
      </c>
    </row>
    <row r="5405" spans="1:14" x14ac:dyDescent="0.25">
      <c r="A5405">
        <v>20160324</v>
      </c>
      <c r="B5405" t="str">
        <f t="shared" si="386"/>
        <v>062887</v>
      </c>
      <c r="C5405" t="str">
        <f t="shared" si="387"/>
        <v>83022</v>
      </c>
      <c r="D5405" t="s">
        <v>394</v>
      </c>
      <c r="E5405" s="3">
        <v>43.75</v>
      </c>
      <c r="F5405">
        <v>20160323</v>
      </c>
      <c r="G5405" t="s">
        <v>2529</v>
      </c>
      <c r="H5405" t="s">
        <v>4050</v>
      </c>
      <c r="I5405">
        <v>0</v>
      </c>
      <c r="J5405" t="s">
        <v>1709</v>
      </c>
      <c r="K5405" t="s">
        <v>95</v>
      </c>
      <c r="L5405" t="s">
        <v>285</v>
      </c>
      <c r="M5405" t="str">
        <f t="shared" si="385"/>
        <v>03</v>
      </c>
      <c r="N5405" t="s">
        <v>12</v>
      </c>
    </row>
    <row r="5406" spans="1:14" x14ac:dyDescent="0.25">
      <c r="A5406">
        <v>20160324</v>
      </c>
      <c r="B5406" t="str">
        <f t="shared" si="386"/>
        <v>062887</v>
      </c>
      <c r="C5406" t="str">
        <f t="shared" si="387"/>
        <v>83022</v>
      </c>
      <c r="D5406" t="s">
        <v>394</v>
      </c>
      <c r="E5406" s="3">
        <v>60.21</v>
      </c>
      <c r="F5406">
        <v>20160323</v>
      </c>
      <c r="G5406" t="s">
        <v>2529</v>
      </c>
      <c r="H5406" t="s">
        <v>4050</v>
      </c>
      <c r="I5406">
        <v>0</v>
      </c>
      <c r="J5406" t="s">
        <v>1709</v>
      </c>
      <c r="K5406" t="s">
        <v>95</v>
      </c>
      <c r="L5406" t="s">
        <v>285</v>
      </c>
      <c r="M5406" t="str">
        <f t="shared" si="385"/>
        <v>03</v>
      </c>
      <c r="N5406" t="s">
        <v>12</v>
      </c>
    </row>
    <row r="5407" spans="1:14" x14ac:dyDescent="0.25">
      <c r="A5407">
        <v>20160324</v>
      </c>
      <c r="B5407" t="str">
        <f t="shared" si="386"/>
        <v>062887</v>
      </c>
      <c r="C5407" t="str">
        <f t="shared" si="387"/>
        <v>83022</v>
      </c>
      <c r="D5407" t="s">
        <v>394</v>
      </c>
      <c r="E5407" s="3">
        <v>48.73</v>
      </c>
      <c r="F5407">
        <v>20160323</v>
      </c>
      <c r="G5407" t="s">
        <v>1977</v>
      </c>
      <c r="H5407" t="s">
        <v>4619</v>
      </c>
      <c r="I5407">
        <v>0</v>
      </c>
      <c r="J5407" t="s">
        <v>1709</v>
      </c>
      <c r="K5407" t="s">
        <v>290</v>
      </c>
      <c r="L5407" t="s">
        <v>285</v>
      </c>
      <c r="M5407" t="str">
        <f t="shared" si="385"/>
        <v>03</v>
      </c>
      <c r="N5407" t="s">
        <v>12</v>
      </c>
    </row>
    <row r="5408" spans="1:14" x14ac:dyDescent="0.25">
      <c r="A5408">
        <v>20160324</v>
      </c>
      <c r="B5408" t="str">
        <f t="shared" si="386"/>
        <v>062887</v>
      </c>
      <c r="C5408" t="str">
        <f t="shared" si="387"/>
        <v>83022</v>
      </c>
      <c r="D5408" t="s">
        <v>394</v>
      </c>
      <c r="E5408" s="3">
        <v>73.64</v>
      </c>
      <c r="F5408">
        <v>20160323</v>
      </c>
      <c r="G5408" t="s">
        <v>2789</v>
      </c>
      <c r="H5408" t="s">
        <v>4322</v>
      </c>
      <c r="I5408">
        <v>0</v>
      </c>
      <c r="J5408" t="s">
        <v>1709</v>
      </c>
      <c r="K5408" t="s">
        <v>290</v>
      </c>
      <c r="L5408" t="s">
        <v>285</v>
      </c>
      <c r="M5408" t="str">
        <f t="shared" si="385"/>
        <v>03</v>
      </c>
      <c r="N5408" t="s">
        <v>12</v>
      </c>
    </row>
    <row r="5409" spans="1:14" x14ac:dyDescent="0.25">
      <c r="A5409">
        <v>20160324</v>
      </c>
      <c r="B5409" t="str">
        <f t="shared" si="386"/>
        <v>062887</v>
      </c>
      <c r="C5409" t="str">
        <f t="shared" si="387"/>
        <v>83022</v>
      </c>
      <c r="D5409" t="s">
        <v>394</v>
      </c>
      <c r="E5409" s="3">
        <v>142.94999999999999</v>
      </c>
      <c r="F5409">
        <v>20160323</v>
      </c>
      <c r="G5409" t="s">
        <v>2333</v>
      </c>
      <c r="H5409" t="s">
        <v>4620</v>
      </c>
      <c r="I5409">
        <v>0</v>
      </c>
      <c r="J5409" t="s">
        <v>1709</v>
      </c>
      <c r="K5409" t="s">
        <v>290</v>
      </c>
      <c r="L5409" t="s">
        <v>285</v>
      </c>
      <c r="M5409" t="str">
        <f t="shared" si="385"/>
        <v>03</v>
      </c>
      <c r="N5409" t="s">
        <v>12</v>
      </c>
    </row>
    <row r="5410" spans="1:14" x14ac:dyDescent="0.25">
      <c r="A5410">
        <v>20160324</v>
      </c>
      <c r="B5410" t="str">
        <f t="shared" si="386"/>
        <v>062887</v>
      </c>
      <c r="C5410" t="str">
        <f t="shared" si="387"/>
        <v>83022</v>
      </c>
      <c r="D5410" t="s">
        <v>394</v>
      </c>
      <c r="E5410" s="3">
        <v>95.53</v>
      </c>
      <c r="F5410">
        <v>20160323</v>
      </c>
      <c r="G5410" t="s">
        <v>2791</v>
      </c>
      <c r="H5410" t="s">
        <v>2310</v>
      </c>
      <c r="I5410">
        <v>0</v>
      </c>
      <c r="J5410" t="s">
        <v>1709</v>
      </c>
      <c r="K5410" t="s">
        <v>290</v>
      </c>
      <c r="L5410" t="s">
        <v>285</v>
      </c>
      <c r="M5410" t="str">
        <f t="shared" si="385"/>
        <v>03</v>
      </c>
      <c r="N5410" t="s">
        <v>12</v>
      </c>
    </row>
    <row r="5411" spans="1:14" x14ac:dyDescent="0.25">
      <c r="A5411">
        <v>20160324</v>
      </c>
      <c r="B5411" t="str">
        <f t="shared" si="386"/>
        <v>062887</v>
      </c>
      <c r="C5411" t="str">
        <f t="shared" si="387"/>
        <v>83022</v>
      </c>
      <c r="D5411" t="s">
        <v>394</v>
      </c>
      <c r="E5411" s="3">
        <v>720</v>
      </c>
      <c r="F5411">
        <v>20160323</v>
      </c>
      <c r="G5411" t="s">
        <v>2311</v>
      </c>
      <c r="H5411" t="s">
        <v>4621</v>
      </c>
      <c r="I5411">
        <v>0</v>
      </c>
      <c r="J5411" t="s">
        <v>1709</v>
      </c>
      <c r="K5411" t="s">
        <v>290</v>
      </c>
      <c r="L5411" t="s">
        <v>285</v>
      </c>
      <c r="M5411" t="str">
        <f t="shared" si="385"/>
        <v>03</v>
      </c>
      <c r="N5411" t="s">
        <v>12</v>
      </c>
    </row>
    <row r="5412" spans="1:14" x14ac:dyDescent="0.25">
      <c r="A5412">
        <v>20160324</v>
      </c>
      <c r="B5412" t="str">
        <f t="shared" si="386"/>
        <v>062887</v>
      </c>
      <c r="C5412" t="str">
        <f t="shared" si="387"/>
        <v>83022</v>
      </c>
      <c r="D5412" t="s">
        <v>394</v>
      </c>
      <c r="E5412" s="3">
        <v>205</v>
      </c>
      <c r="F5412">
        <v>20160323</v>
      </c>
      <c r="G5412" t="s">
        <v>2311</v>
      </c>
      <c r="H5412" t="s">
        <v>3304</v>
      </c>
      <c r="I5412">
        <v>0</v>
      </c>
      <c r="J5412" t="s">
        <v>1709</v>
      </c>
      <c r="K5412" t="s">
        <v>290</v>
      </c>
      <c r="L5412" t="s">
        <v>285</v>
      </c>
      <c r="M5412" t="str">
        <f t="shared" si="385"/>
        <v>03</v>
      </c>
      <c r="N5412" t="s">
        <v>12</v>
      </c>
    </row>
    <row r="5413" spans="1:14" x14ac:dyDescent="0.25">
      <c r="A5413">
        <v>20160324</v>
      </c>
      <c r="B5413" t="str">
        <f t="shared" si="386"/>
        <v>062887</v>
      </c>
      <c r="C5413" t="str">
        <f t="shared" si="387"/>
        <v>83022</v>
      </c>
      <c r="D5413" t="s">
        <v>394</v>
      </c>
      <c r="E5413" s="3">
        <v>-15</v>
      </c>
      <c r="F5413">
        <v>20160310</v>
      </c>
      <c r="G5413" t="s">
        <v>2311</v>
      </c>
      <c r="H5413" t="s">
        <v>4622</v>
      </c>
      <c r="I5413">
        <v>0</v>
      </c>
      <c r="J5413" t="s">
        <v>1709</v>
      </c>
      <c r="K5413" t="s">
        <v>290</v>
      </c>
      <c r="L5413" t="s">
        <v>1385</v>
      </c>
      <c r="M5413" t="str">
        <f t="shared" si="385"/>
        <v>03</v>
      </c>
      <c r="N5413" t="s">
        <v>12</v>
      </c>
    </row>
    <row r="5414" spans="1:14" x14ac:dyDescent="0.25">
      <c r="A5414">
        <v>20160324</v>
      </c>
      <c r="B5414" t="str">
        <f t="shared" si="386"/>
        <v>062887</v>
      </c>
      <c r="C5414" t="str">
        <f t="shared" si="387"/>
        <v>83022</v>
      </c>
      <c r="D5414" t="s">
        <v>394</v>
      </c>
      <c r="E5414" s="3">
        <v>17.89</v>
      </c>
      <c r="F5414">
        <v>20160323</v>
      </c>
      <c r="G5414" t="s">
        <v>1886</v>
      </c>
      <c r="H5414" t="s">
        <v>4623</v>
      </c>
      <c r="I5414">
        <v>0</v>
      </c>
      <c r="J5414" t="s">
        <v>1709</v>
      </c>
      <c r="K5414" t="s">
        <v>290</v>
      </c>
      <c r="L5414" t="s">
        <v>285</v>
      </c>
      <c r="M5414" t="str">
        <f t="shared" si="385"/>
        <v>03</v>
      </c>
      <c r="N5414" t="s">
        <v>12</v>
      </c>
    </row>
    <row r="5415" spans="1:14" x14ac:dyDescent="0.25">
      <c r="A5415">
        <v>20160324</v>
      </c>
      <c r="B5415" t="str">
        <f t="shared" si="386"/>
        <v>062887</v>
      </c>
      <c r="C5415" t="str">
        <f t="shared" si="387"/>
        <v>83022</v>
      </c>
      <c r="D5415" t="s">
        <v>394</v>
      </c>
      <c r="E5415" s="3">
        <v>-13.92</v>
      </c>
      <c r="F5415">
        <v>20160224</v>
      </c>
      <c r="G5415" t="s">
        <v>1886</v>
      </c>
      <c r="H5415" t="s">
        <v>4624</v>
      </c>
      <c r="I5415">
        <v>0</v>
      </c>
      <c r="J5415" t="s">
        <v>1709</v>
      </c>
      <c r="K5415" t="s">
        <v>290</v>
      </c>
      <c r="L5415" t="s">
        <v>1385</v>
      </c>
      <c r="M5415" t="str">
        <f t="shared" si="385"/>
        <v>03</v>
      </c>
      <c r="N5415" t="s">
        <v>12</v>
      </c>
    </row>
    <row r="5416" spans="1:14" x14ac:dyDescent="0.25">
      <c r="A5416">
        <v>20160324</v>
      </c>
      <c r="B5416" t="str">
        <f t="shared" si="386"/>
        <v>062887</v>
      </c>
      <c r="C5416" t="str">
        <f t="shared" si="387"/>
        <v>83022</v>
      </c>
      <c r="D5416" t="s">
        <v>394</v>
      </c>
      <c r="E5416" s="3">
        <v>26.62</v>
      </c>
      <c r="F5416">
        <v>20160323</v>
      </c>
      <c r="G5416" t="s">
        <v>2795</v>
      </c>
      <c r="H5416" t="s">
        <v>4615</v>
      </c>
      <c r="I5416">
        <v>0</v>
      </c>
      <c r="J5416" t="s">
        <v>1709</v>
      </c>
      <c r="K5416" t="s">
        <v>95</v>
      </c>
      <c r="L5416" t="s">
        <v>285</v>
      </c>
      <c r="M5416" t="str">
        <f t="shared" si="385"/>
        <v>03</v>
      </c>
      <c r="N5416" t="s">
        <v>12</v>
      </c>
    </row>
    <row r="5417" spans="1:14" x14ac:dyDescent="0.25">
      <c r="A5417">
        <v>20160324</v>
      </c>
      <c r="B5417" t="str">
        <f t="shared" si="386"/>
        <v>062887</v>
      </c>
      <c r="C5417" t="str">
        <f t="shared" si="387"/>
        <v>83022</v>
      </c>
      <c r="D5417" t="s">
        <v>394</v>
      </c>
      <c r="E5417" s="3">
        <v>120.09</v>
      </c>
      <c r="F5417">
        <v>20160323</v>
      </c>
      <c r="G5417" t="s">
        <v>2626</v>
      </c>
      <c r="H5417" t="s">
        <v>2173</v>
      </c>
      <c r="I5417">
        <v>0</v>
      </c>
      <c r="J5417" t="s">
        <v>1709</v>
      </c>
      <c r="K5417" t="s">
        <v>290</v>
      </c>
      <c r="L5417" t="s">
        <v>285</v>
      </c>
      <c r="M5417" t="str">
        <f t="shared" si="385"/>
        <v>03</v>
      </c>
      <c r="N5417" t="s">
        <v>12</v>
      </c>
    </row>
    <row r="5418" spans="1:14" x14ac:dyDescent="0.25">
      <c r="A5418">
        <v>20160324</v>
      </c>
      <c r="B5418" t="str">
        <f t="shared" si="386"/>
        <v>062887</v>
      </c>
      <c r="C5418" t="str">
        <f t="shared" si="387"/>
        <v>83022</v>
      </c>
      <c r="D5418" t="s">
        <v>394</v>
      </c>
      <c r="E5418" s="3">
        <v>56.7</v>
      </c>
      <c r="F5418">
        <v>20160323</v>
      </c>
      <c r="G5418" t="s">
        <v>2172</v>
      </c>
      <c r="H5418" t="s">
        <v>2173</v>
      </c>
      <c r="I5418">
        <v>0</v>
      </c>
      <c r="J5418" t="s">
        <v>1709</v>
      </c>
      <c r="K5418" t="s">
        <v>95</v>
      </c>
      <c r="L5418" t="s">
        <v>285</v>
      </c>
      <c r="M5418" t="str">
        <f t="shared" si="385"/>
        <v>03</v>
      </c>
      <c r="N5418" t="s">
        <v>12</v>
      </c>
    </row>
    <row r="5419" spans="1:14" x14ac:dyDescent="0.25">
      <c r="A5419">
        <v>20160324</v>
      </c>
      <c r="B5419" t="str">
        <f t="shared" si="386"/>
        <v>062887</v>
      </c>
      <c r="C5419" t="str">
        <f t="shared" si="387"/>
        <v>83022</v>
      </c>
      <c r="D5419" t="s">
        <v>394</v>
      </c>
      <c r="E5419" s="3">
        <v>104.65</v>
      </c>
      <c r="F5419">
        <v>20160323</v>
      </c>
      <c r="G5419" t="s">
        <v>4328</v>
      </c>
      <c r="H5419" t="s">
        <v>4625</v>
      </c>
      <c r="I5419">
        <v>0</v>
      </c>
      <c r="J5419" t="s">
        <v>1709</v>
      </c>
      <c r="K5419" t="s">
        <v>290</v>
      </c>
      <c r="L5419" t="s">
        <v>285</v>
      </c>
      <c r="M5419" t="str">
        <f t="shared" si="385"/>
        <v>03</v>
      </c>
      <c r="N5419" t="s">
        <v>12</v>
      </c>
    </row>
    <row r="5420" spans="1:14" x14ac:dyDescent="0.25">
      <c r="A5420">
        <v>20160324</v>
      </c>
      <c r="B5420" t="str">
        <f t="shared" si="386"/>
        <v>062887</v>
      </c>
      <c r="C5420" t="str">
        <f t="shared" si="387"/>
        <v>83022</v>
      </c>
      <c r="D5420" t="s">
        <v>394</v>
      </c>
      <c r="E5420" s="3">
        <v>9.7799999999999994</v>
      </c>
      <c r="F5420">
        <v>20160323</v>
      </c>
      <c r="G5420" t="s">
        <v>2767</v>
      </c>
      <c r="H5420" t="s">
        <v>4626</v>
      </c>
      <c r="I5420">
        <v>0</v>
      </c>
      <c r="J5420" t="s">
        <v>1709</v>
      </c>
      <c r="K5420" t="s">
        <v>95</v>
      </c>
      <c r="L5420" t="s">
        <v>285</v>
      </c>
      <c r="M5420" t="str">
        <f t="shared" si="385"/>
        <v>03</v>
      </c>
      <c r="N5420" t="s">
        <v>12</v>
      </c>
    </row>
    <row r="5421" spans="1:14" x14ac:dyDescent="0.25">
      <c r="A5421">
        <v>20160324</v>
      </c>
      <c r="B5421" t="str">
        <f t="shared" si="386"/>
        <v>062887</v>
      </c>
      <c r="C5421" t="str">
        <f t="shared" si="387"/>
        <v>83022</v>
      </c>
      <c r="D5421" t="s">
        <v>394</v>
      </c>
      <c r="E5421" s="3">
        <v>46.24</v>
      </c>
      <c r="F5421">
        <v>20160323</v>
      </c>
      <c r="G5421" t="s">
        <v>2339</v>
      </c>
      <c r="H5421" t="s">
        <v>4050</v>
      </c>
      <c r="I5421">
        <v>0</v>
      </c>
      <c r="J5421" t="s">
        <v>1709</v>
      </c>
      <c r="K5421" t="s">
        <v>290</v>
      </c>
      <c r="L5421" t="s">
        <v>285</v>
      </c>
      <c r="M5421" t="str">
        <f t="shared" si="385"/>
        <v>03</v>
      </c>
      <c r="N5421" t="s">
        <v>12</v>
      </c>
    </row>
    <row r="5422" spans="1:14" x14ac:dyDescent="0.25">
      <c r="A5422">
        <v>20160324</v>
      </c>
      <c r="B5422" t="str">
        <f>"062889"</f>
        <v>062889</v>
      </c>
      <c r="C5422" t="str">
        <f>"84607"</f>
        <v>84607</v>
      </c>
      <c r="D5422" t="s">
        <v>3160</v>
      </c>
      <c r="E5422" s="3">
        <v>145.55000000000001</v>
      </c>
      <c r="F5422">
        <v>20160323</v>
      </c>
      <c r="G5422" t="s">
        <v>2025</v>
      </c>
      <c r="H5422" t="s">
        <v>4627</v>
      </c>
      <c r="I5422">
        <v>0</v>
      </c>
      <c r="J5422" t="s">
        <v>1709</v>
      </c>
      <c r="K5422" t="s">
        <v>1984</v>
      </c>
      <c r="L5422" t="s">
        <v>285</v>
      </c>
      <c r="M5422" t="str">
        <f t="shared" si="385"/>
        <v>03</v>
      </c>
      <c r="N5422" t="s">
        <v>12</v>
      </c>
    </row>
    <row r="5423" spans="1:14" x14ac:dyDescent="0.25">
      <c r="A5423">
        <v>20160324</v>
      </c>
      <c r="B5423" t="str">
        <f>"062896"</f>
        <v>062896</v>
      </c>
      <c r="C5423" t="str">
        <f>"49959"</f>
        <v>49959</v>
      </c>
      <c r="D5423" t="s">
        <v>361</v>
      </c>
      <c r="E5423" s="3">
        <v>300</v>
      </c>
      <c r="F5423">
        <v>20160324</v>
      </c>
      <c r="G5423" t="s">
        <v>1788</v>
      </c>
      <c r="H5423" t="s">
        <v>4628</v>
      </c>
      <c r="I5423">
        <v>0</v>
      </c>
      <c r="J5423" t="s">
        <v>1709</v>
      </c>
      <c r="K5423" t="s">
        <v>1643</v>
      </c>
      <c r="L5423" t="s">
        <v>285</v>
      </c>
      <c r="M5423" t="str">
        <f t="shared" si="385"/>
        <v>03</v>
      </c>
      <c r="N5423" t="s">
        <v>12</v>
      </c>
    </row>
    <row r="5424" spans="1:14" x14ac:dyDescent="0.25">
      <c r="A5424">
        <v>20160331</v>
      </c>
      <c r="B5424" t="str">
        <f>"062901"</f>
        <v>062901</v>
      </c>
      <c r="C5424" t="str">
        <f>"03710"</f>
        <v>03710</v>
      </c>
      <c r="D5424" t="s">
        <v>1553</v>
      </c>
      <c r="E5424" s="3">
        <v>100.8</v>
      </c>
      <c r="F5424">
        <v>20160329</v>
      </c>
      <c r="G5424" t="s">
        <v>2303</v>
      </c>
      <c r="H5424" t="s">
        <v>595</v>
      </c>
      <c r="I5424">
        <v>0</v>
      </c>
      <c r="J5424" t="s">
        <v>1709</v>
      </c>
      <c r="K5424" t="s">
        <v>235</v>
      </c>
      <c r="L5424" t="s">
        <v>285</v>
      </c>
      <c r="M5424" t="str">
        <f t="shared" si="385"/>
        <v>03</v>
      </c>
      <c r="N5424" t="s">
        <v>12</v>
      </c>
    </row>
    <row r="5425" spans="1:14" x14ac:dyDescent="0.25">
      <c r="A5425">
        <v>20160331</v>
      </c>
      <c r="B5425" t="str">
        <f>"062903"</f>
        <v>062903</v>
      </c>
      <c r="C5425" t="str">
        <f>"00306"</f>
        <v>00306</v>
      </c>
      <c r="D5425" t="s">
        <v>2609</v>
      </c>
      <c r="E5425" s="3">
        <v>148.80000000000001</v>
      </c>
      <c r="F5425">
        <v>20160329</v>
      </c>
      <c r="G5425" t="s">
        <v>2610</v>
      </c>
      <c r="H5425" t="s">
        <v>4629</v>
      </c>
      <c r="I5425">
        <v>0</v>
      </c>
      <c r="J5425" t="s">
        <v>1709</v>
      </c>
      <c r="K5425" t="s">
        <v>1861</v>
      </c>
      <c r="L5425" t="s">
        <v>285</v>
      </c>
      <c r="M5425" t="str">
        <f t="shared" si="385"/>
        <v>03</v>
      </c>
      <c r="N5425" t="s">
        <v>12</v>
      </c>
    </row>
    <row r="5426" spans="1:14" x14ac:dyDescent="0.25">
      <c r="A5426">
        <v>20160331</v>
      </c>
      <c r="B5426" t="str">
        <f>"062903"</f>
        <v>062903</v>
      </c>
      <c r="C5426" t="str">
        <f>"00306"</f>
        <v>00306</v>
      </c>
      <c r="D5426" t="s">
        <v>2609</v>
      </c>
      <c r="E5426" s="3">
        <v>1611.4</v>
      </c>
      <c r="F5426">
        <v>20160329</v>
      </c>
      <c r="G5426" t="s">
        <v>2610</v>
      </c>
      <c r="H5426" t="s">
        <v>4630</v>
      </c>
      <c r="I5426">
        <v>0</v>
      </c>
      <c r="J5426" t="s">
        <v>1709</v>
      </c>
      <c r="K5426" t="s">
        <v>1861</v>
      </c>
      <c r="L5426" t="s">
        <v>285</v>
      </c>
      <c r="M5426" t="str">
        <f t="shared" si="385"/>
        <v>03</v>
      </c>
      <c r="N5426" t="s">
        <v>12</v>
      </c>
    </row>
    <row r="5427" spans="1:14" x14ac:dyDescent="0.25">
      <c r="A5427">
        <v>20160331</v>
      </c>
      <c r="B5427" t="str">
        <f>"062903"</f>
        <v>062903</v>
      </c>
      <c r="C5427" t="str">
        <f>"00306"</f>
        <v>00306</v>
      </c>
      <c r="D5427" t="s">
        <v>2609</v>
      </c>
      <c r="E5427" s="3">
        <v>21.16</v>
      </c>
      <c r="F5427">
        <v>20160329</v>
      </c>
      <c r="G5427" t="s">
        <v>2610</v>
      </c>
      <c r="H5427" t="s">
        <v>4631</v>
      </c>
      <c r="I5427">
        <v>0</v>
      </c>
      <c r="J5427" t="s">
        <v>1709</v>
      </c>
      <c r="K5427" t="s">
        <v>1861</v>
      </c>
      <c r="L5427" t="s">
        <v>285</v>
      </c>
      <c r="M5427" t="str">
        <f t="shared" si="385"/>
        <v>03</v>
      </c>
      <c r="N5427" t="s">
        <v>12</v>
      </c>
    </row>
    <row r="5428" spans="1:14" x14ac:dyDescent="0.25">
      <c r="A5428">
        <v>20160331</v>
      </c>
      <c r="B5428" t="str">
        <f>"062903"</f>
        <v>062903</v>
      </c>
      <c r="C5428" t="str">
        <f>"00306"</f>
        <v>00306</v>
      </c>
      <c r="D5428" t="s">
        <v>2609</v>
      </c>
      <c r="E5428" s="3">
        <v>1397.68</v>
      </c>
      <c r="F5428">
        <v>20160329</v>
      </c>
      <c r="G5428" t="s">
        <v>2610</v>
      </c>
      <c r="H5428" t="s">
        <v>4632</v>
      </c>
      <c r="I5428">
        <v>0</v>
      </c>
      <c r="J5428" t="s">
        <v>1709</v>
      </c>
      <c r="K5428" t="s">
        <v>1861</v>
      </c>
      <c r="L5428" t="s">
        <v>285</v>
      </c>
      <c r="M5428" t="str">
        <f t="shared" si="385"/>
        <v>03</v>
      </c>
      <c r="N5428" t="s">
        <v>12</v>
      </c>
    </row>
    <row r="5429" spans="1:14" x14ac:dyDescent="0.25">
      <c r="A5429">
        <v>20160331</v>
      </c>
      <c r="B5429" t="str">
        <f>"062903"</f>
        <v>062903</v>
      </c>
      <c r="C5429" t="str">
        <f>"00306"</f>
        <v>00306</v>
      </c>
      <c r="D5429" t="s">
        <v>2609</v>
      </c>
      <c r="E5429" s="3">
        <v>2335.2199999999998</v>
      </c>
      <c r="F5429">
        <v>20160329</v>
      </c>
      <c r="G5429" t="s">
        <v>2610</v>
      </c>
      <c r="H5429" t="s">
        <v>4633</v>
      </c>
      <c r="I5429">
        <v>0</v>
      </c>
      <c r="J5429" t="s">
        <v>1709</v>
      </c>
      <c r="K5429" t="s">
        <v>1861</v>
      </c>
      <c r="L5429" t="s">
        <v>285</v>
      </c>
      <c r="M5429" t="str">
        <f t="shared" si="385"/>
        <v>03</v>
      </c>
      <c r="N5429" t="s">
        <v>12</v>
      </c>
    </row>
    <row r="5430" spans="1:14" x14ac:dyDescent="0.25">
      <c r="A5430">
        <v>20160331</v>
      </c>
      <c r="B5430" t="str">
        <f>"062904"</f>
        <v>062904</v>
      </c>
      <c r="C5430" t="str">
        <f>"29779"</f>
        <v>29779</v>
      </c>
      <c r="D5430" t="s">
        <v>1806</v>
      </c>
      <c r="E5430" s="3">
        <v>1120</v>
      </c>
      <c r="F5430">
        <v>20160329</v>
      </c>
      <c r="G5430" t="s">
        <v>2192</v>
      </c>
      <c r="H5430" t="s">
        <v>4634</v>
      </c>
      <c r="I5430">
        <v>0</v>
      </c>
      <c r="J5430" t="s">
        <v>1709</v>
      </c>
      <c r="K5430" t="s">
        <v>2194</v>
      </c>
      <c r="L5430" t="s">
        <v>285</v>
      </c>
      <c r="M5430" t="str">
        <f t="shared" si="385"/>
        <v>03</v>
      </c>
      <c r="N5430" t="s">
        <v>12</v>
      </c>
    </row>
    <row r="5431" spans="1:14" x14ac:dyDescent="0.25">
      <c r="A5431">
        <v>20160331</v>
      </c>
      <c r="B5431" t="str">
        <f>"062904"</f>
        <v>062904</v>
      </c>
      <c r="C5431" t="str">
        <f>"29779"</f>
        <v>29779</v>
      </c>
      <c r="D5431" t="s">
        <v>1806</v>
      </c>
      <c r="E5431" s="3">
        <v>468.74</v>
      </c>
      <c r="F5431">
        <v>20160329</v>
      </c>
      <c r="G5431" t="s">
        <v>2192</v>
      </c>
      <c r="H5431" t="s">
        <v>2051</v>
      </c>
      <c r="I5431">
        <v>0</v>
      </c>
      <c r="J5431" t="s">
        <v>1709</v>
      </c>
      <c r="K5431" t="s">
        <v>2194</v>
      </c>
      <c r="L5431" t="s">
        <v>285</v>
      </c>
      <c r="M5431" t="str">
        <f t="shared" si="385"/>
        <v>03</v>
      </c>
      <c r="N5431" t="s">
        <v>12</v>
      </c>
    </row>
    <row r="5432" spans="1:14" x14ac:dyDescent="0.25">
      <c r="A5432">
        <v>20160331</v>
      </c>
      <c r="B5432" t="str">
        <f>"062906"</f>
        <v>062906</v>
      </c>
      <c r="C5432" t="str">
        <f>"07701"</f>
        <v>07701</v>
      </c>
      <c r="D5432" t="s">
        <v>2209</v>
      </c>
      <c r="E5432" s="3">
        <v>39</v>
      </c>
      <c r="F5432">
        <v>20160329</v>
      </c>
      <c r="G5432" t="s">
        <v>2214</v>
      </c>
      <c r="H5432" t="s">
        <v>4635</v>
      </c>
      <c r="I5432">
        <v>0</v>
      </c>
      <c r="J5432" t="s">
        <v>1709</v>
      </c>
      <c r="K5432" t="s">
        <v>33</v>
      </c>
      <c r="L5432" t="s">
        <v>285</v>
      </c>
      <c r="M5432" t="str">
        <f t="shared" si="385"/>
        <v>03</v>
      </c>
      <c r="N5432" t="s">
        <v>12</v>
      </c>
    </row>
    <row r="5433" spans="1:14" x14ac:dyDescent="0.25">
      <c r="A5433">
        <v>20160331</v>
      </c>
      <c r="B5433" t="str">
        <f>"062907"</f>
        <v>062907</v>
      </c>
      <c r="C5433" t="str">
        <f>"00390"</f>
        <v>00390</v>
      </c>
      <c r="D5433" t="s">
        <v>1717</v>
      </c>
      <c r="E5433" s="3">
        <v>6024.77</v>
      </c>
      <c r="F5433">
        <v>20160329</v>
      </c>
      <c r="G5433" t="s">
        <v>2217</v>
      </c>
      <c r="H5433" t="s">
        <v>4636</v>
      </c>
      <c r="I5433">
        <v>0</v>
      </c>
      <c r="J5433" t="s">
        <v>1709</v>
      </c>
      <c r="K5433" t="s">
        <v>1984</v>
      </c>
      <c r="L5433" t="s">
        <v>285</v>
      </c>
      <c r="M5433" t="str">
        <f t="shared" si="385"/>
        <v>03</v>
      </c>
      <c r="N5433" t="s">
        <v>12</v>
      </c>
    </row>
    <row r="5434" spans="1:14" x14ac:dyDescent="0.25">
      <c r="A5434">
        <v>20160331</v>
      </c>
      <c r="B5434" t="str">
        <f>"062908"</f>
        <v>062908</v>
      </c>
      <c r="C5434" t="str">
        <f>"00392"</f>
        <v>00392</v>
      </c>
      <c r="D5434" t="s">
        <v>1717</v>
      </c>
      <c r="E5434" s="3">
        <v>462.59</v>
      </c>
      <c r="F5434">
        <v>20160329</v>
      </c>
      <c r="G5434" t="s">
        <v>2219</v>
      </c>
      <c r="H5434" t="s">
        <v>4636</v>
      </c>
      <c r="I5434">
        <v>0</v>
      </c>
      <c r="J5434" t="s">
        <v>1709</v>
      </c>
      <c r="K5434" t="s">
        <v>1984</v>
      </c>
      <c r="L5434" t="s">
        <v>285</v>
      </c>
      <c r="M5434" t="str">
        <f t="shared" ref="M5434:M5497" si="388">"03"</f>
        <v>03</v>
      </c>
      <c r="N5434" t="s">
        <v>12</v>
      </c>
    </row>
    <row r="5435" spans="1:14" x14ac:dyDescent="0.25">
      <c r="A5435">
        <v>20160331</v>
      </c>
      <c r="B5435" t="str">
        <f>"062909"</f>
        <v>062909</v>
      </c>
      <c r="C5435" t="str">
        <f>"08132"</f>
        <v>08132</v>
      </c>
      <c r="D5435" t="s">
        <v>2436</v>
      </c>
      <c r="E5435" s="3">
        <v>31.92</v>
      </c>
      <c r="F5435">
        <v>20160329</v>
      </c>
      <c r="G5435" t="s">
        <v>2074</v>
      </c>
      <c r="H5435" t="s">
        <v>4637</v>
      </c>
      <c r="I5435">
        <v>0</v>
      </c>
      <c r="J5435" t="s">
        <v>1709</v>
      </c>
      <c r="K5435" t="s">
        <v>1861</v>
      </c>
      <c r="L5435" t="s">
        <v>285</v>
      </c>
      <c r="M5435" t="str">
        <f t="shared" si="388"/>
        <v>03</v>
      </c>
      <c r="N5435" t="s">
        <v>12</v>
      </c>
    </row>
    <row r="5436" spans="1:14" x14ac:dyDescent="0.25">
      <c r="A5436">
        <v>20160331</v>
      </c>
      <c r="B5436" t="str">
        <f>"062910"</f>
        <v>062910</v>
      </c>
      <c r="C5436" t="str">
        <f>"08213"</f>
        <v>08213</v>
      </c>
      <c r="D5436" t="s">
        <v>4638</v>
      </c>
      <c r="E5436" s="3">
        <v>100</v>
      </c>
      <c r="F5436">
        <v>20160329</v>
      </c>
      <c r="G5436" t="s">
        <v>4639</v>
      </c>
      <c r="H5436" t="s">
        <v>4640</v>
      </c>
      <c r="I5436">
        <v>0</v>
      </c>
      <c r="J5436" t="s">
        <v>1709</v>
      </c>
      <c r="K5436" t="s">
        <v>95</v>
      </c>
      <c r="L5436" t="s">
        <v>285</v>
      </c>
      <c r="M5436" t="str">
        <f t="shared" si="388"/>
        <v>03</v>
      </c>
      <c r="N5436" t="s">
        <v>12</v>
      </c>
    </row>
    <row r="5437" spans="1:14" x14ac:dyDescent="0.25">
      <c r="A5437">
        <v>20160331</v>
      </c>
      <c r="B5437" t="str">
        <f t="shared" ref="B5437:B5459" si="389">"062911"</f>
        <v>062911</v>
      </c>
      <c r="C5437" t="str">
        <f t="shared" ref="C5437:C5459" si="390">"09170"</f>
        <v>09170</v>
      </c>
      <c r="D5437" t="s">
        <v>596</v>
      </c>
      <c r="E5437" s="3">
        <v>81</v>
      </c>
      <c r="F5437">
        <v>20160329</v>
      </c>
      <c r="G5437" t="s">
        <v>4641</v>
      </c>
      <c r="H5437" t="s">
        <v>4642</v>
      </c>
      <c r="I5437">
        <v>0</v>
      </c>
      <c r="J5437" t="s">
        <v>1709</v>
      </c>
      <c r="K5437" t="s">
        <v>1643</v>
      </c>
      <c r="L5437" t="s">
        <v>285</v>
      </c>
      <c r="M5437" t="str">
        <f t="shared" si="388"/>
        <v>03</v>
      </c>
      <c r="N5437" t="s">
        <v>12</v>
      </c>
    </row>
    <row r="5438" spans="1:14" x14ac:dyDescent="0.25">
      <c r="A5438">
        <v>20160331</v>
      </c>
      <c r="B5438" t="str">
        <f t="shared" si="389"/>
        <v>062911</v>
      </c>
      <c r="C5438" t="str">
        <f t="shared" si="390"/>
        <v>09170</v>
      </c>
      <c r="D5438" t="s">
        <v>596</v>
      </c>
      <c r="E5438" s="3">
        <v>418.74</v>
      </c>
      <c r="F5438">
        <v>20160329</v>
      </c>
      <c r="G5438" t="s">
        <v>2731</v>
      </c>
      <c r="H5438" t="s">
        <v>4643</v>
      </c>
      <c r="I5438">
        <v>0</v>
      </c>
      <c r="J5438" t="s">
        <v>1709</v>
      </c>
      <c r="K5438" t="s">
        <v>290</v>
      </c>
      <c r="L5438" t="s">
        <v>285</v>
      </c>
      <c r="M5438" t="str">
        <f t="shared" si="388"/>
        <v>03</v>
      </c>
      <c r="N5438" t="s">
        <v>12</v>
      </c>
    </row>
    <row r="5439" spans="1:14" x14ac:dyDescent="0.25">
      <c r="A5439">
        <v>20160331</v>
      </c>
      <c r="B5439" t="str">
        <f t="shared" si="389"/>
        <v>062911</v>
      </c>
      <c r="C5439" t="str">
        <f t="shared" si="390"/>
        <v>09170</v>
      </c>
      <c r="D5439" t="s">
        <v>596</v>
      </c>
      <c r="E5439" s="3">
        <v>50.77</v>
      </c>
      <c r="F5439">
        <v>20160329</v>
      </c>
      <c r="G5439" t="s">
        <v>2228</v>
      </c>
      <c r="H5439" t="s">
        <v>4644</v>
      </c>
      <c r="I5439">
        <v>0</v>
      </c>
      <c r="J5439" t="s">
        <v>1709</v>
      </c>
      <c r="K5439" t="s">
        <v>290</v>
      </c>
      <c r="L5439" t="s">
        <v>285</v>
      </c>
      <c r="M5439" t="str">
        <f t="shared" si="388"/>
        <v>03</v>
      </c>
      <c r="N5439" t="s">
        <v>12</v>
      </c>
    </row>
    <row r="5440" spans="1:14" x14ac:dyDescent="0.25">
      <c r="A5440">
        <v>20160331</v>
      </c>
      <c r="B5440" t="str">
        <f t="shared" si="389"/>
        <v>062911</v>
      </c>
      <c r="C5440" t="str">
        <f t="shared" si="390"/>
        <v>09170</v>
      </c>
      <c r="D5440" t="s">
        <v>596</v>
      </c>
      <c r="E5440" s="3">
        <v>100.9</v>
      </c>
      <c r="F5440">
        <v>20160329</v>
      </c>
      <c r="G5440" t="s">
        <v>3427</v>
      </c>
      <c r="H5440" t="s">
        <v>4645</v>
      </c>
      <c r="I5440">
        <v>0</v>
      </c>
      <c r="J5440" t="s">
        <v>1709</v>
      </c>
      <c r="K5440" t="s">
        <v>33</v>
      </c>
      <c r="L5440" t="s">
        <v>285</v>
      </c>
      <c r="M5440" t="str">
        <f t="shared" si="388"/>
        <v>03</v>
      </c>
      <c r="N5440" t="s">
        <v>12</v>
      </c>
    </row>
    <row r="5441" spans="1:14" x14ac:dyDescent="0.25">
      <c r="A5441">
        <v>20160331</v>
      </c>
      <c r="B5441" t="str">
        <f t="shared" si="389"/>
        <v>062911</v>
      </c>
      <c r="C5441" t="str">
        <f t="shared" si="390"/>
        <v>09170</v>
      </c>
      <c r="D5441" t="s">
        <v>596</v>
      </c>
      <c r="E5441" s="3">
        <v>441.67</v>
      </c>
      <c r="F5441">
        <v>20160329</v>
      </c>
      <c r="G5441" t="s">
        <v>2317</v>
      </c>
      <c r="H5441" t="s">
        <v>4646</v>
      </c>
      <c r="I5441">
        <v>0</v>
      </c>
      <c r="J5441" t="s">
        <v>1709</v>
      </c>
      <c r="K5441" t="s">
        <v>290</v>
      </c>
      <c r="L5441" t="s">
        <v>285</v>
      </c>
      <c r="M5441" t="str">
        <f t="shared" si="388"/>
        <v>03</v>
      </c>
      <c r="N5441" t="s">
        <v>12</v>
      </c>
    </row>
    <row r="5442" spans="1:14" x14ac:dyDescent="0.25">
      <c r="A5442">
        <v>20160331</v>
      </c>
      <c r="B5442" t="str">
        <f t="shared" si="389"/>
        <v>062911</v>
      </c>
      <c r="C5442" t="str">
        <f t="shared" si="390"/>
        <v>09170</v>
      </c>
      <c r="D5442" t="s">
        <v>596</v>
      </c>
      <c r="E5442" s="3">
        <v>277.14</v>
      </c>
      <c r="F5442">
        <v>20160329</v>
      </c>
      <c r="G5442" t="s">
        <v>4007</v>
      </c>
      <c r="H5442" t="s">
        <v>4647</v>
      </c>
      <c r="I5442">
        <v>0</v>
      </c>
      <c r="J5442" t="s">
        <v>1709</v>
      </c>
      <c r="K5442" t="s">
        <v>290</v>
      </c>
      <c r="L5442" t="s">
        <v>285</v>
      </c>
      <c r="M5442" t="str">
        <f t="shared" si="388"/>
        <v>03</v>
      </c>
      <c r="N5442" t="s">
        <v>12</v>
      </c>
    </row>
    <row r="5443" spans="1:14" x14ac:dyDescent="0.25">
      <c r="A5443">
        <v>20160331</v>
      </c>
      <c r="B5443" t="str">
        <f t="shared" si="389"/>
        <v>062911</v>
      </c>
      <c r="C5443" t="str">
        <f t="shared" si="390"/>
        <v>09170</v>
      </c>
      <c r="D5443" t="s">
        <v>596</v>
      </c>
      <c r="E5443" s="3">
        <v>89.7</v>
      </c>
      <c r="F5443">
        <v>20160329</v>
      </c>
      <c r="G5443" t="s">
        <v>2789</v>
      </c>
      <c r="H5443" t="s">
        <v>4648</v>
      </c>
      <c r="I5443">
        <v>0</v>
      </c>
      <c r="J5443" t="s">
        <v>1709</v>
      </c>
      <c r="K5443" t="s">
        <v>290</v>
      </c>
      <c r="L5443" t="s">
        <v>285</v>
      </c>
      <c r="M5443" t="str">
        <f t="shared" si="388"/>
        <v>03</v>
      </c>
      <c r="N5443" t="s">
        <v>12</v>
      </c>
    </row>
    <row r="5444" spans="1:14" x14ac:dyDescent="0.25">
      <c r="A5444">
        <v>20160331</v>
      </c>
      <c r="B5444" t="str">
        <f t="shared" si="389"/>
        <v>062911</v>
      </c>
      <c r="C5444" t="str">
        <f t="shared" si="390"/>
        <v>09170</v>
      </c>
      <c r="D5444" t="s">
        <v>596</v>
      </c>
      <c r="E5444" s="3">
        <v>125.53</v>
      </c>
      <c r="F5444">
        <v>20160329</v>
      </c>
      <c r="G5444" t="s">
        <v>2789</v>
      </c>
      <c r="H5444" t="s">
        <v>4649</v>
      </c>
      <c r="I5444">
        <v>0</v>
      </c>
      <c r="J5444" t="s">
        <v>1709</v>
      </c>
      <c r="K5444" t="s">
        <v>290</v>
      </c>
      <c r="L5444" t="s">
        <v>285</v>
      </c>
      <c r="M5444" t="str">
        <f t="shared" si="388"/>
        <v>03</v>
      </c>
      <c r="N5444" t="s">
        <v>12</v>
      </c>
    </row>
    <row r="5445" spans="1:14" x14ac:dyDescent="0.25">
      <c r="A5445">
        <v>20160331</v>
      </c>
      <c r="B5445" t="str">
        <f t="shared" si="389"/>
        <v>062911</v>
      </c>
      <c r="C5445" t="str">
        <f t="shared" si="390"/>
        <v>09170</v>
      </c>
      <c r="D5445" t="s">
        <v>596</v>
      </c>
      <c r="E5445" s="3">
        <v>45</v>
      </c>
      <c r="F5445">
        <v>20160329</v>
      </c>
      <c r="G5445" t="s">
        <v>2983</v>
      </c>
      <c r="H5445" t="s">
        <v>722</v>
      </c>
      <c r="I5445">
        <v>0</v>
      </c>
      <c r="J5445" t="s">
        <v>1709</v>
      </c>
      <c r="K5445" t="s">
        <v>290</v>
      </c>
      <c r="L5445" t="s">
        <v>285</v>
      </c>
      <c r="M5445" t="str">
        <f t="shared" si="388"/>
        <v>03</v>
      </c>
      <c r="N5445" t="s">
        <v>12</v>
      </c>
    </row>
    <row r="5446" spans="1:14" x14ac:dyDescent="0.25">
      <c r="A5446">
        <v>20160331</v>
      </c>
      <c r="B5446" t="str">
        <f t="shared" si="389"/>
        <v>062911</v>
      </c>
      <c r="C5446" t="str">
        <f t="shared" si="390"/>
        <v>09170</v>
      </c>
      <c r="D5446" t="s">
        <v>596</v>
      </c>
      <c r="E5446" s="3">
        <v>15.19</v>
      </c>
      <c r="F5446">
        <v>20160329</v>
      </c>
      <c r="G5446" t="s">
        <v>2333</v>
      </c>
      <c r="H5446" t="s">
        <v>4650</v>
      </c>
      <c r="I5446">
        <v>0</v>
      </c>
      <c r="J5446" t="s">
        <v>1709</v>
      </c>
      <c r="K5446" t="s">
        <v>290</v>
      </c>
      <c r="L5446" t="s">
        <v>285</v>
      </c>
      <c r="M5446" t="str">
        <f t="shared" si="388"/>
        <v>03</v>
      </c>
      <c r="N5446" t="s">
        <v>12</v>
      </c>
    </row>
    <row r="5447" spans="1:14" x14ac:dyDescent="0.25">
      <c r="A5447">
        <v>20160331</v>
      </c>
      <c r="B5447" t="str">
        <f t="shared" si="389"/>
        <v>062911</v>
      </c>
      <c r="C5447" t="str">
        <f t="shared" si="390"/>
        <v>09170</v>
      </c>
      <c r="D5447" t="s">
        <v>596</v>
      </c>
      <c r="E5447" s="3">
        <v>245.46</v>
      </c>
      <c r="F5447">
        <v>20160329</v>
      </c>
      <c r="G5447" t="s">
        <v>2535</v>
      </c>
      <c r="H5447" t="s">
        <v>4373</v>
      </c>
      <c r="I5447">
        <v>0</v>
      </c>
      <c r="J5447" t="s">
        <v>1709</v>
      </c>
      <c r="K5447" t="s">
        <v>290</v>
      </c>
      <c r="L5447" t="s">
        <v>285</v>
      </c>
      <c r="M5447" t="str">
        <f t="shared" si="388"/>
        <v>03</v>
      </c>
      <c r="N5447" t="s">
        <v>12</v>
      </c>
    </row>
    <row r="5448" spans="1:14" x14ac:dyDescent="0.25">
      <c r="A5448">
        <v>20160331</v>
      </c>
      <c r="B5448" t="str">
        <f t="shared" si="389"/>
        <v>062911</v>
      </c>
      <c r="C5448" t="str">
        <f t="shared" si="390"/>
        <v>09170</v>
      </c>
      <c r="D5448" t="s">
        <v>596</v>
      </c>
      <c r="E5448" s="3">
        <v>30</v>
      </c>
      <c r="F5448">
        <v>20160329</v>
      </c>
      <c r="G5448" t="s">
        <v>1712</v>
      </c>
      <c r="H5448" t="s">
        <v>1713</v>
      </c>
      <c r="I5448">
        <v>0</v>
      </c>
      <c r="J5448" t="s">
        <v>1709</v>
      </c>
      <c r="K5448" t="s">
        <v>290</v>
      </c>
      <c r="L5448" t="s">
        <v>285</v>
      </c>
      <c r="M5448" t="str">
        <f t="shared" si="388"/>
        <v>03</v>
      </c>
      <c r="N5448" t="s">
        <v>12</v>
      </c>
    </row>
    <row r="5449" spans="1:14" x14ac:dyDescent="0.25">
      <c r="A5449">
        <v>20160331</v>
      </c>
      <c r="B5449" t="str">
        <f t="shared" si="389"/>
        <v>062911</v>
      </c>
      <c r="C5449" t="str">
        <f t="shared" si="390"/>
        <v>09170</v>
      </c>
      <c r="D5449" t="s">
        <v>596</v>
      </c>
      <c r="E5449" s="3">
        <v>2757.72</v>
      </c>
      <c r="F5449">
        <v>20160329</v>
      </c>
      <c r="G5449" t="s">
        <v>4651</v>
      </c>
      <c r="H5449" t="s">
        <v>4652</v>
      </c>
      <c r="I5449">
        <v>0</v>
      </c>
      <c r="J5449" t="s">
        <v>1709</v>
      </c>
      <c r="K5449" t="s">
        <v>290</v>
      </c>
      <c r="L5449" t="s">
        <v>285</v>
      </c>
      <c r="M5449" t="str">
        <f t="shared" si="388"/>
        <v>03</v>
      </c>
      <c r="N5449" t="s">
        <v>12</v>
      </c>
    </row>
    <row r="5450" spans="1:14" x14ac:dyDescent="0.25">
      <c r="A5450">
        <v>20160331</v>
      </c>
      <c r="B5450" t="str">
        <f t="shared" si="389"/>
        <v>062911</v>
      </c>
      <c r="C5450" t="str">
        <f t="shared" si="390"/>
        <v>09170</v>
      </c>
      <c r="D5450" t="s">
        <v>596</v>
      </c>
      <c r="E5450" s="3">
        <v>1227.3</v>
      </c>
      <c r="F5450">
        <v>20160329</v>
      </c>
      <c r="G5450" t="s">
        <v>4374</v>
      </c>
      <c r="H5450" t="s">
        <v>4373</v>
      </c>
      <c r="I5450">
        <v>0</v>
      </c>
      <c r="J5450" t="s">
        <v>1709</v>
      </c>
      <c r="K5450" t="s">
        <v>290</v>
      </c>
      <c r="L5450" t="s">
        <v>285</v>
      </c>
      <c r="M5450" t="str">
        <f t="shared" si="388"/>
        <v>03</v>
      </c>
      <c r="N5450" t="s">
        <v>12</v>
      </c>
    </row>
    <row r="5451" spans="1:14" x14ac:dyDescent="0.25">
      <c r="A5451">
        <v>20160331</v>
      </c>
      <c r="B5451" t="str">
        <f t="shared" si="389"/>
        <v>062911</v>
      </c>
      <c r="C5451" t="str">
        <f t="shared" si="390"/>
        <v>09170</v>
      </c>
      <c r="D5451" t="s">
        <v>596</v>
      </c>
      <c r="E5451" s="3">
        <v>25</v>
      </c>
      <c r="F5451">
        <v>20160329</v>
      </c>
      <c r="G5451" t="s">
        <v>4653</v>
      </c>
      <c r="H5451" t="s">
        <v>4654</v>
      </c>
      <c r="I5451">
        <v>0</v>
      </c>
      <c r="J5451" t="s">
        <v>1709</v>
      </c>
      <c r="K5451" t="s">
        <v>2764</v>
      </c>
      <c r="L5451" t="s">
        <v>285</v>
      </c>
      <c r="M5451" t="str">
        <f t="shared" si="388"/>
        <v>03</v>
      </c>
      <c r="N5451" t="s">
        <v>12</v>
      </c>
    </row>
    <row r="5452" spans="1:14" x14ac:dyDescent="0.25">
      <c r="A5452">
        <v>20160331</v>
      </c>
      <c r="B5452" t="str">
        <f t="shared" si="389"/>
        <v>062911</v>
      </c>
      <c r="C5452" t="str">
        <f t="shared" si="390"/>
        <v>09170</v>
      </c>
      <c r="D5452" t="s">
        <v>596</v>
      </c>
      <c r="E5452" s="3">
        <v>56.44</v>
      </c>
      <c r="F5452">
        <v>20160329</v>
      </c>
      <c r="G5452" t="s">
        <v>2339</v>
      </c>
      <c r="H5452" t="s">
        <v>4655</v>
      </c>
      <c r="I5452">
        <v>0</v>
      </c>
      <c r="J5452" t="s">
        <v>1709</v>
      </c>
      <c r="K5452" t="s">
        <v>290</v>
      </c>
      <c r="L5452" t="s">
        <v>285</v>
      </c>
      <c r="M5452" t="str">
        <f t="shared" si="388"/>
        <v>03</v>
      </c>
      <c r="N5452" t="s">
        <v>12</v>
      </c>
    </row>
    <row r="5453" spans="1:14" x14ac:dyDescent="0.25">
      <c r="A5453">
        <v>20160331</v>
      </c>
      <c r="B5453" t="str">
        <f t="shared" si="389"/>
        <v>062911</v>
      </c>
      <c r="C5453" t="str">
        <f t="shared" si="390"/>
        <v>09170</v>
      </c>
      <c r="D5453" t="s">
        <v>596</v>
      </c>
      <c r="E5453" s="3">
        <v>99.98</v>
      </c>
      <c r="F5453">
        <v>20160329</v>
      </c>
      <c r="G5453" t="s">
        <v>2339</v>
      </c>
      <c r="H5453" t="s">
        <v>4656</v>
      </c>
      <c r="I5453">
        <v>0</v>
      </c>
      <c r="J5453" t="s">
        <v>1709</v>
      </c>
      <c r="K5453" t="s">
        <v>290</v>
      </c>
      <c r="L5453" t="s">
        <v>285</v>
      </c>
      <c r="M5453" t="str">
        <f t="shared" si="388"/>
        <v>03</v>
      </c>
      <c r="N5453" t="s">
        <v>12</v>
      </c>
    </row>
    <row r="5454" spans="1:14" x14ac:dyDescent="0.25">
      <c r="A5454">
        <v>20160331</v>
      </c>
      <c r="B5454" t="str">
        <f t="shared" si="389"/>
        <v>062911</v>
      </c>
      <c r="C5454" t="str">
        <f t="shared" si="390"/>
        <v>09170</v>
      </c>
      <c r="D5454" t="s">
        <v>596</v>
      </c>
      <c r="E5454" s="3">
        <v>-21.48</v>
      </c>
      <c r="F5454">
        <v>20160216</v>
      </c>
      <c r="G5454" t="s">
        <v>2339</v>
      </c>
      <c r="H5454" t="s">
        <v>4657</v>
      </c>
      <c r="I5454">
        <v>0</v>
      </c>
      <c r="J5454" t="s">
        <v>1709</v>
      </c>
      <c r="K5454" t="s">
        <v>290</v>
      </c>
      <c r="L5454" t="s">
        <v>1385</v>
      </c>
      <c r="M5454" t="str">
        <f t="shared" si="388"/>
        <v>03</v>
      </c>
      <c r="N5454" t="s">
        <v>12</v>
      </c>
    </row>
    <row r="5455" spans="1:14" x14ac:dyDescent="0.25">
      <c r="A5455">
        <v>20160331</v>
      </c>
      <c r="B5455" t="str">
        <f t="shared" si="389"/>
        <v>062911</v>
      </c>
      <c r="C5455" t="str">
        <f t="shared" si="390"/>
        <v>09170</v>
      </c>
      <c r="D5455" t="s">
        <v>596</v>
      </c>
      <c r="E5455" s="3">
        <v>1181.8800000000001</v>
      </c>
      <c r="F5455">
        <v>20160329</v>
      </c>
      <c r="G5455" t="s">
        <v>4121</v>
      </c>
      <c r="H5455" t="s">
        <v>4652</v>
      </c>
      <c r="I5455">
        <v>0</v>
      </c>
      <c r="J5455" t="s">
        <v>1709</v>
      </c>
      <c r="K5455" t="s">
        <v>290</v>
      </c>
      <c r="L5455" t="s">
        <v>285</v>
      </c>
      <c r="M5455" t="str">
        <f t="shared" si="388"/>
        <v>03</v>
      </c>
      <c r="N5455" t="s">
        <v>12</v>
      </c>
    </row>
    <row r="5456" spans="1:14" x14ac:dyDescent="0.25">
      <c r="A5456">
        <v>20160331</v>
      </c>
      <c r="B5456" t="str">
        <f t="shared" si="389"/>
        <v>062911</v>
      </c>
      <c r="C5456" t="str">
        <f t="shared" si="390"/>
        <v>09170</v>
      </c>
      <c r="D5456" t="s">
        <v>596</v>
      </c>
      <c r="E5456" s="3">
        <v>45</v>
      </c>
      <c r="F5456">
        <v>20160329</v>
      </c>
      <c r="G5456" t="s">
        <v>4658</v>
      </c>
      <c r="H5456" t="s">
        <v>4659</v>
      </c>
      <c r="I5456">
        <v>0</v>
      </c>
      <c r="J5456" t="s">
        <v>1709</v>
      </c>
      <c r="K5456" t="s">
        <v>1882</v>
      </c>
      <c r="L5456" t="s">
        <v>285</v>
      </c>
      <c r="M5456" t="str">
        <f t="shared" si="388"/>
        <v>03</v>
      </c>
      <c r="N5456" t="s">
        <v>12</v>
      </c>
    </row>
    <row r="5457" spans="1:14" x14ac:dyDescent="0.25">
      <c r="A5457">
        <v>20160331</v>
      </c>
      <c r="B5457" t="str">
        <f t="shared" si="389"/>
        <v>062911</v>
      </c>
      <c r="C5457" t="str">
        <f t="shared" si="390"/>
        <v>09170</v>
      </c>
      <c r="D5457" t="s">
        <v>596</v>
      </c>
      <c r="E5457" s="3">
        <v>113.3</v>
      </c>
      <c r="F5457">
        <v>20160329</v>
      </c>
      <c r="G5457" t="s">
        <v>3668</v>
      </c>
      <c r="H5457" t="s">
        <v>4660</v>
      </c>
      <c r="I5457">
        <v>0</v>
      </c>
      <c r="J5457" t="s">
        <v>1709</v>
      </c>
      <c r="K5457" t="s">
        <v>2820</v>
      </c>
      <c r="L5457" t="s">
        <v>285</v>
      </c>
      <c r="M5457" t="str">
        <f t="shared" si="388"/>
        <v>03</v>
      </c>
      <c r="N5457" t="s">
        <v>12</v>
      </c>
    </row>
    <row r="5458" spans="1:14" x14ac:dyDescent="0.25">
      <c r="A5458">
        <v>20160331</v>
      </c>
      <c r="B5458" t="str">
        <f t="shared" si="389"/>
        <v>062911</v>
      </c>
      <c r="C5458" t="str">
        <f t="shared" si="390"/>
        <v>09170</v>
      </c>
      <c r="D5458" t="s">
        <v>596</v>
      </c>
      <c r="E5458" s="3">
        <v>187</v>
      </c>
      <c r="F5458">
        <v>20160329</v>
      </c>
      <c r="G5458" t="s">
        <v>1859</v>
      </c>
      <c r="H5458" t="s">
        <v>4661</v>
      </c>
      <c r="I5458">
        <v>0</v>
      </c>
      <c r="J5458" t="s">
        <v>1709</v>
      </c>
      <c r="K5458" t="s">
        <v>1861</v>
      </c>
      <c r="L5458" t="s">
        <v>285</v>
      </c>
      <c r="M5458" t="str">
        <f t="shared" si="388"/>
        <v>03</v>
      </c>
      <c r="N5458" t="s">
        <v>12</v>
      </c>
    </row>
    <row r="5459" spans="1:14" x14ac:dyDescent="0.25">
      <c r="A5459">
        <v>20160331</v>
      </c>
      <c r="B5459" t="str">
        <f t="shared" si="389"/>
        <v>062911</v>
      </c>
      <c r="C5459" t="str">
        <f t="shared" si="390"/>
        <v>09170</v>
      </c>
      <c r="D5459" t="s">
        <v>596</v>
      </c>
      <c r="E5459" s="3">
        <v>550</v>
      </c>
      <c r="F5459">
        <v>20160329</v>
      </c>
      <c r="G5459" t="s">
        <v>1859</v>
      </c>
      <c r="H5459" t="s">
        <v>4662</v>
      </c>
      <c r="I5459">
        <v>0</v>
      </c>
      <c r="J5459" t="s">
        <v>1709</v>
      </c>
      <c r="K5459" t="s">
        <v>1861</v>
      </c>
      <c r="L5459" t="s">
        <v>285</v>
      </c>
      <c r="M5459" t="str">
        <f t="shared" si="388"/>
        <v>03</v>
      </c>
      <c r="N5459" t="s">
        <v>12</v>
      </c>
    </row>
    <row r="5460" spans="1:14" x14ac:dyDescent="0.25">
      <c r="A5460">
        <v>20160331</v>
      </c>
      <c r="B5460" t="str">
        <f>"062915"</f>
        <v>062915</v>
      </c>
      <c r="C5460" t="str">
        <f>"10040"</f>
        <v>10040</v>
      </c>
      <c r="D5460" t="s">
        <v>2082</v>
      </c>
      <c r="E5460" s="3">
        <v>12.5</v>
      </c>
      <c r="F5460">
        <v>20160329</v>
      </c>
      <c r="G5460" t="s">
        <v>2083</v>
      </c>
      <c r="H5460" t="s">
        <v>4663</v>
      </c>
      <c r="I5460">
        <v>0</v>
      </c>
      <c r="J5460" t="s">
        <v>1709</v>
      </c>
      <c r="K5460" t="s">
        <v>290</v>
      </c>
      <c r="L5460" t="s">
        <v>285</v>
      </c>
      <c r="M5460" t="str">
        <f t="shared" si="388"/>
        <v>03</v>
      </c>
      <c r="N5460" t="s">
        <v>12</v>
      </c>
    </row>
    <row r="5461" spans="1:14" x14ac:dyDescent="0.25">
      <c r="A5461">
        <v>20160331</v>
      </c>
      <c r="B5461" t="str">
        <f>"062915"</f>
        <v>062915</v>
      </c>
      <c r="C5461" t="str">
        <f>"10040"</f>
        <v>10040</v>
      </c>
      <c r="D5461" t="s">
        <v>2082</v>
      </c>
      <c r="E5461" s="3">
        <v>12.5</v>
      </c>
      <c r="F5461">
        <v>20160329</v>
      </c>
      <c r="G5461" t="s">
        <v>2086</v>
      </c>
      <c r="H5461" t="s">
        <v>4663</v>
      </c>
      <c r="I5461">
        <v>0</v>
      </c>
      <c r="J5461" t="s">
        <v>1709</v>
      </c>
      <c r="K5461" t="s">
        <v>95</v>
      </c>
      <c r="L5461" t="s">
        <v>285</v>
      </c>
      <c r="M5461" t="str">
        <f t="shared" si="388"/>
        <v>03</v>
      </c>
      <c r="N5461" t="s">
        <v>12</v>
      </c>
    </row>
    <row r="5462" spans="1:14" x14ac:dyDescent="0.25">
      <c r="A5462">
        <v>20160331</v>
      </c>
      <c r="B5462" t="str">
        <f>"062915"</f>
        <v>062915</v>
      </c>
      <c r="C5462" t="str">
        <f>"10040"</f>
        <v>10040</v>
      </c>
      <c r="D5462" t="s">
        <v>2082</v>
      </c>
      <c r="E5462" s="3">
        <v>12.5</v>
      </c>
      <c r="F5462">
        <v>20160329</v>
      </c>
      <c r="G5462" t="s">
        <v>2087</v>
      </c>
      <c r="H5462" t="s">
        <v>4663</v>
      </c>
      <c r="I5462">
        <v>0</v>
      </c>
      <c r="J5462" t="s">
        <v>1709</v>
      </c>
      <c r="K5462" t="s">
        <v>1643</v>
      </c>
      <c r="L5462" t="s">
        <v>285</v>
      </c>
      <c r="M5462" t="str">
        <f t="shared" si="388"/>
        <v>03</v>
      </c>
      <c r="N5462" t="s">
        <v>12</v>
      </c>
    </row>
    <row r="5463" spans="1:14" x14ac:dyDescent="0.25">
      <c r="A5463">
        <v>20160331</v>
      </c>
      <c r="B5463" t="str">
        <f>"062915"</f>
        <v>062915</v>
      </c>
      <c r="C5463" t="str">
        <f>"10040"</f>
        <v>10040</v>
      </c>
      <c r="D5463" t="s">
        <v>2082</v>
      </c>
      <c r="E5463" s="3">
        <v>12.5</v>
      </c>
      <c r="F5463">
        <v>20160329</v>
      </c>
      <c r="G5463" t="s">
        <v>2088</v>
      </c>
      <c r="H5463" t="s">
        <v>4663</v>
      </c>
      <c r="I5463">
        <v>0</v>
      </c>
      <c r="J5463" t="s">
        <v>1709</v>
      </c>
      <c r="K5463" t="s">
        <v>33</v>
      </c>
      <c r="L5463" t="s">
        <v>285</v>
      </c>
      <c r="M5463" t="str">
        <f t="shared" si="388"/>
        <v>03</v>
      </c>
      <c r="N5463" t="s">
        <v>12</v>
      </c>
    </row>
    <row r="5464" spans="1:14" x14ac:dyDescent="0.25">
      <c r="A5464">
        <v>20160331</v>
      </c>
      <c r="B5464" t="str">
        <f>"062921"</f>
        <v>062921</v>
      </c>
      <c r="C5464" t="str">
        <f>"14132"</f>
        <v>14132</v>
      </c>
      <c r="D5464" t="s">
        <v>4119</v>
      </c>
      <c r="E5464" s="3">
        <v>849</v>
      </c>
      <c r="F5464">
        <v>20160329</v>
      </c>
      <c r="G5464" t="s">
        <v>4664</v>
      </c>
      <c r="H5464" t="s">
        <v>4652</v>
      </c>
      <c r="I5464">
        <v>0</v>
      </c>
      <c r="J5464" t="s">
        <v>1709</v>
      </c>
      <c r="K5464" t="s">
        <v>290</v>
      </c>
      <c r="L5464" t="s">
        <v>285</v>
      </c>
      <c r="M5464" t="str">
        <f t="shared" si="388"/>
        <v>03</v>
      </c>
      <c r="N5464" t="s">
        <v>12</v>
      </c>
    </row>
    <row r="5465" spans="1:14" x14ac:dyDescent="0.25">
      <c r="A5465">
        <v>20160331</v>
      </c>
      <c r="B5465" t="str">
        <f>"062921"</f>
        <v>062921</v>
      </c>
      <c r="C5465" t="str">
        <f>"14132"</f>
        <v>14132</v>
      </c>
      <c r="D5465" t="s">
        <v>4119</v>
      </c>
      <c r="E5465" s="3">
        <v>283</v>
      </c>
      <c r="F5465">
        <v>20160329</v>
      </c>
      <c r="G5465" t="s">
        <v>3528</v>
      </c>
      <c r="H5465" t="s">
        <v>4652</v>
      </c>
      <c r="I5465">
        <v>0</v>
      </c>
      <c r="J5465" t="s">
        <v>1709</v>
      </c>
      <c r="K5465" t="s">
        <v>290</v>
      </c>
      <c r="L5465" t="s">
        <v>285</v>
      </c>
      <c r="M5465" t="str">
        <f t="shared" si="388"/>
        <v>03</v>
      </c>
      <c r="N5465" t="s">
        <v>12</v>
      </c>
    </row>
    <row r="5466" spans="1:14" x14ac:dyDescent="0.25">
      <c r="A5466">
        <v>20160331</v>
      </c>
      <c r="B5466" t="str">
        <f>"062921"</f>
        <v>062921</v>
      </c>
      <c r="C5466" t="str">
        <f>"14132"</f>
        <v>14132</v>
      </c>
      <c r="D5466" t="s">
        <v>4119</v>
      </c>
      <c r="E5466" s="3">
        <v>57.72</v>
      </c>
      <c r="F5466">
        <v>20160329</v>
      </c>
      <c r="G5466" t="s">
        <v>3528</v>
      </c>
      <c r="H5466" t="s">
        <v>4652</v>
      </c>
      <c r="I5466">
        <v>0</v>
      </c>
      <c r="J5466" t="s">
        <v>1709</v>
      </c>
      <c r="K5466" t="s">
        <v>290</v>
      </c>
      <c r="L5466" t="s">
        <v>285</v>
      </c>
      <c r="M5466" t="str">
        <f t="shared" si="388"/>
        <v>03</v>
      </c>
      <c r="N5466" t="s">
        <v>12</v>
      </c>
    </row>
    <row r="5467" spans="1:14" x14ac:dyDescent="0.25">
      <c r="A5467">
        <v>20160331</v>
      </c>
      <c r="B5467" t="str">
        <f>"062921"</f>
        <v>062921</v>
      </c>
      <c r="C5467" t="str">
        <f>"14132"</f>
        <v>14132</v>
      </c>
      <c r="D5467" t="s">
        <v>4119</v>
      </c>
      <c r="E5467" s="3">
        <v>1415</v>
      </c>
      <c r="F5467">
        <v>20160329</v>
      </c>
      <c r="G5467" t="s">
        <v>4651</v>
      </c>
      <c r="H5467" t="s">
        <v>4652</v>
      </c>
      <c r="I5467">
        <v>0</v>
      </c>
      <c r="J5467" t="s">
        <v>1709</v>
      </c>
      <c r="K5467" t="s">
        <v>290</v>
      </c>
      <c r="L5467" t="s">
        <v>285</v>
      </c>
      <c r="M5467" t="str">
        <f t="shared" si="388"/>
        <v>03</v>
      </c>
      <c r="N5467" t="s">
        <v>12</v>
      </c>
    </row>
    <row r="5468" spans="1:14" x14ac:dyDescent="0.25">
      <c r="A5468">
        <v>20160331</v>
      </c>
      <c r="B5468" t="str">
        <f>"062921"</f>
        <v>062921</v>
      </c>
      <c r="C5468" t="str">
        <f>"14132"</f>
        <v>14132</v>
      </c>
      <c r="D5468" t="s">
        <v>4119</v>
      </c>
      <c r="E5468" s="3">
        <v>225.28</v>
      </c>
      <c r="F5468">
        <v>20160329</v>
      </c>
      <c r="G5468" t="s">
        <v>4651</v>
      </c>
      <c r="H5468" t="s">
        <v>4652</v>
      </c>
      <c r="I5468">
        <v>0</v>
      </c>
      <c r="J5468" t="s">
        <v>1709</v>
      </c>
      <c r="K5468" t="s">
        <v>290</v>
      </c>
      <c r="L5468" t="s">
        <v>285</v>
      </c>
      <c r="M5468" t="str">
        <f t="shared" si="388"/>
        <v>03</v>
      </c>
      <c r="N5468" t="s">
        <v>12</v>
      </c>
    </row>
    <row r="5469" spans="1:14" x14ac:dyDescent="0.25">
      <c r="A5469">
        <v>20160331</v>
      </c>
      <c r="B5469" t="str">
        <f>"062924"</f>
        <v>062924</v>
      </c>
      <c r="C5469" t="str">
        <f>"20416"</f>
        <v>20416</v>
      </c>
      <c r="D5469" t="s">
        <v>1727</v>
      </c>
      <c r="E5469" s="3">
        <v>30</v>
      </c>
      <c r="F5469">
        <v>20160329</v>
      </c>
      <c r="G5469" t="s">
        <v>4531</v>
      </c>
      <c r="H5469" t="s">
        <v>4665</v>
      </c>
      <c r="I5469">
        <v>0</v>
      </c>
      <c r="J5469" t="s">
        <v>1709</v>
      </c>
      <c r="K5469" t="s">
        <v>290</v>
      </c>
      <c r="L5469" t="s">
        <v>285</v>
      </c>
      <c r="M5469" t="str">
        <f t="shared" si="388"/>
        <v>03</v>
      </c>
      <c r="N5469" t="s">
        <v>12</v>
      </c>
    </row>
    <row r="5470" spans="1:14" x14ac:dyDescent="0.25">
      <c r="A5470">
        <v>20160331</v>
      </c>
      <c r="B5470" t="str">
        <f>"062924"</f>
        <v>062924</v>
      </c>
      <c r="C5470" t="str">
        <f>"20416"</f>
        <v>20416</v>
      </c>
      <c r="D5470" t="s">
        <v>1727</v>
      </c>
      <c r="E5470" s="3">
        <v>510</v>
      </c>
      <c r="F5470">
        <v>20160329</v>
      </c>
      <c r="G5470" t="s">
        <v>1728</v>
      </c>
      <c r="H5470" t="s">
        <v>4665</v>
      </c>
      <c r="I5470">
        <v>0</v>
      </c>
      <c r="J5470" t="s">
        <v>1709</v>
      </c>
      <c r="K5470" t="s">
        <v>290</v>
      </c>
      <c r="L5470" t="s">
        <v>285</v>
      </c>
      <c r="M5470" t="str">
        <f t="shared" si="388"/>
        <v>03</v>
      </c>
      <c r="N5470" t="s">
        <v>12</v>
      </c>
    </row>
    <row r="5471" spans="1:14" x14ac:dyDescent="0.25">
      <c r="A5471">
        <v>20160331</v>
      </c>
      <c r="B5471" t="str">
        <f>"062926"</f>
        <v>062926</v>
      </c>
      <c r="C5471" t="str">
        <f>"21049"</f>
        <v>21049</v>
      </c>
      <c r="D5471" t="s">
        <v>2094</v>
      </c>
      <c r="E5471" s="3">
        <v>120</v>
      </c>
      <c r="F5471">
        <v>20160329</v>
      </c>
      <c r="G5471" t="s">
        <v>1712</v>
      </c>
      <c r="H5471" t="s">
        <v>4503</v>
      </c>
      <c r="I5471">
        <v>0</v>
      </c>
      <c r="J5471" t="s">
        <v>1709</v>
      </c>
      <c r="K5471" t="s">
        <v>290</v>
      </c>
      <c r="L5471" t="s">
        <v>285</v>
      </c>
      <c r="M5471" t="str">
        <f t="shared" si="388"/>
        <v>03</v>
      </c>
      <c r="N5471" t="s">
        <v>12</v>
      </c>
    </row>
    <row r="5472" spans="1:14" x14ac:dyDescent="0.25">
      <c r="A5472">
        <v>20160331</v>
      </c>
      <c r="B5472" t="str">
        <f>"062926"</f>
        <v>062926</v>
      </c>
      <c r="C5472" t="str">
        <f>"21049"</f>
        <v>21049</v>
      </c>
      <c r="D5472" t="s">
        <v>2094</v>
      </c>
      <c r="E5472" s="3">
        <v>680</v>
      </c>
      <c r="F5472">
        <v>20160329</v>
      </c>
      <c r="G5472" t="s">
        <v>1712</v>
      </c>
      <c r="H5472" t="s">
        <v>4591</v>
      </c>
      <c r="I5472">
        <v>0</v>
      </c>
      <c r="J5472" t="s">
        <v>1709</v>
      </c>
      <c r="K5472" t="s">
        <v>290</v>
      </c>
      <c r="L5472" t="s">
        <v>285</v>
      </c>
      <c r="M5472" t="str">
        <f t="shared" si="388"/>
        <v>03</v>
      </c>
      <c r="N5472" t="s">
        <v>12</v>
      </c>
    </row>
    <row r="5473" spans="1:14" x14ac:dyDescent="0.25">
      <c r="A5473">
        <v>20160331</v>
      </c>
      <c r="B5473" t="str">
        <f>"062928"</f>
        <v>062928</v>
      </c>
      <c r="C5473" t="str">
        <f>"21145"</f>
        <v>21145</v>
      </c>
      <c r="D5473" t="s">
        <v>3777</v>
      </c>
      <c r="E5473" s="3">
        <v>25</v>
      </c>
      <c r="F5473">
        <v>20160329</v>
      </c>
      <c r="G5473" t="s">
        <v>4666</v>
      </c>
      <c r="H5473" t="s">
        <v>4129</v>
      </c>
      <c r="I5473">
        <v>0</v>
      </c>
      <c r="J5473" t="s">
        <v>1709</v>
      </c>
      <c r="K5473" t="s">
        <v>290</v>
      </c>
      <c r="L5473" t="s">
        <v>285</v>
      </c>
      <c r="M5473" t="str">
        <f t="shared" si="388"/>
        <v>03</v>
      </c>
      <c r="N5473" t="s">
        <v>12</v>
      </c>
    </row>
    <row r="5474" spans="1:14" x14ac:dyDescent="0.25">
      <c r="A5474">
        <v>20160331</v>
      </c>
      <c r="B5474" t="str">
        <f>"062931"</f>
        <v>062931</v>
      </c>
      <c r="C5474" t="str">
        <f>"25021"</f>
        <v>25021</v>
      </c>
      <c r="D5474" t="s">
        <v>4667</v>
      </c>
      <c r="E5474" s="3">
        <v>175</v>
      </c>
      <c r="F5474">
        <v>20160329</v>
      </c>
      <c r="G5474" t="s">
        <v>4639</v>
      </c>
      <c r="H5474" t="s">
        <v>4668</v>
      </c>
      <c r="I5474">
        <v>0</v>
      </c>
      <c r="J5474" t="s">
        <v>1709</v>
      </c>
      <c r="K5474" t="s">
        <v>95</v>
      </c>
      <c r="L5474" t="s">
        <v>285</v>
      </c>
      <c r="M5474" t="str">
        <f t="shared" si="388"/>
        <v>03</v>
      </c>
      <c r="N5474" t="s">
        <v>12</v>
      </c>
    </row>
    <row r="5475" spans="1:14" x14ac:dyDescent="0.25">
      <c r="A5475">
        <v>20160331</v>
      </c>
      <c r="B5475" t="str">
        <f>"062935"</f>
        <v>062935</v>
      </c>
      <c r="C5475" t="str">
        <f>"26395"</f>
        <v>26395</v>
      </c>
      <c r="D5475" t="s">
        <v>4239</v>
      </c>
      <c r="E5475" s="3">
        <v>42.82</v>
      </c>
      <c r="F5475">
        <v>20160329</v>
      </c>
      <c r="G5475" t="s">
        <v>4595</v>
      </c>
      <c r="H5475" t="s">
        <v>4120</v>
      </c>
      <c r="I5475">
        <v>0</v>
      </c>
      <c r="J5475" t="s">
        <v>1709</v>
      </c>
      <c r="K5475" t="s">
        <v>290</v>
      </c>
      <c r="L5475" t="s">
        <v>285</v>
      </c>
      <c r="M5475" t="str">
        <f t="shared" si="388"/>
        <v>03</v>
      </c>
      <c r="N5475" t="s">
        <v>12</v>
      </c>
    </row>
    <row r="5476" spans="1:14" x14ac:dyDescent="0.25">
      <c r="A5476">
        <v>20160331</v>
      </c>
      <c r="B5476" t="str">
        <f>"062936"</f>
        <v>062936</v>
      </c>
      <c r="C5476" t="str">
        <f>"29500"</f>
        <v>29500</v>
      </c>
      <c r="D5476" t="s">
        <v>1698</v>
      </c>
      <c r="E5476" s="3">
        <v>138</v>
      </c>
      <c r="F5476">
        <v>20160329</v>
      </c>
      <c r="G5476" t="s">
        <v>1859</v>
      </c>
      <c r="H5476" t="s">
        <v>4669</v>
      </c>
      <c r="I5476">
        <v>0</v>
      </c>
      <c r="J5476" t="s">
        <v>1709</v>
      </c>
      <c r="K5476" t="s">
        <v>1861</v>
      </c>
      <c r="L5476" t="s">
        <v>285</v>
      </c>
      <c r="M5476" t="str">
        <f t="shared" si="388"/>
        <v>03</v>
      </c>
      <c r="N5476" t="s">
        <v>12</v>
      </c>
    </row>
    <row r="5477" spans="1:14" x14ac:dyDescent="0.25">
      <c r="A5477">
        <v>20160331</v>
      </c>
      <c r="B5477" t="str">
        <f>"062936"</f>
        <v>062936</v>
      </c>
      <c r="C5477" t="str">
        <f>"29500"</f>
        <v>29500</v>
      </c>
      <c r="D5477" t="s">
        <v>1698</v>
      </c>
      <c r="E5477" s="3">
        <v>122.52</v>
      </c>
      <c r="F5477">
        <v>20160329</v>
      </c>
      <c r="G5477" t="s">
        <v>1859</v>
      </c>
      <c r="H5477" t="s">
        <v>4670</v>
      </c>
      <c r="I5477">
        <v>0</v>
      </c>
      <c r="J5477" t="s">
        <v>1709</v>
      </c>
      <c r="K5477" t="s">
        <v>1861</v>
      </c>
      <c r="L5477" t="s">
        <v>285</v>
      </c>
      <c r="M5477" t="str">
        <f t="shared" si="388"/>
        <v>03</v>
      </c>
      <c r="N5477" t="s">
        <v>12</v>
      </c>
    </row>
    <row r="5478" spans="1:14" x14ac:dyDescent="0.25">
      <c r="A5478">
        <v>20160331</v>
      </c>
      <c r="B5478" t="str">
        <f>"062936"</f>
        <v>062936</v>
      </c>
      <c r="C5478" t="str">
        <f>"29500"</f>
        <v>29500</v>
      </c>
      <c r="D5478" t="s">
        <v>1698</v>
      </c>
      <c r="E5478" s="3">
        <v>32</v>
      </c>
      <c r="F5478">
        <v>20160329</v>
      </c>
      <c r="G5478" t="s">
        <v>1859</v>
      </c>
      <c r="H5478" t="s">
        <v>4671</v>
      </c>
      <c r="I5478">
        <v>0</v>
      </c>
      <c r="J5478" t="s">
        <v>1709</v>
      </c>
      <c r="K5478" t="s">
        <v>1861</v>
      </c>
      <c r="L5478" t="s">
        <v>285</v>
      </c>
      <c r="M5478" t="str">
        <f t="shared" si="388"/>
        <v>03</v>
      </c>
      <c r="N5478" t="s">
        <v>12</v>
      </c>
    </row>
    <row r="5479" spans="1:14" x14ac:dyDescent="0.25">
      <c r="A5479">
        <v>20160331</v>
      </c>
      <c r="B5479" t="str">
        <f>"062937"</f>
        <v>062937</v>
      </c>
      <c r="C5479" t="str">
        <f>"30132"</f>
        <v>30132</v>
      </c>
      <c r="D5479" t="s">
        <v>2878</v>
      </c>
      <c r="E5479" s="3">
        <v>165.7</v>
      </c>
      <c r="F5479">
        <v>20160329</v>
      </c>
      <c r="G5479" t="s">
        <v>2789</v>
      </c>
      <c r="H5479" t="s">
        <v>4649</v>
      </c>
      <c r="I5479">
        <v>0</v>
      </c>
      <c r="J5479" t="s">
        <v>1709</v>
      </c>
      <c r="K5479" t="s">
        <v>290</v>
      </c>
      <c r="L5479" t="s">
        <v>285</v>
      </c>
      <c r="M5479" t="str">
        <f t="shared" si="388"/>
        <v>03</v>
      </c>
      <c r="N5479" t="s">
        <v>12</v>
      </c>
    </row>
    <row r="5480" spans="1:14" x14ac:dyDescent="0.25">
      <c r="A5480">
        <v>20160331</v>
      </c>
      <c r="B5480" t="str">
        <f>"062941"</f>
        <v>062941</v>
      </c>
      <c r="C5480" t="str">
        <f>"35430"</f>
        <v>35430</v>
      </c>
      <c r="D5480" t="s">
        <v>2302</v>
      </c>
      <c r="E5480" s="3">
        <v>172.56</v>
      </c>
      <c r="F5480">
        <v>20160329</v>
      </c>
      <c r="G5480" t="s">
        <v>2303</v>
      </c>
      <c r="H5480" t="s">
        <v>4672</v>
      </c>
      <c r="I5480">
        <v>0</v>
      </c>
      <c r="J5480" t="s">
        <v>1709</v>
      </c>
      <c r="K5480" t="s">
        <v>235</v>
      </c>
      <c r="L5480" t="s">
        <v>285</v>
      </c>
      <c r="M5480" t="str">
        <f t="shared" si="388"/>
        <v>03</v>
      </c>
      <c r="N5480" t="s">
        <v>12</v>
      </c>
    </row>
    <row r="5481" spans="1:14" x14ac:dyDescent="0.25">
      <c r="A5481">
        <v>20160331</v>
      </c>
      <c r="B5481" t="str">
        <f>"062941"</f>
        <v>062941</v>
      </c>
      <c r="C5481" t="str">
        <f>"35430"</f>
        <v>35430</v>
      </c>
      <c r="D5481" t="s">
        <v>2302</v>
      </c>
      <c r="E5481" s="3">
        <v>291.95999999999998</v>
      </c>
      <c r="F5481">
        <v>20160329</v>
      </c>
      <c r="G5481" t="s">
        <v>2303</v>
      </c>
      <c r="H5481" t="s">
        <v>3090</v>
      </c>
      <c r="I5481">
        <v>0</v>
      </c>
      <c r="J5481" t="s">
        <v>1709</v>
      </c>
      <c r="K5481" t="s">
        <v>235</v>
      </c>
      <c r="L5481" t="s">
        <v>285</v>
      </c>
      <c r="M5481" t="str">
        <f t="shared" si="388"/>
        <v>03</v>
      </c>
      <c r="N5481" t="s">
        <v>12</v>
      </c>
    </row>
    <row r="5482" spans="1:14" x14ac:dyDescent="0.25">
      <c r="A5482">
        <v>20160331</v>
      </c>
      <c r="B5482" t="str">
        <f>"062941"</f>
        <v>062941</v>
      </c>
      <c r="C5482" t="str">
        <f>"35430"</f>
        <v>35430</v>
      </c>
      <c r="D5482" t="s">
        <v>2302</v>
      </c>
      <c r="E5482" s="3">
        <v>111</v>
      </c>
      <c r="F5482">
        <v>20160329</v>
      </c>
      <c r="G5482" t="s">
        <v>2303</v>
      </c>
      <c r="H5482" t="s">
        <v>4673</v>
      </c>
      <c r="I5482">
        <v>0</v>
      </c>
      <c r="J5482" t="s">
        <v>1709</v>
      </c>
      <c r="K5482" t="s">
        <v>235</v>
      </c>
      <c r="L5482" t="s">
        <v>285</v>
      </c>
      <c r="M5482" t="str">
        <f t="shared" si="388"/>
        <v>03</v>
      </c>
      <c r="N5482" t="s">
        <v>12</v>
      </c>
    </row>
    <row r="5483" spans="1:14" x14ac:dyDescent="0.25">
      <c r="A5483">
        <v>20160331</v>
      </c>
      <c r="B5483" t="str">
        <f>"062942"</f>
        <v>062942</v>
      </c>
      <c r="C5483" t="str">
        <f>"45665"</f>
        <v>45665</v>
      </c>
      <c r="D5483" t="s">
        <v>2887</v>
      </c>
      <c r="E5483" s="3">
        <v>120</v>
      </c>
      <c r="F5483">
        <v>20160329</v>
      </c>
      <c r="G5483" t="s">
        <v>2888</v>
      </c>
      <c r="H5483" t="s">
        <v>4503</v>
      </c>
      <c r="I5483">
        <v>0</v>
      </c>
      <c r="J5483" t="s">
        <v>1709</v>
      </c>
      <c r="K5483" t="s">
        <v>290</v>
      </c>
      <c r="L5483" t="s">
        <v>285</v>
      </c>
      <c r="M5483" t="str">
        <f t="shared" si="388"/>
        <v>03</v>
      </c>
      <c r="N5483" t="s">
        <v>12</v>
      </c>
    </row>
    <row r="5484" spans="1:14" x14ac:dyDescent="0.25">
      <c r="A5484">
        <v>20160331</v>
      </c>
      <c r="B5484" t="str">
        <f>"062944"</f>
        <v>062944</v>
      </c>
      <c r="C5484" t="str">
        <f>"40565"</f>
        <v>40565</v>
      </c>
      <c r="D5484" t="s">
        <v>3537</v>
      </c>
      <c r="E5484" s="3">
        <v>45</v>
      </c>
      <c r="F5484">
        <v>20160329</v>
      </c>
      <c r="G5484" t="s">
        <v>4066</v>
      </c>
      <c r="H5484" t="s">
        <v>4572</v>
      </c>
      <c r="I5484">
        <v>0</v>
      </c>
      <c r="J5484" t="s">
        <v>1709</v>
      </c>
      <c r="K5484" t="s">
        <v>290</v>
      </c>
      <c r="L5484" t="s">
        <v>285</v>
      </c>
      <c r="M5484" t="str">
        <f t="shared" si="388"/>
        <v>03</v>
      </c>
      <c r="N5484" t="s">
        <v>12</v>
      </c>
    </row>
    <row r="5485" spans="1:14" x14ac:dyDescent="0.25">
      <c r="A5485">
        <v>20160331</v>
      </c>
      <c r="B5485" t="str">
        <f>"062945"</f>
        <v>062945</v>
      </c>
      <c r="C5485" t="str">
        <f>"45093"</f>
        <v>45093</v>
      </c>
      <c r="D5485" t="s">
        <v>538</v>
      </c>
      <c r="E5485" s="3">
        <v>171.75</v>
      </c>
      <c r="F5485">
        <v>20160330</v>
      </c>
      <c r="G5485" t="s">
        <v>2762</v>
      </c>
      <c r="H5485" t="s">
        <v>4674</v>
      </c>
      <c r="I5485">
        <v>0</v>
      </c>
      <c r="J5485" t="s">
        <v>1709</v>
      </c>
      <c r="K5485" t="s">
        <v>2764</v>
      </c>
      <c r="L5485" t="s">
        <v>285</v>
      </c>
      <c r="M5485" t="str">
        <f t="shared" si="388"/>
        <v>03</v>
      </c>
      <c r="N5485" t="s">
        <v>12</v>
      </c>
    </row>
    <row r="5486" spans="1:14" x14ac:dyDescent="0.25">
      <c r="A5486">
        <v>20160331</v>
      </c>
      <c r="B5486" t="str">
        <f>"062945"</f>
        <v>062945</v>
      </c>
      <c r="C5486" t="str">
        <f>"45093"</f>
        <v>45093</v>
      </c>
      <c r="D5486" t="s">
        <v>538</v>
      </c>
      <c r="E5486" s="3">
        <v>347.44</v>
      </c>
      <c r="F5486">
        <v>20160330</v>
      </c>
      <c r="G5486" t="s">
        <v>3846</v>
      </c>
      <c r="H5486" t="s">
        <v>4675</v>
      </c>
      <c r="I5486">
        <v>0</v>
      </c>
      <c r="J5486" t="s">
        <v>1709</v>
      </c>
      <c r="K5486" t="s">
        <v>290</v>
      </c>
      <c r="L5486" t="s">
        <v>285</v>
      </c>
      <c r="M5486" t="str">
        <f t="shared" si="388"/>
        <v>03</v>
      </c>
      <c r="N5486" t="s">
        <v>12</v>
      </c>
    </row>
    <row r="5487" spans="1:14" x14ac:dyDescent="0.25">
      <c r="A5487">
        <v>20160331</v>
      </c>
      <c r="B5487" t="str">
        <f>"062945"</f>
        <v>062945</v>
      </c>
      <c r="C5487" t="str">
        <f>"45093"</f>
        <v>45093</v>
      </c>
      <c r="D5487" t="s">
        <v>538</v>
      </c>
      <c r="E5487" s="3">
        <v>303.08</v>
      </c>
      <c r="F5487">
        <v>20160330</v>
      </c>
      <c r="G5487" t="s">
        <v>2693</v>
      </c>
      <c r="H5487" t="s">
        <v>4507</v>
      </c>
      <c r="I5487">
        <v>0</v>
      </c>
      <c r="J5487" t="s">
        <v>1709</v>
      </c>
      <c r="K5487" t="s">
        <v>290</v>
      </c>
      <c r="L5487" t="s">
        <v>285</v>
      </c>
      <c r="M5487" t="str">
        <f t="shared" si="388"/>
        <v>03</v>
      </c>
      <c r="N5487" t="s">
        <v>12</v>
      </c>
    </row>
    <row r="5488" spans="1:14" x14ac:dyDescent="0.25">
      <c r="A5488">
        <v>20160331</v>
      </c>
      <c r="B5488" t="str">
        <f>"062949"</f>
        <v>062949</v>
      </c>
      <c r="C5488" t="str">
        <f>"49959"</f>
        <v>49959</v>
      </c>
      <c r="D5488" t="s">
        <v>361</v>
      </c>
      <c r="E5488" s="3">
        <v>180</v>
      </c>
      <c r="F5488">
        <v>20160330</v>
      </c>
      <c r="G5488" t="s">
        <v>1788</v>
      </c>
      <c r="H5488" t="s">
        <v>4676</v>
      </c>
      <c r="I5488">
        <v>0</v>
      </c>
      <c r="J5488" t="s">
        <v>1709</v>
      </c>
      <c r="K5488" t="s">
        <v>1643</v>
      </c>
      <c r="L5488" t="s">
        <v>285</v>
      </c>
      <c r="M5488" t="str">
        <f t="shared" si="388"/>
        <v>03</v>
      </c>
      <c r="N5488" t="s">
        <v>12</v>
      </c>
    </row>
    <row r="5489" spans="1:14" x14ac:dyDescent="0.25">
      <c r="A5489">
        <v>20160331</v>
      </c>
      <c r="B5489" t="str">
        <f>"062950"</f>
        <v>062950</v>
      </c>
      <c r="C5489" t="str">
        <f>"50453"</f>
        <v>50453</v>
      </c>
      <c r="D5489" t="s">
        <v>1577</v>
      </c>
      <c r="E5489" s="3">
        <v>52</v>
      </c>
      <c r="F5489">
        <v>20160330</v>
      </c>
      <c r="G5489" t="s">
        <v>3551</v>
      </c>
      <c r="H5489" t="s">
        <v>4677</v>
      </c>
      <c r="I5489">
        <v>0</v>
      </c>
      <c r="J5489" t="s">
        <v>1709</v>
      </c>
      <c r="K5489" t="s">
        <v>1558</v>
      </c>
      <c r="L5489" t="s">
        <v>285</v>
      </c>
      <c r="M5489" t="str">
        <f t="shared" si="388"/>
        <v>03</v>
      </c>
      <c r="N5489" t="s">
        <v>12</v>
      </c>
    </row>
    <row r="5490" spans="1:14" x14ac:dyDescent="0.25">
      <c r="A5490">
        <v>20160331</v>
      </c>
      <c r="B5490" t="str">
        <f>"062952"</f>
        <v>062952</v>
      </c>
      <c r="C5490" t="str">
        <f>"56013"</f>
        <v>56013</v>
      </c>
      <c r="D5490" t="s">
        <v>2355</v>
      </c>
      <c r="E5490" s="3">
        <v>320</v>
      </c>
      <c r="F5490">
        <v>20160330</v>
      </c>
      <c r="G5490" t="s">
        <v>2356</v>
      </c>
      <c r="H5490" t="s">
        <v>4678</v>
      </c>
      <c r="I5490">
        <v>0</v>
      </c>
      <c r="J5490" t="s">
        <v>1709</v>
      </c>
      <c r="K5490" t="s">
        <v>1861</v>
      </c>
      <c r="L5490" t="s">
        <v>285</v>
      </c>
      <c r="M5490" t="str">
        <f t="shared" si="388"/>
        <v>03</v>
      </c>
      <c r="N5490" t="s">
        <v>12</v>
      </c>
    </row>
    <row r="5491" spans="1:14" x14ac:dyDescent="0.25">
      <c r="A5491">
        <v>20160331</v>
      </c>
      <c r="B5491" t="str">
        <f>"062954"</f>
        <v>062954</v>
      </c>
      <c r="C5491" t="str">
        <f>"57969"</f>
        <v>57969</v>
      </c>
      <c r="D5491" t="s">
        <v>4679</v>
      </c>
      <c r="E5491" s="3">
        <v>646.54</v>
      </c>
      <c r="F5491">
        <v>20160330</v>
      </c>
      <c r="G5491" t="s">
        <v>1859</v>
      </c>
      <c r="H5491" t="s">
        <v>2295</v>
      </c>
      <c r="I5491">
        <v>0</v>
      </c>
      <c r="J5491" t="s">
        <v>1709</v>
      </c>
      <c r="K5491" t="s">
        <v>1861</v>
      </c>
      <c r="L5491" t="s">
        <v>285</v>
      </c>
      <c r="M5491" t="str">
        <f t="shared" si="388"/>
        <v>03</v>
      </c>
      <c r="N5491" t="s">
        <v>12</v>
      </c>
    </row>
    <row r="5492" spans="1:14" x14ac:dyDescent="0.25">
      <c r="A5492">
        <v>20160331</v>
      </c>
      <c r="B5492" t="str">
        <f>"062955"</f>
        <v>062955</v>
      </c>
      <c r="C5492" t="str">
        <f>"58173"</f>
        <v>58173</v>
      </c>
      <c r="D5492" t="s">
        <v>2544</v>
      </c>
      <c r="E5492" s="3">
        <v>450</v>
      </c>
      <c r="F5492">
        <v>20160330</v>
      </c>
      <c r="G5492" t="s">
        <v>2545</v>
      </c>
      <c r="H5492" t="s">
        <v>3336</v>
      </c>
      <c r="I5492">
        <v>0</v>
      </c>
      <c r="J5492" t="s">
        <v>1709</v>
      </c>
      <c r="K5492" t="s">
        <v>1861</v>
      </c>
      <c r="L5492" t="s">
        <v>285</v>
      </c>
      <c r="M5492" t="str">
        <f t="shared" si="388"/>
        <v>03</v>
      </c>
      <c r="N5492" t="s">
        <v>12</v>
      </c>
    </row>
    <row r="5493" spans="1:14" x14ac:dyDescent="0.25">
      <c r="A5493">
        <v>20160331</v>
      </c>
      <c r="B5493" t="str">
        <f>"062955"</f>
        <v>062955</v>
      </c>
      <c r="C5493" t="str">
        <f>"58173"</f>
        <v>58173</v>
      </c>
      <c r="D5493" t="s">
        <v>2544</v>
      </c>
      <c r="E5493" s="3">
        <v>2474.5</v>
      </c>
      <c r="F5493">
        <v>20160330</v>
      </c>
      <c r="G5493" t="s">
        <v>2545</v>
      </c>
      <c r="H5493" t="s">
        <v>3676</v>
      </c>
      <c r="I5493">
        <v>0</v>
      </c>
      <c r="J5493" t="s">
        <v>1709</v>
      </c>
      <c r="K5493" t="s">
        <v>1861</v>
      </c>
      <c r="L5493" t="s">
        <v>285</v>
      </c>
      <c r="M5493" t="str">
        <f t="shared" si="388"/>
        <v>03</v>
      </c>
      <c r="N5493" t="s">
        <v>12</v>
      </c>
    </row>
    <row r="5494" spans="1:14" x14ac:dyDescent="0.25">
      <c r="A5494">
        <v>20160331</v>
      </c>
      <c r="B5494" t="str">
        <f>"062957"</f>
        <v>062957</v>
      </c>
      <c r="C5494" t="str">
        <f>"58204"</f>
        <v>58204</v>
      </c>
      <c r="D5494" t="s">
        <v>1816</v>
      </c>
      <c r="E5494" s="3">
        <v>37.11</v>
      </c>
      <c r="F5494">
        <v>20160330</v>
      </c>
      <c r="G5494" t="s">
        <v>2317</v>
      </c>
      <c r="H5494" t="s">
        <v>2128</v>
      </c>
      <c r="I5494">
        <v>0</v>
      </c>
      <c r="J5494" t="s">
        <v>1709</v>
      </c>
      <c r="K5494" t="s">
        <v>290</v>
      </c>
      <c r="L5494" t="s">
        <v>285</v>
      </c>
      <c r="M5494" t="str">
        <f t="shared" si="388"/>
        <v>03</v>
      </c>
      <c r="N5494" t="s">
        <v>12</v>
      </c>
    </row>
    <row r="5495" spans="1:14" x14ac:dyDescent="0.25">
      <c r="A5495">
        <v>20160331</v>
      </c>
      <c r="B5495" t="str">
        <f>"062958"</f>
        <v>062958</v>
      </c>
      <c r="C5495" t="str">
        <f>"58210"</f>
        <v>58210</v>
      </c>
      <c r="D5495" t="s">
        <v>2546</v>
      </c>
      <c r="E5495" s="3">
        <v>15</v>
      </c>
      <c r="F5495">
        <v>20160330</v>
      </c>
      <c r="G5495" t="s">
        <v>2980</v>
      </c>
      <c r="H5495" t="s">
        <v>4680</v>
      </c>
      <c r="I5495">
        <v>0</v>
      </c>
      <c r="J5495" t="s">
        <v>1709</v>
      </c>
      <c r="K5495" t="s">
        <v>95</v>
      </c>
      <c r="L5495" t="s">
        <v>285</v>
      </c>
      <c r="M5495" t="str">
        <f t="shared" si="388"/>
        <v>03</v>
      </c>
      <c r="N5495" t="s">
        <v>12</v>
      </c>
    </row>
    <row r="5496" spans="1:14" x14ac:dyDescent="0.25">
      <c r="A5496">
        <v>20160331</v>
      </c>
      <c r="B5496" t="str">
        <f>"062959"</f>
        <v>062959</v>
      </c>
      <c r="C5496" t="str">
        <f>"58927"</f>
        <v>58927</v>
      </c>
      <c r="D5496" t="s">
        <v>1899</v>
      </c>
      <c r="E5496" s="3">
        <v>45</v>
      </c>
      <c r="F5496">
        <v>20160330</v>
      </c>
      <c r="G5496" t="s">
        <v>2699</v>
      </c>
      <c r="H5496" t="s">
        <v>4681</v>
      </c>
      <c r="I5496">
        <v>0</v>
      </c>
      <c r="J5496" t="s">
        <v>1709</v>
      </c>
      <c r="K5496" t="s">
        <v>1856</v>
      </c>
      <c r="L5496" t="s">
        <v>285</v>
      </c>
      <c r="M5496" t="str">
        <f t="shared" si="388"/>
        <v>03</v>
      </c>
      <c r="N5496" t="s">
        <v>12</v>
      </c>
    </row>
    <row r="5497" spans="1:14" x14ac:dyDescent="0.25">
      <c r="A5497">
        <v>20160331</v>
      </c>
      <c r="B5497" t="str">
        <f>"062959"</f>
        <v>062959</v>
      </c>
      <c r="C5497" t="str">
        <f>"58927"</f>
        <v>58927</v>
      </c>
      <c r="D5497" t="s">
        <v>1899</v>
      </c>
      <c r="E5497" s="3">
        <v>55</v>
      </c>
      <c r="F5497">
        <v>20160330</v>
      </c>
      <c r="G5497" t="s">
        <v>2699</v>
      </c>
      <c r="H5497" t="s">
        <v>1900</v>
      </c>
      <c r="I5497">
        <v>0</v>
      </c>
      <c r="J5497" t="s">
        <v>1709</v>
      </c>
      <c r="K5497" t="s">
        <v>1856</v>
      </c>
      <c r="L5497" t="s">
        <v>285</v>
      </c>
      <c r="M5497" t="str">
        <f t="shared" si="388"/>
        <v>03</v>
      </c>
      <c r="N5497" t="s">
        <v>12</v>
      </c>
    </row>
    <row r="5498" spans="1:14" x14ac:dyDescent="0.25">
      <c r="A5498">
        <v>20160331</v>
      </c>
      <c r="B5498" t="str">
        <f>"062959"</f>
        <v>062959</v>
      </c>
      <c r="C5498" t="str">
        <f>"58927"</f>
        <v>58927</v>
      </c>
      <c r="D5498" t="s">
        <v>1899</v>
      </c>
      <c r="E5498" s="3">
        <v>150</v>
      </c>
      <c r="F5498">
        <v>20160330</v>
      </c>
      <c r="G5498" t="s">
        <v>2699</v>
      </c>
      <c r="H5498" t="s">
        <v>1901</v>
      </c>
      <c r="I5498">
        <v>0</v>
      </c>
      <c r="J5498" t="s">
        <v>1709</v>
      </c>
      <c r="K5498" t="s">
        <v>1856</v>
      </c>
      <c r="L5498" t="s">
        <v>285</v>
      </c>
      <c r="M5498" t="str">
        <f t="shared" ref="M5498:M5509" si="391">"03"</f>
        <v>03</v>
      </c>
      <c r="N5498" t="s">
        <v>12</v>
      </c>
    </row>
    <row r="5499" spans="1:14" x14ac:dyDescent="0.25">
      <c r="A5499">
        <v>20160331</v>
      </c>
      <c r="B5499" t="str">
        <f>"062960"</f>
        <v>062960</v>
      </c>
      <c r="C5499" t="str">
        <f>"60835"</f>
        <v>60835</v>
      </c>
      <c r="D5499" t="s">
        <v>1904</v>
      </c>
      <c r="E5499" s="3">
        <v>90</v>
      </c>
      <c r="F5499">
        <v>20160330</v>
      </c>
      <c r="G5499" t="s">
        <v>4682</v>
      </c>
      <c r="H5499" t="s">
        <v>4683</v>
      </c>
      <c r="I5499">
        <v>0</v>
      </c>
      <c r="J5499" t="s">
        <v>1709</v>
      </c>
      <c r="K5499" t="s">
        <v>290</v>
      </c>
      <c r="L5499" t="s">
        <v>285</v>
      </c>
      <c r="M5499" t="str">
        <f t="shared" si="391"/>
        <v>03</v>
      </c>
      <c r="N5499" t="s">
        <v>12</v>
      </c>
    </row>
    <row r="5500" spans="1:14" x14ac:dyDescent="0.25">
      <c r="A5500">
        <v>20160331</v>
      </c>
      <c r="B5500" t="str">
        <f>"062960"</f>
        <v>062960</v>
      </c>
      <c r="C5500" t="str">
        <f>"60835"</f>
        <v>60835</v>
      </c>
      <c r="D5500" t="s">
        <v>1904</v>
      </c>
      <c r="E5500" s="3">
        <v>70</v>
      </c>
      <c r="F5500">
        <v>20160330</v>
      </c>
      <c r="G5500" t="s">
        <v>4682</v>
      </c>
      <c r="H5500" t="s">
        <v>4684</v>
      </c>
      <c r="I5500">
        <v>0</v>
      </c>
      <c r="J5500" t="s">
        <v>1709</v>
      </c>
      <c r="K5500" t="s">
        <v>290</v>
      </c>
      <c r="L5500" t="s">
        <v>285</v>
      </c>
      <c r="M5500" t="str">
        <f t="shared" si="391"/>
        <v>03</v>
      </c>
      <c r="N5500" t="s">
        <v>12</v>
      </c>
    </row>
    <row r="5501" spans="1:14" x14ac:dyDescent="0.25">
      <c r="A5501">
        <v>20160331</v>
      </c>
      <c r="B5501" t="str">
        <f>"062960"</f>
        <v>062960</v>
      </c>
      <c r="C5501" t="str">
        <f>"60835"</f>
        <v>60835</v>
      </c>
      <c r="D5501" t="s">
        <v>1904</v>
      </c>
      <c r="E5501" s="3">
        <v>1490</v>
      </c>
      <c r="F5501">
        <v>20160330</v>
      </c>
      <c r="G5501" t="s">
        <v>4685</v>
      </c>
      <c r="H5501" t="s">
        <v>4686</v>
      </c>
      <c r="I5501">
        <v>0</v>
      </c>
      <c r="J5501" t="s">
        <v>1709</v>
      </c>
      <c r="K5501" t="s">
        <v>290</v>
      </c>
      <c r="L5501" t="s">
        <v>285</v>
      </c>
      <c r="M5501" t="str">
        <f t="shared" si="391"/>
        <v>03</v>
      </c>
      <c r="N5501" t="s">
        <v>12</v>
      </c>
    </row>
    <row r="5502" spans="1:14" x14ac:dyDescent="0.25">
      <c r="A5502">
        <v>20160331</v>
      </c>
      <c r="B5502" t="str">
        <f>"062964"</f>
        <v>062964</v>
      </c>
      <c r="C5502" t="str">
        <f>"63053"</f>
        <v>63053</v>
      </c>
      <c r="D5502" t="s">
        <v>2012</v>
      </c>
      <c r="E5502" s="3">
        <v>42.95</v>
      </c>
      <c r="F5502">
        <v>20160330</v>
      </c>
      <c r="G5502" t="s">
        <v>2124</v>
      </c>
      <c r="H5502" t="s">
        <v>4157</v>
      </c>
      <c r="I5502">
        <v>0</v>
      </c>
      <c r="J5502" t="s">
        <v>1709</v>
      </c>
      <c r="K5502" t="s">
        <v>290</v>
      </c>
      <c r="L5502" t="s">
        <v>285</v>
      </c>
      <c r="M5502" t="str">
        <f t="shared" si="391"/>
        <v>03</v>
      </c>
      <c r="N5502" t="s">
        <v>12</v>
      </c>
    </row>
    <row r="5503" spans="1:14" x14ac:dyDescent="0.25">
      <c r="A5503">
        <v>20160331</v>
      </c>
      <c r="B5503" t="str">
        <f>"062964"</f>
        <v>062964</v>
      </c>
      <c r="C5503" t="str">
        <f>"63053"</f>
        <v>63053</v>
      </c>
      <c r="D5503" t="s">
        <v>2012</v>
      </c>
      <c r="E5503" s="3">
        <v>1108.5</v>
      </c>
      <c r="F5503">
        <v>20160330</v>
      </c>
      <c r="G5503" t="s">
        <v>3280</v>
      </c>
      <c r="H5503" t="s">
        <v>4157</v>
      </c>
      <c r="I5503">
        <v>0</v>
      </c>
      <c r="J5503" t="s">
        <v>1709</v>
      </c>
      <c r="K5503" t="s">
        <v>290</v>
      </c>
      <c r="L5503" t="s">
        <v>285</v>
      </c>
      <c r="M5503" t="str">
        <f t="shared" si="391"/>
        <v>03</v>
      </c>
      <c r="N5503" t="s">
        <v>12</v>
      </c>
    </row>
    <row r="5504" spans="1:14" x14ac:dyDescent="0.25">
      <c r="A5504">
        <v>20160331</v>
      </c>
      <c r="B5504" t="str">
        <f>"062965"</f>
        <v>062965</v>
      </c>
      <c r="C5504" t="str">
        <f>"63053"</f>
        <v>63053</v>
      </c>
      <c r="D5504" t="s">
        <v>2012</v>
      </c>
      <c r="E5504" s="3">
        <v>480</v>
      </c>
      <c r="F5504">
        <v>20160330</v>
      </c>
      <c r="G5504" t="s">
        <v>2040</v>
      </c>
      <c r="H5504" t="s">
        <v>4687</v>
      </c>
      <c r="I5504">
        <v>0</v>
      </c>
      <c r="J5504" t="s">
        <v>1709</v>
      </c>
      <c r="K5504" t="s">
        <v>290</v>
      </c>
      <c r="L5504" t="s">
        <v>285</v>
      </c>
      <c r="M5504" t="str">
        <f t="shared" si="391"/>
        <v>03</v>
      </c>
      <c r="N5504" t="s">
        <v>12</v>
      </c>
    </row>
    <row r="5505" spans="1:14" x14ac:dyDescent="0.25">
      <c r="A5505">
        <v>20160331</v>
      </c>
      <c r="B5505" t="str">
        <f>"062966"</f>
        <v>062966</v>
      </c>
      <c r="C5505" t="str">
        <f>"63053"</f>
        <v>63053</v>
      </c>
      <c r="D5505" t="s">
        <v>2012</v>
      </c>
      <c r="E5505" s="3">
        <v>320</v>
      </c>
      <c r="F5505">
        <v>20160330</v>
      </c>
      <c r="G5505" t="s">
        <v>2040</v>
      </c>
      <c r="H5505" t="s">
        <v>4687</v>
      </c>
      <c r="I5505">
        <v>0</v>
      </c>
      <c r="J5505" t="s">
        <v>1709</v>
      </c>
      <c r="K5505" t="s">
        <v>290</v>
      </c>
      <c r="L5505" t="s">
        <v>285</v>
      </c>
      <c r="M5505" t="str">
        <f t="shared" si="391"/>
        <v>03</v>
      </c>
      <c r="N5505" t="s">
        <v>12</v>
      </c>
    </row>
    <row r="5506" spans="1:14" x14ac:dyDescent="0.25">
      <c r="A5506">
        <v>20160331</v>
      </c>
      <c r="B5506" t="str">
        <f>"062967"</f>
        <v>062967</v>
      </c>
      <c r="C5506" t="str">
        <f>"65817"</f>
        <v>65817</v>
      </c>
      <c r="D5506" t="s">
        <v>2021</v>
      </c>
      <c r="E5506" s="3">
        <v>1186.3900000000001</v>
      </c>
      <c r="F5506">
        <v>20160330</v>
      </c>
      <c r="G5506" t="s">
        <v>2022</v>
      </c>
      <c r="H5506" t="s">
        <v>2023</v>
      </c>
      <c r="I5506">
        <v>0</v>
      </c>
      <c r="J5506" t="s">
        <v>1709</v>
      </c>
      <c r="K5506" t="s">
        <v>1643</v>
      </c>
      <c r="L5506" t="s">
        <v>285</v>
      </c>
      <c r="M5506" t="str">
        <f t="shared" si="391"/>
        <v>03</v>
      </c>
      <c r="N5506" t="s">
        <v>12</v>
      </c>
    </row>
    <row r="5507" spans="1:14" x14ac:dyDescent="0.25">
      <c r="A5507">
        <v>20160331</v>
      </c>
      <c r="B5507" t="str">
        <f>"062968"</f>
        <v>062968</v>
      </c>
      <c r="C5507" t="str">
        <f>"65826"</f>
        <v>65826</v>
      </c>
      <c r="D5507" t="s">
        <v>2386</v>
      </c>
      <c r="E5507" s="3">
        <v>149.5</v>
      </c>
      <c r="F5507">
        <v>20160330</v>
      </c>
      <c r="G5507" t="s">
        <v>3888</v>
      </c>
      <c r="H5507" t="s">
        <v>4688</v>
      </c>
      <c r="I5507">
        <v>0</v>
      </c>
      <c r="J5507" t="s">
        <v>1709</v>
      </c>
      <c r="K5507" t="s">
        <v>95</v>
      </c>
      <c r="L5507" t="s">
        <v>285</v>
      </c>
      <c r="M5507" t="str">
        <f t="shared" si="391"/>
        <v>03</v>
      </c>
      <c r="N5507" t="s">
        <v>12</v>
      </c>
    </row>
    <row r="5508" spans="1:14" x14ac:dyDescent="0.25">
      <c r="A5508">
        <v>20160331</v>
      </c>
      <c r="B5508" t="str">
        <f>"062968"</f>
        <v>062968</v>
      </c>
      <c r="C5508" t="str">
        <f>"65826"</f>
        <v>65826</v>
      </c>
      <c r="D5508" t="s">
        <v>2386</v>
      </c>
      <c r="E5508" s="3">
        <v>31.25</v>
      </c>
      <c r="F5508">
        <v>20160330</v>
      </c>
      <c r="G5508" t="s">
        <v>2941</v>
      </c>
      <c r="H5508" t="s">
        <v>4689</v>
      </c>
      <c r="I5508">
        <v>0</v>
      </c>
      <c r="J5508" t="s">
        <v>1709</v>
      </c>
      <c r="K5508" t="s">
        <v>95</v>
      </c>
      <c r="L5508" t="s">
        <v>285</v>
      </c>
      <c r="M5508" t="str">
        <f t="shared" si="391"/>
        <v>03</v>
      </c>
      <c r="N5508" t="s">
        <v>12</v>
      </c>
    </row>
    <row r="5509" spans="1:14" x14ac:dyDescent="0.25">
      <c r="A5509">
        <v>20160331</v>
      </c>
      <c r="B5509" t="str">
        <f>"062973"</f>
        <v>062973</v>
      </c>
      <c r="C5509" t="str">
        <f>"55552"</f>
        <v>55552</v>
      </c>
      <c r="D5509" t="s">
        <v>4690</v>
      </c>
      <c r="E5509" s="3">
        <v>141.69999999999999</v>
      </c>
      <c r="F5509">
        <v>20160330</v>
      </c>
      <c r="G5509" t="s">
        <v>4691</v>
      </c>
      <c r="H5509" t="s">
        <v>4692</v>
      </c>
      <c r="I5509">
        <v>0</v>
      </c>
      <c r="J5509" t="s">
        <v>1709</v>
      </c>
      <c r="K5509" t="s">
        <v>290</v>
      </c>
      <c r="L5509" t="s">
        <v>285</v>
      </c>
      <c r="M5509" t="str">
        <f t="shared" si="391"/>
        <v>03</v>
      </c>
      <c r="N5509" t="s">
        <v>12</v>
      </c>
    </row>
    <row r="5510" spans="1:14" x14ac:dyDescent="0.25">
      <c r="A5510">
        <v>20160331</v>
      </c>
      <c r="B5510" t="str">
        <f>"062973"</f>
        <v>062973</v>
      </c>
      <c r="C5510" t="str">
        <f>"55552"</f>
        <v>55552</v>
      </c>
      <c r="D5510" t="s">
        <v>4690</v>
      </c>
      <c r="E5510" s="3">
        <v>-141.69999999999999</v>
      </c>
      <c r="F5510">
        <v>20160510</v>
      </c>
      <c r="G5510" t="s">
        <v>4691</v>
      </c>
      <c r="H5510" t="s">
        <v>4693</v>
      </c>
      <c r="I5510">
        <v>0</v>
      </c>
      <c r="J5510" t="s">
        <v>1709</v>
      </c>
      <c r="K5510" t="s">
        <v>290</v>
      </c>
      <c r="L5510" t="s">
        <v>17</v>
      </c>
      <c r="M5510" t="str">
        <f>"05"</f>
        <v>05</v>
      </c>
      <c r="N5510" t="s">
        <v>12</v>
      </c>
    </row>
    <row r="5511" spans="1:14" x14ac:dyDescent="0.25">
      <c r="A5511">
        <v>20160331</v>
      </c>
      <c r="B5511" t="str">
        <f>"062973"</f>
        <v>062973</v>
      </c>
      <c r="C5511" t="str">
        <f>"55552"</f>
        <v>55552</v>
      </c>
      <c r="D5511" t="s">
        <v>4690</v>
      </c>
      <c r="E5511" s="3">
        <v>637.65</v>
      </c>
      <c r="F5511">
        <v>20160330</v>
      </c>
      <c r="G5511" t="s">
        <v>4570</v>
      </c>
      <c r="H5511" t="s">
        <v>4692</v>
      </c>
      <c r="I5511">
        <v>0</v>
      </c>
      <c r="J5511" t="s">
        <v>1709</v>
      </c>
      <c r="K5511" t="s">
        <v>290</v>
      </c>
      <c r="L5511" t="s">
        <v>285</v>
      </c>
      <c r="M5511" t="str">
        <f>"03"</f>
        <v>03</v>
      </c>
      <c r="N5511" t="s">
        <v>12</v>
      </c>
    </row>
    <row r="5512" spans="1:14" x14ac:dyDescent="0.25">
      <c r="A5512">
        <v>20160331</v>
      </c>
      <c r="B5512" t="str">
        <f>"062973"</f>
        <v>062973</v>
      </c>
      <c r="C5512" t="str">
        <f>"55552"</f>
        <v>55552</v>
      </c>
      <c r="D5512" t="s">
        <v>4690</v>
      </c>
      <c r="E5512" s="3">
        <v>-637.65</v>
      </c>
      <c r="F5512">
        <v>20160510</v>
      </c>
      <c r="G5512" t="s">
        <v>4570</v>
      </c>
      <c r="H5512" t="s">
        <v>4693</v>
      </c>
      <c r="I5512">
        <v>0</v>
      </c>
      <c r="J5512" t="s">
        <v>1709</v>
      </c>
      <c r="K5512" t="s">
        <v>290</v>
      </c>
      <c r="L5512" t="s">
        <v>17</v>
      </c>
      <c r="M5512" t="str">
        <f>"05"</f>
        <v>05</v>
      </c>
      <c r="N5512" t="s">
        <v>12</v>
      </c>
    </row>
    <row r="5513" spans="1:14" x14ac:dyDescent="0.25">
      <c r="A5513">
        <v>20160331</v>
      </c>
      <c r="B5513" t="str">
        <f>"062975"</f>
        <v>062975</v>
      </c>
      <c r="C5513" t="str">
        <f>"67546"</f>
        <v>67546</v>
      </c>
      <c r="D5513" t="s">
        <v>4694</v>
      </c>
      <c r="E5513" s="3">
        <v>500</v>
      </c>
      <c r="F5513">
        <v>20160330</v>
      </c>
      <c r="G5513" t="s">
        <v>4066</v>
      </c>
      <c r="H5513" t="s">
        <v>4572</v>
      </c>
      <c r="I5513">
        <v>0</v>
      </c>
      <c r="J5513" t="s">
        <v>1709</v>
      </c>
      <c r="K5513" t="s">
        <v>290</v>
      </c>
      <c r="L5513" t="s">
        <v>285</v>
      </c>
      <c r="M5513" t="str">
        <f t="shared" ref="M5513:M5518" si="392">"03"</f>
        <v>03</v>
      </c>
      <c r="N5513" t="s">
        <v>12</v>
      </c>
    </row>
    <row r="5514" spans="1:14" x14ac:dyDescent="0.25">
      <c r="A5514">
        <v>20160331</v>
      </c>
      <c r="B5514" t="str">
        <f>"062976"</f>
        <v>062976</v>
      </c>
      <c r="C5514" t="str">
        <f>"76548"</f>
        <v>76548</v>
      </c>
      <c r="D5514" t="s">
        <v>1776</v>
      </c>
      <c r="E5514" s="3">
        <v>130</v>
      </c>
      <c r="F5514">
        <v>20160330</v>
      </c>
      <c r="G5514" t="s">
        <v>3522</v>
      </c>
      <c r="H5514" t="s">
        <v>4695</v>
      </c>
      <c r="I5514">
        <v>0</v>
      </c>
      <c r="J5514" t="s">
        <v>1709</v>
      </c>
      <c r="K5514" t="s">
        <v>1882</v>
      </c>
      <c r="L5514" t="s">
        <v>285</v>
      </c>
      <c r="M5514" t="str">
        <f t="shared" si="392"/>
        <v>03</v>
      </c>
      <c r="N5514" t="s">
        <v>12</v>
      </c>
    </row>
    <row r="5515" spans="1:14" x14ac:dyDescent="0.25">
      <c r="A5515">
        <v>20160331</v>
      </c>
      <c r="B5515" t="str">
        <f>"062977"</f>
        <v>062977</v>
      </c>
      <c r="C5515" t="str">
        <f>"75735"</f>
        <v>75735</v>
      </c>
      <c r="D5515" t="s">
        <v>3146</v>
      </c>
      <c r="E5515" s="3">
        <v>176.85</v>
      </c>
      <c r="F5515">
        <v>20160330</v>
      </c>
      <c r="G5515" t="s">
        <v>2941</v>
      </c>
      <c r="H5515" t="s">
        <v>4696</v>
      </c>
      <c r="I5515">
        <v>0</v>
      </c>
      <c r="J5515" t="s">
        <v>1709</v>
      </c>
      <c r="K5515" t="s">
        <v>95</v>
      </c>
      <c r="L5515" t="s">
        <v>285</v>
      </c>
      <c r="M5515" t="str">
        <f t="shared" si="392"/>
        <v>03</v>
      </c>
      <c r="N5515" t="s">
        <v>12</v>
      </c>
    </row>
    <row r="5516" spans="1:14" x14ac:dyDescent="0.25">
      <c r="A5516">
        <v>20160331</v>
      </c>
      <c r="B5516" t="str">
        <f>"062984"</f>
        <v>062984</v>
      </c>
      <c r="C5516" t="str">
        <f>"81779"</f>
        <v>81779</v>
      </c>
      <c r="D5516" t="s">
        <v>4697</v>
      </c>
      <c r="E5516" s="3">
        <v>97.2</v>
      </c>
      <c r="F5516">
        <v>20160330</v>
      </c>
      <c r="G5516" t="s">
        <v>3551</v>
      </c>
      <c r="H5516" t="s">
        <v>4698</v>
      </c>
      <c r="I5516">
        <v>0</v>
      </c>
      <c r="J5516" t="s">
        <v>1709</v>
      </c>
      <c r="K5516" t="s">
        <v>1558</v>
      </c>
      <c r="L5516" t="s">
        <v>285</v>
      </c>
      <c r="M5516" t="str">
        <f t="shared" si="392"/>
        <v>03</v>
      </c>
      <c r="N5516" t="s">
        <v>12</v>
      </c>
    </row>
    <row r="5517" spans="1:14" x14ac:dyDescent="0.25">
      <c r="A5517">
        <v>20160331</v>
      </c>
      <c r="B5517" t="str">
        <f>"062984"</f>
        <v>062984</v>
      </c>
      <c r="C5517" t="str">
        <f>"81779"</f>
        <v>81779</v>
      </c>
      <c r="D5517" t="s">
        <v>4697</v>
      </c>
      <c r="E5517" s="3">
        <v>1621.04</v>
      </c>
      <c r="F5517">
        <v>20160330</v>
      </c>
      <c r="G5517" t="s">
        <v>4231</v>
      </c>
      <c r="H5517" t="s">
        <v>4699</v>
      </c>
      <c r="I5517">
        <v>0</v>
      </c>
      <c r="J5517" t="s">
        <v>1709</v>
      </c>
      <c r="K5517" t="s">
        <v>1861</v>
      </c>
      <c r="L5517" t="s">
        <v>285</v>
      </c>
      <c r="M5517" t="str">
        <f t="shared" si="392"/>
        <v>03</v>
      </c>
      <c r="N5517" t="s">
        <v>12</v>
      </c>
    </row>
    <row r="5518" spans="1:14" x14ac:dyDescent="0.25">
      <c r="A5518">
        <v>20160331</v>
      </c>
      <c r="B5518" t="str">
        <f>"062990"</f>
        <v>062990</v>
      </c>
      <c r="C5518" t="str">
        <f>"49589"</f>
        <v>49589</v>
      </c>
      <c r="D5518" t="s">
        <v>4700</v>
      </c>
      <c r="E5518" s="3">
        <v>232.82</v>
      </c>
      <c r="F5518">
        <v>20160330</v>
      </c>
      <c r="G5518" t="s">
        <v>2798</v>
      </c>
      <c r="H5518" t="s">
        <v>2023</v>
      </c>
      <c r="I5518">
        <v>0</v>
      </c>
      <c r="J5518" t="s">
        <v>1709</v>
      </c>
      <c r="K5518" t="s">
        <v>33</v>
      </c>
      <c r="L5518" t="s">
        <v>285</v>
      </c>
      <c r="M5518" t="str">
        <f t="shared" si="392"/>
        <v>03</v>
      </c>
      <c r="N5518" t="s">
        <v>12</v>
      </c>
    </row>
    <row r="5519" spans="1:14" x14ac:dyDescent="0.25">
      <c r="A5519">
        <v>20160407</v>
      </c>
      <c r="B5519" t="str">
        <f>"062993"</f>
        <v>062993</v>
      </c>
      <c r="C5519" t="str">
        <f>"10063"</f>
        <v>10063</v>
      </c>
      <c r="D5519" t="s">
        <v>1816</v>
      </c>
      <c r="E5519" s="3">
        <v>24.03</v>
      </c>
      <c r="F5519">
        <v>20160406</v>
      </c>
      <c r="G5519" t="s">
        <v>1961</v>
      </c>
      <c r="H5519" t="s">
        <v>4554</v>
      </c>
      <c r="I5519">
        <v>0</v>
      </c>
      <c r="J5519" t="s">
        <v>1709</v>
      </c>
      <c r="K5519" t="s">
        <v>290</v>
      </c>
      <c r="L5519" t="s">
        <v>285</v>
      </c>
      <c r="M5519" t="str">
        <f t="shared" ref="M5519:M5582" si="393">"04"</f>
        <v>04</v>
      </c>
      <c r="N5519" t="s">
        <v>12</v>
      </c>
    </row>
    <row r="5520" spans="1:14" x14ac:dyDescent="0.25">
      <c r="A5520">
        <v>20160407</v>
      </c>
      <c r="B5520" t="str">
        <f>"062994"</f>
        <v>062994</v>
      </c>
      <c r="C5520" t="str">
        <f>"14132"</f>
        <v>14132</v>
      </c>
      <c r="D5520" t="s">
        <v>4119</v>
      </c>
      <c r="E5520" s="3">
        <v>115</v>
      </c>
      <c r="F5520">
        <v>20160406</v>
      </c>
      <c r="G5520" t="s">
        <v>4701</v>
      </c>
      <c r="H5520" t="s">
        <v>4652</v>
      </c>
      <c r="I5520">
        <v>0</v>
      </c>
      <c r="J5520" t="s">
        <v>1709</v>
      </c>
      <c r="K5520" t="s">
        <v>95</v>
      </c>
      <c r="L5520" t="s">
        <v>285</v>
      </c>
      <c r="M5520" t="str">
        <f t="shared" si="393"/>
        <v>04</v>
      </c>
      <c r="N5520" t="s">
        <v>12</v>
      </c>
    </row>
    <row r="5521" spans="1:14" x14ac:dyDescent="0.25">
      <c r="A5521">
        <v>20160407</v>
      </c>
      <c r="B5521" t="str">
        <f>"062994"</f>
        <v>062994</v>
      </c>
      <c r="C5521" t="str">
        <f>"14132"</f>
        <v>14132</v>
      </c>
      <c r="D5521" t="s">
        <v>4119</v>
      </c>
      <c r="E5521" s="3">
        <v>115</v>
      </c>
      <c r="F5521">
        <v>20160406</v>
      </c>
      <c r="G5521" t="s">
        <v>4702</v>
      </c>
      <c r="H5521" t="s">
        <v>4652</v>
      </c>
      <c r="I5521">
        <v>0</v>
      </c>
      <c r="J5521" t="s">
        <v>1709</v>
      </c>
      <c r="K5521" t="s">
        <v>95</v>
      </c>
      <c r="L5521" t="s">
        <v>285</v>
      </c>
      <c r="M5521" t="str">
        <f t="shared" si="393"/>
        <v>04</v>
      </c>
      <c r="N5521" t="s">
        <v>12</v>
      </c>
    </row>
    <row r="5522" spans="1:14" x14ac:dyDescent="0.25">
      <c r="A5522">
        <v>20160407</v>
      </c>
      <c r="B5522" t="str">
        <f>"062995"</f>
        <v>062995</v>
      </c>
      <c r="C5522" t="str">
        <f>"19065"</f>
        <v>19065</v>
      </c>
      <c r="D5522" t="s">
        <v>4703</v>
      </c>
      <c r="E5522" s="3">
        <v>34.43</v>
      </c>
      <c r="F5522">
        <v>20160406</v>
      </c>
      <c r="G5522" t="s">
        <v>3123</v>
      </c>
      <c r="H5522" t="s">
        <v>4157</v>
      </c>
      <c r="I5522">
        <v>0</v>
      </c>
      <c r="J5522" t="s">
        <v>1709</v>
      </c>
      <c r="K5522" t="s">
        <v>290</v>
      </c>
      <c r="L5522" t="s">
        <v>285</v>
      </c>
      <c r="M5522" t="str">
        <f t="shared" si="393"/>
        <v>04</v>
      </c>
      <c r="N5522" t="s">
        <v>12</v>
      </c>
    </row>
    <row r="5523" spans="1:14" x14ac:dyDescent="0.25">
      <c r="A5523">
        <v>20160407</v>
      </c>
      <c r="B5523" t="str">
        <f>"062995"</f>
        <v>062995</v>
      </c>
      <c r="C5523" t="str">
        <f>"19065"</f>
        <v>19065</v>
      </c>
      <c r="D5523" t="s">
        <v>4703</v>
      </c>
      <c r="E5523" s="3">
        <v>100</v>
      </c>
      <c r="F5523">
        <v>20160406</v>
      </c>
      <c r="G5523" t="s">
        <v>3280</v>
      </c>
      <c r="H5523" t="s">
        <v>4157</v>
      </c>
      <c r="I5523">
        <v>0</v>
      </c>
      <c r="J5523" t="s">
        <v>1709</v>
      </c>
      <c r="K5523" t="s">
        <v>290</v>
      </c>
      <c r="L5523" t="s">
        <v>285</v>
      </c>
      <c r="M5523" t="str">
        <f t="shared" si="393"/>
        <v>04</v>
      </c>
      <c r="N5523" t="s">
        <v>12</v>
      </c>
    </row>
    <row r="5524" spans="1:14" x14ac:dyDescent="0.25">
      <c r="A5524">
        <v>20160407</v>
      </c>
      <c r="B5524" t="str">
        <f>"063000"</f>
        <v>063000</v>
      </c>
      <c r="C5524" t="str">
        <f>"25144"</f>
        <v>25144</v>
      </c>
      <c r="D5524" t="s">
        <v>3437</v>
      </c>
      <c r="E5524" s="3">
        <v>475</v>
      </c>
      <c r="F5524">
        <v>20160406</v>
      </c>
      <c r="G5524" t="s">
        <v>3534</v>
      </c>
      <c r="H5524" t="s">
        <v>4608</v>
      </c>
      <c r="I5524">
        <v>0</v>
      </c>
      <c r="J5524" t="s">
        <v>1709</v>
      </c>
      <c r="K5524" t="s">
        <v>290</v>
      </c>
      <c r="L5524" t="s">
        <v>285</v>
      </c>
      <c r="M5524" t="str">
        <f t="shared" si="393"/>
        <v>04</v>
      </c>
      <c r="N5524" t="s">
        <v>12</v>
      </c>
    </row>
    <row r="5525" spans="1:14" x14ac:dyDescent="0.25">
      <c r="A5525">
        <v>20160407</v>
      </c>
      <c r="B5525" t="str">
        <f>"063004"</f>
        <v>063004</v>
      </c>
      <c r="C5525" t="str">
        <f>"37610"</f>
        <v>37610</v>
      </c>
      <c r="D5525" t="s">
        <v>4704</v>
      </c>
      <c r="E5525" s="3">
        <v>185.63</v>
      </c>
      <c r="F5525">
        <v>20160406</v>
      </c>
      <c r="G5525" t="s">
        <v>4705</v>
      </c>
      <c r="H5525" t="s">
        <v>4706</v>
      </c>
      <c r="I5525">
        <v>0</v>
      </c>
      <c r="J5525" t="s">
        <v>1709</v>
      </c>
      <c r="K5525" t="s">
        <v>290</v>
      </c>
      <c r="L5525" t="s">
        <v>285</v>
      </c>
      <c r="M5525" t="str">
        <f t="shared" si="393"/>
        <v>04</v>
      </c>
      <c r="N5525" t="s">
        <v>12</v>
      </c>
    </row>
    <row r="5526" spans="1:14" x14ac:dyDescent="0.25">
      <c r="A5526">
        <v>20160407</v>
      </c>
      <c r="B5526" t="str">
        <f>"063004"</f>
        <v>063004</v>
      </c>
      <c r="C5526" t="str">
        <f>"37610"</f>
        <v>37610</v>
      </c>
      <c r="D5526" t="s">
        <v>4704</v>
      </c>
      <c r="E5526" s="3">
        <v>-185.63</v>
      </c>
      <c r="F5526">
        <v>20160429</v>
      </c>
      <c r="G5526" t="s">
        <v>4705</v>
      </c>
      <c r="H5526" t="s">
        <v>4707</v>
      </c>
      <c r="I5526">
        <v>0</v>
      </c>
      <c r="J5526" t="s">
        <v>1709</v>
      </c>
      <c r="K5526" t="s">
        <v>290</v>
      </c>
      <c r="L5526" t="s">
        <v>17</v>
      </c>
      <c r="M5526" t="str">
        <f t="shared" si="393"/>
        <v>04</v>
      </c>
      <c r="N5526" t="s">
        <v>12</v>
      </c>
    </row>
    <row r="5527" spans="1:14" x14ac:dyDescent="0.25">
      <c r="A5527">
        <v>20160407</v>
      </c>
      <c r="B5527" t="str">
        <f>"063004"</f>
        <v>063004</v>
      </c>
      <c r="C5527" t="str">
        <f>"37610"</f>
        <v>37610</v>
      </c>
      <c r="D5527" t="s">
        <v>4704</v>
      </c>
      <c r="E5527" s="3">
        <v>668.28</v>
      </c>
      <c r="F5527">
        <v>20160406</v>
      </c>
      <c r="G5527" t="s">
        <v>3534</v>
      </c>
      <c r="H5527" t="s">
        <v>4706</v>
      </c>
      <c r="I5527">
        <v>0</v>
      </c>
      <c r="J5527" t="s">
        <v>1709</v>
      </c>
      <c r="K5527" t="s">
        <v>290</v>
      </c>
      <c r="L5527" t="s">
        <v>285</v>
      </c>
      <c r="M5527" t="str">
        <f t="shared" si="393"/>
        <v>04</v>
      </c>
      <c r="N5527" t="s">
        <v>12</v>
      </c>
    </row>
    <row r="5528" spans="1:14" x14ac:dyDescent="0.25">
      <c r="A5528">
        <v>20160407</v>
      </c>
      <c r="B5528" t="str">
        <f>"063004"</f>
        <v>063004</v>
      </c>
      <c r="C5528" t="str">
        <f>"37610"</f>
        <v>37610</v>
      </c>
      <c r="D5528" t="s">
        <v>4704</v>
      </c>
      <c r="E5528" s="3">
        <v>-668.28</v>
      </c>
      <c r="F5528">
        <v>20160429</v>
      </c>
      <c r="G5528" t="s">
        <v>3534</v>
      </c>
      <c r="H5528" t="s">
        <v>4707</v>
      </c>
      <c r="I5528">
        <v>0</v>
      </c>
      <c r="J5528" t="s">
        <v>1709</v>
      </c>
      <c r="K5528" t="s">
        <v>290</v>
      </c>
      <c r="L5528" t="s">
        <v>17</v>
      </c>
      <c r="M5528" t="str">
        <f t="shared" si="393"/>
        <v>04</v>
      </c>
      <c r="N5528" t="s">
        <v>12</v>
      </c>
    </row>
    <row r="5529" spans="1:14" x14ac:dyDescent="0.25">
      <c r="A5529">
        <v>20160407</v>
      </c>
      <c r="B5529" t="str">
        <f>"063008"</f>
        <v>063008</v>
      </c>
      <c r="C5529" t="str">
        <f>"40562"</f>
        <v>40562</v>
      </c>
      <c r="D5529" t="s">
        <v>4708</v>
      </c>
      <c r="E5529" s="3">
        <v>239.76</v>
      </c>
      <c r="F5529">
        <v>20160406</v>
      </c>
      <c r="G5529" t="s">
        <v>3554</v>
      </c>
      <c r="H5529" t="s">
        <v>3875</v>
      </c>
      <c r="I5529">
        <v>0</v>
      </c>
      <c r="J5529" t="s">
        <v>1709</v>
      </c>
      <c r="K5529" t="s">
        <v>1643</v>
      </c>
      <c r="L5529" t="s">
        <v>285</v>
      </c>
      <c r="M5529" t="str">
        <f t="shared" si="393"/>
        <v>04</v>
      </c>
      <c r="N5529" t="s">
        <v>12</v>
      </c>
    </row>
    <row r="5530" spans="1:14" x14ac:dyDescent="0.25">
      <c r="A5530">
        <v>20160407</v>
      </c>
      <c r="B5530" t="str">
        <f>"063011"</f>
        <v>063011</v>
      </c>
      <c r="C5530" t="str">
        <f>"42212"</f>
        <v>42212</v>
      </c>
      <c r="D5530" t="s">
        <v>2513</v>
      </c>
      <c r="E5530" s="3">
        <v>475</v>
      </c>
      <c r="F5530">
        <v>20160406</v>
      </c>
      <c r="G5530" t="s">
        <v>3846</v>
      </c>
      <c r="H5530" t="s">
        <v>4706</v>
      </c>
      <c r="I5530">
        <v>0</v>
      </c>
      <c r="J5530" t="s">
        <v>1709</v>
      </c>
      <c r="K5530" t="s">
        <v>290</v>
      </c>
      <c r="L5530" t="s">
        <v>285</v>
      </c>
      <c r="M5530" t="str">
        <f t="shared" si="393"/>
        <v>04</v>
      </c>
      <c r="N5530" t="s">
        <v>12</v>
      </c>
    </row>
    <row r="5531" spans="1:14" x14ac:dyDescent="0.25">
      <c r="A5531">
        <v>20160407</v>
      </c>
      <c r="B5531" t="str">
        <f>"063019"</f>
        <v>063019</v>
      </c>
      <c r="C5531" t="str">
        <f>"62340"</f>
        <v>62340</v>
      </c>
      <c r="D5531" t="s">
        <v>1911</v>
      </c>
      <c r="E5531" s="3">
        <v>4135.32</v>
      </c>
      <c r="F5531">
        <v>20160406</v>
      </c>
      <c r="G5531" t="s">
        <v>1912</v>
      </c>
      <c r="H5531" t="s">
        <v>4709</v>
      </c>
      <c r="I5531">
        <v>0</v>
      </c>
      <c r="J5531" t="s">
        <v>1709</v>
      </c>
      <c r="K5531" t="s">
        <v>1861</v>
      </c>
      <c r="L5531" t="s">
        <v>285</v>
      </c>
      <c r="M5531" t="str">
        <f t="shared" si="393"/>
        <v>04</v>
      </c>
      <c r="N5531" t="s">
        <v>12</v>
      </c>
    </row>
    <row r="5532" spans="1:14" x14ac:dyDescent="0.25">
      <c r="A5532">
        <v>20160407</v>
      </c>
      <c r="B5532" t="str">
        <f>"063027"</f>
        <v>063027</v>
      </c>
      <c r="C5532" t="str">
        <f>"67100"</f>
        <v>67100</v>
      </c>
      <c r="D5532" t="s">
        <v>4420</v>
      </c>
      <c r="E5532" s="3">
        <v>25.4</v>
      </c>
      <c r="F5532">
        <v>20160406</v>
      </c>
      <c r="G5532" t="s">
        <v>4710</v>
      </c>
      <c r="H5532" t="s">
        <v>4422</v>
      </c>
      <c r="I5532">
        <v>0</v>
      </c>
      <c r="J5532" t="s">
        <v>1709</v>
      </c>
      <c r="K5532" t="s">
        <v>290</v>
      </c>
      <c r="L5532" t="s">
        <v>285</v>
      </c>
      <c r="M5532" t="str">
        <f t="shared" si="393"/>
        <v>04</v>
      </c>
      <c r="N5532" t="s">
        <v>12</v>
      </c>
    </row>
    <row r="5533" spans="1:14" x14ac:dyDescent="0.25">
      <c r="A5533">
        <v>20160407</v>
      </c>
      <c r="B5533" t="str">
        <f>"063028"</f>
        <v>063028</v>
      </c>
      <c r="C5533" t="str">
        <f>"67571"</f>
        <v>67571</v>
      </c>
      <c r="D5533" t="s">
        <v>4711</v>
      </c>
      <c r="E5533" s="3">
        <v>680.98</v>
      </c>
      <c r="F5533">
        <v>20160406</v>
      </c>
      <c r="G5533" t="s">
        <v>4701</v>
      </c>
      <c r="H5533" t="s">
        <v>4652</v>
      </c>
      <c r="I5533">
        <v>0</v>
      </c>
      <c r="J5533" t="s">
        <v>1709</v>
      </c>
      <c r="K5533" t="s">
        <v>95</v>
      </c>
      <c r="L5533" t="s">
        <v>285</v>
      </c>
      <c r="M5533" t="str">
        <f t="shared" si="393"/>
        <v>04</v>
      </c>
      <c r="N5533" t="s">
        <v>12</v>
      </c>
    </row>
    <row r="5534" spans="1:14" x14ac:dyDescent="0.25">
      <c r="A5534">
        <v>20160407</v>
      </c>
      <c r="B5534" t="str">
        <f>"063028"</f>
        <v>063028</v>
      </c>
      <c r="C5534" t="str">
        <f>"67571"</f>
        <v>67571</v>
      </c>
      <c r="D5534" t="s">
        <v>4711</v>
      </c>
      <c r="E5534" s="3">
        <v>680.98</v>
      </c>
      <c r="F5534">
        <v>20160406</v>
      </c>
      <c r="G5534" t="s">
        <v>4702</v>
      </c>
      <c r="H5534" t="s">
        <v>4652</v>
      </c>
      <c r="I5534">
        <v>0</v>
      </c>
      <c r="J5534" t="s">
        <v>1709</v>
      </c>
      <c r="K5534" t="s">
        <v>95</v>
      </c>
      <c r="L5534" t="s">
        <v>285</v>
      </c>
      <c r="M5534" t="str">
        <f t="shared" si="393"/>
        <v>04</v>
      </c>
      <c r="N5534" t="s">
        <v>12</v>
      </c>
    </row>
    <row r="5535" spans="1:14" x14ac:dyDescent="0.25">
      <c r="A5535">
        <v>20160407</v>
      </c>
      <c r="B5535" t="str">
        <f>"063030"</f>
        <v>063030</v>
      </c>
      <c r="C5535" t="str">
        <f>"82132"</f>
        <v>82132</v>
      </c>
      <c r="D5535" t="s">
        <v>4712</v>
      </c>
      <c r="E5535" s="3">
        <v>560</v>
      </c>
      <c r="F5535">
        <v>20160406</v>
      </c>
      <c r="G5535" t="s">
        <v>4713</v>
      </c>
      <c r="H5535" t="s">
        <v>4714</v>
      </c>
      <c r="I5535">
        <v>0</v>
      </c>
      <c r="J5535" t="s">
        <v>1709</v>
      </c>
      <c r="K5535" t="s">
        <v>290</v>
      </c>
      <c r="L5535" t="s">
        <v>285</v>
      </c>
      <c r="M5535" t="str">
        <f t="shared" si="393"/>
        <v>04</v>
      </c>
      <c r="N5535" t="s">
        <v>12</v>
      </c>
    </row>
    <row r="5536" spans="1:14" x14ac:dyDescent="0.25">
      <c r="A5536">
        <v>20160415</v>
      </c>
      <c r="B5536" t="str">
        <f>"063033"</f>
        <v>063033</v>
      </c>
      <c r="C5536" t="str">
        <f>"29779"</f>
        <v>29779</v>
      </c>
      <c r="D5536" t="s">
        <v>1806</v>
      </c>
      <c r="E5536" s="3">
        <v>1120</v>
      </c>
      <c r="F5536">
        <v>20160412</v>
      </c>
      <c r="G5536" t="s">
        <v>2192</v>
      </c>
      <c r="H5536" t="s">
        <v>4715</v>
      </c>
      <c r="I5536">
        <v>0</v>
      </c>
      <c r="J5536" t="s">
        <v>1709</v>
      </c>
      <c r="K5536" t="s">
        <v>2194</v>
      </c>
      <c r="L5536" t="s">
        <v>285</v>
      </c>
      <c r="M5536" t="str">
        <f t="shared" si="393"/>
        <v>04</v>
      </c>
      <c r="N5536" t="s">
        <v>12</v>
      </c>
    </row>
    <row r="5537" spans="1:14" x14ac:dyDescent="0.25">
      <c r="A5537">
        <v>20160415</v>
      </c>
      <c r="B5537" t="str">
        <f>"063033"</f>
        <v>063033</v>
      </c>
      <c r="C5537" t="str">
        <f>"29779"</f>
        <v>29779</v>
      </c>
      <c r="D5537" t="s">
        <v>1806</v>
      </c>
      <c r="E5537" s="3">
        <v>375</v>
      </c>
      <c r="F5537">
        <v>20160412</v>
      </c>
      <c r="G5537" t="s">
        <v>2192</v>
      </c>
      <c r="H5537" t="s">
        <v>4716</v>
      </c>
      <c r="I5537">
        <v>0</v>
      </c>
      <c r="J5537" t="s">
        <v>1709</v>
      </c>
      <c r="K5537" t="s">
        <v>2194</v>
      </c>
      <c r="L5537" t="s">
        <v>285</v>
      </c>
      <c r="M5537" t="str">
        <f t="shared" si="393"/>
        <v>04</v>
      </c>
      <c r="N5537" t="s">
        <v>12</v>
      </c>
    </row>
    <row r="5538" spans="1:14" x14ac:dyDescent="0.25">
      <c r="A5538">
        <v>20160415</v>
      </c>
      <c r="B5538" t="str">
        <f>"063034"</f>
        <v>063034</v>
      </c>
      <c r="C5538" t="str">
        <f>"04240"</f>
        <v>04240</v>
      </c>
      <c r="D5538" t="s">
        <v>2432</v>
      </c>
      <c r="E5538" s="3">
        <v>119.95</v>
      </c>
      <c r="F5538">
        <v>20160412</v>
      </c>
      <c r="G5538" t="s">
        <v>2228</v>
      </c>
      <c r="H5538" t="s">
        <v>4717</v>
      </c>
      <c r="I5538">
        <v>0</v>
      </c>
      <c r="J5538" t="s">
        <v>1709</v>
      </c>
      <c r="K5538" t="s">
        <v>290</v>
      </c>
      <c r="L5538" t="s">
        <v>285</v>
      </c>
      <c r="M5538" t="str">
        <f t="shared" si="393"/>
        <v>04</v>
      </c>
      <c r="N5538" t="s">
        <v>12</v>
      </c>
    </row>
    <row r="5539" spans="1:14" x14ac:dyDescent="0.25">
      <c r="A5539">
        <v>20160415</v>
      </c>
      <c r="B5539" t="str">
        <f>"063035"</f>
        <v>063035</v>
      </c>
      <c r="C5539" t="str">
        <f>"24208"</f>
        <v>24208</v>
      </c>
      <c r="D5539" t="s">
        <v>1541</v>
      </c>
      <c r="E5539" s="3">
        <v>170</v>
      </c>
      <c r="F5539">
        <v>20160412</v>
      </c>
      <c r="G5539" t="s">
        <v>1854</v>
      </c>
      <c r="H5539" t="s">
        <v>4718</v>
      </c>
      <c r="I5539">
        <v>0</v>
      </c>
      <c r="J5539" t="s">
        <v>1709</v>
      </c>
      <c r="K5539" t="s">
        <v>1856</v>
      </c>
      <c r="L5539" t="s">
        <v>285</v>
      </c>
      <c r="M5539" t="str">
        <f t="shared" si="393"/>
        <v>04</v>
      </c>
      <c r="N5539" t="s">
        <v>12</v>
      </c>
    </row>
    <row r="5540" spans="1:14" x14ac:dyDescent="0.25">
      <c r="A5540">
        <v>20160415</v>
      </c>
      <c r="B5540" t="str">
        <f>"063035"</f>
        <v>063035</v>
      </c>
      <c r="C5540" t="str">
        <f>"24208"</f>
        <v>24208</v>
      </c>
      <c r="D5540" t="s">
        <v>1541</v>
      </c>
      <c r="E5540" s="3">
        <v>215</v>
      </c>
      <c r="F5540">
        <v>20160412</v>
      </c>
      <c r="G5540" t="s">
        <v>1854</v>
      </c>
      <c r="H5540" t="s">
        <v>4719</v>
      </c>
      <c r="I5540">
        <v>0</v>
      </c>
      <c r="J5540" t="s">
        <v>1709</v>
      </c>
      <c r="K5540" t="s">
        <v>1856</v>
      </c>
      <c r="L5540" t="s">
        <v>285</v>
      </c>
      <c r="M5540" t="str">
        <f t="shared" si="393"/>
        <v>04</v>
      </c>
      <c r="N5540" t="s">
        <v>12</v>
      </c>
    </row>
    <row r="5541" spans="1:14" x14ac:dyDescent="0.25">
      <c r="A5541">
        <v>20160415</v>
      </c>
      <c r="B5541" t="str">
        <f>"063035"</f>
        <v>063035</v>
      </c>
      <c r="C5541" t="str">
        <f>"24208"</f>
        <v>24208</v>
      </c>
      <c r="D5541" t="s">
        <v>1541</v>
      </c>
      <c r="E5541" s="3">
        <v>95</v>
      </c>
      <c r="F5541">
        <v>20160412</v>
      </c>
      <c r="G5541" t="s">
        <v>1854</v>
      </c>
      <c r="H5541" t="s">
        <v>4720</v>
      </c>
      <c r="I5541">
        <v>0</v>
      </c>
      <c r="J5541" t="s">
        <v>1709</v>
      </c>
      <c r="K5541" t="s">
        <v>1856</v>
      </c>
      <c r="L5541" t="s">
        <v>285</v>
      </c>
      <c r="M5541" t="str">
        <f t="shared" si="393"/>
        <v>04</v>
      </c>
      <c r="N5541" t="s">
        <v>12</v>
      </c>
    </row>
    <row r="5542" spans="1:14" x14ac:dyDescent="0.25">
      <c r="A5542">
        <v>20160415</v>
      </c>
      <c r="B5542" t="str">
        <f>"063035"</f>
        <v>063035</v>
      </c>
      <c r="C5542" t="str">
        <f>"24208"</f>
        <v>24208</v>
      </c>
      <c r="D5542" t="s">
        <v>1541</v>
      </c>
      <c r="E5542" s="3">
        <v>95</v>
      </c>
      <c r="F5542">
        <v>20160412</v>
      </c>
      <c r="G5542" t="s">
        <v>1854</v>
      </c>
      <c r="H5542" t="s">
        <v>4721</v>
      </c>
      <c r="I5542">
        <v>0</v>
      </c>
      <c r="J5542" t="s">
        <v>1709</v>
      </c>
      <c r="K5542" t="s">
        <v>1856</v>
      </c>
      <c r="L5542" t="s">
        <v>285</v>
      </c>
      <c r="M5542" t="str">
        <f t="shared" si="393"/>
        <v>04</v>
      </c>
      <c r="N5542" t="s">
        <v>12</v>
      </c>
    </row>
    <row r="5543" spans="1:14" x14ac:dyDescent="0.25">
      <c r="A5543">
        <v>20160415</v>
      </c>
      <c r="B5543" t="str">
        <f>"063037"</f>
        <v>063037</v>
      </c>
      <c r="C5543" t="str">
        <f>"08132"</f>
        <v>08132</v>
      </c>
      <c r="D5543" t="s">
        <v>2436</v>
      </c>
      <c r="E5543" s="3">
        <v>105</v>
      </c>
      <c r="F5543">
        <v>20160412</v>
      </c>
      <c r="G5543" t="s">
        <v>2074</v>
      </c>
      <c r="H5543" t="s">
        <v>4722</v>
      </c>
      <c r="I5543">
        <v>0</v>
      </c>
      <c r="J5543" t="s">
        <v>1709</v>
      </c>
      <c r="K5543" t="s">
        <v>1861</v>
      </c>
      <c r="L5543" t="s">
        <v>285</v>
      </c>
      <c r="M5543" t="str">
        <f t="shared" si="393"/>
        <v>04</v>
      </c>
      <c r="N5543" t="s">
        <v>12</v>
      </c>
    </row>
    <row r="5544" spans="1:14" x14ac:dyDescent="0.25">
      <c r="A5544">
        <v>20160415</v>
      </c>
      <c r="B5544" t="str">
        <f t="shared" ref="B5544:B5552" si="394">"063038"</f>
        <v>063038</v>
      </c>
      <c r="C5544" t="str">
        <f t="shared" ref="C5544:C5552" si="395">"08196"</f>
        <v>08196</v>
      </c>
      <c r="D5544" t="s">
        <v>2438</v>
      </c>
      <c r="E5544" s="3">
        <v>63.02</v>
      </c>
      <c r="F5544">
        <v>20160412</v>
      </c>
      <c r="G5544" t="s">
        <v>2422</v>
      </c>
      <c r="H5544" t="s">
        <v>4723</v>
      </c>
      <c r="I5544">
        <v>0</v>
      </c>
      <c r="J5544" t="s">
        <v>1709</v>
      </c>
      <c r="K5544" t="s">
        <v>290</v>
      </c>
      <c r="L5544" t="s">
        <v>285</v>
      </c>
      <c r="M5544" t="str">
        <f t="shared" si="393"/>
        <v>04</v>
      </c>
      <c r="N5544" t="s">
        <v>12</v>
      </c>
    </row>
    <row r="5545" spans="1:14" x14ac:dyDescent="0.25">
      <c r="A5545">
        <v>20160415</v>
      </c>
      <c r="B5545" t="str">
        <f t="shared" si="394"/>
        <v>063038</v>
      </c>
      <c r="C5545" t="str">
        <f t="shared" si="395"/>
        <v>08196</v>
      </c>
      <c r="D5545" t="s">
        <v>2438</v>
      </c>
      <c r="E5545" s="3">
        <v>99.99</v>
      </c>
      <c r="F5545">
        <v>20160412</v>
      </c>
      <c r="G5545" t="s">
        <v>2422</v>
      </c>
      <c r="H5545" t="s">
        <v>1346</v>
      </c>
      <c r="I5545">
        <v>0</v>
      </c>
      <c r="J5545" t="s">
        <v>1709</v>
      </c>
      <c r="K5545" t="s">
        <v>290</v>
      </c>
      <c r="L5545" t="s">
        <v>285</v>
      </c>
      <c r="M5545" t="str">
        <f t="shared" si="393"/>
        <v>04</v>
      </c>
      <c r="N5545" t="s">
        <v>12</v>
      </c>
    </row>
    <row r="5546" spans="1:14" x14ac:dyDescent="0.25">
      <c r="A5546">
        <v>20160415</v>
      </c>
      <c r="B5546" t="str">
        <f t="shared" si="394"/>
        <v>063038</v>
      </c>
      <c r="C5546" t="str">
        <f t="shared" si="395"/>
        <v>08196</v>
      </c>
      <c r="D5546" t="s">
        <v>2438</v>
      </c>
      <c r="E5546" s="3">
        <v>38.74</v>
      </c>
      <c r="F5546">
        <v>20160412</v>
      </c>
      <c r="G5546" t="s">
        <v>2422</v>
      </c>
      <c r="H5546" t="s">
        <v>4724</v>
      </c>
      <c r="I5546">
        <v>0</v>
      </c>
      <c r="J5546" t="s">
        <v>1709</v>
      </c>
      <c r="K5546" t="s">
        <v>290</v>
      </c>
      <c r="L5546" t="s">
        <v>285</v>
      </c>
      <c r="M5546" t="str">
        <f t="shared" si="393"/>
        <v>04</v>
      </c>
      <c r="N5546" t="s">
        <v>12</v>
      </c>
    </row>
    <row r="5547" spans="1:14" x14ac:dyDescent="0.25">
      <c r="A5547">
        <v>20160415</v>
      </c>
      <c r="B5547" t="str">
        <f t="shared" si="394"/>
        <v>063038</v>
      </c>
      <c r="C5547" t="str">
        <f t="shared" si="395"/>
        <v>08196</v>
      </c>
      <c r="D5547" t="s">
        <v>2438</v>
      </c>
      <c r="E5547" s="3">
        <v>45.4</v>
      </c>
      <c r="F5547">
        <v>20160412</v>
      </c>
      <c r="G5547" t="s">
        <v>2422</v>
      </c>
      <c r="H5547" t="s">
        <v>4725</v>
      </c>
      <c r="I5547">
        <v>0</v>
      </c>
      <c r="J5547" t="s">
        <v>1709</v>
      </c>
      <c r="K5547" t="s">
        <v>290</v>
      </c>
      <c r="L5547" t="s">
        <v>285</v>
      </c>
      <c r="M5547" t="str">
        <f t="shared" si="393"/>
        <v>04</v>
      </c>
      <c r="N5547" t="s">
        <v>12</v>
      </c>
    </row>
    <row r="5548" spans="1:14" x14ac:dyDescent="0.25">
      <c r="A5548">
        <v>20160415</v>
      </c>
      <c r="B5548" t="str">
        <f t="shared" si="394"/>
        <v>063038</v>
      </c>
      <c r="C5548" t="str">
        <f t="shared" si="395"/>
        <v>08196</v>
      </c>
      <c r="D5548" t="s">
        <v>2438</v>
      </c>
      <c r="E5548" s="3">
        <v>6.64</v>
      </c>
      <c r="F5548">
        <v>20160412</v>
      </c>
      <c r="G5548" t="s">
        <v>2422</v>
      </c>
      <c r="H5548" t="s">
        <v>4726</v>
      </c>
      <c r="I5548">
        <v>0</v>
      </c>
      <c r="J5548" t="s">
        <v>1709</v>
      </c>
      <c r="K5548" t="s">
        <v>290</v>
      </c>
      <c r="L5548" t="s">
        <v>285</v>
      </c>
      <c r="M5548" t="str">
        <f t="shared" si="393"/>
        <v>04</v>
      </c>
      <c r="N5548" t="s">
        <v>12</v>
      </c>
    </row>
    <row r="5549" spans="1:14" x14ac:dyDescent="0.25">
      <c r="A5549">
        <v>20160415</v>
      </c>
      <c r="B5549" t="str">
        <f t="shared" si="394"/>
        <v>063038</v>
      </c>
      <c r="C5549" t="str">
        <f t="shared" si="395"/>
        <v>08196</v>
      </c>
      <c r="D5549" t="s">
        <v>2438</v>
      </c>
      <c r="E5549" s="3">
        <v>37.5</v>
      </c>
      <c r="F5549">
        <v>20160412</v>
      </c>
      <c r="G5549" t="s">
        <v>2422</v>
      </c>
      <c r="H5549" t="s">
        <v>4727</v>
      </c>
      <c r="I5549">
        <v>0</v>
      </c>
      <c r="J5549" t="s">
        <v>1709</v>
      </c>
      <c r="K5549" t="s">
        <v>290</v>
      </c>
      <c r="L5549" t="s">
        <v>285</v>
      </c>
      <c r="M5549" t="str">
        <f t="shared" si="393"/>
        <v>04</v>
      </c>
      <c r="N5549" t="s">
        <v>12</v>
      </c>
    </row>
    <row r="5550" spans="1:14" x14ac:dyDescent="0.25">
      <c r="A5550">
        <v>20160415</v>
      </c>
      <c r="B5550" t="str">
        <f t="shared" si="394"/>
        <v>063038</v>
      </c>
      <c r="C5550" t="str">
        <f t="shared" si="395"/>
        <v>08196</v>
      </c>
      <c r="D5550" t="s">
        <v>2438</v>
      </c>
      <c r="E5550" s="3">
        <v>12.34</v>
      </c>
      <c r="F5550">
        <v>20160412</v>
      </c>
      <c r="G5550" t="s">
        <v>2422</v>
      </c>
      <c r="H5550" t="s">
        <v>4726</v>
      </c>
      <c r="I5550">
        <v>0</v>
      </c>
      <c r="J5550" t="s">
        <v>1709</v>
      </c>
      <c r="K5550" t="s">
        <v>290</v>
      </c>
      <c r="L5550" t="s">
        <v>285</v>
      </c>
      <c r="M5550" t="str">
        <f t="shared" si="393"/>
        <v>04</v>
      </c>
      <c r="N5550" t="s">
        <v>12</v>
      </c>
    </row>
    <row r="5551" spans="1:14" x14ac:dyDescent="0.25">
      <c r="A5551">
        <v>20160415</v>
      </c>
      <c r="B5551" t="str">
        <f t="shared" si="394"/>
        <v>063038</v>
      </c>
      <c r="C5551" t="str">
        <f t="shared" si="395"/>
        <v>08196</v>
      </c>
      <c r="D5551" t="s">
        <v>2438</v>
      </c>
      <c r="E5551" s="3">
        <v>27.74</v>
      </c>
      <c r="F5551">
        <v>20160412</v>
      </c>
      <c r="G5551" t="s">
        <v>2422</v>
      </c>
      <c r="H5551" t="s">
        <v>4728</v>
      </c>
      <c r="I5551">
        <v>0</v>
      </c>
      <c r="J5551" t="s">
        <v>1709</v>
      </c>
      <c r="K5551" t="s">
        <v>290</v>
      </c>
      <c r="L5551" t="s">
        <v>285</v>
      </c>
      <c r="M5551" t="str">
        <f t="shared" si="393"/>
        <v>04</v>
      </c>
      <c r="N5551" t="s">
        <v>12</v>
      </c>
    </row>
    <row r="5552" spans="1:14" x14ac:dyDescent="0.25">
      <c r="A5552">
        <v>20160415</v>
      </c>
      <c r="B5552" t="str">
        <f t="shared" si="394"/>
        <v>063038</v>
      </c>
      <c r="C5552" t="str">
        <f t="shared" si="395"/>
        <v>08196</v>
      </c>
      <c r="D5552" t="s">
        <v>2438</v>
      </c>
      <c r="E5552" s="3">
        <v>15.49</v>
      </c>
      <c r="F5552">
        <v>20160412</v>
      </c>
      <c r="G5552" t="s">
        <v>2422</v>
      </c>
      <c r="H5552" t="s">
        <v>4729</v>
      </c>
      <c r="I5552">
        <v>0</v>
      </c>
      <c r="J5552" t="s">
        <v>1709</v>
      </c>
      <c r="K5552" t="s">
        <v>290</v>
      </c>
      <c r="L5552" t="s">
        <v>285</v>
      </c>
      <c r="M5552" t="str">
        <f t="shared" si="393"/>
        <v>04</v>
      </c>
      <c r="N5552" t="s">
        <v>12</v>
      </c>
    </row>
    <row r="5553" spans="1:14" x14ac:dyDescent="0.25">
      <c r="A5553">
        <v>20160415</v>
      </c>
      <c r="B5553" t="str">
        <f>"063039"</f>
        <v>063039</v>
      </c>
      <c r="C5553" t="str">
        <f>"09009"</f>
        <v>09009</v>
      </c>
      <c r="D5553" t="s">
        <v>4341</v>
      </c>
      <c r="E5553" s="3">
        <v>2600.52</v>
      </c>
      <c r="F5553">
        <v>20160412</v>
      </c>
      <c r="G5553" t="s">
        <v>4342</v>
      </c>
      <c r="H5553" t="s">
        <v>4730</v>
      </c>
      <c r="I5553">
        <v>0</v>
      </c>
      <c r="J5553" t="s">
        <v>1709</v>
      </c>
      <c r="K5553" t="s">
        <v>290</v>
      </c>
      <c r="L5553" t="s">
        <v>285</v>
      </c>
      <c r="M5553" t="str">
        <f t="shared" si="393"/>
        <v>04</v>
      </c>
      <c r="N5553" t="s">
        <v>12</v>
      </c>
    </row>
    <row r="5554" spans="1:14" x14ac:dyDescent="0.25">
      <c r="A5554">
        <v>20160415</v>
      </c>
      <c r="B5554" t="str">
        <f>"063039"</f>
        <v>063039</v>
      </c>
      <c r="C5554" t="str">
        <f>"09009"</f>
        <v>09009</v>
      </c>
      <c r="D5554" t="s">
        <v>4341</v>
      </c>
      <c r="E5554" s="3">
        <v>580.79999999999995</v>
      </c>
      <c r="F5554">
        <v>20160412</v>
      </c>
      <c r="G5554" t="s">
        <v>4342</v>
      </c>
      <c r="H5554" t="s">
        <v>4730</v>
      </c>
      <c r="I5554">
        <v>0</v>
      </c>
      <c r="J5554" t="s">
        <v>1709</v>
      </c>
      <c r="K5554" t="s">
        <v>290</v>
      </c>
      <c r="L5554" t="s">
        <v>285</v>
      </c>
      <c r="M5554" t="str">
        <f t="shared" si="393"/>
        <v>04</v>
      </c>
      <c r="N5554" t="s">
        <v>12</v>
      </c>
    </row>
    <row r="5555" spans="1:14" x14ac:dyDescent="0.25">
      <c r="A5555">
        <v>20160415</v>
      </c>
      <c r="B5555" t="str">
        <f>"063040"</f>
        <v>063040</v>
      </c>
      <c r="C5555" t="str">
        <f>"09015"</f>
        <v>09015</v>
      </c>
      <c r="D5555" t="s">
        <v>4731</v>
      </c>
      <c r="E5555" s="3">
        <v>316</v>
      </c>
      <c r="F5555">
        <v>20160412</v>
      </c>
      <c r="G5555" t="s">
        <v>4732</v>
      </c>
      <c r="H5555" t="s">
        <v>4733</v>
      </c>
      <c r="I5555">
        <v>0</v>
      </c>
      <c r="J5555" t="s">
        <v>1709</v>
      </c>
      <c r="K5555" t="s">
        <v>1643</v>
      </c>
      <c r="L5555" t="s">
        <v>285</v>
      </c>
      <c r="M5555" t="str">
        <f t="shared" si="393"/>
        <v>04</v>
      </c>
      <c r="N5555" t="s">
        <v>12</v>
      </c>
    </row>
    <row r="5556" spans="1:14" x14ac:dyDescent="0.25">
      <c r="A5556">
        <v>20160415</v>
      </c>
      <c r="B5556" t="str">
        <f>"063043"</f>
        <v>063043</v>
      </c>
      <c r="C5556" t="str">
        <f>"11210"</f>
        <v>11210</v>
      </c>
      <c r="D5556" t="s">
        <v>3030</v>
      </c>
      <c r="E5556" s="3">
        <v>1356.4</v>
      </c>
      <c r="F5556">
        <v>20160412</v>
      </c>
      <c r="G5556" t="s">
        <v>3031</v>
      </c>
      <c r="H5556" t="s">
        <v>1618</v>
      </c>
      <c r="I5556">
        <v>0</v>
      </c>
      <c r="J5556" t="s">
        <v>1709</v>
      </c>
      <c r="K5556" t="s">
        <v>290</v>
      </c>
      <c r="L5556" t="s">
        <v>285</v>
      </c>
      <c r="M5556" t="str">
        <f t="shared" si="393"/>
        <v>04</v>
      </c>
      <c r="N5556" t="s">
        <v>12</v>
      </c>
    </row>
    <row r="5557" spans="1:14" x14ac:dyDescent="0.25">
      <c r="A5557">
        <v>20160415</v>
      </c>
      <c r="B5557" t="str">
        <f>"063045"</f>
        <v>063045</v>
      </c>
      <c r="C5557" t="str">
        <f>"11776"</f>
        <v>11776</v>
      </c>
      <c r="D5557" t="s">
        <v>4734</v>
      </c>
      <c r="E5557" s="3">
        <v>1000</v>
      </c>
      <c r="F5557">
        <v>20160412</v>
      </c>
      <c r="G5557" t="s">
        <v>2192</v>
      </c>
      <c r="H5557" t="s">
        <v>4735</v>
      </c>
      <c r="I5557">
        <v>0</v>
      </c>
      <c r="J5557" t="s">
        <v>1709</v>
      </c>
      <c r="K5557" t="s">
        <v>2194</v>
      </c>
      <c r="L5557" t="s">
        <v>285</v>
      </c>
      <c r="M5557" t="str">
        <f t="shared" si="393"/>
        <v>04</v>
      </c>
      <c r="N5557" t="s">
        <v>12</v>
      </c>
    </row>
    <row r="5558" spans="1:14" x14ac:dyDescent="0.25">
      <c r="A5558">
        <v>20160415</v>
      </c>
      <c r="B5558" t="str">
        <f>"063047"</f>
        <v>063047</v>
      </c>
      <c r="C5558" t="str">
        <f>"13281"</f>
        <v>13281</v>
      </c>
      <c r="D5558" t="s">
        <v>2092</v>
      </c>
      <c r="E5558" s="3">
        <v>325</v>
      </c>
      <c r="F5558">
        <v>20160412</v>
      </c>
      <c r="G5558" t="s">
        <v>3767</v>
      </c>
      <c r="H5558" t="s">
        <v>4736</v>
      </c>
      <c r="I5558">
        <v>0</v>
      </c>
      <c r="J5558" t="s">
        <v>1709</v>
      </c>
      <c r="K5558" t="s">
        <v>2194</v>
      </c>
      <c r="L5558" t="s">
        <v>285</v>
      </c>
      <c r="M5558" t="str">
        <f t="shared" si="393"/>
        <v>04</v>
      </c>
      <c r="N5558" t="s">
        <v>12</v>
      </c>
    </row>
    <row r="5559" spans="1:14" x14ac:dyDescent="0.25">
      <c r="A5559">
        <v>20160415</v>
      </c>
      <c r="B5559" t="str">
        <f>"063047"</f>
        <v>063047</v>
      </c>
      <c r="C5559" t="str">
        <f>"13281"</f>
        <v>13281</v>
      </c>
      <c r="D5559" t="s">
        <v>2092</v>
      </c>
      <c r="E5559" s="3">
        <v>125</v>
      </c>
      <c r="F5559">
        <v>20160412</v>
      </c>
      <c r="G5559" t="s">
        <v>3767</v>
      </c>
      <c r="H5559" t="s">
        <v>4737</v>
      </c>
      <c r="I5559">
        <v>0</v>
      </c>
      <c r="J5559" t="s">
        <v>1709</v>
      </c>
      <c r="K5559" t="s">
        <v>2194</v>
      </c>
      <c r="L5559" t="s">
        <v>285</v>
      </c>
      <c r="M5559" t="str">
        <f t="shared" si="393"/>
        <v>04</v>
      </c>
      <c r="N5559" t="s">
        <v>12</v>
      </c>
    </row>
    <row r="5560" spans="1:14" x14ac:dyDescent="0.25">
      <c r="A5560">
        <v>20160415</v>
      </c>
      <c r="B5560" t="str">
        <f>"063048"</f>
        <v>063048</v>
      </c>
      <c r="C5560" t="str">
        <f>"08791"</f>
        <v>08791</v>
      </c>
      <c r="D5560" t="s">
        <v>4346</v>
      </c>
      <c r="E5560" s="3">
        <v>398.62</v>
      </c>
      <c r="F5560">
        <v>20160412</v>
      </c>
      <c r="G5560" t="s">
        <v>2074</v>
      </c>
      <c r="H5560" t="s">
        <v>4738</v>
      </c>
      <c r="I5560">
        <v>0</v>
      </c>
      <c r="J5560" t="s">
        <v>1709</v>
      </c>
      <c r="K5560" t="s">
        <v>1861</v>
      </c>
      <c r="L5560" t="s">
        <v>285</v>
      </c>
      <c r="M5560" t="str">
        <f t="shared" si="393"/>
        <v>04</v>
      </c>
      <c r="N5560" t="s">
        <v>12</v>
      </c>
    </row>
    <row r="5561" spans="1:14" x14ac:dyDescent="0.25">
      <c r="A5561">
        <v>20160415</v>
      </c>
      <c r="B5561" t="str">
        <f>"063051"</f>
        <v>063051</v>
      </c>
      <c r="C5561" t="str">
        <f>"19160"</f>
        <v>19160</v>
      </c>
      <c r="D5561" t="s">
        <v>4006</v>
      </c>
      <c r="E5561" s="3">
        <v>149.27000000000001</v>
      </c>
      <c r="F5561">
        <v>20160412</v>
      </c>
      <c r="G5561" t="s">
        <v>2100</v>
      </c>
      <c r="H5561" t="s">
        <v>4739</v>
      </c>
      <c r="I5561">
        <v>0</v>
      </c>
      <c r="J5561" t="s">
        <v>1709</v>
      </c>
      <c r="K5561" t="s">
        <v>33</v>
      </c>
      <c r="L5561" t="s">
        <v>285</v>
      </c>
      <c r="M5561" t="str">
        <f t="shared" si="393"/>
        <v>04</v>
      </c>
      <c r="N5561" t="s">
        <v>12</v>
      </c>
    </row>
    <row r="5562" spans="1:14" x14ac:dyDescent="0.25">
      <c r="A5562">
        <v>20160415</v>
      </c>
      <c r="B5562" t="str">
        <f>"063052"</f>
        <v>063052</v>
      </c>
      <c r="C5562" t="str">
        <f>"19134"</f>
        <v>19134</v>
      </c>
      <c r="D5562" t="s">
        <v>2741</v>
      </c>
      <c r="E5562" s="3">
        <v>112.56</v>
      </c>
      <c r="F5562">
        <v>20160412</v>
      </c>
      <c r="G5562" t="s">
        <v>2742</v>
      </c>
      <c r="H5562" t="s">
        <v>4740</v>
      </c>
      <c r="I5562">
        <v>0</v>
      </c>
      <c r="J5562" t="s">
        <v>1709</v>
      </c>
      <c r="K5562" t="s">
        <v>1558</v>
      </c>
      <c r="L5562" t="s">
        <v>285</v>
      </c>
      <c r="M5562" t="str">
        <f t="shared" si="393"/>
        <v>04</v>
      </c>
      <c r="N5562" t="s">
        <v>12</v>
      </c>
    </row>
    <row r="5563" spans="1:14" x14ac:dyDescent="0.25">
      <c r="A5563">
        <v>20160415</v>
      </c>
      <c r="B5563" t="str">
        <f>"063053"</f>
        <v>063053</v>
      </c>
      <c r="C5563" t="str">
        <f>"21842"</f>
        <v>21842</v>
      </c>
      <c r="D5563" t="s">
        <v>2455</v>
      </c>
      <c r="E5563" s="3">
        <v>420</v>
      </c>
      <c r="F5563">
        <v>20160412</v>
      </c>
      <c r="G5563" t="s">
        <v>1854</v>
      </c>
      <c r="H5563" t="s">
        <v>4741</v>
      </c>
      <c r="I5563">
        <v>0</v>
      </c>
      <c r="J5563" t="s">
        <v>1709</v>
      </c>
      <c r="K5563" t="s">
        <v>1856</v>
      </c>
      <c r="L5563" t="s">
        <v>285</v>
      </c>
      <c r="M5563" t="str">
        <f t="shared" si="393"/>
        <v>04</v>
      </c>
      <c r="N5563" t="s">
        <v>12</v>
      </c>
    </row>
    <row r="5564" spans="1:14" x14ac:dyDescent="0.25">
      <c r="A5564">
        <v>20160415</v>
      </c>
      <c r="B5564" t="str">
        <f t="shared" ref="B5564:B5571" si="396">"063054"</f>
        <v>063054</v>
      </c>
      <c r="C5564" t="str">
        <f t="shared" ref="C5564:C5571" si="397">"14821"</f>
        <v>14821</v>
      </c>
      <c r="D5564" t="s">
        <v>2461</v>
      </c>
      <c r="E5564" s="3">
        <v>5924.24</v>
      </c>
      <c r="F5564">
        <v>20160412</v>
      </c>
      <c r="G5564" t="s">
        <v>2303</v>
      </c>
      <c r="H5564" t="s">
        <v>3420</v>
      </c>
      <c r="I5564">
        <v>0</v>
      </c>
      <c r="J5564" t="s">
        <v>1709</v>
      </c>
      <c r="K5564" t="s">
        <v>235</v>
      </c>
      <c r="L5564" t="s">
        <v>285</v>
      </c>
      <c r="M5564" t="str">
        <f t="shared" si="393"/>
        <v>04</v>
      </c>
      <c r="N5564" t="s">
        <v>12</v>
      </c>
    </row>
    <row r="5565" spans="1:14" x14ac:dyDescent="0.25">
      <c r="A5565">
        <v>20160415</v>
      </c>
      <c r="B5565" t="str">
        <f t="shared" si="396"/>
        <v>063054</v>
      </c>
      <c r="C5565" t="str">
        <f t="shared" si="397"/>
        <v>14821</v>
      </c>
      <c r="D5565" t="s">
        <v>2461</v>
      </c>
      <c r="E5565" s="3">
        <v>2106.31</v>
      </c>
      <c r="F5565">
        <v>20160412</v>
      </c>
      <c r="G5565" t="s">
        <v>2303</v>
      </c>
      <c r="H5565" t="s">
        <v>3420</v>
      </c>
      <c r="I5565">
        <v>0</v>
      </c>
      <c r="J5565" t="s">
        <v>1709</v>
      </c>
      <c r="K5565" t="s">
        <v>235</v>
      </c>
      <c r="L5565" t="s">
        <v>285</v>
      </c>
      <c r="M5565" t="str">
        <f t="shared" si="393"/>
        <v>04</v>
      </c>
      <c r="N5565" t="s">
        <v>12</v>
      </c>
    </row>
    <row r="5566" spans="1:14" x14ac:dyDescent="0.25">
      <c r="A5566">
        <v>20160415</v>
      </c>
      <c r="B5566" t="str">
        <f t="shared" si="396"/>
        <v>063054</v>
      </c>
      <c r="C5566" t="str">
        <f t="shared" si="397"/>
        <v>14821</v>
      </c>
      <c r="D5566" t="s">
        <v>2461</v>
      </c>
      <c r="E5566" s="3">
        <v>234.83</v>
      </c>
      <c r="F5566">
        <v>20160412</v>
      </c>
      <c r="G5566" t="s">
        <v>2303</v>
      </c>
      <c r="H5566" t="s">
        <v>3420</v>
      </c>
      <c r="I5566">
        <v>0</v>
      </c>
      <c r="J5566" t="s">
        <v>1709</v>
      </c>
      <c r="K5566" t="s">
        <v>235</v>
      </c>
      <c r="L5566" t="s">
        <v>285</v>
      </c>
      <c r="M5566" t="str">
        <f t="shared" si="393"/>
        <v>04</v>
      </c>
      <c r="N5566" t="s">
        <v>12</v>
      </c>
    </row>
    <row r="5567" spans="1:14" x14ac:dyDescent="0.25">
      <c r="A5567">
        <v>20160415</v>
      </c>
      <c r="B5567" t="str">
        <f t="shared" si="396"/>
        <v>063054</v>
      </c>
      <c r="C5567" t="str">
        <f t="shared" si="397"/>
        <v>14821</v>
      </c>
      <c r="D5567" t="s">
        <v>2461</v>
      </c>
      <c r="E5567" s="3">
        <v>102.72</v>
      </c>
      <c r="F5567">
        <v>20160412</v>
      </c>
      <c r="G5567" t="s">
        <v>2303</v>
      </c>
      <c r="H5567" t="s">
        <v>4742</v>
      </c>
      <c r="I5567">
        <v>0</v>
      </c>
      <c r="J5567" t="s">
        <v>1709</v>
      </c>
      <c r="K5567" t="s">
        <v>235</v>
      </c>
      <c r="L5567" t="s">
        <v>285</v>
      </c>
      <c r="M5567" t="str">
        <f t="shared" si="393"/>
        <v>04</v>
      </c>
      <c r="N5567" t="s">
        <v>12</v>
      </c>
    </row>
    <row r="5568" spans="1:14" x14ac:dyDescent="0.25">
      <c r="A5568">
        <v>20160415</v>
      </c>
      <c r="B5568" t="str">
        <f t="shared" si="396"/>
        <v>063054</v>
      </c>
      <c r="C5568" t="str">
        <f t="shared" si="397"/>
        <v>14821</v>
      </c>
      <c r="D5568" t="s">
        <v>2461</v>
      </c>
      <c r="E5568" s="3">
        <v>170.4</v>
      </c>
      <c r="F5568">
        <v>20160412</v>
      </c>
      <c r="G5568" t="s">
        <v>2303</v>
      </c>
      <c r="H5568" t="s">
        <v>4743</v>
      </c>
      <c r="I5568">
        <v>0</v>
      </c>
      <c r="J5568" t="s">
        <v>1709</v>
      </c>
      <c r="K5568" t="s">
        <v>235</v>
      </c>
      <c r="L5568" t="s">
        <v>285</v>
      </c>
      <c r="M5568" t="str">
        <f t="shared" si="393"/>
        <v>04</v>
      </c>
      <c r="N5568" t="s">
        <v>12</v>
      </c>
    </row>
    <row r="5569" spans="1:14" x14ac:dyDescent="0.25">
      <c r="A5569">
        <v>20160415</v>
      </c>
      <c r="B5569" t="str">
        <f t="shared" si="396"/>
        <v>063054</v>
      </c>
      <c r="C5569" t="str">
        <f t="shared" si="397"/>
        <v>14821</v>
      </c>
      <c r="D5569" t="s">
        <v>2461</v>
      </c>
      <c r="E5569" s="3">
        <v>340.8</v>
      </c>
      <c r="F5569">
        <v>20160412</v>
      </c>
      <c r="G5569" t="s">
        <v>2303</v>
      </c>
      <c r="H5569" t="s">
        <v>4743</v>
      </c>
      <c r="I5569">
        <v>0</v>
      </c>
      <c r="J5569" t="s">
        <v>1709</v>
      </c>
      <c r="K5569" t="s">
        <v>235</v>
      </c>
      <c r="L5569" t="s">
        <v>285</v>
      </c>
      <c r="M5569" t="str">
        <f t="shared" si="393"/>
        <v>04</v>
      </c>
      <c r="N5569" t="s">
        <v>12</v>
      </c>
    </row>
    <row r="5570" spans="1:14" x14ac:dyDescent="0.25">
      <c r="A5570">
        <v>20160415</v>
      </c>
      <c r="B5570" t="str">
        <f t="shared" si="396"/>
        <v>063054</v>
      </c>
      <c r="C5570" t="str">
        <f t="shared" si="397"/>
        <v>14821</v>
      </c>
      <c r="D5570" t="s">
        <v>2461</v>
      </c>
      <c r="E5570" s="3">
        <v>5914</v>
      </c>
      <c r="F5570">
        <v>20160412</v>
      </c>
      <c r="G5570" t="s">
        <v>2303</v>
      </c>
      <c r="H5570" t="s">
        <v>2466</v>
      </c>
      <c r="I5570">
        <v>0</v>
      </c>
      <c r="J5570" t="s">
        <v>1709</v>
      </c>
      <c r="K5570" t="s">
        <v>235</v>
      </c>
      <c r="L5570" t="s">
        <v>285</v>
      </c>
      <c r="M5570" t="str">
        <f t="shared" si="393"/>
        <v>04</v>
      </c>
      <c r="N5570" t="s">
        <v>12</v>
      </c>
    </row>
    <row r="5571" spans="1:14" x14ac:dyDescent="0.25">
      <c r="A5571">
        <v>20160415</v>
      </c>
      <c r="B5571" t="str">
        <f t="shared" si="396"/>
        <v>063054</v>
      </c>
      <c r="C5571" t="str">
        <f t="shared" si="397"/>
        <v>14821</v>
      </c>
      <c r="D5571" t="s">
        <v>2461</v>
      </c>
      <c r="E5571" s="3">
        <v>-14.54</v>
      </c>
      <c r="F5571">
        <v>20160318</v>
      </c>
      <c r="G5571" t="s">
        <v>2303</v>
      </c>
      <c r="H5571" t="s">
        <v>4744</v>
      </c>
      <c r="I5571">
        <v>0</v>
      </c>
      <c r="J5571" t="s">
        <v>1709</v>
      </c>
      <c r="K5571" t="s">
        <v>235</v>
      </c>
      <c r="L5571" t="s">
        <v>1385</v>
      </c>
      <c r="M5571" t="str">
        <f t="shared" si="393"/>
        <v>04</v>
      </c>
      <c r="N5571" t="s">
        <v>12</v>
      </c>
    </row>
    <row r="5572" spans="1:14" x14ac:dyDescent="0.25">
      <c r="A5572">
        <v>20160415</v>
      </c>
      <c r="B5572" t="str">
        <f>"063058"</f>
        <v>063058</v>
      </c>
      <c r="C5572" t="str">
        <f>"51346"</f>
        <v>51346</v>
      </c>
      <c r="D5572" t="s">
        <v>379</v>
      </c>
      <c r="E5572" s="3">
        <v>123.5</v>
      </c>
      <c r="F5572">
        <v>20160412</v>
      </c>
      <c r="G5572" t="s">
        <v>2172</v>
      </c>
      <c r="H5572" t="s">
        <v>4745</v>
      </c>
      <c r="I5572">
        <v>0</v>
      </c>
      <c r="J5572" t="s">
        <v>1709</v>
      </c>
      <c r="K5572" t="s">
        <v>95</v>
      </c>
      <c r="L5572" t="s">
        <v>285</v>
      </c>
      <c r="M5572" t="str">
        <f t="shared" si="393"/>
        <v>04</v>
      </c>
      <c r="N5572" t="s">
        <v>12</v>
      </c>
    </row>
    <row r="5573" spans="1:14" x14ac:dyDescent="0.25">
      <c r="A5573">
        <v>20160415</v>
      </c>
      <c r="B5573" t="str">
        <f t="shared" ref="B5573:B5585" si="398">"063059"</f>
        <v>063059</v>
      </c>
      <c r="C5573" t="str">
        <f t="shared" ref="C5573:C5585" si="399">"20706"</f>
        <v>20706</v>
      </c>
      <c r="D5573" t="s">
        <v>1823</v>
      </c>
      <c r="E5573" s="3">
        <v>11077.49</v>
      </c>
      <c r="F5573">
        <v>20160412</v>
      </c>
      <c r="G5573" t="s">
        <v>2235</v>
      </c>
      <c r="H5573" t="s">
        <v>4746</v>
      </c>
      <c r="I5573">
        <v>0</v>
      </c>
      <c r="J5573" t="s">
        <v>1709</v>
      </c>
      <c r="K5573" t="s">
        <v>290</v>
      </c>
      <c r="L5573" t="s">
        <v>285</v>
      </c>
      <c r="M5573" t="str">
        <f t="shared" si="393"/>
        <v>04</v>
      </c>
      <c r="N5573" t="s">
        <v>12</v>
      </c>
    </row>
    <row r="5574" spans="1:14" x14ac:dyDescent="0.25">
      <c r="A5574">
        <v>20160415</v>
      </c>
      <c r="B5574" t="str">
        <f t="shared" si="398"/>
        <v>063059</v>
      </c>
      <c r="C5574" t="str">
        <f t="shared" si="399"/>
        <v>20706</v>
      </c>
      <c r="D5574" t="s">
        <v>1823</v>
      </c>
      <c r="E5574" s="3">
        <v>45.21</v>
      </c>
      <c r="F5574">
        <v>20160412</v>
      </c>
      <c r="G5574" t="s">
        <v>2237</v>
      </c>
      <c r="H5574" t="s">
        <v>4747</v>
      </c>
      <c r="I5574">
        <v>0</v>
      </c>
      <c r="J5574" t="s">
        <v>1709</v>
      </c>
      <c r="K5574" t="s">
        <v>1558</v>
      </c>
      <c r="L5574" t="s">
        <v>285</v>
      </c>
      <c r="M5574" t="str">
        <f t="shared" si="393"/>
        <v>04</v>
      </c>
      <c r="N5574" t="s">
        <v>12</v>
      </c>
    </row>
    <row r="5575" spans="1:14" x14ac:dyDescent="0.25">
      <c r="A5575">
        <v>20160415</v>
      </c>
      <c r="B5575" t="str">
        <f t="shared" si="398"/>
        <v>063059</v>
      </c>
      <c r="C5575" t="str">
        <f t="shared" si="399"/>
        <v>20706</v>
      </c>
      <c r="D5575" t="s">
        <v>1823</v>
      </c>
      <c r="E5575" s="3">
        <v>623.79</v>
      </c>
      <c r="F5575">
        <v>20160412</v>
      </c>
      <c r="G5575" t="s">
        <v>2239</v>
      </c>
      <c r="H5575" t="s">
        <v>4748</v>
      </c>
      <c r="I5575">
        <v>0</v>
      </c>
      <c r="J5575" t="s">
        <v>1709</v>
      </c>
      <c r="K5575" t="s">
        <v>95</v>
      </c>
      <c r="L5575" t="s">
        <v>285</v>
      </c>
      <c r="M5575" t="str">
        <f t="shared" si="393"/>
        <v>04</v>
      </c>
      <c r="N5575" t="s">
        <v>12</v>
      </c>
    </row>
    <row r="5576" spans="1:14" x14ac:dyDescent="0.25">
      <c r="A5576">
        <v>20160415</v>
      </c>
      <c r="B5576" t="str">
        <f t="shared" si="398"/>
        <v>063059</v>
      </c>
      <c r="C5576" t="str">
        <f t="shared" si="399"/>
        <v>20706</v>
      </c>
      <c r="D5576" t="s">
        <v>1823</v>
      </c>
      <c r="E5576" s="3">
        <v>2164.65</v>
      </c>
      <c r="F5576">
        <v>20160412</v>
      </c>
      <c r="G5576" t="s">
        <v>2241</v>
      </c>
      <c r="H5576" t="s">
        <v>4749</v>
      </c>
      <c r="I5576">
        <v>0</v>
      </c>
      <c r="J5576" t="s">
        <v>1709</v>
      </c>
      <c r="K5576" t="s">
        <v>1643</v>
      </c>
      <c r="L5576" t="s">
        <v>285</v>
      </c>
      <c r="M5576" t="str">
        <f t="shared" si="393"/>
        <v>04</v>
      </c>
      <c r="N5576" t="s">
        <v>12</v>
      </c>
    </row>
    <row r="5577" spans="1:14" x14ac:dyDescent="0.25">
      <c r="A5577">
        <v>20160415</v>
      </c>
      <c r="B5577" t="str">
        <f t="shared" si="398"/>
        <v>063059</v>
      </c>
      <c r="C5577" t="str">
        <f t="shared" si="399"/>
        <v>20706</v>
      </c>
      <c r="D5577" t="s">
        <v>1823</v>
      </c>
      <c r="E5577" s="3">
        <v>1740.63</v>
      </c>
      <c r="F5577">
        <v>20160412</v>
      </c>
      <c r="G5577" t="s">
        <v>2243</v>
      </c>
      <c r="H5577" t="s">
        <v>4750</v>
      </c>
      <c r="I5577">
        <v>0</v>
      </c>
      <c r="J5577" t="s">
        <v>1709</v>
      </c>
      <c r="K5577" t="s">
        <v>33</v>
      </c>
      <c r="L5577" t="s">
        <v>285</v>
      </c>
      <c r="M5577" t="str">
        <f t="shared" si="393"/>
        <v>04</v>
      </c>
      <c r="N5577" t="s">
        <v>12</v>
      </c>
    </row>
    <row r="5578" spans="1:14" x14ac:dyDescent="0.25">
      <c r="A5578">
        <v>20160415</v>
      </c>
      <c r="B5578" t="str">
        <f t="shared" si="398"/>
        <v>063059</v>
      </c>
      <c r="C5578" t="str">
        <f t="shared" si="399"/>
        <v>20706</v>
      </c>
      <c r="D5578" t="s">
        <v>1823</v>
      </c>
      <c r="E5578" s="3">
        <v>598.66</v>
      </c>
      <c r="F5578">
        <v>20160412</v>
      </c>
      <c r="G5578" t="s">
        <v>2245</v>
      </c>
      <c r="H5578" t="s">
        <v>4751</v>
      </c>
      <c r="I5578">
        <v>0</v>
      </c>
      <c r="J5578" t="s">
        <v>1709</v>
      </c>
      <c r="K5578" t="s">
        <v>2247</v>
      </c>
      <c r="L5578" t="s">
        <v>285</v>
      </c>
      <c r="M5578" t="str">
        <f t="shared" si="393"/>
        <v>04</v>
      </c>
      <c r="N5578" t="s">
        <v>12</v>
      </c>
    </row>
    <row r="5579" spans="1:14" x14ac:dyDescent="0.25">
      <c r="A5579">
        <v>20160415</v>
      </c>
      <c r="B5579" t="str">
        <f t="shared" si="398"/>
        <v>063059</v>
      </c>
      <c r="C5579" t="str">
        <f t="shared" si="399"/>
        <v>20706</v>
      </c>
      <c r="D5579" t="s">
        <v>1823</v>
      </c>
      <c r="E5579" s="3">
        <v>91.85</v>
      </c>
      <c r="F5579">
        <v>20160412</v>
      </c>
      <c r="G5579" t="s">
        <v>2248</v>
      </c>
      <c r="H5579" t="s">
        <v>4752</v>
      </c>
      <c r="I5579">
        <v>0</v>
      </c>
      <c r="J5579" t="s">
        <v>1709</v>
      </c>
      <c r="K5579" t="s">
        <v>1861</v>
      </c>
      <c r="L5579" t="s">
        <v>285</v>
      </c>
      <c r="M5579" t="str">
        <f t="shared" si="393"/>
        <v>04</v>
      </c>
      <c r="N5579" t="s">
        <v>12</v>
      </c>
    </row>
    <row r="5580" spans="1:14" x14ac:dyDescent="0.25">
      <c r="A5580">
        <v>20160415</v>
      </c>
      <c r="B5580" t="str">
        <f t="shared" si="398"/>
        <v>063059</v>
      </c>
      <c r="C5580" t="str">
        <f t="shared" si="399"/>
        <v>20706</v>
      </c>
      <c r="D5580" t="s">
        <v>1823</v>
      </c>
      <c r="E5580" s="3">
        <v>1578.42</v>
      </c>
      <c r="F5580">
        <v>20160412</v>
      </c>
      <c r="G5580" t="s">
        <v>2250</v>
      </c>
      <c r="H5580" t="s">
        <v>4753</v>
      </c>
      <c r="I5580">
        <v>0</v>
      </c>
      <c r="J5580" t="s">
        <v>1709</v>
      </c>
      <c r="K5580" t="s">
        <v>2252</v>
      </c>
      <c r="L5580" t="s">
        <v>285</v>
      </c>
      <c r="M5580" t="str">
        <f t="shared" si="393"/>
        <v>04</v>
      </c>
      <c r="N5580" t="s">
        <v>12</v>
      </c>
    </row>
    <row r="5581" spans="1:14" x14ac:dyDescent="0.25">
      <c r="A5581">
        <v>20160415</v>
      </c>
      <c r="B5581" t="str">
        <f t="shared" si="398"/>
        <v>063059</v>
      </c>
      <c r="C5581" t="str">
        <f t="shared" si="399"/>
        <v>20706</v>
      </c>
      <c r="D5581" t="s">
        <v>1823</v>
      </c>
      <c r="E5581" s="3">
        <v>1698.67</v>
      </c>
      <c r="F5581">
        <v>20160412</v>
      </c>
      <c r="G5581" t="s">
        <v>2253</v>
      </c>
      <c r="H5581" t="s">
        <v>4754</v>
      </c>
      <c r="I5581">
        <v>0</v>
      </c>
      <c r="J5581" t="s">
        <v>1709</v>
      </c>
      <c r="K5581" t="s">
        <v>290</v>
      </c>
      <c r="L5581" t="s">
        <v>285</v>
      </c>
      <c r="M5581" t="str">
        <f t="shared" si="393"/>
        <v>04</v>
      </c>
      <c r="N5581" t="s">
        <v>12</v>
      </c>
    </row>
    <row r="5582" spans="1:14" x14ac:dyDescent="0.25">
      <c r="A5582">
        <v>20160415</v>
      </c>
      <c r="B5582" t="str">
        <f t="shared" si="398"/>
        <v>063059</v>
      </c>
      <c r="C5582" t="str">
        <f t="shared" si="399"/>
        <v>20706</v>
      </c>
      <c r="D5582" t="s">
        <v>1823</v>
      </c>
      <c r="E5582" s="3">
        <v>368.78</v>
      </c>
      <c r="F5582">
        <v>20160412</v>
      </c>
      <c r="G5582" t="s">
        <v>2255</v>
      </c>
      <c r="H5582" t="s">
        <v>4755</v>
      </c>
      <c r="I5582">
        <v>0</v>
      </c>
      <c r="J5582" t="s">
        <v>1709</v>
      </c>
      <c r="K5582" t="s">
        <v>95</v>
      </c>
      <c r="L5582" t="s">
        <v>285</v>
      </c>
      <c r="M5582" t="str">
        <f t="shared" si="393"/>
        <v>04</v>
      </c>
      <c r="N5582" t="s">
        <v>12</v>
      </c>
    </row>
    <row r="5583" spans="1:14" x14ac:dyDescent="0.25">
      <c r="A5583">
        <v>20160415</v>
      </c>
      <c r="B5583" t="str">
        <f t="shared" si="398"/>
        <v>063059</v>
      </c>
      <c r="C5583" t="str">
        <f t="shared" si="399"/>
        <v>20706</v>
      </c>
      <c r="D5583" t="s">
        <v>1823</v>
      </c>
      <c r="E5583" s="3">
        <v>304.62</v>
      </c>
      <c r="F5583">
        <v>20160412</v>
      </c>
      <c r="G5583" t="s">
        <v>2257</v>
      </c>
      <c r="H5583" t="s">
        <v>4756</v>
      </c>
      <c r="I5583">
        <v>0</v>
      </c>
      <c r="J5583" t="s">
        <v>1709</v>
      </c>
      <c r="K5583" t="s">
        <v>1643</v>
      </c>
      <c r="L5583" t="s">
        <v>285</v>
      </c>
      <c r="M5583" t="str">
        <f t="shared" ref="M5583:M5646" si="400">"04"</f>
        <v>04</v>
      </c>
      <c r="N5583" t="s">
        <v>12</v>
      </c>
    </row>
    <row r="5584" spans="1:14" x14ac:dyDescent="0.25">
      <c r="A5584">
        <v>20160415</v>
      </c>
      <c r="B5584" t="str">
        <f t="shared" si="398"/>
        <v>063059</v>
      </c>
      <c r="C5584" t="str">
        <f t="shared" si="399"/>
        <v>20706</v>
      </c>
      <c r="D5584" t="s">
        <v>1823</v>
      </c>
      <c r="E5584" s="3">
        <v>136.19999999999999</v>
      </c>
      <c r="F5584">
        <v>20160412</v>
      </c>
      <c r="G5584" t="s">
        <v>2259</v>
      </c>
      <c r="H5584" t="s">
        <v>4757</v>
      </c>
      <c r="I5584">
        <v>0</v>
      </c>
      <c r="J5584" t="s">
        <v>1709</v>
      </c>
      <c r="K5584" t="s">
        <v>33</v>
      </c>
      <c r="L5584" t="s">
        <v>285</v>
      </c>
      <c r="M5584" t="str">
        <f t="shared" si="400"/>
        <v>04</v>
      </c>
      <c r="N5584" t="s">
        <v>12</v>
      </c>
    </row>
    <row r="5585" spans="1:14" x14ac:dyDescent="0.25">
      <c r="A5585">
        <v>20160415</v>
      </c>
      <c r="B5585" t="str">
        <f t="shared" si="398"/>
        <v>063059</v>
      </c>
      <c r="C5585" t="str">
        <f t="shared" si="399"/>
        <v>20706</v>
      </c>
      <c r="D5585" t="s">
        <v>1823</v>
      </c>
      <c r="E5585" s="3">
        <v>95.99</v>
      </c>
      <c r="F5585">
        <v>20160412</v>
      </c>
      <c r="G5585" t="s">
        <v>4361</v>
      </c>
      <c r="H5585" t="s">
        <v>4758</v>
      </c>
      <c r="I5585">
        <v>0</v>
      </c>
      <c r="J5585" t="s">
        <v>1709</v>
      </c>
      <c r="K5585" t="s">
        <v>290</v>
      </c>
      <c r="L5585" t="s">
        <v>285</v>
      </c>
      <c r="M5585" t="str">
        <f t="shared" si="400"/>
        <v>04</v>
      </c>
      <c r="N5585" t="s">
        <v>12</v>
      </c>
    </row>
    <row r="5586" spans="1:14" x14ac:dyDescent="0.25">
      <c r="A5586">
        <v>20160415</v>
      </c>
      <c r="B5586" t="str">
        <f>"063060"</f>
        <v>063060</v>
      </c>
      <c r="C5586" t="str">
        <f>"20696"</f>
        <v>20696</v>
      </c>
      <c r="D5586" t="s">
        <v>4233</v>
      </c>
      <c r="E5586" s="3">
        <v>60</v>
      </c>
      <c r="F5586">
        <v>20160412</v>
      </c>
      <c r="G5586" t="s">
        <v>2279</v>
      </c>
      <c r="H5586" t="s">
        <v>4759</v>
      </c>
      <c r="I5586">
        <v>0</v>
      </c>
      <c r="J5586" t="s">
        <v>1709</v>
      </c>
      <c r="K5586" t="s">
        <v>1861</v>
      </c>
      <c r="L5586" t="s">
        <v>285</v>
      </c>
      <c r="M5586" t="str">
        <f t="shared" si="400"/>
        <v>04</v>
      </c>
      <c r="N5586" t="s">
        <v>12</v>
      </c>
    </row>
    <row r="5587" spans="1:14" x14ac:dyDescent="0.25">
      <c r="A5587">
        <v>20160415</v>
      </c>
      <c r="B5587" t="str">
        <f>"063060"</f>
        <v>063060</v>
      </c>
      <c r="C5587" t="str">
        <f>"20696"</f>
        <v>20696</v>
      </c>
      <c r="D5587" t="s">
        <v>4233</v>
      </c>
      <c r="E5587" s="3">
        <v>60</v>
      </c>
      <c r="F5587">
        <v>20160412</v>
      </c>
      <c r="G5587" t="s">
        <v>2279</v>
      </c>
      <c r="H5587" t="s">
        <v>4760</v>
      </c>
      <c r="I5587">
        <v>0</v>
      </c>
      <c r="J5587" t="s">
        <v>1709</v>
      </c>
      <c r="K5587" t="s">
        <v>1861</v>
      </c>
      <c r="L5587" t="s">
        <v>285</v>
      </c>
      <c r="M5587" t="str">
        <f t="shared" si="400"/>
        <v>04</v>
      </c>
      <c r="N5587" t="s">
        <v>12</v>
      </c>
    </row>
    <row r="5588" spans="1:14" x14ac:dyDescent="0.25">
      <c r="A5588">
        <v>20160415</v>
      </c>
      <c r="B5588" t="str">
        <f>"063060"</f>
        <v>063060</v>
      </c>
      <c r="C5588" t="str">
        <f>"20696"</f>
        <v>20696</v>
      </c>
      <c r="D5588" t="s">
        <v>4233</v>
      </c>
      <c r="E5588" s="3">
        <v>60</v>
      </c>
      <c r="F5588">
        <v>20160412</v>
      </c>
      <c r="G5588" t="s">
        <v>2279</v>
      </c>
      <c r="H5588" t="s">
        <v>4761</v>
      </c>
      <c r="I5588">
        <v>0</v>
      </c>
      <c r="J5588" t="s">
        <v>1709</v>
      </c>
      <c r="K5588" t="s">
        <v>1861</v>
      </c>
      <c r="L5588" t="s">
        <v>285</v>
      </c>
      <c r="M5588" t="str">
        <f t="shared" si="400"/>
        <v>04</v>
      </c>
      <c r="N5588" t="s">
        <v>12</v>
      </c>
    </row>
    <row r="5589" spans="1:14" x14ac:dyDescent="0.25">
      <c r="A5589">
        <v>20160415</v>
      </c>
      <c r="B5589" t="str">
        <f>"063060"</f>
        <v>063060</v>
      </c>
      <c r="C5589" t="str">
        <f>"20696"</f>
        <v>20696</v>
      </c>
      <c r="D5589" t="s">
        <v>4233</v>
      </c>
      <c r="E5589" s="3">
        <v>100</v>
      </c>
      <c r="F5589">
        <v>20160412</v>
      </c>
      <c r="G5589" t="s">
        <v>3217</v>
      </c>
      <c r="H5589" t="s">
        <v>4762</v>
      </c>
      <c r="I5589">
        <v>0</v>
      </c>
      <c r="J5589" t="s">
        <v>1709</v>
      </c>
      <c r="K5589" t="s">
        <v>1558</v>
      </c>
      <c r="L5589" t="s">
        <v>285</v>
      </c>
      <c r="M5589" t="str">
        <f t="shared" si="400"/>
        <v>04</v>
      </c>
      <c r="N5589" t="s">
        <v>12</v>
      </c>
    </row>
    <row r="5590" spans="1:14" x14ac:dyDescent="0.25">
      <c r="A5590">
        <v>20160415</v>
      </c>
      <c r="B5590" t="str">
        <f>"063061"</f>
        <v>063061</v>
      </c>
      <c r="C5590" t="str">
        <f>"21049"</f>
        <v>21049</v>
      </c>
      <c r="D5590" t="s">
        <v>2094</v>
      </c>
      <c r="E5590" s="3">
        <v>650</v>
      </c>
      <c r="F5590">
        <v>20160412</v>
      </c>
      <c r="G5590" t="s">
        <v>2333</v>
      </c>
      <c r="H5590" t="s">
        <v>4763</v>
      </c>
      <c r="I5590">
        <v>0</v>
      </c>
      <c r="J5590" t="s">
        <v>1709</v>
      </c>
      <c r="K5590" t="s">
        <v>290</v>
      </c>
      <c r="L5590" t="s">
        <v>285</v>
      </c>
      <c r="M5590" t="str">
        <f t="shared" si="400"/>
        <v>04</v>
      </c>
      <c r="N5590" t="s">
        <v>12</v>
      </c>
    </row>
    <row r="5591" spans="1:14" x14ac:dyDescent="0.25">
      <c r="A5591">
        <v>20160415</v>
      </c>
      <c r="B5591" t="str">
        <f>"063062"</f>
        <v>063062</v>
      </c>
      <c r="C5591" t="str">
        <f>"21091"</f>
        <v>21091</v>
      </c>
      <c r="D5591" t="s">
        <v>2855</v>
      </c>
      <c r="E5591" s="3">
        <v>333.6</v>
      </c>
      <c r="F5591">
        <v>20160412</v>
      </c>
      <c r="G5591" t="s">
        <v>1854</v>
      </c>
      <c r="H5591" t="s">
        <v>4764</v>
      </c>
      <c r="I5591">
        <v>0</v>
      </c>
      <c r="J5591" t="s">
        <v>1709</v>
      </c>
      <c r="K5591" t="s">
        <v>1856</v>
      </c>
      <c r="L5591" t="s">
        <v>285</v>
      </c>
      <c r="M5591" t="str">
        <f t="shared" si="400"/>
        <v>04</v>
      </c>
      <c r="N5591" t="s">
        <v>12</v>
      </c>
    </row>
    <row r="5592" spans="1:14" x14ac:dyDescent="0.25">
      <c r="A5592">
        <v>20160415</v>
      </c>
      <c r="B5592" t="str">
        <f>"063063"</f>
        <v>063063</v>
      </c>
      <c r="C5592" t="str">
        <f>"23646"</f>
        <v>23646</v>
      </c>
      <c r="D5592" t="s">
        <v>4765</v>
      </c>
      <c r="E5592" s="3">
        <v>37.5</v>
      </c>
      <c r="F5592">
        <v>20160412</v>
      </c>
      <c r="G5592" t="s">
        <v>4766</v>
      </c>
      <c r="H5592" t="s">
        <v>4767</v>
      </c>
      <c r="I5592">
        <v>0</v>
      </c>
      <c r="J5592" t="s">
        <v>1709</v>
      </c>
      <c r="K5592" t="s">
        <v>290</v>
      </c>
      <c r="L5592" t="s">
        <v>285</v>
      </c>
      <c r="M5592" t="str">
        <f t="shared" si="400"/>
        <v>04</v>
      </c>
      <c r="N5592" t="s">
        <v>12</v>
      </c>
    </row>
    <row r="5593" spans="1:14" x14ac:dyDescent="0.25">
      <c r="A5593">
        <v>20160415</v>
      </c>
      <c r="B5593" t="str">
        <f>"063063"</f>
        <v>063063</v>
      </c>
      <c r="C5593" t="str">
        <f>"23646"</f>
        <v>23646</v>
      </c>
      <c r="D5593" t="s">
        <v>4765</v>
      </c>
      <c r="E5593" s="3">
        <v>37.5</v>
      </c>
      <c r="F5593">
        <v>20160412</v>
      </c>
      <c r="G5593" t="s">
        <v>4768</v>
      </c>
      <c r="H5593" t="s">
        <v>4767</v>
      </c>
      <c r="I5593">
        <v>0</v>
      </c>
      <c r="J5593" t="s">
        <v>1709</v>
      </c>
      <c r="K5593" t="s">
        <v>95</v>
      </c>
      <c r="L5593" t="s">
        <v>285</v>
      </c>
      <c r="M5593" t="str">
        <f t="shared" si="400"/>
        <v>04</v>
      </c>
      <c r="N5593" t="s">
        <v>12</v>
      </c>
    </row>
    <row r="5594" spans="1:14" x14ac:dyDescent="0.25">
      <c r="A5594">
        <v>20160415</v>
      </c>
      <c r="B5594" t="str">
        <f>"063063"</f>
        <v>063063</v>
      </c>
      <c r="C5594" t="str">
        <f>"23646"</f>
        <v>23646</v>
      </c>
      <c r="D5594" t="s">
        <v>4765</v>
      </c>
      <c r="E5594" s="3">
        <v>37.5</v>
      </c>
      <c r="F5594">
        <v>20160412</v>
      </c>
      <c r="G5594" t="s">
        <v>4769</v>
      </c>
      <c r="H5594" t="s">
        <v>4767</v>
      </c>
      <c r="I5594">
        <v>0</v>
      </c>
      <c r="J5594" t="s">
        <v>1709</v>
      </c>
      <c r="K5594" t="s">
        <v>1643</v>
      </c>
      <c r="L5594" t="s">
        <v>285</v>
      </c>
      <c r="M5594" t="str">
        <f t="shared" si="400"/>
        <v>04</v>
      </c>
      <c r="N5594" t="s">
        <v>12</v>
      </c>
    </row>
    <row r="5595" spans="1:14" x14ac:dyDescent="0.25">
      <c r="A5595">
        <v>20160415</v>
      </c>
      <c r="B5595" t="str">
        <f>"063063"</f>
        <v>063063</v>
      </c>
      <c r="C5595" t="str">
        <f>"23646"</f>
        <v>23646</v>
      </c>
      <c r="D5595" t="s">
        <v>4765</v>
      </c>
      <c r="E5595" s="3">
        <v>37.5</v>
      </c>
      <c r="F5595">
        <v>20160412</v>
      </c>
      <c r="G5595" t="s">
        <v>4770</v>
      </c>
      <c r="H5595" t="s">
        <v>4767</v>
      </c>
      <c r="I5595">
        <v>0</v>
      </c>
      <c r="J5595" t="s">
        <v>1709</v>
      </c>
      <c r="K5595" t="s">
        <v>33</v>
      </c>
      <c r="L5595" t="s">
        <v>285</v>
      </c>
      <c r="M5595" t="str">
        <f t="shared" si="400"/>
        <v>04</v>
      </c>
      <c r="N5595" t="s">
        <v>12</v>
      </c>
    </row>
    <row r="5596" spans="1:14" x14ac:dyDescent="0.25">
      <c r="A5596">
        <v>20160415</v>
      </c>
      <c r="B5596" t="str">
        <f>"063065"</f>
        <v>063065</v>
      </c>
      <c r="C5596" t="str">
        <f>"24334"</f>
        <v>24334</v>
      </c>
      <c r="D5596" t="s">
        <v>2637</v>
      </c>
      <c r="E5596" s="3">
        <v>1000</v>
      </c>
      <c r="F5596">
        <v>20160412</v>
      </c>
      <c r="G5596" t="s">
        <v>2495</v>
      </c>
      <c r="H5596" t="s">
        <v>4771</v>
      </c>
      <c r="I5596">
        <v>0</v>
      </c>
      <c r="J5596" t="s">
        <v>1709</v>
      </c>
      <c r="K5596" t="s">
        <v>235</v>
      </c>
      <c r="L5596" t="s">
        <v>285</v>
      </c>
      <c r="M5596" t="str">
        <f t="shared" si="400"/>
        <v>04</v>
      </c>
      <c r="N5596" t="s">
        <v>12</v>
      </c>
    </row>
    <row r="5597" spans="1:14" x14ac:dyDescent="0.25">
      <c r="A5597">
        <v>20160415</v>
      </c>
      <c r="B5597" t="str">
        <f>"063068"</f>
        <v>063068</v>
      </c>
      <c r="C5597" t="str">
        <f>"24960"</f>
        <v>24960</v>
      </c>
      <c r="D5597" t="s">
        <v>39</v>
      </c>
      <c r="E5597" s="3">
        <v>550.20000000000005</v>
      </c>
      <c r="F5597">
        <v>20160412</v>
      </c>
      <c r="G5597" t="s">
        <v>1841</v>
      </c>
      <c r="H5597" t="s">
        <v>4772</v>
      </c>
      <c r="I5597">
        <v>0</v>
      </c>
      <c r="J5597" t="s">
        <v>1709</v>
      </c>
      <c r="K5597" t="s">
        <v>1775</v>
      </c>
      <c r="L5597" t="s">
        <v>285</v>
      </c>
      <c r="M5597" t="str">
        <f t="shared" si="400"/>
        <v>04</v>
      </c>
      <c r="N5597" t="s">
        <v>12</v>
      </c>
    </row>
    <row r="5598" spans="1:14" x14ac:dyDescent="0.25">
      <c r="A5598">
        <v>20160415</v>
      </c>
      <c r="B5598" t="str">
        <f>"063069"</f>
        <v>063069</v>
      </c>
      <c r="C5598" t="str">
        <f>"54555"</f>
        <v>54555</v>
      </c>
      <c r="D5598" t="s">
        <v>2104</v>
      </c>
      <c r="E5598" s="3">
        <v>33.61</v>
      </c>
      <c r="F5598">
        <v>20160412</v>
      </c>
      <c r="G5598" t="s">
        <v>1916</v>
      </c>
      <c r="H5598" t="s">
        <v>4773</v>
      </c>
      <c r="I5598">
        <v>0</v>
      </c>
      <c r="J5598" t="s">
        <v>1709</v>
      </c>
      <c r="K5598" t="s">
        <v>1782</v>
      </c>
      <c r="L5598" t="s">
        <v>285</v>
      </c>
      <c r="M5598" t="str">
        <f t="shared" si="400"/>
        <v>04</v>
      </c>
      <c r="N5598" t="s">
        <v>12</v>
      </c>
    </row>
    <row r="5599" spans="1:14" x14ac:dyDescent="0.25">
      <c r="A5599">
        <v>20160415</v>
      </c>
      <c r="B5599" t="str">
        <f>"063070"</f>
        <v>063070</v>
      </c>
      <c r="C5599" t="str">
        <f>"27900"</f>
        <v>27900</v>
      </c>
      <c r="D5599" t="s">
        <v>1596</v>
      </c>
      <c r="E5599" s="3">
        <v>150</v>
      </c>
      <c r="F5599">
        <v>20160412</v>
      </c>
      <c r="G5599" t="s">
        <v>2547</v>
      </c>
      <c r="H5599" t="s">
        <v>4774</v>
      </c>
      <c r="I5599">
        <v>0</v>
      </c>
      <c r="J5599" t="s">
        <v>1709</v>
      </c>
      <c r="K5599" t="s">
        <v>1643</v>
      </c>
      <c r="L5599" t="s">
        <v>285</v>
      </c>
      <c r="M5599" t="str">
        <f t="shared" si="400"/>
        <v>04</v>
      </c>
      <c r="N5599" t="s">
        <v>12</v>
      </c>
    </row>
    <row r="5600" spans="1:14" x14ac:dyDescent="0.25">
      <c r="A5600">
        <v>20160415</v>
      </c>
      <c r="B5600" t="str">
        <f>"063070"</f>
        <v>063070</v>
      </c>
      <c r="C5600" t="str">
        <f>"27900"</f>
        <v>27900</v>
      </c>
      <c r="D5600" t="s">
        <v>1596</v>
      </c>
      <c r="E5600" s="3">
        <v>50</v>
      </c>
      <c r="F5600">
        <v>20160412</v>
      </c>
      <c r="G5600" t="s">
        <v>1794</v>
      </c>
      <c r="H5600" t="s">
        <v>4775</v>
      </c>
      <c r="I5600">
        <v>0</v>
      </c>
      <c r="J5600" t="s">
        <v>1709</v>
      </c>
      <c r="K5600" t="s">
        <v>290</v>
      </c>
      <c r="L5600" t="s">
        <v>285</v>
      </c>
      <c r="M5600" t="str">
        <f t="shared" si="400"/>
        <v>04</v>
      </c>
      <c r="N5600" t="s">
        <v>12</v>
      </c>
    </row>
    <row r="5601" spans="1:14" x14ac:dyDescent="0.25">
      <c r="A5601">
        <v>20160415</v>
      </c>
      <c r="B5601" t="str">
        <f>"063070"</f>
        <v>063070</v>
      </c>
      <c r="C5601" t="str">
        <f>"27900"</f>
        <v>27900</v>
      </c>
      <c r="D5601" t="s">
        <v>1596</v>
      </c>
      <c r="E5601" s="3">
        <v>250</v>
      </c>
      <c r="F5601">
        <v>20160412</v>
      </c>
      <c r="G5601" t="s">
        <v>4776</v>
      </c>
      <c r="H5601" t="s">
        <v>4777</v>
      </c>
      <c r="I5601">
        <v>0</v>
      </c>
      <c r="J5601" t="s">
        <v>1709</v>
      </c>
      <c r="K5601" t="s">
        <v>1775</v>
      </c>
      <c r="L5601" t="s">
        <v>285</v>
      </c>
      <c r="M5601" t="str">
        <f t="shared" si="400"/>
        <v>04</v>
      </c>
      <c r="N5601" t="s">
        <v>12</v>
      </c>
    </row>
    <row r="5602" spans="1:14" x14ac:dyDescent="0.25">
      <c r="A5602">
        <v>20160415</v>
      </c>
      <c r="B5602" t="str">
        <f t="shared" ref="B5602:B5610" si="401">"063071"</f>
        <v>063071</v>
      </c>
      <c r="C5602" t="str">
        <f t="shared" ref="C5602:C5610" si="402">"28680"</f>
        <v>28680</v>
      </c>
      <c r="D5602" t="s">
        <v>422</v>
      </c>
      <c r="E5602" s="3">
        <v>185</v>
      </c>
      <c r="F5602">
        <v>20160412</v>
      </c>
      <c r="G5602" t="s">
        <v>3528</v>
      </c>
      <c r="H5602" t="s">
        <v>3071</v>
      </c>
      <c r="I5602">
        <v>0</v>
      </c>
      <c r="J5602" t="s">
        <v>1709</v>
      </c>
      <c r="K5602" t="s">
        <v>290</v>
      </c>
      <c r="L5602" t="s">
        <v>285</v>
      </c>
      <c r="M5602" t="str">
        <f t="shared" si="400"/>
        <v>04</v>
      </c>
      <c r="N5602" t="s">
        <v>12</v>
      </c>
    </row>
    <row r="5603" spans="1:14" x14ac:dyDescent="0.25">
      <c r="A5603">
        <v>20160415</v>
      </c>
      <c r="B5603" t="str">
        <f t="shared" si="401"/>
        <v>063071</v>
      </c>
      <c r="C5603" t="str">
        <f t="shared" si="402"/>
        <v>28680</v>
      </c>
      <c r="D5603" t="s">
        <v>422</v>
      </c>
      <c r="E5603" s="3">
        <v>208</v>
      </c>
      <c r="F5603">
        <v>20160412</v>
      </c>
      <c r="G5603" t="s">
        <v>3929</v>
      </c>
      <c r="H5603" t="s">
        <v>3071</v>
      </c>
      <c r="I5603">
        <v>0</v>
      </c>
      <c r="J5603" t="s">
        <v>1709</v>
      </c>
      <c r="K5603" t="s">
        <v>290</v>
      </c>
      <c r="L5603" t="s">
        <v>285</v>
      </c>
      <c r="M5603" t="str">
        <f t="shared" si="400"/>
        <v>04</v>
      </c>
      <c r="N5603" t="s">
        <v>12</v>
      </c>
    </row>
    <row r="5604" spans="1:14" x14ac:dyDescent="0.25">
      <c r="A5604">
        <v>20160415</v>
      </c>
      <c r="B5604" t="str">
        <f t="shared" si="401"/>
        <v>063071</v>
      </c>
      <c r="C5604" t="str">
        <f t="shared" si="402"/>
        <v>28680</v>
      </c>
      <c r="D5604" t="s">
        <v>422</v>
      </c>
      <c r="E5604" s="3">
        <v>52</v>
      </c>
      <c r="F5604">
        <v>20160412</v>
      </c>
      <c r="G5604" t="s">
        <v>1794</v>
      </c>
      <c r="H5604" t="s">
        <v>4370</v>
      </c>
      <c r="I5604">
        <v>0</v>
      </c>
      <c r="J5604" t="s">
        <v>1709</v>
      </c>
      <c r="K5604" t="s">
        <v>290</v>
      </c>
      <c r="L5604" t="s">
        <v>285</v>
      </c>
      <c r="M5604" t="str">
        <f t="shared" si="400"/>
        <v>04</v>
      </c>
      <c r="N5604" t="s">
        <v>12</v>
      </c>
    </row>
    <row r="5605" spans="1:14" x14ac:dyDescent="0.25">
      <c r="A5605">
        <v>20160415</v>
      </c>
      <c r="B5605" t="str">
        <f t="shared" si="401"/>
        <v>063071</v>
      </c>
      <c r="C5605" t="str">
        <f t="shared" si="402"/>
        <v>28680</v>
      </c>
      <c r="D5605" t="s">
        <v>422</v>
      </c>
      <c r="E5605" s="3">
        <v>240.45</v>
      </c>
      <c r="F5605">
        <v>20160412</v>
      </c>
      <c r="G5605" t="s">
        <v>3534</v>
      </c>
      <c r="H5605" t="s">
        <v>4778</v>
      </c>
      <c r="I5605">
        <v>0</v>
      </c>
      <c r="J5605" t="s">
        <v>1709</v>
      </c>
      <c r="K5605" t="s">
        <v>290</v>
      </c>
      <c r="L5605" t="s">
        <v>285</v>
      </c>
      <c r="M5605" t="str">
        <f t="shared" si="400"/>
        <v>04</v>
      </c>
      <c r="N5605" t="s">
        <v>12</v>
      </c>
    </row>
    <row r="5606" spans="1:14" x14ac:dyDescent="0.25">
      <c r="A5606">
        <v>20160415</v>
      </c>
      <c r="B5606" t="str">
        <f t="shared" si="401"/>
        <v>063071</v>
      </c>
      <c r="C5606" t="str">
        <f t="shared" si="402"/>
        <v>28680</v>
      </c>
      <c r="D5606" t="s">
        <v>422</v>
      </c>
      <c r="E5606" s="3">
        <v>47.83</v>
      </c>
      <c r="F5606">
        <v>20160412</v>
      </c>
      <c r="G5606" t="s">
        <v>3280</v>
      </c>
      <c r="H5606" t="s">
        <v>4048</v>
      </c>
      <c r="I5606">
        <v>0</v>
      </c>
      <c r="J5606" t="s">
        <v>1709</v>
      </c>
      <c r="K5606" t="s">
        <v>290</v>
      </c>
      <c r="L5606" t="s">
        <v>285</v>
      </c>
      <c r="M5606" t="str">
        <f t="shared" si="400"/>
        <v>04</v>
      </c>
      <c r="N5606" t="s">
        <v>12</v>
      </c>
    </row>
    <row r="5607" spans="1:14" x14ac:dyDescent="0.25">
      <c r="A5607">
        <v>20160415</v>
      </c>
      <c r="B5607" t="str">
        <f t="shared" si="401"/>
        <v>063071</v>
      </c>
      <c r="C5607" t="str">
        <f t="shared" si="402"/>
        <v>28680</v>
      </c>
      <c r="D5607" t="s">
        <v>422</v>
      </c>
      <c r="E5607" s="3">
        <v>47.83</v>
      </c>
      <c r="F5607">
        <v>20160412</v>
      </c>
      <c r="G5607" t="s">
        <v>3280</v>
      </c>
      <c r="H5607" t="s">
        <v>4048</v>
      </c>
      <c r="I5607">
        <v>0</v>
      </c>
      <c r="J5607" t="s">
        <v>1709</v>
      </c>
      <c r="K5607" t="s">
        <v>290</v>
      </c>
      <c r="L5607" t="s">
        <v>285</v>
      </c>
      <c r="M5607" t="str">
        <f t="shared" si="400"/>
        <v>04</v>
      </c>
      <c r="N5607" t="s">
        <v>12</v>
      </c>
    </row>
    <row r="5608" spans="1:14" x14ac:dyDescent="0.25">
      <c r="A5608">
        <v>20160415</v>
      </c>
      <c r="B5608" t="str">
        <f t="shared" si="401"/>
        <v>063071</v>
      </c>
      <c r="C5608" t="str">
        <f t="shared" si="402"/>
        <v>28680</v>
      </c>
      <c r="D5608" t="s">
        <v>422</v>
      </c>
      <c r="E5608" s="3">
        <v>531.89</v>
      </c>
      <c r="F5608">
        <v>20160412</v>
      </c>
      <c r="G5608" t="s">
        <v>3280</v>
      </c>
      <c r="H5608" t="s">
        <v>4048</v>
      </c>
      <c r="I5608">
        <v>0</v>
      </c>
      <c r="J5608" t="s">
        <v>1709</v>
      </c>
      <c r="K5608" t="s">
        <v>290</v>
      </c>
      <c r="L5608" t="s">
        <v>285</v>
      </c>
      <c r="M5608" t="str">
        <f t="shared" si="400"/>
        <v>04</v>
      </c>
      <c r="N5608" t="s">
        <v>12</v>
      </c>
    </row>
    <row r="5609" spans="1:14" x14ac:dyDescent="0.25">
      <c r="A5609">
        <v>20160415</v>
      </c>
      <c r="B5609" t="str">
        <f t="shared" si="401"/>
        <v>063071</v>
      </c>
      <c r="C5609" t="str">
        <f t="shared" si="402"/>
        <v>28680</v>
      </c>
      <c r="D5609" t="s">
        <v>422</v>
      </c>
      <c r="E5609" s="3">
        <v>531.89</v>
      </c>
      <c r="F5609">
        <v>20160412</v>
      </c>
      <c r="G5609" t="s">
        <v>3280</v>
      </c>
      <c r="H5609" t="s">
        <v>4048</v>
      </c>
      <c r="I5609">
        <v>0</v>
      </c>
      <c r="J5609" t="s">
        <v>1709</v>
      </c>
      <c r="K5609" t="s">
        <v>290</v>
      </c>
      <c r="L5609" t="s">
        <v>285</v>
      </c>
      <c r="M5609" t="str">
        <f t="shared" si="400"/>
        <v>04</v>
      </c>
      <c r="N5609" t="s">
        <v>12</v>
      </c>
    </row>
    <row r="5610" spans="1:14" x14ac:dyDescent="0.25">
      <c r="A5610">
        <v>20160415</v>
      </c>
      <c r="B5610" t="str">
        <f t="shared" si="401"/>
        <v>063071</v>
      </c>
      <c r="C5610" t="str">
        <f t="shared" si="402"/>
        <v>28680</v>
      </c>
      <c r="D5610" t="s">
        <v>422</v>
      </c>
      <c r="E5610" s="3">
        <v>43.33</v>
      </c>
      <c r="F5610">
        <v>20160412</v>
      </c>
      <c r="G5610" t="s">
        <v>3280</v>
      </c>
      <c r="H5610" t="s">
        <v>4048</v>
      </c>
      <c r="I5610">
        <v>0</v>
      </c>
      <c r="J5610" t="s">
        <v>1709</v>
      </c>
      <c r="K5610" t="s">
        <v>290</v>
      </c>
      <c r="L5610" t="s">
        <v>285</v>
      </c>
      <c r="M5610" t="str">
        <f t="shared" si="400"/>
        <v>04</v>
      </c>
      <c r="N5610" t="s">
        <v>12</v>
      </c>
    </row>
    <row r="5611" spans="1:14" x14ac:dyDescent="0.25">
      <c r="A5611">
        <v>20160415</v>
      </c>
      <c r="B5611" t="str">
        <f>"063072"</f>
        <v>063072</v>
      </c>
      <c r="C5611" t="str">
        <f>"28820"</f>
        <v>28820</v>
      </c>
      <c r="D5611" t="s">
        <v>2647</v>
      </c>
      <c r="E5611" s="3">
        <v>50.15</v>
      </c>
      <c r="F5611">
        <v>20160412</v>
      </c>
      <c r="G5611" t="s">
        <v>2648</v>
      </c>
      <c r="H5611" t="s">
        <v>4052</v>
      </c>
      <c r="I5611">
        <v>0</v>
      </c>
      <c r="J5611" t="s">
        <v>1709</v>
      </c>
      <c r="K5611" t="s">
        <v>2377</v>
      </c>
      <c r="L5611" t="s">
        <v>285</v>
      </c>
      <c r="M5611" t="str">
        <f t="shared" si="400"/>
        <v>04</v>
      </c>
      <c r="N5611" t="s">
        <v>12</v>
      </c>
    </row>
    <row r="5612" spans="1:14" x14ac:dyDescent="0.25">
      <c r="A5612">
        <v>20160415</v>
      </c>
      <c r="B5612" t="str">
        <f>"063072"</f>
        <v>063072</v>
      </c>
      <c r="C5612" t="str">
        <f>"28820"</f>
        <v>28820</v>
      </c>
      <c r="D5612" t="s">
        <v>2647</v>
      </c>
      <c r="E5612" s="3">
        <v>75.099999999999994</v>
      </c>
      <c r="F5612">
        <v>20160412</v>
      </c>
      <c r="G5612" t="s">
        <v>2648</v>
      </c>
      <c r="H5612" t="s">
        <v>4052</v>
      </c>
      <c r="I5612">
        <v>0</v>
      </c>
      <c r="J5612" t="s">
        <v>1709</v>
      </c>
      <c r="K5612" t="s">
        <v>2377</v>
      </c>
      <c r="L5612" t="s">
        <v>285</v>
      </c>
      <c r="M5612" t="str">
        <f t="shared" si="400"/>
        <v>04</v>
      </c>
      <c r="N5612" t="s">
        <v>12</v>
      </c>
    </row>
    <row r="5613" spans="1:14" x14ac:dyDescent="0.25">
      <c r="A5613">
        <v>20160415</v>
      </c>
      <c r="B5613" t="str">
        <f>"063074"</f>
        <v>063074</v>
      </c>
      <c r="C5613" t="str">
        <f>"29547"</f>
        <v>29547</v>
      </c>
      <c r="D5613" t="s">
        <v>4779</v>
      </c>
      <c r="E5613" s="3">
        <v>112.35</v>
      </c>
      <c r="F5613">
        <v>20160412</v>
      </c>
      <c r="G5613" t="s">
        <v>1794</v>
      </c>
      <c r="H5613" t="s">
        <v>4780</v>
      </c>
      <c r="I5613">
        <v>0</v>
      </c>
      <c r="J5613" t="s">
        <v>1709</v>
      </c>
      <c r="K5613" t="s">
        <v>290</v>
      </c>
      <c r="L5613" t="s">
        <v>285</v>
      </c>
      <c r="M5613" t="str">
        <f t="shared" si="400"/>
        <v>04</v>
      </c>
      <c r="N5613" t="s">
        <v>12</v>
      </c>
    </row>
    <row r="5614" spans="1:14" x14ac:dyDescent="0.25">
      <c r="A5614">
        <v>20160415</v>
      </c>
      <c r="B5614" t="str">
        <f>"063075"</f>
        <v>063075</v>
      </c>
      <c r="C5614" t="str">
        <f>"29609"</f>
        <v>29609</v>
      </c>
      <c r="D5614" t="s">
        <v>2651</v>
      </c>
      <c r="E5614" s="3">
        <v>112.3</v>
      </c>
      <c r="F5614">
        <v>20160412</v>
      </c>
      <c r="G5614" t="s">
        <v>1859</v>
      </c>
      <c r="H5614" t="s">
        <v>4781</v>
      </c>
      <c r="I5614">
        <v>0</v>
      </c>
      <c r="J5614" t="s">
        <v>1709</v>
      </c>
      <c r="K5614" t="s">
        <v>1861</v>
      </c>
      <c r="L5614" t="s">
        <v>285</v>
      </c>
      <c r="M5614" t="str">
        <f t="shared" si="400"/>
        <v>04</v>
      </c>
      <c r="N5614" t="s">
        <v>12</v>
      </c>
    </row>
    <row r="5615" spans="1:14" x14ac:dyDescent="0.25">
      <c r="A5615">
        <v>20160415</v>
      </c>
      <c r="B5615" t="str">
        <f>"063075"</f>
        <v>063075</v>
      </c>
      <c r="C5615" t="str">
        <f>"29609"</f>
        <v>29609</v>
      </c>
      <c r="D5615" t="s">
        <v>2651</v>
      </c>
      <c r="E5615" s="3">
        <v>416.08</v>
      </c>
      <c r="F5615">
        <v>20160412</v>
      </c>
      <c r="G5615" t="s">
        <v>1859</v>
      </c>
      <c r="H5615" t="s">
        <v>2295</v>
      </c>
      <c r="I5615">
        <v>0</v>
      </c>
      <c r="J5615" t="s">
        <v>1709</v>
      </c>
      <c r="K5615" t="s">
        <v>1861</v>
      </c>
      <c r="L5615" t="s">
        <v>285</v>
      </c>
      <c r="M5615" t="str">
        <f t="shared" si="400"/>
        <v>04</v>
      </c>
      <c r="N5615" t="s">
        <v>12</v>
      </c>
    </row>
    <row r="5616" spans="1:14" x14ac:dyDescent="0.25">
      <c r="A5616">
        <v>20160415</v>
      </c>
      <c r="B5616" t="str">
        <f>"063076"</f>
        <v>063076</v>
      </c>
      <c r="C5616" t="str">
        <f>"06470"</f>
        <v>06470</v>
      </c>
      <c r="D5616" t="s">
        <v>2654</v>
      </c>
      <c r="E5616" s="3">
        <v>367.64</v>
      </c>
      <c r="F5616">
        <v>20160412</v>
      </c>
      <c r="G5616" t="s">
        <v>2164</v>
      </c>
      <c r="H5616" t="s">
        <v>4782</v>
      </c>
      <c r="I5616">
        <v>0</v>
      </c>
      <c r="J5616" t="s">
        <v>1709</v>
      </c>
      <c r="K5616" t="s">
        <v>1861</v>
      </c>
      <c r="L5616" t="s">
        <v>285</v>
      </c>
      <c r="M5616" t="str">
        <f t="shared" si="400"/>
        <v>04</v>
      </c>
      <c r="N5616" t="s">
        <v>12</v>
      </c>
    </row>
    <row r="5617" spans="1:14" x14ac:dyDescent="0.25">
      <c r="A5617">
        <v>20160415</v>
      </c>
      <c r="B5617" t="str">
        <f>"063076"</f>
        <v>063076</v>
      </c>
      <c r="C5617" t="str">
        <f>"06470"</f>
        <v>06470</v>
      </c>
      <c r="D5617" t="s">
        <v>2654</v>
      </c>
      <c r="E5617" s="3">
        <v>298.33999999999997</v>
      </c>
      <c r="F5617">
        <v>20160412</v>
      </c>
      <c r="G5617" t="s">
        <v>2164</v>
      </c>
      <c r="H5617" t="s">
        <v>4783</v>
      </c>
      <c r="I5617">
        <v>0</v>
      </c>
      <c r="J5617" t="s">
        <v>1709</v>
      </c>
      <c r="K5617" t="s">
        <v>1861</v>
      </c>
      <c r="L5617" t="s">
        <v>285</v>
      </c>
      <c r="M5617" t="str">
        <f t="shared" si="400"/>
        <v>04</v>
      </c>
      <c r="N5617" t="s">
        <v>12</v>
      </c>
    </row>
    <row r="5618" spans="1:14" x14ac:dyDescent="0.25">
      <c r="A5618">
        <v>20160415</v>
      </c>
      <c r="B5618" t="str">
        <f>"063076"</f>
        <v>063076</v>
      </c>
      <c r="C5618" t="str">
        <f>"06470"</f>
        <v>06470</v>
      </c>
      <c r="D5618" t="s">
        <v>2654</v>
      </c>
      <c r="E5618" s="3">
        <v>81.739999999999995</v>
      </c>
      <c r="F5618">
        <v>20160412</v>
      </c>
      <c r="G5618" t="s">
        <v>2164</v>
      </c>
      <c r="H5618" t="s">
        <v>4784</v>
      </c>
      <c r="I5618">
        <v>0</v>
      </c>
      <c r="J5618" t="s">
        <v>1709</v>
      </c>
      <c r="K5618" t="s">
        <v>1861</v>
      </c>
      <c r="L5618" t="s">
        <v>285</v>
      </c>
      <c r="M5618" t="str">
        <f t="shared" si="400"/>
        <v>04</v>
      </c>
      <c r="N5618" t="s">
        <v>12</v>
      </c>
    </row>
    <row r="5619" spans="1:14" x14ac:dyDescent="0.25">
      <c r="A5619">
        <v>20160415</v>
      </c>
      <c r="B5619" t="str">
        <f>"063077"</f>
        <v>063077</v>
      </c>
      <c r="C5619" t="str">
        <f>"30132"</f>
        <v>30132</v>
      </c>
      <c r="D5619" t="s">
        <v>2878</v>
      </c>
      <c r="E5619" s="3">
        <v>33.75</v>
      </c>
      <c r="F5619">
        <v>20160412</v>
      </c>
      <c r="G5619" t="s">
        <v>2307</v>
      </c>
      <c r="H5619" t="s">
        <v>4785</v>
      </c>
      <c r="I5619">
        <v>0</v>
      </c>
      <c r="J5619" t="s">
        <v>1709</v>
      </c>
      <c r="K5619" t="s">
        <v>95</v>
      </c>
      <c r="L5619" t="s">
        <v>285</v>
      </c>
      <c r="M5619" t="str">
        <f t="shared" si="400"/>
        <v>04</v>
      </c>
      <c r="N5619" t="s">
        <v>12</v>
      </c>
    </row>
    <row r="5620" spans="1:14" x14ac:dyDescent="0.25">
      <c r="A5620">
        <v>20160415</v>
      </c>
      <c r="B5620" t="str">
        <f>"063092"</f>
        <v>063092</v>
      </c>
      <c r="C5620" t="str">
        <f>"37525"</f>
        <v>37525</v>
      </c>
      <c r="D5620" t="s">
        <v>4149</v>
      </c>
      <c r="E5620" s="3">
        <v>350</v>
      </c>
      <c r="F5620">
        <v>20160412</v>
      </c>
      <c r="G5620" t="s">
        <v>2074</v>
      </c>
      <c r="H5620" t="s">
        <v>4786</v>
      </c>
      <c r="I5620">
        <v>0</v>
      </c>
      <c r="J5620" t="s">
        <v>1709</v>
      </c>
      <c r="K5620" t="s">
        <v>1861</v>
      </c>
      <c r="L5620" t="s">
        <v>285</v>
      </c>
      <c r="M5620" t="str">
        <f t="shared" si="400"/>
        <v>04</v>
      </c>
      <c r="N5620" t="s">
        <v>12</v>
      </c>
    </row>
    <row r="5621" spans="1:14" x14ac:dyDescent="0.25">
      <c r="A5621">
        <v>20160415</v>
      </c>
      <c r="B5621" t="str">
        <f t="shared" ref="B5621:B5634" si="403">"063094"</f>
        <v>063094</v>
      </c>
      <c r="C5621" t="str">
        <f t="shared" ref="C5621:C5634" si="404">"37500"</f>
        <v>37500</v>
      </c>
      <c r="D5621" t="s">
        <v>1652</v>
      </c>
      <c r="E5621" s="3">
        <v>10</v>
      </c>
      <c r="F5621">
        <v>20160412</v>
      </c>
      <c r="G5621" t="s">
        <v>3888</v>
      </c>
      <c r="H5621" t="s">
        <v>4787</v>
      </c>
      <c r="I5621">
        <v>0</v>
      </c>
      <c r="J5621" t="s">
        <v>1709</v>
      </c>
      <c r="K5621" t="s">
        <v>95</v>
      </c>
      <c r="L5621" t="s">
        <v>285</v>
      </c>
      <c r="M5621" t="str">
        <f t="shared" si="400"/>
        <v>04</v>
      </c>
      <c r="N5621" t="s">
        <v>12</v>
      </c>
    </row>
    <row r="5622" spans="1:14" x14ac:dyDescent="0.25">
      <c r="A5622">
        <v>20160415</v>
      </c>
      <c r="B5622" t="str">
        <f t="shared" si="403"/>
        <v>063094</v>
      </c>
      <c r="C5622" t="str">
        <f t="shared" si="404"/>
        <v>37500</v>
      </c>
      <c r="D5622" t="s">
        <v>1652</v>
      </c>
      <c r="E5622" s="3">
        <v>9.9499999999999993</v>
      </c>
      <c r="F5622">
        <v>20160412</v>
      </c>
      <c r="G5622" t="s">
        <v>3888</v>
      </c>
      <c r="H5622" t="s">
        <v>4788</v>
      </c>
      <c r="I5622">
        <v>0</v>
      </c>
      <c r="J5622" t="s">
        <v>1709</v>
      </c>
      <c r="K5622" t="s">
        <v>95</v>
      </c>
      <c r="L5622" t="s">
        <v>285</v>
      </c>
      <c r="M5622" t="str">
        <f t="shared" si="400"/>
        <v>04</v>
      </c>
      <c r="N5622" t="s">
        <v>12</v>
      </c>
    </row>
    <row r="5623" spans="1:14" x14ac:dyDescent="0.25">
      <c r="A5623">
        <v>20160415</v>
      </c>
      <c r="B5623" t="str">
        <f t="shared" si="403"/>
        <v>063094</v>
      </c>
      <c r="C5623" t="str">
        <f t="shared" si="404"/>
        <v>37500</v>
      </c>
      <c r="D5623" t="s">
        <v>1652</v>
      </c>
      <c r="E5623" s="3">
        <v>44.63</v>
      </c>
      <c r="F5623">
        <v>20160412</v>
      </c>
      <c r="G5623" t="s">
        <v>2978</v>
      </c>
      <c r="H5623" t="s">
        <v>4317</v>
      </c>
      <c r="I5623">
        <v>0</v>
      </c>
      <c r="J5623" t="s">
        <v>1709</v>
      </c>
      <c r="K5623" t="s">
        <v>290</v>
      </c>
      <c r="L5623" t="s">
        <v>285</v>
      </c>
      <c r="M5623" t="str">
        <f t="shared" si="400"/>
        <v>04</v>
      </c>
      <c r="N5623" t="s">
        <v>12</v>
      </c>
    </row>
    <row r="5624" spans="1:14" x14ac:dyDescent="0.25">
      <c r="A5624">
        <v>20160415</v>
      </c>
      <c r="B5624" t="str">
        <f t="shared" si="403"/>
        <v>063094</v>
      </c>
      <c r="C5624" t="str">
        <f t="shared" si="404"/>
        <v>37500</v>
      </c>
      <c r="D5624" t="s">
        <v>1652</v>
      </c>
      <c r="E5624" s="3">
        <v>94.13</v>
      </c>
      <c r="F5624">
        <v>20160412</v>
      </c>
      <c r="G5624" t="s">
        <v>2791</v>
      </c>
      <c r="H5624" t="s">
        <v>2310</v>
      </c>
      <c r="I5624">
        <v>0</v>
      </c>
      <c r="J5624" t="s">
        <v>1709</v>
      </c>
      <c r="K5624" t="s">
        <v>290</v>
      </c>
      <c r="L5624" t="s">
        <v>285</v>
      </c>
      <c r="M5624" t="str">
        <f t="shared" si="400"/>
        <v>04</v>
      </c>
      <c r="N5624" t="s">
        <v>12</v>
      </c>
    </row>
    <row r="5625" spans="1:14" x14ac:dyDescent="0.25">
      <c r="A5625">
        <v>20160415</v>
      </c>
      <c r="B5625" t="str">
        <f t="shared" si="403"/>
        <v>063094</v>
      </c>
      <c r="C5625" t="str">
        <f t="shared" si="404"/>
        <v>37500</v>
      </c>
      <c r="D5625" t="s">
        <v>1652</v>
      </c>
      <c r="E5625" s="3">
        <v>72.58</v>
      </c>
      <c r="F5625">
        <v>20160412</v>
      </c>
      <c r="G5625" t="s">
        <v>2791</v>
      </c>
      <c r="H5625" t="s">
        <v>2310</v>
      </c>
      <c r="I5625">
        <v>0</v>
      </c>
      <c r="J5625" t="s">
        <v>1709</v>
      </c>
      <c r="K5625" t="s">
        <v>290</v>
      </c>
      <c r="L5625" t="s">
        <v>285</v>
      </c>
      <c r="M5625" t="str">
        <f t="shared" si="400"/>
        <v>04</v>
      </c>
      <c r="N5625" t="s">
        <v>12</v>
      </c>
    </row>
    <row r="5626" spans="1:14" x14ac:dyDescent="0.25">
      <c r="A5626">
        <v>20160415</v>
      </c>
      <c r="B5626" t="str">
        <f t="shared" si="403"/>
        <v>063094</v>
      </c>
      <c r="C5626" t="str">
        <f t="shared" si="404"/>
        <v>37500</v>
      </c>
      <c r="D5626" t="s">
        <v>1652</v>
      </c>
      <c r="E5626" s="3">
        <v>11.48</v>
      </c>
      <c r="F5626">
        <v>20160412</v>
      </c>
      <c r="G5626" t="s">
        <v>2791</v>
      </c>
      <c r="H5626" t="s">
        <v>2310</v>
      </c>
      <c r="I5626">
        <v>0</v>
      </c>
      <c r="J5626" t="s">
        <v>1709</v>
      </c>
      <c r="K5626" t="s">
        <v>290</v>
      </c>
      <c r="L5626" t="s">
        <v>285</v>
      </c>
      <c r="M5626" t="str">
        <f t="shared" si="400"/>
        <v>04</v>
      </c>
      <c r="N5626" t="s">
        <v>12</v>
      </c>
    </row>
    <row r="5627" spans="1:14" x14ac:dyDescent="0.25">
      <c r="A5627">
        <v>20160415</v>
      </c>
      <c r="B5627" t="str">
        <f t="shared" si="403"/>
        <v>063094</v>
      </c>
      <c r="C5627" t="str">
        <f t="shared" si="404"/>
        <v>37500</v>
      </c>
      <c r="D5627" t="s">
        <v>1652</v>
      </c>
      <c r="E5627" s="3">
        <v>11.91</v>
      </c>
      <c r="F5627">
        <v>20160412</v>
      </c>
      <c r="G5627" t="s">
        <v>2791</v>
      </c>
      <c r="H5627" t="s">
        <v>2310</v>
      </c>
      <c r="I5627">
        <v>0</v>
      </c>
      <c r="J5627" t="s">
        <v>1709</v>
      </c>
      <c r="K5627" t="s">
        <v>290</v>
      </c>
      <c r="L5627" t="s">
        <v>285</v>
      </c>
      <c r="M5627" t="str">
        <f t="shared" si="400"/>
        <v>04</v>
      </c>
      <c r="N5627" t="s">
        <v>12</v>
      </c>
    </row>
    <row r="5628" spans="1:14" x14ac:dyDescent="0.25">
      <c r="A5628">
        <v>20160415</v>
      </c>
      <c r="B5628" t="str">
        <f t="shared" si="403"/>
        <v>063094</v>
      </c>
      <c r="C5628" t="str">
        <f t="shared" si="404"/>
        <v>37500</v>
      </c>
      <c r="D5628" t="s">
        <v>1652</v>
      </c>
      <c r="E5628" s="3">
        <v>44.8</v>
      </c>
      <c r="F5628">
        <v>20160412</v>
      </c>
      <c r="G5628" t="s">
        <v>2792</v>
      </c>
      <c r="H5628" t="s">
        <v>3304</v>
      </c>
      <c r="I5628">
        <v>0</v>
      </c>
      <c r="J5628" t="s">
        <v>1709</v>
      </c>
      <c r="K5628" t="s">
        <v>33</v>
      </c>
      <c r="L5628" t="s">
        <v>285</v>
      </c>
      <c r="M5628" t="str">
        <f t="shared" si="400"/>
        <v>04</v>
      </c>
      <c r="N5628" t="s">
        <v>12</v>
      </c>
    </row>
    <row r="5629" spans="1:14" x14ac:dyDescent="0.25">
      <c r="A5629">
        <v>20160415</v>
      </c>
      <c r="B5629" t="str">
        <f t="shared" si="403"/>
        <v>063094</v>
      </c>
      <c r="C5629" t="str">
        <f t="shared" si="404"/>
        <v>37500</v>
      </c>
      <c r="D5629" t="s">
        <v>1652</v>
      </c>
      <c r="E5629" s="3">
        <v>76.64</v>
      </c>
      <c r="F5629">
        <v>20160412</v>
      </c>
      <c r="G5629" t="s">
        <v>2762</v>
      </c>
      <c r="H5629" t="s">
        <v>4789</v>
      </c>
      <c r="I5629">
        <v>0</v>
      </c>
      <c r="J5629" t="s">
        <v>1709</v>
      </c>
      <c r="K5629" t="s">
        <v>2764</v>
      </c>
      <c r="L5629" t="s">
        <v>285</v>
      </c>
      <c r="M5629" t="str">
        <f t="shared" si="400"/>
        <v>04</v>
      </c>
      <c r="N5629" t="s">
        <v>12</v>
      </c>
    </row>
    <row r="5630" spans="1:14" x14ac:dyDescent="0.25">
      <c r="A5630">
        <v>20160415</v>
      </c>
      <c r="B5630" t="str">
        <f t="shared" si="403"/>
        <v>063094</v>
      </c>
      <c r="C5630" t="str">
        <f t="shared" si="404"/>
        <v>37500</v>
      </c>
      <c r="D5630" t="s">
        <v>1652</v>
      </c>
      <c r="E5630" s="3">
        <v>7.82</v>
      </c>
      <c r="F5630">
        <v>20160412</v>
      </c>
      <c r="G5630" t="s">
        <v>2795</v>
      </c>
      <c r="H5630" t="s">
        <v>595</v>
      </c>
      <c r="I5630">
        <v>0</v>
      </c>
      <c r="J5630" t="s">
        <v>1709</v>
      </c>
      <c r="K5630" t="s">
        <v>95</v>
      </c>
      <c r="L5630" t="s">
        <v>285</v>
      </c>
      <c r="M5630" t="str">
        <f t="shared" si="400"/>
        <v>04</v>
      </c>
      <c r="N5630" t="s">
        <v>12</v>
      </c>
    </row>
    <row r="5631" spans="1:14" x14ac:dyDescent="0.25">
      <c r="A5631">
        <v>20160415</v>
      </c>
      <c r="B5631" t="str">
        <f t="shared" si="403"/>
        <v>063094</v>
      </c>
      <c r="C5631" t="str">
        <f t="shared" si="404"/>
        <v>37500</v>
      </c>
      <c r="D5631" t="s">
        <v>1652</v>
      </c>
      <c r="E5631" s="3">
        <v>250.01</v>
      </c>
      <c r="F5631">
        <v>20160412</v>
      </c>
      <c r="G5631" t="s">
        <v>3114</v>
      </c>
      <c r="H5631" t="s">
        <v>4790</v>
      </c>
      <c r="I5631">
        <v>0</v>
      </c>
      <c r="J5631" t="s">
        <v>1709</v>
      </c>
      <c r="K5631" t="s">
        <v>33</v>
      </c>
      <c r="L5631" t="s">
        <v>285</v>
      </c>
      <c r="M5631" t="str">
        <f t="shared" si="400"/>
        <v>04</v>
      </c>
      <c r="N5631" t="s">
        <v>12</v>
      </c>
    </row>
    <row r="5632" spans="1:14" x14ac:dyDescent="0.25">
      <c r="A5632">
        <v>20160415</v>
      </c>
      <c r="B5632" t="str">
        <f t="shared" si="403"/>
        <v>063094</v>
      </c>
      <c r="C5632" t="str">
        <f t="shared" si="404"/>
        <v>37500</v>
      </c>
      <c r="D5632" t="s">
        <v>1652</v>
      </c>
      <c r="E5632" s="3">
        <v>58.99</v>
      </c>
      <c r="F5632">
        <v>20160412</v>
      </c>
      <c r="G5632" t="s">
        <v>3114</v>
      </c>
      <c r="H5632" t="s">
        <v>3304</v>
      </c>
      <c r="I5632">
        <v>0</v>
      </c>
      <c r="J5632" t="s">
        <v>1709</v>
      </c>
      <c r="K5632" t="s">
        <v>33</v>
      </c>
      <c r="L5632" t="s">
        <v>285</v>
      </c>
      <c r="M5632" t="str">
        <f t="shared" si="400"/>
        <v>04</v>
      </c>
      <c r="N5632" t="s">
        <v>12</v>
      </c>
    </row>
    <row r="5633" spans="1:14" x14ac:dyDescent="0.25">
      <c r="A5633">
        <v>20160415</v>
      </c>
      <c r="B5633" t="str">
        <f t="shared" si="403"/>
        <v>063094</v>
      </c>
      <c r="C5633" t="str">
        <f t="shared" si="404"/>
        <v>37500</v>
      </c>
      <c r="D5633" t="s">
        <v>1652</v>
      </c>
      <c r="E5633" s="3">
        <v>11.98</v>
      </c>
      <c r="F5633">
        <v>20160412</v>
      </c>
      <c r="G5633" t="s">
        <v>2767</v>
      </c>
      <c r="H5633" t="s">
        <v>1223</v>
      </c>
      <c r="I5633">
        <v>0</v>
      </c>
      <c r="J5633" t="s">
        <v>1709</v>
      </c>
      <c r="K5633" t="s">
        <v>95</v>
      </c>
      <c r="L5633" t="s">
        <v>285</v>
      </c>
      <c r="M5633" t="str">
        <f t="shared" si="400"/>
        <v>04</v>
      </c>
      <c r="N5633" t="s">
        <v>12</v>
      </c>
    </row>
    <row r="5634" spans="1:14" x14ac:dyDescent="0.25">
      <c r="A5634">
        <v>20160415</v>
      </c>
      <c r="B5634" t="str">
        <f t="shared" si="403"/>
        <v>063094</v>
      </c>
      <c r="C5634" t="str">
        <f t="shared" si="404"/>
        <v>37500</v>
      </c>
      <c r="D5634" t="s">
        <v>1652</v>
      </c>
      <c r="E5634" s="3">
        <v>52.62</v>
      </c>
      <c r="F5634">
        <v>20160412</v>
      </c>
      <c r="G5634" t="s">
        <v>3013</v>
      </c>
      <c r="H5634" t="s">
        <v>1661</v>
      </c>
      <c r="I5634">
        <v>0</v>
      </c>
      <c r="J5634" t="s">
        <v>1709</v>
      </c>
      <c r="K5634" t="s">
        <v>1984</v>
      </c>
      <c r="L5634" t="s">
        <v>285</v>
      </c>
      <c r="M5634" t="str">
        <f t="shared" si="400"/>
        <v>04</v>
      </c>
      <c r="N5634" t="s">
        <v>12</v>
      </c>
    </row>
    <row r="5635" spans="1:14" x14ac:dyDescent="0.25">
      <c r="A5635">
        <v>20160415</v>
      </c>
      <c r="B5635" t="str">
        <f>"063095"</f>
        <v>063095</v>
      </c>
      <c r="C5635" t="str">
        <f>"40567"</f>
        <v>40567</v>
      </c>
      <c r="D5635" t="s">
        <v>4791</v>
      </c>
      <c r="E5635" s="3">
        <v>387</v>
      </c>
      <c r="F5635">
        <v>20160412</v>
      </c>
      <c r="G5635" t="s">
        <v>4792</v>
      </c>
      <c r="H5635" t="s">
        <v>4793</v>
      </c>
      <c r="I5635">
        <v>0</v>
      </c>
      <c r="J5635" t="s">
        <v>1709</v>
      </c>
      <c r="K5635" t="s">
        <v>33</v>
      </c>
      <c r="L5635" t="s">
        <v>285</v>
      </c>
      <c r="M5635" t="str">
        <f t="shared" si="400"/>
        <v>04</v>
      </c>
      <c r="N5635" t="s">
        <v>12</v>
      </c>
    </row>
    <row r="5636" spans="1:14" x14ac:dyDescent="0.25">
      <c r="A5636">
        <v>20160415</v>
      </c>
      <c r="B5636" t="str">
        <f>"063096"</f>
        <v>063096</v>
      </c>
      <c r="C5636" t="str">
        <f>"40812"</f>
        <v>40812</v>
      </c>
      <c r="D5636" t="s">
        <v>4794</v>
      </c>
      <c r="E5636" s="3">
        <v>176.09</v>
      </c>
      <c r="F5636">
        <v>20160413</v>
      </c>
      <c r="G5636" t="s">
        <v>2105</v>
      </c>
      <c r="H5636" t="s">
        <v>4795</v>
      </c>
      <c r="I5636">
        <v>0</v>
      </c>
      <c r="J5636" t="s">
        <v>1709</v>
      </c>
      <c r="K5636" t="s">
        <v>1782</v>
      </c>
      <c r="L5636" t="s">
        <v>285</v>
      </c>
      <c r="M5636" t="str">
        <f t="shared" si="400"/>
        <v>04</v>
      </c>
      <c r="N5636" t="s">
        <v>12</v>
      </c>
    </row>
    <row r="5637" spans="1:14" x14ac:dyDescent="0.25">
      <c r="A5637">
        <v>20160415</v>
      </c>
      <c r="B5637" t="str">
        <f>"063097"</f>
        <v>063097</v>
      </c>
      <c r="C5637" t="str">
        <f>"41230"</f>
        <v>41230</v>
      </c>
      <c r="D5637" t="s">
        <v>604</v>
      </c>
      <c r="E5637" s="3">
        <v>-6.67</v>
      </c>
      <c r="F5637">
        <v>20160229</v>
      </c>
      <c r="G5637" t="s">
        <v>2339</v>
      </c>
      <c r="H5637" t="s">
        <v>4796</v>
      </c>
      <c r="I5637">
        <v>0</v>
      </c>
      <c r="J5637" t="s">
        <v>1709</v>
      </c>
      <c r="K5637" t="s">
        <v>290</v>
      </c>
      <c r="L5637" t="s">
        <v>1385</v>
      </c>
      <c r="M5637" t="str">
        <f t="shared" si="400"/>
        <v>04</v>
      </c>
      <c r="N5637" t="s">
        <v>12</v>
      </c>
    </row>
    <row r="5638" spans="1:14" x14ac:dyDescent="0.25">
      <c r="A5638">
        <v>20160415</v>
      </c>
      <c r="B5638" t="str">
        <f>"063097"</f>
        <v>063097</v>
      </c>
      <c r="C5638" t="str">
        <f>"41230"</f>
        <v>41230</v>
      </c>
      <c r="D5638" t="s">
        <v>604</v>
      </c>
      <c r="E5638" s="3">
        <v>7.97</v>
      </c>
      <c r="F5638">
        <v>20160412</v>
      </c>
      <c r="G5638" t="s">
        <v>1859</v>
      </c>
      <c r="H5638" t="s">
        <v>4797</v>
      </c>
      <c r="I5638">
        <v>0</v>
      </c>
      <c r="J5638" t="s">
        <v>1709</v>
      </c>
      <c r="K5638" t="s">
        <v>1861</v>
      </c>
      <c r="L5638" t="s">
        <v>285</v>
      </c>
      <c r="M5638" t="str">
        <f t="shared" si="400"/>
        <v>04</v>
      </c>
      <c r="N5638" t="s">
        <v>12</v>
      </c>
    </row>
    <row r="5639" spans="1:14" x14ac:dyDescent="0.25">
      <c r="A5639">
        <v>20160415</v>
      </c>
      <c r="B5639" t="str">
        <f>"063097"</f>
        <v>063097</v>
      </c>
      <c r="C5639" t="str">
        <f>"41230"</f>
        <v>41230</v>
      </c>
      <c r="D5639" t="s">
        <v>604</v>
      </c>
      <c r="E5639" s="3">
        <v>1375.88</v>
      </c>
      <c r="F5639">
        <v>20160412</v>
      </c>
      <c r="G5639" t="s">
        <v>1859</v>
      </c>
      <c r="H5639" t="s">
        <v>4798</v>
      </c>
      <c r="I5639">
        <v>0</v>
      </c>
      <c r="J5639" t="s">
        <v>1709</v>
      </c>
      <c r="K5639" t="s">
        <v>1861</v>
      </c>
      <c r="L5639" t="s">
        <v>285</v>
      </c>
      <c r="M5639" t="str">
        <f t="shared" si="400"/>
        <v>04</v>
      </c>
      <c r="N5639" t="s">
        <v>12</v>
      </c>
    </row>
    <row r="5640" spans="1:14" x14ac:dyDescent="0.25">
      <c r="A5640">
        <v>20160415</v>
      </c>
      <c r="B5640" t="str">
        <f>"063097"</f>
        <v>063097</v>
      </c>
      <c r="C5640" t="str">
        <f>"41230"</f>
        <v>41230</v>
      </c>
      <c r="D5640" t="s">
        <v>604</v>
      </c>
      <c r="E5640" s="3">
        <v>165.16</v>
      </c>
      <c r="F5640">
        <v>20160412</v>
      </c>
      <c r="G5640" t="s">
        <v>1859</v>
      </c>
      <c r="H5640" t="s">
        <v>4799</v>
      </c>
      <c r="I5640">
        <v>0</v>
      </c>
      <c r="J5640" t="s">
        <v>1709</v>
      </c>
      <c r="K5640" t="s">
        <v>1861</v>
      </c>
      <c r="L5640" t="s">
        <v>285</v>
      </c>
      <c r="M5640" t="str">
        <f t="shared" si="400"/>
        <v>04</v>
      </c>
      <c r="N5640" t="s">
        <v>12</v>
      </c>
    </row>
    <row r="5641" spans="1:14" x14ac:dyDescent="0.25">
      <c r="A5641">
        <v>20160415</v>
      </c>
      <c r="B5641" t="str">
        <f>"063097"</f>
        <v>063097</v>
      </c>
      <c r="C5641" t="str">
        <f>"41230"</f>
        <v>41230</v>
      </c>
      <c r="D5641" t="s">
        <v>604</v>
      </c>
      <c r="E5641" s="3">
        <v>102.54</v>
      </c>
      <c r="F5641">
        <v>20160412</v>
      </c>
      <c r="G5641" t="s">
        <v>1859</v>
      </c>
      <c r="H5641" t="s">
        <v>4800</v>
      </c>
      <c r="I5641">
        <v>0</v>
      </c>
      <c r="J5641" t="s">
        <v>1709</v>
      </c>
      <c r="K5641" t="s">
        <v>1861</v>
      </c>
      <c r="L5641" t="s">
        <v>285</v>
      </c>
      <c r="M5641" t="str">
        <f t="shared" si="400"/>
        <v>04</v>
      </c>
      <c r="N5641" t="s">
        <v>12</v>
      </c>
    </row>
    <row r="5642" spans="1:14" x14ac:dyDescent="0.25">
      <c r="A5642">
        <v>20160415</v>
      </c>
      <c r="B5642" t="str">
        <f>"063100"</f>
        <v>063100</v>
      </c>
      <c r="C5642" t="str">
        <f>"42197"</f>
        <v>42197</v>
      </c>
      <c r="D5642" t="s">
        <v>4801</v>
      </c>
      <c r="E5642" s="3">
        <v>1500</v>
      </c>
      <c r="F5642">
        <v>20160412</v>
      </c>
      <c r="G5642" t="s">
        <v>4802</v>
      </c>
      <c r="H5642" t="s">
        <v>4803</v>
      </c>
      <c r="I5642">
        <v>0</v>
      </c>
      <c r="J5642" t="s">
        <v>1709</v>
      </c>
      <c r="K5642" t="s">
        <v>2764</v>
      </c>
      <c r="L5642" t="s">
        <v>285</v>
      </c>
      <c r="M5642" t="str">
        <f t="shared" si="400"/>
        <v>04</v>
      </c>
      <c r="N5642" t="s">
        <v>12</v>
      </c>
    </row>
    <row r="5643" spans="1:14" x14ac:dyDescent="0.25">
      <c r="A5643">
        <v>20160415</v>
      </c>
      <c r="B5643" t="str">
        <f>"063101"</f>
        <v>063101</v>
      </c>
      <c r="C5643" t="str">
        <f>"44450"</f>
        <v>44450</v>
      </c>
      <c r="D5643" t="s">
        <v>1989</v>
      </c>
      <c r="E5643" s="3">
        <v>225</v>
      </c>
      <c r="F5643">
        <v>20160413</v>
      </c>
      <c r="G5643" t="s">
        <v>2896</v>
      </c>
      <c r="H5643" t="s">
        <v>4804</v>
      </c>
      <c r="I5643">
        <v>0</v>
      </c>
      <c r="J5643" t="s">
        <v>1709</v>
      </c>
      <c r="K5643" t="s">
        <v>95</v>
      </c>
      <c r="L5643" t="s">
        <v>285</v>
      </c>
      <c r="M5643" t="str">
        <f t="shared" si="400"/>
        <v>04</v>
      </c>
      <c r="N5643" t="s">
        <v>12</v>
      </c>
    </row>
    <row r="5644" spans="1:14" x14ac:dyDescent="0.25">
      <c r="A5644">
        <v>20160415</v>
      </c>
      <c r="B5644" t="str">
        <f>"063102"</f>
        <v>063102</v>
      </c>
      <c r="C5644" t="str">
        <f>"45492"</f>
        <v>45492</v>
      </c>
      <c r="D5644" t="s">
        <v>3241</v>
      </c>
      <c r="E5644" s="3">
        <v>53.31</v>
      </c>
      <c r="F5644">
        <v>20160413</v>
      </c>
      <c r="G5644" t="s">
        <v>1859</v>
      </c>
      <c r="H5644" t="s">
        <v>4805</v>
      </c>
      <c r="I5644">
        <v>0</v>
      </c>
      <c r="J5644" t="s">
        <v>1709</v>
      </c>
      <c r="K5644" t="s">
        <v>1861</v>
      </c>
      <c r="L5644" t="s">
        <v>285</v>
      </c>
      <c r="M5644" t="str">
        <f t="shared" si="400"/>
        <v>04</v>
      </c>
      <c r="N5644" t="s">
        <v>12</v>
      </c>
    </row>
    <row r="5645" spans="1:14" x14ac:dyDescent="0.25">
      <c r="A5645">
        <v>20160415</v>
      </c>
      <c r="B5645" t="str">
        <f t="shared" ref="B5645:B5650" si="405">"063103"</f>
        <v>063103</v>
      </c>
      <c r="C5645" t="str">
        <f t="shared" ref="C5645:C5650" si="406">"45496"</f>
        <v>45496</v>
      </c>
      <c r="D5645" t="s">
        <v>2327</v>
      </c>
      <c r="E5645" s="3">
        <v>444.28</v>
      </c>
      <c r="F5645">
        <v>20160413</v>
      </c>
      <c r="G5645" t="s">
        <v>2275</v>
      </c>
      <c r="H5645" t="s">
        <v>595</v>
      </c>
      <c r="I5645">
        <v>0</v>
      </c>
      <c r="J5645" t="s">
        <v>1709</v>
      </c>
      <c r="K5645" t="s">
        <v>95</v>
      </c>
      <c r="L5645" t="s">
        <v>285</v>
      </c>
      <c r="M5645" t="str">
        <f t="shared" si="400"/>
        <v>04</v>
      </c>
      <c r="N5645" t="s">
        <v>12</v>
      </c>
    </row>
    <row r="5646" spans="1:14" x14ac:dyDescent="0.25">
      <c r="A5646">
        <v>20160415</v>
      </c>
      <c r="B5646" t="str">
        <f t="shared" si="405"/>
        <v>063103</v>
      </c>
      <c r="C5646" t="str">
        <f t="shared" si="406"/>
        <v>45496</v>
      </c>
      <c r="D5646" t="s">
        <v>2327</v>
      </c>
      <c r="E5646" s="3">
        <v>35.840000000000003</v>
      </c>
      <c r="F5646">
        <v>20160413</v>
      </c>
      <c r="G5646" t="s">
        <v>3293</v>
      </c>
      <c r="H5646" t="s">
        <v>595</v>
      </c>
      <c r="I5646">
        <v>0</v>
      </c>
      <c r="J5646" t="s">
        <v>1709</v>
      </c>
      <c r="K5646" t="s">
        <v>95</v>
      </c>
      <c r="L5646" t="s">
        <v>285</v>
      </c>
      <c r="M5646" t="str">
        <f t="shared" si="400"/>
        <v>04</v>
      </c>
      <c r="N5646" t="s">
        <v>12</v>
      </c>
    </row>
    <row r="5647" spans="1:14" x14ac:dyDescent="0.25">
      <c r="A5647">
        <v>20160415</v>
      </c>
      <c r="B5647" t="str">
        <f t="shared" si="405"/>
        <v>063103</v>
      </c>
      <c r="C5647" t="str">
        <f t="shared" si="406"/>
        <v>45496</v>
      </c>
      <c r="D5647" t="s">
        <v>2327</v>
      </c>
      <c r="E5647" s="3">
        <v>550.37</v>
      </c>
      <c r="F5647">
        <v>20160413</v>
      </c>
      <c r="G5647" t="s">
        <v>4294</v>
      </c>
      <c r="H5647" t="s">
        <v>2169</v>
      </c>
      <c r="I5647">
        <v>0</v>
      </c>
      <c r="J5647" t="s">
        <v>1709</v>
      </c>
      <c r="K5647" t="s">
        <v>95</v>
      </c>
      <c r="L5647" t="s">
        <v>285</v>
      </c>
      <c r="M5647" t="str">
        <f t="shared" ref="M5647:M5710" si="407">"04"</f>
        <v>04</v>
      </c>
      <c r="N5647" t="s">
        <v>12</v>
      </c>
    </row>
    <row r="5648" spans="1:14" x14ac:dyDescent="0.25">
      <c r="A5648">
        <v>20160415</v>
      </c>
      <c r="B5648" t="str">
        <f t="shared" si="405"/>
        <v>063103</v>
      </c>
      <c r="C5648" t="str">
        <f t="shared" si="406"/>
        <v>45496</v>
      </c>
      <c r="D5648" t="s">
        <v>2327</v>
      </c>
      <c r="E5648" s="3">
        <v>78.75</v>
      </c>
      <c r="F5648">
        <v>20160413</v>
      </c>
      <c r="G5648" t="s">
        <v>2333</v>
      </c>
      <c r="H5648" t="s">
        <v>4806</v>
      </c>
      <c r="I5648">
        <v>0</v>
      </c>
      <c r="J5648" t="s">
        <v>1709</v>
      </c>
      <c r="K5648" t="s">
        <v>290</v>
      </c>
      <c r="L5648" t="s">
        <v>285</v>
      </c>
      <c r="M5648" t="str">
        <f t="shared" si="407"/>
        <v>04</v>
      </c>
      <c r="N5648" t="s">
        <v>12</v>
      </c>
    </row>
    <row r="5649" spans="1:14" x14ac:dyDescent="0.25">
      <c r="A5649">
        <v>20160415</v>
      </c>
      <c r="B5649" t="str">
        <f t="shared" si="405"/>
        <v>063103</v>
      </c>
      <c r="C5649" t="str">
        <f t="shared" si="406"/>
        <v>45496</v>
      </c>
      <c r="D5649" t="s">
        <v>2327</v>
      </c>
      <c r="E5649" s="3">
        <v>14.07</v>
      </c>
      <c r="F5649">
        <v>20160413</v>
      </c>
      <c r="G5649" t="s">
        <v>2795</v>
      </c>
      <c r="H5649" t="s">
        <v>4807</v>
      </c>
      <c r="I5649">
        <v>0</v>
      </c>
      <c r="J5649" t="s">
        <v>1709</v>
      </c>
      <c r="K5649" t="s">
        <v>95</v>
      </c>
      <c r="L5649" t="s">
        <v>285</v>
      </c>
      <c r="M5649" t="str">
        <f t="shared" si="407"/>
        <v>04</v>
      </c>
      <c r="N5649" t="s">
        <v>12</v>
      </c>
    </row>
    <row r="5650" spans="1:14" x14ac:dyDescent="0.25">
      <c r="A5650">
        <v>20160415</v>
      </c>
      <c r="B5650" t="str">
        <f t="shared" si="405"/>
        <v>063103</v>
      </c>
      <c r="C5650" t="str">
        <f t="shared" si="406"/>
        <v>45496</v>
      </c>
      <c r="D5650" t="s">
        <v>2327</v>
      </c>
      <c r="E5650" s="3">
        <v>68.180000000000007</v>
      </c>
      <c r="F5650">
        <v>20160413</v>
      </c>
      <c r="G5650" t="s">
        <v>2047</v>
      </c>
      <c r="H5650" t="s">
        <v>595</v>
      </c>
      <c r="I5650">
        <v>0</v>
      </c>
      <c r="J5650" t="s">
        <v>1709</v>
      </c>
      <c r="K5650" t="s">
        <v>1882</v>
      </c>
      <c r="L5650" t="s">
        <v>285</v>
      </c>
      <c r="M5650" t="str">
        <f t="shared" si="407"/>
        <v>04</v>
      </c>
      <c r="N5650" t="s">
        <v>12</v>
      </c>
    </row>
    <row r="5651" spans="1:14" x14ac:dyDescent="0.25">
      <c r="A5651">
        <v>20160415</v>
      </c>
      <c r="B5651" t="str">
        <f>"063106"</f>
        <v>063106</v>
      </c>
      <c r="C5651" t="str">
        <f>"46398"</f>
        <v>46398</v>
      </c>
      <c r="D5651" t="s">
        <v>1994</v>
      </c>
      <c r="E5651" s="3">
        <v>11850.54</v>
      </c>
      <c r="F5651">
        <v>20160413</v>
      </c>
      <c r="G5651" t="s">
        <v>1995</v>
      </c>
      <c r="H5651" t="s">
        <v>4808</v>
      </c>
      <c r="I5651">
        <v>0</v>
      </c>
      <c r="J5651" t="s">
        <v>1709</v>
      </c>
      <c r="K5651" t="s">
        <v>235</v>
      </c>
      <c r="L5651" t="s">
        <v>285</v>
      </c>
      <c r="M5651" t="str">
        <f t="shared" si="407"/>
        <v>04</v>
      </c>
      <c r="N5651" t="s">
        <v>12</v>
      </c>
    </row>
    <row r="5652" spans="1:14" x14ac:dyDescent="0.25">
      <c r="A5652">
        <v>20160415</v>
      </c>
      <c r="B5652" t="str">
        <f>"063106"</f>
        <v>063106</v>
      </c>
      <c r="C5652" t="str">
        <f>"46398"</f>
        <v>46398</v>
      </c>
      <c r="D5652" t="s">
        <v>1994</v>
      </c>
      <c r="E5652" s="3">
        <v>1820</v>
      </c>
      <c r="F5652">
        <v>20160413</v>
      </c>
      <c r="G5652" t="s">
        <v>1995</v>
      </c>
      <c r="H5652" t="s">
        <v>4809</v>
      </c>
      <c r="I5652">
        <v>0</v>
      </c>
      <c r="J5652" t="s">
        <v>1709</v>
      </c>
      <c r="K5652" t="s">
        <v>235</v>
      </c>
      <c r="L5652" t="s">
        <v>285</v>
      </c>
      <c r="M5652" t="str">
        <f t="shared" si="407"/>
        <v>04</v>
      </c>
      <c r="N5652" t="s">
        <v>12</v>
      </c>
    </row>
    <row r="5653" spans="1:14" x14ac:dyDescent="0.25">
      <c r="A5653">
        <v>20160415</v>
      </c>
      <c r="B5653" t="str">
        <f>"063106"</f>
        <v>063106</v>
      </c>
      <c r="C5653" t="str">
        <f>"46398"</f>
        <v>46398</v>
      </c>
      <c r="D5653" t="s">
        <v>1994</v>
      </c>
      <c r="E5653" s="3">
        <v>1129.9100000000001</v>
      </c>
      <c r="F5653">
        <v>20160413</v>
      </c>
      <c r="G5653" t="s">
        <v>1998</v>
      </c>
      <c r="H5653" t="s">
        <v>4808</v>
      </c>
      <c r="I5653">
        <v>0</v>
      </c>
      <c r="J5653" t="s">
        <v>1709</v>
      </c>
      <c r="K5653" t="s">
        <v>1942</v>
      </c>
      <c r="L5653" t="s">
        <v>285</v>
      </c>
      <c r="M5653" t="str">
        <f t="shared" si="407"/>
        <v>04</v>
      </c>
      <c r="N5653" t="s">
        <v>12</v>
      </c>
    </row>
    <row r="5654" spans="1:14" x14ac:dyDescent="0.25">
      <c r="A5654">
        <v>20160415</v>
      </c>
      <c r="B5654" t="str">
        <f>"063107"</f>
        <v>063107</v>
      </c>
      <c r="C5654" t="str">
        <f>"46351"</f>
        <v>46351</v>
      </c>
      <c r="D5654" t="s">
        <v>2518</v>
      </c>
      <c r="E5654" s="3">
        <v>4248.04</v>
      </c>
      <c r="F5654">
        <v>20160413</v>
      </c>
      <c r="G5654" t="s">
        <v>2523</v>
      </c>
      <c r="H5654" t="s">
        <v>4810</v>
      </c>
      <c r="I5654">
        <v>0</v>
      </c>
      <c r="J5654" t="s">
        <v>1709</v>
      </c>
      <c r="K5654" t="s">
        <v>1942</v>
      </c>
      <c r="L5654" t="s">
        <v>285</v>
      </c>
      <c r="M5654" t="str">
        <f t="shared" si="407"/>
        <v>04</v>
      </c>
      <c r="N5654" t="s">
        <v>12</v>
      </c>
    </row>
    <row r="5655" spans="1:14" x14ac:dyDescent="0.25">
      <c r="A5655">
        <v>20160415</v>
      </c>
      <c r="B5655" t="str">
        <f>"063109"</f>
        <v>063109</v>
      </c>
      <c r="C5655" t="str">
        <f>"49748"</f>
        <v>49748</v>
      </c>
      <c r="D5655" t="s">
        <v>1885</v>
      </c>
      <c r="E5655" s="3">
        <v>400</v>
      </c>
      <c r="F5655">
        <v>20160413</v>
      </c>
      <c r="G5655" t="s">
        <v>1974</v>
      </c>
      <c r="H5655" t="s">
        <v>4811</v>
      </c>
      <c r="I5655">
        <v>0</v>
      </c>
      <c r="J5655" t="s">
        <v>1709</v>
      </c>
      <c r="K5655" t="s">
        <v>290</v>
      </c>
      <c r="L5655" t="s">
        <v>285</v>
      </c>
      <c r="M5655" t="str">
        <f t="shared" si="407"/>
        <v>04</v>
      </c>
      <c r="N5655" t="s">
        <v>12</v>
      </c>
    </row>
    <row r="5656" spans="1:14" x14ac:dyDescent="0.25">
      <c r="A5656">
        <v>20160415</v>
      </c>
      <c r="B5656" t="str">
        <f>"063110"</f>
        <v>063110</v>
      </c>
      <c r="C5656" t="str">
        <f>"49959"</f>
        <v>49959</v>
      </c>
      <c r="D5656" t="s">
        <v>361</v>
      </c>
      <c r="E5656" s="3">
        <v>60</v>
      </c>
      <c r="F5656">
        <v>20160413</v>
      </c>
      <c r="G5656" t="s">
        <v>1788</v>
      </c>
      <c r="H5656" t="s">
        <v>4812</v>
      </c>
      <c r="I5656">
        <v>0</v>
      </c>
      <c r="J5656" t="s">
        <v>1709</v>
      </c>
      <c r="K5656" t="s">
        <v>1643</v>
      </c>
      <c r="L5656" t="s">
        <v>285</v>
      </c>
      <c r="M5656" t="str">
        <f t="shared" si="407"/>
        <v>04</v>
      </c>
      <c r="N5656" t="s">
        <v>12</v>
      </c>
    </row>
    <row r="5657" spans="1:14" x14ac:dyDescent="0.25">
      <c r="A5657">
        <v>20160415</v>
      </c>
      <c r="B5657" t="str">
        <f>"063111"</f>
        <v>063111</v>
      </c>
      <c r="C5657" t="str">
        <f>"50453"</f>
        <v>50453</v>
      </c>
      <c r="D5657" t="s">
        <v>1577</v>
      </c>
      <c r="E5657" s="3">
        <v>53.99</v>
      </c>
      <c r="F5657">
        <v>20160413</v>
      </c>
      <c r="G5657" t="s">
        <v>1933</v>
      </c>
      <c r="H5657" t="s">
        <v>4813</v>
      </c>
      <c r="I5657">
        <v>0</v>
      </c>
      <c r="J5657" t="s">
        <v>1709</v>
      </c>
      <c r="K5657" t="s">
        <v>1558</v>
      </c>
      <c r="L5657" t="s">
        <v>285</v>
      </c>
      <c r="M5657" t="str">
        <f t="shared" si="407"/>
        <v>04</v>
      </c>
      <c r="N5657" t="s">
        <v>12</v>
      </c>
    </row>
    <row r="5658" spans="1:14" x14ac:dyDescent="0.25">
      <c r="A5658">
        <v>20160415</v>
      </c>
      <c r="B5658" t="str">
        <f>"063112"</f>
        <v>063112</v>
      </c>
      <c r="C5658" t="str">
        <f>"50476"</f>
        <v>50476</v>
      </c>
      <c r="D5658" t="s">
        <v>4814</v>
      </c>
      <c r="E5658" s="3">
        <v>240</v>
      </c>
      <c r="F5658">
        <v>20160413</v>
      </c>
      <c r="G5658" t="s">
        <v>1788</v>
      </c>
      <c r="H5658" t="s">
        <v>4815</v>
      </c>
      <c r="I5658">
        <v>0</v>
      </c>
      <c r="J5658" t="s">
        <v>1709</v>
      </c>
      <c r="K5658" t="s">
        <v>1643</v>
      </c>
      <c r="L5658" t="s">
        <v>285</v>
      </c>
      <c r="M5658" t="str">
        <f t="shared" si="407"/>
        <v>04</v>
      </c>
      <c r="N5658" t="s">
        <v>12</v>
      </c>
    </row>
    <row r="5659" spans="1:14" x14ac:dyDescent="0.25">
      <c r="A5659">
        <v>20160415</v>
      </c>
      <c r="B5659" t="str">
        <f>"063113"</f>
        <v>063113</v>
      </c>
      <c r="C5659" t="str">
        <f>"52185"</f>
        <v>52185</v>
      </c>
      <c r="D5659" t="s">
        <v>2130</v>
      </c>
      <c r="E5659" s="3">
        <v>15110</v>
      </c>
      <c r="F5659">
        <v>20160413</v>
      </c>
      <c r="G5659" t="s">
        <v>2588</v>
      </c>
      <c r="H5659" t="s">
        <v>4816</v>
      </c>
      <c r="I5659">
        <v>0</v>
      </c>
      <c r="J5659" t="s">
        <v>1709</v>
      </c>
      <c r="K5659" t="s">
        <v>1861</v>
      </c>
      <c r="L5659" t="s">
        <v>285</v>
      </c>
      <c r="M5659" t="str">
        <f t="shared" si="407"/>
        <v>04</v>
      </c>
      <c r="N5659" t="s">
        <v>12</v>
      </c>
    </row>
    <row r="5660" spans="1:14" x14ac:dyDescent="0.25">
      <c r="A5660">
        <v>20160415</v>
      </c>
      <c r="B5660" t="str">
        <f>"063114"</f>
        <v>063114</v>
      </c>
      <c r="C5660" t="str">
        <f>"52217"</f>
        <v>52217</v>
      </c>
      <c r="D5660" t="s">
        <v>577</v>
      </c>
      <c r="E5660" s="3">
        <v>1000</v>
      </c>
      <c r="F5660">
        <v>20160413</v>
      </c>
      <c r="G5660" t="s">
        <v>2754</v>
      </c>
      <c r="H5660" t="s">
        <v>1296</v>
      </c>
      <c r="I5660">
        <v>0</v>
      </c>
      <c r="J5660" t="s">
        <v>1709</v>
      </c>
      <c r="K5660" t="s">
        <v>290</v>
      </c>
      <c r="L5660" t="s">
        <v>285</v>
      </c>
      <c r="M5660" t="str">
        <f t="shared" si="407"/>
        <v>04</v>
      </c>
      <c r="N5660" t="s">
        <v>12</v>
      </c>
    </row>
    <row r="5661" spans="1:14" x14ac:dyDescent="0.25">
      <c r="A5661">
        <v>20160415</v>
      </c>
      <c r="B5661" t="str">
        <f>"063117"</f>
        <v>063117</v>
      </c>
      <c r="C5661" t="str">
        <f>"54236"</f>
        <v>54236</v>
      </c>
      <c r="D5661" t="s">
        <v>4817</v>
      </c>
      <c r="E5661" s="3">
        <v>93</v>
      </c>
      <c r="F5661">
        <v>20160413</v>
      </c>
      <c r="G5661" t="s">
        <v>4328</v>
      </c>
      <c r="H5661" t="s">
        <v>4818</v>
      </c>
      <c r="I5661">
        <v>0</v>
      </c>
      <c r="J5661" t="s">
        <v>1709</v>
      </c>
      <c r="K5661" t="s">
        <v>290</v>
      </c>
      <c r="L5661" t="s">
        <v>285</v>
      </c>
      <c r="M5661" t="str">
        <f t="shared" si="407"/>
        <v>04</v>
      </c>
      <c r="N5661" t="s">
        <v>12</v>
      </c>
    </row>
    <row r="5662" spans="1:14" x14ac:dyDescent="0.25">
      <c r="A5662">
        <v>20160415</v>
      </c>
      <c r="B5662" t="str">
        <f>"063117"</f>
        <v>063117</v>
      </c>
      <c r="C5662" t="str">
        <f>"54236"</f>
        <v>54236</v>
      </c>
      <c r="D5662" t="s">
        <v>4817</v>
      </c>
      <c r="E5662" s="3">
        <v>149</v>
      </c>
      <c r="F5662">
        <v>20160413</v>
      </c>
      <c r="G5662" t="s">
        <v>4328</v>
      </c>
      <c r="H5662" t="s">
        <v>4819</v>
      </c>
      <c r="I5662">
        <v>0</v>
      </c>
      <c r="J5662" t="s">
        <v>1709</v>
      </c>
      <c r="K5662" t="s">
        <v>290</v>
      </c>
      <c r="L5662" t="s">
        <v>285</v>
      </c>
      <c r="M5662" t="str">
        <f t="shared" si="407"/>
        <v>04</v>
      </c>
      <c r="N5662" t="s">
        <v>12</v>
      </c>
    </row>
    <row r="5663" spans="1:14" x14ac:dyDescent="0.25">
      <c r="A5663">
        <v>20160415</v>
      </c>
      <c r="B5663" t="str">
        <f>"063117"</f>
        <v>063117</v>
      </c>
      <c r="C5663" t="str">
        <f>"54236"</f>
        <v>54236</v>
      </c>
      <c r="D5663" t="s">
        <v>4817</v>
      </c>
      <c r="E5663" s="3">
        <v>199</v>
      </c>
      <c r="F5663">
        <v>20160413</v>
      </c>
      <c r="G5663" t="s">
        <v>4328</v>
      </c>
      <c r="H5663" t="s">
        <v>4820</v>
      </c>
      <c r="I5663">
        <v>0</v>
      </c>
      <c r="J5663" t="s">
        <v>1709</v>
      </c>
      <c r="K5663" t="s">
        <v>290</v>
      </c>
      <c r="L5663" t="s">
        <v>285</v>
      </c>
      <c r="M5663" t="str">
        <f t="shared" si="407"/>
        <v>04</v>
      </c>
      <c r="N5663" t="s">
        <v>12</v>
      </c>
    </row>
    <row r="5664" spans="1:14" x14ac:dyDescent="0.25">
      <c r="A5664">
        <v>20160415</v>
      </c>
      <c r="B5664" t="str">
        <f>"063119"</f>
        <v>063119</v>
      </c>
      <c r="C5664" t="str">
        <f>"55795"</f>
        <v>55795</v>
      </c>
      <c r="D5664" t="s">
        <v>4604</v>
      </c>
      <c r="E5664" s="3">
        <v>96.4</v>
      </c>
      <c r="F5664">
        <v>20160413</v>
      </c>
      <c r="G5664" t="s">
        <v>2339</v>
      </c>
      <c r="H5664" t="s">
        <v>4821</v>
      </c>
      <c r="I5664">
        <v>0</v>
      </c>
      <c r="J5664" t="s">
        <v>1709</v>
      </c>
      <c r="K5664" t="s">
        <v>290</v>
      </c>
      <c r="L5664" t="s">
        <v>285</v>
      </c>
      <c r="M5664" t="str">
        <f t="shared" si="407"/>
        <v>04</v>
      </c>
      <c r="N5664" t="s">
        <v>12</v>
      </c>
    </row>
    <row r="5665" spans="1:14" x14ac:dyDescent="0.25">
      <c r="A5665">
        <v>20160415</v>
      </c>
      <c r="B5665" t="str">
        <f>"063120"</f>
        <v>063120</v>
      </c>
      <c r="C5665" t="str">
        <f>"73600"</f>
        <v>73600</v>
      </c>
      <c r="D5665" t="s">
        <v>387</v>
      </c>
      <c r="E5665" s="3">
        <v>500</v>
      </c>
      <c r="F5665">
        <v>20160413</v>
      </c>
      <c r="G5665" t="s">
        <v>3534</v>
      </c>
      <c r="H5665" t="s">
        <v>4822</v>
      </c>
      <c r="I5665">
        <v>0</v>
      </c>
      <c r="J5665" t="s">
        <v>1709</v>
      </c>
      <c r="K5665" t="s">
        <v>290</v>
      </c>
      <c r="L5665" t="s">
        <v>285</v>
      </c>
      <c r="M5665" t="str">
        <f t="shared" si="407"/>
        <v>04</v>
      </c>
      <c r="N5665" t="s">
        <v>12</v>
      </c>
    </row>
    <row r="5666" spans="1:14" x14ac:dyDescent="0.25">
      <c r="A5666">
        <v>20160415</v>
      </c>
      <c r="B5666" t="str">
        <f>"063122"</f>
        <v>063122</v>
      </c>
      <c r="C5666" t="str">
        <f>"61166"</f>
        <v>61166</v>
      </c>
      <c r="D5666" t="s">
        <v>3269</v>
      </c>
      <c r="E5666" s="3">
        <v>1466.08</v>
      </c>
      <c r="F5666">
        <v>20160413</v>
      </c>
      <c r="G5666" t="s">
        <v>3270</v>
      </c>
      <c r="H5666" t="s">
        <v>3271</v>
      </c>
      <c r="I5666">
        <v>0</v>
      </c>
      <c r="J5666" t="s">
        <v>1709</v>
      </c>
      <c r="K5666" t="s">
        <v>1750</v>
      </c>
      <c r="L5666" t="s">
        <v>285</v>
      </c>
      <c r="M5666" t="str">
        <f t="shared" si="407"/>
        <v>04</v>
      </c>
      <c r="N5666" t="s">
        <v>12</v>
      </c>
    </row>
    <row r="5667" spans="1:14" x14ac:dyDescent="0.25">
      <c r="A5667">
        <v>20160415</v>
      </c>
      <c r="B5667" t="str">
        <f>"063123"</f>
        <v>063123</v>
      </c>
      <c r="C5667" t="str">
        <f>"56226"</f>
        <v>56226</v>
      </c>
      <c r="D5667" t="s">
        <v>3108</v>
      </c>
      <c r="E5667" s="3">
        <v>295.17</v>
      </c>
      <c r="F5667">
        <v>20160413</v>
      </c>
      <c r="G5667" t="s">
        <v>3109</v>
      </c>
      <c r="H5667" t="s">
        <v>3110</v>
      </c>
      <c r="I5667">
        <v>0</v>
      </c>
      <c r="J5667" t="s">
        <v>1709</v>
      </c>
      <c r="K5667" t="s">
        <v>1893</v>
      </c>
      <c r="L5667" t="s">
        <v>285</v>
      </c>
      <c r="M5667" t="str">
        <f t="shared" si="407"/>
        <v>04</v>
      </c>
      <c r="N5667" t="s">
        <v>12</v>
      </c>
    </row>
    <row r="5668" spans="1:14" x14ac:dyDescent="0.25">
      <c r="A5668">
        <v>20160415</v>
      </c>
      <c r="B5668" t="str">
        <f>"063124"</f>
        <v>063124</v>
      </c>
      <c r="C5668" t="str">
        <f>"56255"</f>
        <v>56255</v>
      </c>
      <c r="D5668" t="s">
        <v>3710</v>
      </c>
      <c r="E5668" s="3">
        <v>4844.8100000000004</v>
      </c>
      <c r="F5668">
        <v>20160413</v>
      </c>
      <c r="G5668" t="s">
        <v>2360</v>
      </c>
      <c r="H5668" t="s">
        <v>4823</v>
      </c>
      <c r="I5668">
        <v>0</v>
      </c>
      <c r="J5668" t="s">
        <v>1709</v>
      </c>
      <c r="K5668" t="s">
        <v>1856</v>
      </c>
      <c r="L5668" t="s">
        <v>285</v>
      </c>
      <c r="M5668" t="str">
        <f t="shared" si="407"/>
        <v>04</v>
      </c>
      <c r="N5668" t="s">
        <v>12</v>
      </c>
    </row>
    <row r="5669" spans="1:14" x14ac:dyDescent="0.25">
      <c r="A5669">
        <v>20160415</v>
      </c>
      <c r="B5669" t="str">
        <f>"063126"</f>
        <v>063126</v>
      </c>
      <c r="C5669" t="str">
        <f>"57403"</f>
        <v>57403</v>
      </c>
      <c r="D5669" t="s">
        <v>4824</v>
      </c>
      <c r="E5669" s="3">
        <v>120.95</v>
      </c>
      <c r="F5669">
        <v>20160413</v>
      </c>
      <c r="G5669" t="s">
        <v>1933</v>
      </c>
      <c r="H5669" t="s">
        <v>4825</v>
      </c>
      <c r="I5669">
        <v>0</v>
      </c>
      <c r="J5669" t="s">
        <v>1709</v>
      </c>
      <c r="K5669" t="s">
        <v>1558</v>
      </c>
      <c r="L5669" t="s">
        <v>285</v>
      </c>
      <c r="M5669" t="str">
        <f t="shared" si="407"/>
        <v>04</v>
      </c>
      <c r="N5669" t="s">
        <v>12</v>
      </c>
    </row>
    <row r="5670" spans="1:14" x14ac:dyDescent="0.25">
      <c r="A5670">
        <v>20160415</v>
      </c>
      <c r="B5670" t="str">
        <f>"063127"</f>
        <v>063127</v>
      </c>
      <c r="C5670" t="str">
        <f>"58204"</f>
        <v>58204</v>
      </c>
      <c r="D5670" t="s">
        <v>1816</v>
      </c>
      <c r="E5670" s="3">
        <v>50.99</v>
      </c>
      <c r="F5670">
        <v>20160413</v>
      </c>
      <c r="G5670" t="s">
        <v>1974</v>
      </c>
      <c r="H5670" t="s">
        <v>4826</v>
      </c>
      <c r="I5670">
        <v>0</v>
      </c>
      <c r="J5670" t="s">
        <v>1709</v>
      </c>
      <c r="K5670" t="s">
        <v>290</v>
      </c>
      <c r="L5670" t="s">
        <v>285</v>
      </c>
      <c r="M5670" t="str">
        <f t="shared" si="407"/>
        <v>04</v>
      </c>
      <c r="N5670" t="s">
        <v>12</v>
      </c>
    </row>
    <row r="5671" spans="1:14" x14ac:dyDescent="0.25">
      <c r="A5671">
        <v>20160415</v>
      </c>
      <c r="B5671" t="str">
        <f>"063127"</f>
        <v>063127</v>
      </c>
      <c r="C5671" t="str">
        <f>"58204"</f>
        <v>58204</v>
      </c>
      <c r="D5671" t="s">
        <v>1816</v>
      </c>
      <c r="E5671" s="3">
        <v>8.33</v>
      </c>
      <c r="F5671">
        <v>20160413</v>
      </c>
      <c r="G5671" t="s">
        <v>1961</v>
      </c>
      <c r="H5671" t="s">
        <v>4554</v>
      </c>
      <c r="I5671">
        <v>0</v>
      </c>
      <c r="J5671" t="s">
        <v>1709</v>
      </c>
      <c r="K5671" t="s">
        <v>290</v>
      </c>
      <c r="L5671" t="s">
        <v>285</v>
      </c>
      <c r="M5671" t="str">
        <f t="shared" si="407"/>
        <v>04</v>
      </c>
      <c r="N5671" t="s">
        <v>12</v>
      </c>
    </row>
    <row r="5672" spans="1:14" x14ac:dyDescent="0.25">
      <c r="A5672">
        <v>20160415</v>
      </c>
      <c r="B5672" t="str">
        <f>"063127"</f>
        <v>063127</v>
      </c>
      <c r="C5672" t="str">
        <f>"58204"</f>
        <v>58204</v>
      </c>
      <c r="D5672" t="s">
        <v>1816</v>
      </c>
      <c r="E5672" s="3">
        <v>43.06</v>
      </c>
      <c r="F5672">
        <v>20160413</v>
      </c>
      <c r="G5672" t="s">
        <v>2368</v>
      </c>
      <c r="H5672" t="s">
        <v>4827</v>
      </c>
      <c r="I5672">
        <v>0</v>
      </c>
      <c r="J5672" t="s">
        <v>1709</v>
      </c>
      <c r="K5672" t="s">
        <v>290</v>
      </c>
      <c r="L5672" t="s">
        <v>285</v>
      </c>
      <c r="M5672" t="str">
        <f t="shared" si="407"/>
        <v>04</v>
      </c>
      <c r="N5672" t="s">
        <v>12</v>
      </c>
    </row>
    <row r="5673" spans="1:14" x14ac:dyDescent="0.25">
      <c r="A5673">
        <v>20160415</v>
      </c>
      <c r="B5673" t="str">
        <f>"063128"</f>
        <v>063128</v>
      </c>
      <c r="C5673" t="str">
        <f>"58201"</f>
        <v>58201</v>
      </c>
      <c r="D5673" t="s">
        <v>1690</v>
      </c>
      <c r="E5673" s="3">
        <v>3.76</v>
      </c>
      <c r="F5673">
        <v>20160413</v>
      </c>
      <c r="G5673" t="s">
        <v>2100</v>
      </c>
      <c r="H5673" t="s">
        <v>4828</v>
      </c>
      <c r="I5673">
        <v>0</v>
      </c>
      <c r="J5673" t="s">
        <v>1709</v>
      </c>
      <c r="K5673" t="s">
        <v>33</v>
      </c>
      <c r="L5673" t="s">
        <v>285</v>
      </c>
      <c r="M5673" t="str">
        <f t="shared" si="407"/>
        <v>04</v>
      </c>
      <c r="N5673" t="s">
        <v>12</v>
      </c>
    </row>
    <row r="5674" spans="1:14" x14ac:dyDescent="0.25">
      <c r="A5674">
        <v>20160415</v>
      </c>
      <c r="B5674" t="str">
        <f>"063128"</f>
        <v>063128</v>
      </c>
      <c r="C5674" t="str">
        <f>"58201"</f>
        <v>58201</v>
      </c>
      <c r="D5674" t="s">
        <v>1690</v>
      </c>
      <c r="E5674" s="3">
        <v>290.25</v>
      </c>
      <c r="F5674">
        <v>20160413</v>
      </c>
      <c r="G5674" t="s">
        <v>3114</v>
      </c>
      <c r="H5674" t="s">
        <v>4829</v>
      </c>
      <c r="I5674">
        <v>0</v>
      </c>
      <c r="J5674" t="s">
        <v>1709</v>
      </c>
      <c r="K5674" t="s">
        <v>33</v>
      </c>
      <c r="L5674" t="s">
        <v>285</v>
      </c>
      <c r="M5674" t="str">
        <f t="shared" si="407"/>
        <v>04</v>
      </c>
      <c r="N5674" t="s">
        <v>12</v>
      </c>
    </row>
    <row r="5675" spans="1:14" x14ac:dyDescent="0.25">
      <c r="A5675">
        <v>20160415</v>
      </c>
      <c r="B5675" t="str">
        <f>"063128"</f>
        <v>063128</v>
      </c>
      <c r="C5675" t="str">
        <f>"58201"</f>
        <v>58201</v>
      </c>
      <c r="D5675" t="s">
        <v>1690</v>
      </c>
      <c r="E5675" s="3">
        <v>16.98</v>
      </c>
      <c r="F5675">
        <v>20160413</v>
      </c>
      <c r="G5675" t="s">
        <v>2127</v>
      </c>
      <c r="H5675" t="s">
        <v>4830</v>
      </c>
      <c r="I5675">
        <v>0</v>
      </c>
      <c r="J5675" t="s">
        <v>1709</v>
      </c>
      <c r="K5675" t="s">
        <v>33</v>
      </c>
      <c r="L5675" t="s">
        <v>285</v>
      </c>
      <c r="M5675" t="str">
        <f t="shared" si="407"/>
        <v>04</v>
      </c>
      <c r="N5675" t="s">
        <v>12</v>
      </c>
    </row>
    <row r="5676" spans="1:14" x14ac:dyDescent="0.25">
      <c r="A5676">
        <v>20160415</v>
      </c>
      <c r="B5676" t="str">
        <f>"063129"</f>
        <v>063129</v>
      </c>
      <c r="C5676" t="str">
        <f>"58202"</f>
        <v>58202</v>
      </c>
      <c r="D5676" t="s">
        <v>2695</v>
      </c>
      <c r="E5676" s="3">
        <v>19.71</v>
      </c>
      <c r="F5676">
        <v>20160413</v>
      </c>
      <c r="G5676" t="s">
        <v>3960</v>
      </c>
      <c r="H5676" t="s">
        <v>4831</v>
      </c>
      <c r="I5676">
        <v>0</v>
      </c>
      <c r="J5676" t="s">
        <v>1709</v>
      </c>
      <c r="K5676" t="s">
        <v>95</v>
      </c>
      <c r="L5676" t="s">
        <v>285</v>
      </c>
      <c r="M5676" t="str">
        <f t="shared" si="407"/>
        <v>04</v>
      </c>
      <c r="N5676" t="s">
        <v>12</v>
      </c>
    </row>
    <row r="5677" spans="1:14" x14ac:dyDescent="0.25">
      <c r="A5677">
        <v>20160415</v>
      </c>
      <c r="B5677" t="str">
        <f>"063129"</f>
        <v>063129</v>
      </c>
      <c r="C5677" t="str">
        <f>"58202"</f>
        <v>58202</v>
      </c>
      <c r="D5677" t="s">
        <v>2695</v>
      </c>
      <c r="E5677" s="3">
        <v>64.959999999999994</v>
      </c>
      <c r="F5677">
        <v>20160413</v>
      </c>
      <c r="G5677" t="s">
        <v>2795</v>
      </c>
      <c r="H5677" t="s">
        <v>4832</v>
      </c>
      <c r="I5677">
        <v>0</v>
      </c>
      <c r="J5677" t="s">
        <v>1709</v>
      </c>
      <c r="K5677" t="s">
        <v>95</v>
      </c>
      <c r="L5677" t="s">
        <v>285</v>
      </c>
      <c r="M5677" t="str">
        <f t="shared" si="407"/>
        <v>04</v>
      </c>
      <c r="N5677" t="s">
        <v>12</v>
      </c>
    </row>
    <row r="5678" spans="1:14" x14ac:dyDescent="0.25">
      <c r="A5678">
        <v>20160415</v>
      </c>
      <c r="B5678" t="str">
        <f>"063129"</f>
        <v>063129</v>
      </c>
      <c r="C5678" t="str">
        <f>"58202"</f>
        <v>58202</v>
      </c>
      <c r="D5678" t="s">
        <v>2695</v>
      </c>
      <c r="E5678" s="3">
        <v>250</v>
      </c>
      <c r="F5678">
        <v>20160413</v>
      </c>
      <c r="G5678" t="s">
        <v>2172</v>
      </c>
      <c r="H5678" t="s">
        <v>4833</v>
      </c>
      <c r="I5678">
        <v>0</v>
      </c>
      <c r="J5678" t="s">
        <v>1709</v>
      </c>
      <c r="K5678" t="s">
        <v>95</v>
      </c>
      <c r="L5678" t="s">
        <v>285</v>
      </c>
      <c r="M5678" t="str">
        <f t="shared" si="407"/>
        <v>04</v>
      </c>
      <c r="N5678" t="s">
        <v>12</v>
      </c>
    </row>
    <row r="5679" spans="1:14" x14ac:dyDescent="0.25">
      <c r="A5679">
        <v>20160415</v>
      </c>
      <c r="B5679" t="str">
        <f>"063130"</f>
        <v>063130</v>
      </c>
      <c r="C5679" t="str">
        <f>"59097"</f>
        <v>59097</v>
      </c>
      <c r="D5679" t="s">
        <v>1755</v>
      </c>
      <c r="E5679" s="3">
        <v>920</v>
      </c>
      <c r="F5679">
        <v>20160413</v>
      </c>
      <c r="G5679" t="s">
        <v>3846</v>
      </c>
      <c r="H5679" t="s">
        <v>4822</v>
      </c>
      <c r="I5679">
        <v>0</v>
      </c>
      <c r="J5679" t="s">
        <v>1709</v>
      </c>
      <c r="K5679" t="s">
        <v>290</v>
      </c>
      <c r="L5679" t="s">
        <v>285</v>
      </c>
      <c r="M5679" t="str">
        <f t="shared" si="407"/>
        <v>04</v>
      </c>
      <c r="N5679" t="s">
        <v>12</v>
      </c>
    </row>
    <row r="5680" spans="1:14" x14ac:dyDescent="0.25">
      <c r="A5680">
        <v>20160415</v>
      </c>
      <c r="B5680" t="str">
        <f>"063131"</f>
        <v>063131</v>
      </c>
      <c r="C5680" t="str">
        <f>"60178"</f>
        <v>60178</v>
      </c>
      <c r="D5680" t="s">
        <v>2136</v>
      </c>
      <c r="E5680" s="3">
        <v>129.80000000000001</v>
      </c>
      <c r="F5680">
        <v>20160413</v>
      </c>
      <c r="G5680" t="s">
        <v>2264</v>
      </c>
      <c r="H5680" t="s">
        <v>4834</v>
      </c>
      <c r="I5680">
        <v>0</v>
      </c>
      <c r="J5680" t="s">
        <v>1709</v>
      </c>
      <c r="K5680" t="s">
        <v>1643</v>
      </c>
      <c r="L5680" t="s">
        <v>285</v>
      </c>
      <c r="M5680" t="str">
        <f t="shared" si="407"/>
        <v>04</v>
      </c>
      <c r="N5680" t="s">
        <v>12</v>
      </c>
    </row>
    <row r="5681" spans="1:14" x14ac:dyDescent="0.25">
      <c r="A5681">
        <v>20160415</v>
      </c>
      <c r="B5681" t="str">
        <f>"063132"</f>
        <v>063132</v>
      </c>
      <c r="C5681" t="str">
        <f>"60362"</f>
        <v>60362</v>
      </c>
      <c r="D5681" t="s">
        <v>2006</v>
      </c>
      <c r="E5681" s="3">
        <v>4040</v>
      </c>
      <c r="F5681">
        <v>20160413</v>
      </c>
      <c r="G5681" t="s">
        <v>2007</v>
      </c>
      <c r="H5681" t="s">
        <v>4835</v>
      </c>
      <c r="I5681">
        <v>0</v>
      </c>
      <c r="J5681" t="s">
        <v>1709</v>
      </c>
      <c r="K5681" t="s">
        <v>235</v>
      </c>
      <c r="L5681" t="s">
        <v>285</v>
      </c>
      <c r="M5681" t="str">
        <f t="shared" si="407"/>
        <v>04</v>
      </c>
      <c r="N5681" t="s">
        <v>12</v>
      </c>
    </row>
    <row r="5682" spans="1:14" x14ac:dyDescent="0.25">
      <c r="A5682">
        <v>20160415</v>
      </c>
      <c r="B5682" t="str">
        <f>"063133"</f>
        <v>063133</v>
      </c>
      <c r="C5682" t="str">
        <f>"60849"</f>
        <v>60849</v>
      </c>
      <c r="D5682" t="s">
        <v>3723</v>
      </c>
      <c r="E5682" s="3">
        <v>200.74</v>
      </c>
      <c r="F5682">
        <v>20160413</v>
      </c>
      <c r="G5682" t="s">
        <v>2115</v>
      </c>
      <c r="H5682" t="s">
        <v>3724</v>
      </c>
      <c r="I5682">
        <v>0</v>
      </c>
      <c r="J5682" t="s">
        <v>1709</v>
      </c>
      <c r="K5682" t="s">
        <v>290</v>
      </c>
      <c r="L5682" t="s">
        <v>285</v>
      </c>
      <c r="M5682" t="str">
        <f t="shared" si="407"/>
        <v>04</v>
      </c>
      <c r="N5682" t="s">
        <v>12</v>
      </c>
    </row>
    <row r="5683" spans="1:14" x14ac:dyDescent="0.25">
      <c r="A5683">
        <v>20160415</v>
      </c>
      <c r="B5683" t="str">
        <f>"063134"</f>
        <v>063134</v>
      </c>
      <c r="C5683" t="str">
        <f>"00355"</f>
        <v>00355</v>
      </c>
      <c r="D5683" t="s">
        <v>1909</v>
      </c>
      <c r="E5683" s="3">
        <v>28</v>
      </c>
      <c r="F5683">
        <v>20160413</v>
      </c>
      <c r="G5683" t="s">
        <v>3334</v>
      </c>
      <c r="H5683" t="s">
        <v>2010</v>
      </c>
      <c r="I5683">
        <v>0</v>
      </c>
      <c r="J5683" t="s">
        <v>1709</v>
      </c>
      <c r="K5683" t="s">
        <v>290</v>
      </c>
      <c r="L5683" t="s">
        <v>285</v>
      </c>
      <c r="M5683" t="str">
        <f t="shared" si="407"/>
        <v>04</v>
      </c>
      <c r="N5683" t="s">
        <v>12</v>
      </c>
    </row>
    <row r="5684" spans="1:14" x14ac:dyDescent="0.25">
      <c r="A5684">
        <v>20160415</v>
      </c>
      <c r="B5684" t="str">
        <f>"063147"</f>
        <v>063147</v>
      </c>
      <c r="C5684" t="str">
        <f>"64610"</f>
        <v>64610</v>
      </c>
      <c r="D5684" t="s">
        <v>678</v>
      </c>
      <c r="E5684" s="3">
        <v>39.9</v>
      </c>
      <c r="F5684">
        <v>20160413</v>
      </c>
      <c r="G5684" t="s">
        <v>1916</v>
      </c>
      <c r="H5684" t="s">
        <v>4836</v>
      </c>
      <c r="I5684">
        <v>0</v>
      </c>
      <c r="J5684" t="s">
        <v>1709</v>
      </c>
      <c r="K5684" t="s">
        <v>1782</v>
      </c>
      <c r="L5684" t="s">
        <v>285</v>
      </c>
      <c r="M5684" t="str">
        <f t="shared" si="407"/>
        <v>04</v>
      </c>
      <c r="N5684" t="s">
        <v>12</v>
      </c>
    </row>
    <row r="5685" spans="1:14" x14ac:dyDescent="0.25">
      <c r="A5685">
        <v>20160415</v>
      </c>
      <c r="B5685" t="str">
        <f>"063147"</f>
        <v>063147</v>
      </c>
      <c r="C5685" t="str">
        <f>"64610"</f>
        <v>64610</v>
      </c>
      <c r="D5685" t="s">
        <v>678</v>
      </c>
      <c r="E5685" s="3">
        <v>44.9</v>
      </c>
      <c r="F5685">
        <v>20160413</v>
      </c>
      <c r="G5685" t="s">
        <v>2416</v>
      </c>
      <c r="H5685" t="s">
        <v>4837</v>
      </c>
      <c r="I5685">
        <v>0</v>
      </c>
      <c r="J5685" t="s">
        <v>1709</v>
      </c>
      <c r="K5685" t="s">
        <v>1744</v>
      </c>
      <c r="L5685" t="s">
        <v>285</v>
      </c>
      <c r="M5685" t="str">
        <f t="shared" si="407"/>
        <v>04</v>
      </c>
      <c r="N5685" t="s">
        <v>12</v>
      </c>
    </row>
    <row r="5686" spans="1:14" x14ac:dyDescent="0.25">
      <c r="A5686">
        <v>20160415</v>
      </c>
      <c r="B5686" t="str">
        <f>"063148"</f>
        <v>063148</v>
      </c>
      <c r="C5686" t="str">
        <f>"64823"</f>
        <v>64823</v>
      </c>
      <c r="D5686" t="s">
        <v>4838</v>
      </c>
      <c r="E5686" s="3">
        <v>1100</v>
      </c>
      <c r="F5686">
        <v>20160413</v>
      </c>
      <c r="G5686" t="s">
        <v>4839</v>
      </c>
      <c r="H5686" t="s">
        <v>4840</v>
      </c>
      <c r="I5686">
        <v>0</v>
      </c>
      <c r="J5686" t="s">
        <v>1709</v>
      </c>
      <c r="K5686" t="s">
        <v>290</v>
      </c>
      <c r="L5686" t="s">
        <v>285</v>
      </c>
      <c r="M5686" t="str">
        <f t="shared" si="407"/>
        <v>04</v>
      </c>
      <c r="N5686" t="s">
        <v>12</v>
      </c>
    </row>
    <row r="5687" spans="1:14" x14ac:dyDescent="0.25">
      <c r="A5687">
        <v>20160415</v>
      </c>
      <c r="B5687" t="str">
        <f>"063151"</f>
        <v>063151</v>
      </c>
      <c r="C5687" t="str">
        <f>"67510"</f>
        <v>67510</v>
      </c>
      <c r="D5687" t="s">
        <v>4841</v>
      </c>
      <c r="E5687" s="3">
        <v>125</v>
      </c>
      <c r="F5687">
        <v>20160413</v>
      </c>
      <c r="G5687" t="s">
        <v>4842</v>
      </c>
      <c r="H5687" t="s">
        <v>4843</v>
      </c>
      <c r="I5687">
        <v>0</v>
      </c>
      <c r="J5687" t="s">
        <v>1709</v>
      </c>
      <c r="K5687" t="s">
        <v>290</v>
      </c>
      <c r="L5687" t="s">
        <v>285</v>
      </c>
      <c r="M5687" t="str">
        <f t="shared" si="407"/>
        <v>04</v>
      </c>
      <c r="N5687" t="s">
        <v>12</v>
      </c>
    </row>
    <row r="5688" spans="1:14" x14ac:dyDescent="0.25">
      <c r="A5688">
        <v>20160415</v>
      </c>
      <c r="B5688" t="str">
        <f>"063151"</f>
        <v>063151</v>
      </c>
      <c r="C5688" t="str">
        <f>"67510"</f>
        <v>67510</v>
      </c>
      <c r="D5688" t="s">
        <v>4841</v>
      </c>
      <c r="E5688" s="3">
        <v>125</v>
      </c>
      <c r="F5688">
        <v>20160413</v>
      </c>
      <c r="G5688" t="s">
        <v>4844</v>
      </c>
      <c r="H5688" t="s">
        <v>4843</v>
      </c>
      <c r="I5688">
        <v>0</v>
      </c>
      <c r="J5688" t="s">
        <v>1709</v>
      </c>
      <c r="K5688" t="s">
        <v>33</v>
      </c>
      <c r="L5688" t="s">
        <v>285</v>
      </c>
      <c r="M5688" t="str">
        <f t="shared" si="407"/>
        <v>04</v>
      </c>
      <c r="N5688" t="s">
        <v>12</v>
      </c>
    </row>
    <row r="5689" spans="1:14" x14ac:dyDescent="0.25">
      <c r="A5689">
        <v>20160415</v>
      </c>
      <c r="B5689" t="str">
        <f>"063152"</f>
        <v>063152</v>
      </c>
      <c r="C5689" t="str">
        <f>"65475"</f>
        <v>65475</v>
      </c>
      <c r="D5689" t="s">
        <v>4845</v>
      </c>
      <c r="E5689" s="3">
        <v>100</v>
      </c>
      <c r="F5689">
        <v>20160413</v>
      </c>
      <c r="G5689" t="s">
        <v>4839</v>
      </c>
      <c r="H5689" t="s">
        <v>4665</v>
      </c>
      <c r="I5689">
        <v>0</v>
      </c>
      <c r="J5689" t="s">
        <v>1709</v>
      </c>
      <c r="K5689" t="s">
        <v>290</v>
      </c>
      <c r="L5689" t="s">
        <v>285</v>
      </c>
      <c r="M5689" t="str">
        <f t="shared" si="407"/>
        <v>04</v>
      </c>
      <c r="N5689" t="s">
        <v>12</v>
      </c>
    </row>
    <row r="5690" spans="1:14" x14ac:dyDescent="0.25">
      <c r="A5690">
        <v>20160415</v>
      </c>
      <c r="B5690" t="str">
        <f>"063156"</f>
        <v>063156</v>
      </c>
      <c r="C5690" t="str">
        <f>"70246"</f>
        <v>70246</v>
      </c>
      <c r="D5690" t="s">
        <v>4846</v>
      </c>
      <c r="E5690" s="3">
        <v>1113.8</v>
      </c>
      <c r="F5690">
        <v>20160413</v>
      </c>
      <c r="G5690" t="s">
        <v>2303</v>
      </c>
      <c r="H5690" t="s">
        <v>4847</v>
      </c>
      <c r="I5690">
        <v>0</v>
      </c>
      <c r="J5690" t="s">
        <v>1709</v>
      </c>
      <c r="K5690" t="s">
        <v>235</v>
      </c>
      <c r="L5690" t="s">
        <v>285</v>
      </c>
      <c r="M5690" t="str">
        <f t="shared" si="407"/>
        <v>04</v>
      </c>
      <c r="N5690" t="s">
        <v>12</v>
      </c>
    </row>
    <row r="5691" spans="1:14" x14ac:dyDescent="0.25">
      <c r="A5691">
        <v>20160415</v>
      </c>
      <c r="B5691" t="str">
        <f t="shared" ref="B5691:B5698" si="408">"063157"</f>
        <v>063157</v>
      </c>
      <c r="C5691" t="str">
        <f t="shared" ref="C5691:C5698" si="409">"70650"</f>
        <v>70650</v>
      </c>
      <c r="D5691" t="s">
        <v>3379</v>
      </c>
      <c r="E5691" s="3">
        <v>105</v>
      </c>
      <c r="F5691">
        <v>20160413</v>
      </c>
      <c r="G5691" t="s">
        <v>3960</v>
      </c>
      <c r="H5691" t="s">
        <v>4848</v>
      </c>
      <c r="I5691">
        <v>0</v>
      </c>
      <c r="J5691" t="s">
        <v>1709</v>
      </c>
      <c r="K5691" t="s">
        <v>95</v>
      </c>
      <c r="L5691" t="s">
        <v>285</v>
      </c>
      <c r="M5691" t="str">
        <f t="shared" si="407"/>
        <v>04</v>
      </c>
      <c r="N5691" t="s">
        <v>12</v>
      </c>
    </row>
    <row r="5692" spans="1:14" x14ac:dyDescent="0.25">
      <c r="A5692">
        <v>20160415</v>
      </c>
      <c r="B5692" t="str">
        <f t="shared" si="408"/>
        <v>063157</v>
      </c>
      <c r="C5692" t="str">
        <f t="shared" si="409"/>
        <v>70650</v>
      </c>
      <c r="D5692" t="s">
        <v>3379</v>
      </c>
      <c r="E5692" s="3">
        <v>35</v>
      </c>
      <c r="F5692">
        <v>20160413</v>
      </c>
      <c r="G5692" t="s">
        <v>3960</v>
      </c>
      <c r="H5692" t="s">
        <v>4849</v>
      </c>
      <c r="I5692">
        <v>0</v>
      </c>
      <c r="J5692" t="s">
        <v>1709</v>
      </c>
      <c r="K5692" t="s">
        <v>95</v>
      </c>
      <c r="L5692" t="s">
        <v>285</v>
      </c>
      <c r="M5692" t="str">
        <f t="shared" si="407"/>
        <v>04</v>
      </c>
      <c r="N5692" t="s">
        <v>12</v>
      </c>
    </row>
    <row r="5693" spans="1:14" x14ac:dyDescent="0.25">
      <c r="A5693">
        <v>20160415</v>
      </c>
      <c r="B5693" t="str">
        <f t="shared" si="408"/>
        <v>063157</v>
      </c>
      <c r="C5693" t="str">
        <f t="shared" si="409"/>
        <v>70650</v>
      </c>
      <c r="D5693" t="s">
        <v>3379</v>
      </c>
      <c r="E5693" s="3">
        <v>30</v>
      </c>
      <c r="F5693">
        <v>20160413</v>
      </c>
      <c r="G5693" t="s">
        <v>3960</v>
      </c>
      <c r="H5693" t="s">
        <v>4850</v>
      </c>
      <c r="I5693">
        <v>0</v>
      </c>
      <c r="J5693" t="s">
        <v>1709</v>
      </c>
      <c r="K5693" t="s">
        <v>95</v>
      </c>
      <c r="L5693" t="s">
        <v>285</v>
      </c>
      <c r="M5693" t="str">
        <f t="shared" si="407"/>
        <v>04</v>
      </c>
      <c r="N5693" t="s">
        <v>12</v>
      </c>
    </row>
    <row r="5694" spans="1:14" x14ac:dyDescent="0.25">
      <c r="A5694">
        <v>20160415</v>
      </c>
      <c r="B5694" t="str">
        <f t="shared" si="408"/>
        <v>063157</v>
      </c>
      <c r="C5694" t="str">
        <f t="shared" si="409"/>
        <v>70650</v>
      </c>
      <c r="D5694" t="s">
        <v>3379</v>
      </c>
      <c r="E5694" s="3">
        <v>25</v>
      </c>
      <c r="F5694">
        <v>20160413</v>
      </c>
      <c r="G5694" t="s">
        <v>3960</v>
      </c>
      <c r="H5694" t="s">
        <v>4851</v>
      </c>
      <c r="I5694">
        <v>0</v>
      </c>
      <c r="J5694" t="s">
        <v>1709</v>
      </c>
      <c r="K5694" t="s">
        <v>95</v>
      </c>
      <c r="L5694" t="s">
        <v>285</v>
      </c>
      <c r="M5694" t="str">
        <f t="shared" si="407"/>
        <v>04</v>
      </c>
      <c r="N5694" t="s">
        <v>12</v>
      </c>
    </row>
    <row r="5695" spans="1:14" x14ac:dyDescent="0.25">
      <c r="A5695">
        <v>20160415</v>
      </c>
      <c r="B5695" t="str">
        <f t="shared" si="408"/>
        <v>063157</v>
      </c>
      <c r="C5695" t="str">
        <f t="shared" si="409"/>
        <v>70650</v>
      </c>
      <c r="D5695" t="s">
        <v>3379</v>
      </c>
      <c r="E5695" s="3">
        <v>175</v>
      </c>
      <c r="F5695">
        <v>20160413</v>
      </c>
      <c r="G5695" t="s">
        <v>3960</v>
      </c>
      <c r="H5695" t="s">
        <v>4852</v>
      </c>
      <c r="I5695">
        <v>0</v>
      </c>
      <c r="J5695" t="s">
        <v>1709</v>
      </c>
      <c r="K5695" t="s">
        <v>95</v>
      </c>
      <c r="L5695" t="s">
        <v>285</v>
      </c>
      <c r="M5695" t="str">
        <f t="shared" si="407"/>
        <v>04</v>
      </c>
      <c r="N5695" t="s">
        <v>12</v>
      </c>
    </row>
    <row r="5696" spans="1:14" x14ac:dyDescent="0.25">
      <c r="A5696">
        <v>20160415</v>
      </c>
      <c r="B5696" t="str">
        <f t="shared" si="408"/>
        <v>063157</v>
      </c>
      <c r="C5696" t="str">
        <f t="shared" si="409"/>
        <v>70650</v>
      </c>
      <c r="D5696" t="s">
        <v>3379</v>
      </c>
      <c r="E5696" s="3">
        <v>50</v>
      </c>
      <c r="F5696">
        <v>20160413</v>
      </c>
      <c r="G5696" t="s">
        <v>3960</v>
      </c>
      <c r="H5696" t="s">
        <v>4853</v>
      </c>
      <c r="I5696">
        <v>0</v>
      </c>
      <c r="J5696" t="s">
        <v>1709</v>
      </c>
      <c r="K5696" t="s">
        <v>95</v>
      </c>
      <c r="L5696" t="s">
        <v>285</v>
      </c>
      <c r="M5696" t="str">
        <f t="shared" si="407"/>
        <v>04</v>
      </c>
      <c r="N5696" t="s">
        <v>12</v>
      </c>
    </row>
    <row r="5697" spans="1:14" x14ac:dyDescent="0.25">
      <c r="A5697">
        <v>20160415</v>
      </c>
      <c r="B5697" t="str">
        <f t="shared" si="408"/>
        <v>063157</v>
      </c>
      <c r="C5697" t="str">
        <f t="shared" si="409"/>
        <v>70650</v>
      </c>
      <c r="D5697" t="s">
        <v>3379</v>
      </c>
      <c r="E5697" s="3">
        <v>110</v>
      </c>
      <c r="F5697">
        <v>20160413</v>
      </c>
      <c r="G5697" t="s">
        <v>3960</v>
      </c>
      <c r="H5697" t="s">
        <v>4854</v>
      </c>
      <c r="I5697">
        <v>0</v>
      </c>
      <c r="J5697" t="s">
        <v>1709</v>
      </c>
      <c r="K5697" t="s">
        <v>95</v>
      </c>
      <c r="L5697" t="s">
        <v>285</v>
      </c>
      <c r="M5697" t="str">
        <f t="shared" si="407"/>
        <v>04</v>
      </c>
      <c r="N5697" t="s">
        <v>12</v>
      </c>
    </row>
    <row r="5698" spans="1:14" x14ac:dyDescent="0.25">
      <c r="A5698">
        <v>20160415</v>
      </c>
      <c r="B5698" t="str">
        <f t="shared" si="408"/>
        <v>063157</v>
      </c>
      <c r="C5698" t="str">
        <f t="shared" si="409"/>
        <v>70650</v>
      </c>
      <c r="D5698" t="s">
        <v>3379</v>
      </c>
      <c r="E5698" s="3">
        <v>60</v>
      </c>
      <c r="F5698">
        <v>20160413</v>
      </c>
      <c r="G5698" t="s">
        <v>3960</v>
      </c>
      <c r="H5698" t="s">
        <v>4855</v>
      </c>
      <c r="I5698">
        <v>0</v>
      </c>
      <c r="J5698" t="s">
        <v>1709</v>
      </c>
      <c r="K5698" t="s">
        <v>95</v>
      </c>
      <c r="L5698" t="s">
        <v>285</v>
      </c>
      <c r="M5698" t="str">
        <f t="shared" si="407"/>
        <v>04</v>
      </c>
      <c r="N5698" t="s">
        <v>12</v>
      </c>
    </row>
    <row r="5699" spans="1:14" x14ac:dyDescent="0.25">
      <c r="A5699">
        <v>20160415</v>
      </c>
      <c r="B5699" t="str">
        <f>"063158"</f>
        <v>063158</v>
      </c>
      <c r="C5699" t="str">
        <f>"72340"</f>
        <v>72340</v>
      </c>
      <c r="D5699" t="s">
        <v>1762</v>
      </c>
      <c r="E5699" s="3">
        <v>298.95999999999998</v>
      </c>
      <c r="F5699">
        <v>20160413</v>
      </c>
      <c r="G5699" t="s">
        <v>2768</v>
      </c>
      <c r="H5699" t="s">
        <v>4856</v>
      </c>
      <c r="I5699">
        <v>0</v>
      </c>
      <c r="J5699" t="s">
        <v>1709</v>
      </c>
      <c r="K5699" t="s">
        <v>1861</v>
      </c>
      <c r="L5699" t="s">
        <v>285</v>
      </c>
      <c r="M5699" t="str">
        <f t="shared" si="407"/>
        <v>04</v>
      </c>
      <c r="N5699" t="s">
        <v>12</v>
      </c>
    </row>
    <row r="5700" spans="1:14" x14ac:dyDescent="0.25">
      <c r="A5700">
        <v>20160415</v>
      </c>
      <c r="B5700" t="str">
        <f t="shared" ref="B5700:B5717" si="410">"063159"</f>
        <v>063159</v>
      </c>
      <c r="C5700" t="str">
        <f t="shared" ref="C5700:C5717" si="411">"72730"</f>
        <v>72730</v>
      </c>
      <c r="D5700" t="s">
        <v>1400</v>
      </c>
      <c r="E5700" s="3">
        <v>191.4</v>
      </c>
      <c r="F5700">
        <v>20160413</v>
      </c>
      <c r="G5700" t="s">
        <v>4208</v>
      </c>
      <c r="H5700" t="s">
        <v>4857</v>
      </c>
      <c r="I5700">
        <v>0</v>
      </c>
      <c r="J5700" t="s">
        <v>1709</v>
      </c>
      <c r="K5700" t="s">
        <v>290</v>
      </c>
      <c r="L5700" t="s">
        <v>285</v>
      </c>
      <c r="M5700" t="str">
        <f t="shared" si="407"/>
        <v>04</v>
      </c>
      <c r="N5700" t="s">
        <v>12</v>
      </c>
    </row>
    <row r="5701" spans="1:14" x14ac:dyDescent="0.25">
      <c r="A5701">
        <v>20160415</v>
      </c>
      <c r="B5701" t="str">
        <f t="shared" si="410"/>
        <v>063159</v>
      </c>
      <c r="C5701" t="str">
        <f t="shared" si="411"/>
        <v>72730</v>
      </c>
      <c r="D5701" t="s">
        <v>1400</v>
      </c>
      <c r="E5701" s="3">
        <v>-136.38</v>
      </c>
      <c r="F5701">
        <v>20160301</v>
      </c>
      <c r="G5701" t="s">
        <v>1974</v>
      </c>
      <c r="H5701" t="s">
        <v>3877</v>
      </c>
      <c r="I5701">
        <v>0</v>
      </c>
      <c r="J5701" t="s">
        <v>1709</v>
      </c>
      <c r="K5701" t="s">
        <v>290</v>
      </c>
      <c r="L5701" t="s">
        <v>1385</v>
      </c>
      <c r="M5701" t="str">
        <f t="shared" si="407"/>
        <v>04</v>
      </c>
      <c r="N5701" t="s">
        <v>12</v>
      </c>
    </row>
    <row r="5702" spans="1:14" x14ac:dyDescent="0.25">
      <c r="A5702">
        <v>20160415</v>
      </c>
      <c r="B5702" t="str">
        <f t="shared" si="410"/>
        <v>063159</v>
      </c>
      <c r="C5702" t="str">
        <f t="shared" si="411"/>
        <v>72730</v>
      </c>
      <c r="D5702" t="s">
        <v>1400</v>
      </c>
      <c r="E5702" s="3">
        <v>244.3</v>
      </c>
      <c r="F5702">
        <v>20160413</v>
      </c>
      <c r="G5702" t="s">
        <v>3180</v>
      </c>
      <c r="H5702" t="s">
        <v>4858</v>
      </c>
      <c r="I5702">
        <v>0</v>
      </c>
      <c r="J5702" t="s">
        <v>1709</v>
      </c>
      <c r="K5702" t="s">
        <v>290</v>
      </c>
      <c r="L5702" t="s">
        <v>285</v>
      </c>
      <c r="M5702" t="str">
        <f t="shared" si="407"/>
        <v>04</v>
      </c>
      <c r="N5702" t="s">
        <v>12</v>
      </c>
    </row>
    <row r="5703" spans="1:14" x14ac:dyDescent="0.25">
      <c r="A5703">
        <v>20160415</v>
      </c>
      <c r="B5703" t="str">
        <f t="shared" si="410"/>
        <v>063159</v>
      </c>
      <c r="C5703" t="str">
        <f t="shared" si="411"/>
        <v>72730</v>
      </c>
      <c r="D5703" t="s">
        <v>1400</v>
      </c>
      <c r="E5703" s="3">
        <v>8.36</v>
      </c>
      <c r="F5703">
        <v>20160413</v>
      </c>
      <c r="G5703" t="s">
        <v>3180</v>
      </c>
      <c r="H5703" t="s">
        <v>4859</v>
      </c>
      <c r="I5703">
        <v>0</v>
      </c>
      <c r="J5703" t="s">
        <v>1709</v>
      </c>
      <c r="K5703" t="s">
        <v>290</v>
      </c>
      <c r="L5703" t="s">
        <v>285</v>
      </c>
      <c r="M5703" t="str">
        <f t="shared" si="407"/>
        <v>04</v>
      </c>
      <c r="N5703" t="s">
        <v>12</v>
      </c>
    </row>
    <row r="5704" spans="1:14" x14ac:dyDescent="0.25">
      <c r="A5704">
        <v>20160415</v>
      </c>
      <c r="B5704" t="str">
        <f t="shared" si="410"/>
        <v>063159</v>
      </c>
      <c r="C5704" t="str">
        <f t="shared" si="411"/>
        <v>72730</v>
      </c>
      <c r="D5704" t="s">
        <v>1400</v>
      </c>
      <c r="E5704" s="3">
        <v>9.1999999999999993</v>
      </c>
      <c r="F5704">
        <v>20160413</v>
      </c>
      <c r="G5704" t="s">
        <v>2714</v>
      </c>
      <c r="H5704" t="s">
        <v>4860</v>
      </c>
      <c r="I5704">
        <v>0</v>
      </c>
      <c r="J5704" t="s">
        <v>1709</v>
      </c>
      <c r="K5704" t="s">
        <v>33</v>
      </c>
      <c r="L5704" t="s">
        <v>285</v>
      </c>
      <c r="M5704" t="str">
        <f t="shared" si="407"/>
        <v>04</v>
      </c>
      <c r="N5704" t="s">
        <v>12</v>
      </c>
    </row>
    <row r="5705" spans="1:14" x14ac:dyDescent="0.25">
      <c r="A5705">
        <v>20160415</v>
      </c>
      <c r="B5705" t="str">
        <f t="shared" si="410"/>
        <v>063159</v>
      </c>
      <c r="C5705" t="str">
        <f t="shared" si="411"/>
        <v>72730</v>
      </c>
      <c r="D5705" t="s">
        <v>1400</v>
      </c>
      <c r="E5705" s="3">
        <v>202.4</v>
      </c>
      <c r="F5705">
        <v>20160413</v>
      </c>
      <c r="G5705" t="s">
        <v>2720</v>
      </c>
      <c r="H5705" t="s">
        <v>4861</v>
      </c>
      <c r="I5705">
        <v>0</v>
      </c>
      <c r="J5705" t="s">
        <v>1709</v>
      </c>
      <c r="K5705" t="s">
        <v>2194</v>
      </c>
      <c r="L5705" t="s">
        <v>285</v>
      </c>
      <c r="M5705" t="str">
        <f t="shared" si="407"/>
        <v>04</v>
      </c>
      <c r="N5705" t="s">
        <v>12</v>
      </c>
    </row>
    <row r="5706" spans="1:14" x14ac:dyDescent="0.25">
      <c r="A5706">
        <v>20160415</v>
      </c>
      <c r="B5706" t="str">
        <f t="shared" si="410"/>
        <v>063159</v>
      </c>
      <c r="C5706" t="str">
        <f t="shared" si="411"/>
        <v>72730</v>
      </c>
      <c r="D5706" t="s">
        <v>1400</v>
      </c>
      <c r="E5706" s="3">
        <v>332.36</v>
      </c>
      <c r="F5706">
        <v>20160413</v>
      </c>
      <c r="G5706" t="s">
        <v>4862</v>
      </c>
      <c r="H5706" t="s">
        <v>4863</v>
      </c>
      <c r="I5706">
        <v>0</v>
      </c>
      <c r="J5706" t="s">
        <v>1709</v>
      </c>
      <c r="K5706" t="s">
        <v>290</v>
      </c>
      <c r="L5706" t="s">
        <v>285</v>
      </c>
      <c r="M5706" t="str">
        <f t="shared" si="407"/>
        <v>04</v>
      </c>
      <c r="N5706" t="s">
        <v>12</v>
      </c>
    </row>
    <row r="5707" spans="1:14" x14ac:dyDescent="0.25">
      <c r="A5707">
        <v>20160415</v>
      </c>
      <c r="B5707" t="str">
        <f t="shared" si="410"/>
        <v>063159</v>
      </c>
      <c r="C5707" t="str">
        <f t="shared" si="411"/>
        <v>72730</v>
      </c>
      <c r="D5707" t="s">
        <v>1400</v>
      </c>
      <c r="E5707" s="3">
        <v>390.8</v>
      </c>
      <c r="F5707">
        <v>20160413</v>
      </c>
      <c r="G5707" t="s">
        <v>4862</v>
      </c>
      <c r="H5707" t="s">
        <v>4864</v>
      </c>
      <c r="I5707">
        <v>0</v>
      </c>
      <c r="J5707" t="s">
        <v>1709</v>
      </c>
      <c r="K5707" t="s">
        <v>290</v>
      </c>
      <c r="L5707" t="s">
        <v>285</v>
      </c>
      <c r="M5707" t="str">
        <f t="shared" si="407"/>
        <v>04</v>
      </c>
      <c r="N5707" t="s">
        <v>12</v>
      </c>
    </row>
    <row r="5708" spans="1:14" x14ac:dyDescent="0.25">
      <c r="A5708">
        <v>20160415</v>
      </c>
      <c r="B5708" t="str">
        <f t="shared" si="410"/>
        <v>063159</v>
      </c>
      <c r="C5708" t="str">
        <f t="shared" si="411"/>
        <v>72730</v>
      </c>
      <c r="D5708" t="s">
        <v>1400</v>
      </c>
      <c r="E5708" s="3">
        <v>222.12</v>
      </c>
      <c r="F5708">
        <v>20160413</v>
      </c>
      <c r="G5708" t="s">
        <v>4862</v>
      </c>
      <c r="H5708" t="s">
        <v>4865</v>
      </c>
      <c r="I5708">
        <v>0</v>
      </c>
      <c r="J5708" t="s">
        <v>1709</v>
      </c>
      <c r="K5708" t="s">
        <v>290</v>
      </c>
      <c r="L5708" t="s">
        <v>285</v>
      </c>
      <c r="M5708" t="str">
        <f t="shared" si="407"/>
        <v>04</v>
      </c>
      <c r="N5708" t="s">
        <v>12</v>
      </c>
    </row>
    <row r="5709" spans="1:14" x14ac:dyDescent="0.25">
      <c r="A5709">
        <v>20160415</v>
      </c>
      <c r="B5709" t="str">
        <f t="shared" si="410"/>
        <v>063159</v>
      </c>
      <c r="C5709" t="str">
        <f t="shared" si="411"/>
        <v>72730</v>
      </c>
      <c r="D5709" t="s">
        <v>1400</v>
      </c>
      <c r="E5709" s="3">
        <v>21.3</v>
      </c>
      <c r="F5709">
        <v>20160413</v>
      </c>
      <c r="G5709" t="s">
        <v>4862</v>
      </c>
      <c r="H5709" t="s">
        <v>4866</v>
      </c>
      <c r="I5709">
        <v>0</v>
      </c>
      <c r="J5709" t="s">
        <v>1709</v>
      </c>
      <c r="K5709" t="s">
        <v>290</v>
      </c>
      <c r="L5709" t="s">
        <v>285</v>
      </c>
      <c r="M5709" t="str">
        <f t="shared" si="407"/>
        <v>04</v>
      </c>
      <c r="N5709" t="s">
        <v>12</v>
      </c>
    </row>
    <row r="5710" spans="1:14" x14ac:dyDescent="0.25">
      <c r="A5710">
        <v>20160415</v>
      </c>
      <c r="B5710" t="str">
        <f t="shared" si="410"/>
        <v>063159</v>
      </c>
      <c r="C5710" t="str">
        <f t="shared" si="411"/>
        <v>72730</v>
      </c>
      <c r="D5710" t="s">
        <v>1400</v>
      </c>
      <c r="E5710" s="3">
        <v>418.35</v>
      </c>
      <c r="F5710">
        <v>20160413</v>
      </c>
      <c r="G5710" t="s">
        <v>3006</v>
      </c>
      <c r="H5710" t="s">
        <v>4867</v>
      </c>
      <c r="I5710">
        <v>0</v>
      </c>
      <c r="J5710" t="s">
        <v>1709</v>
      </c>
      <c r="K5710" t="s">
        <v>290</v>
      </c>
      <c r="L5710" t="s">
        <v>285</v>
      </c>
      <c r="M5710" t="str">
        <f t="shared" si="407"/>
        <v>04</v>
      </c>
      <c r="N5710" t="s">
        <v>12</v>
      </c>
    </row>
    <row r="5711" spans="1:14" x14ac:dyDescent="0.25">
      <c r="A5711">
        <v>20160415</v>
      </c>
      <c r="B5711" t="str">
        <f t="shared" si="410"/>
        <v>063159</v>
      </c>
      <c r="C5711" t="str">
        <f t="shared" si="411"/>
        <v>72730</v>
      </c>
      <c r="D5711" t="s">
        <v>1400</v>
      </c>
      <c r="E5711" s="3">
        <v>200.85</v>
      </c>
      <c r="F5711">
        <v>20160413</v>
      </c>
      <c r="G5711" t="s">
        <v>3006</v>
      </c>
      <c r="H5711" t="s">
        <v>4868</v>
      </c>
      <c r="I5711">
        <v>0</v>
      </c>
      <c r="J5711" t="s">
        <v>1709</v>
      </c>
      <c r="K5711" t="s">
        <v>290</v>
      </c>
      <c r="L5711" t="s">
        <v>285</v>
      </c>
      <c r="M5711" t="str">
        <f t="shared" ref="M5711:M5774" si="412">"04"</f>
        <v>04</v>
      </c>
      <c r="N5711" t="s">
        <v>12</v>
      </c>
    </row>
    <row r="5712" spans="1:14" x14ac:dyDescent="0.25">
      <c r="A5712">
        <v>20160415</v>
      </c>
      <c r="B5712" t="str">
        <f t="shared" si="410"/>
        <v>063159</v>
      </c>
      <c r="C5712" t="str">
        <f t="shared" si="411"/>
        <v>72730</v>
      </c>
      <c r="D5712" t="s">
        <v>1400</v>
      </c>
      <c r="E5712" s="3">
        <v>738.4</v>
      </c>
      <c r="F5712">
        <v>20160413</v>
      </c>
      <c r="G5712" t="s">
        <v>3006</v>
      </c>
      <c r="H5712" t="s">
        <v>595</v>
      </c>
      <c r="I5712">
        <v>0</v>
      </c>
      <c r="J5712" t="s">
        <v>1709</v>
      </c>
      <c r="K5712" t="s">
        <v>290</v>
      </c>
      <c r="L5712" t="s">
        <v>285</v>
      </c>
      <c r="M5712" t="str">
        <f t="shared" si="412"/>
        <v>04</v>
      </c>
      <c r="N5712" t="s">
        <v>12</v>
      </c>
    </row>
    <row r="5713" spans="1:14" x14ac:dyDescent="0.25">
      <c r="A5713">
        <v>20160415</v>
      </c>
      <c r="B5713" t="str">
        <f t="shared" si="410"/>
        <v>063159</v>
      </c>
      <c r="C5713" t="str">
        <f t="shared" si="411"/>
        <v>72730</v>
      </c>
      <c r="D5713" t="s">
        <v>1400</v>
      </c>
      <c r="E5713" s="3">
        <v>118.71</v>
      </c>
      <c r="F5713">
        <v>20160413</v>
      </c>
      <c r="G5713" t="s">
        <v>2127</v>
      </c>
      <c r="H5713" t="s">
        <v>595</v>
      </c>
      <c r="I5713">
        <v>0</v>
      </c>
      <c r="J5713" t="s">
        <v>1709</v>
      </c>
      <c r="K5713" t="s">
        <v>33</v>
      </c>
      <c r="L5713" t="s">
        <v>285</v>
      </c>
      <c r="M5713" t="str">
        <f t="shared" si="412"/>
        <v>04</v>
      </c>
      <c r="N5713" t="s">
        <v>12</v>
      </c>
    </row>
    <row r="5714" spans="1:14" x14ac:dyDescent="0.25">
      <c r="A5714">
        <v>20160415</v>
      </c>
      <c r="B5714" t="str">
        <f t="shared" si="410"/>
        <v>063159</v>
      </c>
      <c r="C5714" t="str">
        <f t="shared" si="411"/>
        <v>72730</v>
      </c>
      <c r="D5714" t="s">
        <v>1400</v>
      </c>
      <c r="E5714" s="3">
        <v>36.04</v>
      </c>
      <c r="F5714">
        <v>20160413</v>
      </c>
      <c r="G5714" t="s">
        <v>2127</v>
      </c>
      <c r="H5714" t="s">
        <v>4860</v>
      </c>
      <c r="I5714">
        <v>0</v>
      </c>
      <c r="J5714" t="s">
        <v>1709</v>
      </c>
      <c r="K5714" t="s">
        <v>33</v>
      </c>
      <c r="L5714" t="s">
        <v>285</v>
      </c>
      <c r="M5714" t="str">
        <f t="shared" si="412"/>
        <v>04</v>
      </c>
      <c r="N5714" t="s">
        <v>12</v>
      </c>
    </row>
    <row r="5715" spans="1:14" x14ac:dyDescent="0.25">
      <c r="A5715">
        <v>20160415</v>
      </c>
      <c r="B5715" t="str">
        <f t="shared" si="410"/>
        <v>063159</v>
      </c>
      <c r="C5715" t="str">
        <f t="shared" si="411"/>
        <v>72730</v>
      </c>
      <c r="D5715" t="s">
        <v>1400</v>
      </c>
      <c r="E5715" s="3">
        <v>93.91</v>
      </c>
      <c r="F5715">
        <v>20160413</v>
      </c>
      <c r="G5715" t="s">
        <v>1888</v>
      </c>
      <c r="H5715" t="s">
        <v>4869</v>
      </c>
      <c r="I5715">
        <v>0</v>
      </c>
      <c r="J5715" t="s">
        <v>1709</v>
      </c>
      <c r="K5715" t="s">
        <v>290</v>
      </c>
      <c r="L5715" t="s">
        <v>285</v>
      </c>
      <c r="M5715" t="str">
        <f t="shared" si="412"/>
        <v>04</v>
      </c>
      <c r="N5715" t="s">
        <v>12</v>
      </c>
    </row>
    <row r="5716" spans="1:14" x14ac:dyDescent="0.25">
      <c r="A5716">
        <v>20160415</v>
      </c>
      <c r="B5716" t="str">
        <f t="shared" si="410"/>
        <v>063159</v>
      </c>
      <c r="C5716" t="str">
        <f t="shared" si="411"/>
        <v>72730</v>
      </c>
      <c r="D5716" t="s">
        <v>1400</v>
      </c>
      <c r="E5716" s="3">
        <v>83.89</v>
      </c>
      <c r="F5716">
        <v>20160413</v>
      </c>
      <c r="G5716" t="s">
        <v>1888</v>
      </c>
      <c r="H5716" t="s">
        <v>4869</v>
      </c>
      <c r="I5716">
        <v>0</v>
      </c>
      <c r="J5716" t="s">
        <v>1709</v>
      </c>
      <c r="K5716" t="s">
        <v>290</v>
      </c>
      <c r="L5716" t="s">
        <v>285</v>
      </c>
      <c r="M5716" t="str">
        <f t="shared" si="412"/>
        <v>04</v>
      </c>
      <c r="N5716" t="s">
        <v>12</v>
      </c>
    </row>
    <row r="5717" spans="1:14" x14ac:dyDescent="0.25">
      <c r="A5717">
        <v>20160415</v>
      </c>
      <c r="B5717" t="str">
        <f t="shared" si="410"/>
        <v>063159</v>
      </c>
      <c r="C5717" t="str">
        <f t="shared" si="411"/>
        <v>72730</v>
      </c>
      <c r="D5717" t="s">
        <v>1400</v>
      </c>
      <c r="E5717" s="3">
        <v>-2.94</v>
      </c>
      <c r="F5717">
        <v>20160312</v>
      </c>
      <c r="G5717" t="s">
        <v>2648</v>
      </c>
      <c r="H5717" t="s">
        <v>4870</v>
      </c>
      <c r="I5717">
        <v>0</v>
      </c>
      <c r="J5717" t="s">
        <v>1709</v>
      </c>
      <c r="K5717" t="s">
        <v>2377</v>
      </c>
      <c r="L5717" t="s">
        <v>1385</v>
      </c>
      <c r="M5717" t="str">
        <f t="shared" si="412"/>
        <v>04</v>
      </c>
      <c r="N5717" t="s">
        <v>12</v>
      </c>
    </row>
    <row r="5718" spans="1:14" x14ac:dyDescent="0.25">
      <c r="A5718">
        <v>20160415</v>
      </c>
      <c r="B5718" t="str">
        <f>"063161"</f>
        <v>063161</v>
      </c>
      <c r="C5718" t="str">
        <f>"67546"</f>
        <v>67546</v>
      </c>
      <c r="D5718" t="s">
        <v>4694</v>
      </c>
      <c r="E5718" s="3">
        <v>500</v>
      </c>
      <c r="F5718">
        <v>20160413</v>
      </c>
      <c r="G5718" t="s">
        <v>4066</v>
      </c>
      <c r="H5718" t="s">
        <v>4067</v>
      </c>
      <c r="I5718">
        <v>0</v>
      </c>
      <c r="J5718" t="s">
        <v>1709</v>
      </c>
      <c r="K5718" t="s">
        <v>290</v>
      </c>
      <c r="L5718" t="s">
        <v>285</v>
      </c>
      <c r="M5718" t="str">
        <f t="shared" si="412"/>
        <v>04</v>
      </c>
      <c r="N5718" t="s">
        <v>12</v>
      </c>
    </row>
    <row r="5719" spans="1:14" x14ac:dyDescent="0.25">
      <c r="A5719">
        <v>20160415</v>
      </c>
      <c r="B5719" t="str">
        <f>"063162"</f>
        <v>063162</v>
      </c>
      <c r="C5719" t="str">
        <f>"76491"</f>
        <v>76491</v>
      </c>
      <c r="D5719" t="s">
        <v>2029</v>
      </c>
      <c r="E5719" s="3">
        <v>170</v>
      </c>
      <c r="F5719">
        <v>20160413</v>
      </c>
      <c r="G5719" t="s">
        <v>2425</v>
      </c>
      <c r="H5719" t="s">
        <v>4572</v>
      </c>
      <c r="I5719">
        <v>0</v>
      </c>
      <c r="J5719" t="s">
        <v>1709</v>
      </c>
      <c r="K5719" t="s">
        <v>290</v>
      </c>
      <c r="L5719" t="s">
        <v>285</v>
      </c>
      <c r="M5719" t="str">
        <f t="shared" si="412"/>
        <v>04</v>
      </c>
      <c r="N5719" t="s">
        <v>12</v>
      </c>
    </row>
    <row r="5720" spans="1:14" x14ac:dyDescent="0.25">
      <c r="A5720">
        <v>20160415</v>
      </c>
      <c r="B5720" t="str">
        <f>"063163"</f>
        <v>063163</v>
      </c>
      <c r="C5720" t="str">
        <f>"78726"</f>
        <v>78726</v>
      </c>
      <c r="D5720" t="s">
        <v>2772</v>
      </c>
      <c r="E5720" s="3">
        <v>2485</v>
      </c>
      <c r="F5720">
        <v>20160413</v>
      </c>
      <c r="G5720" t="s">
        <v>2773</v>
      </c>
      <c r="H5720" t="s">
        <v>4871</v>
      </c>
      <c r="I5720">
        <v>0</v>
      </c>
      <c r="J5720" t="s">
        <v>1709</v>
      </c>
      <c r="K5720" t="s">
        <v>2252</v>
      </c>
      <c r="L5720" t="s">
        <v>285</v>
      </c>
      <c r="M5720" t="str">
        <f t="shared" si="412"/>
        <v>04</v>
      </c>
      <c r="N5720" t="s">
        <v>12</v>
      </c>
    </row>
    <row r="5721" spans="1:14" x14ac:dyDescent="0.25">
      <c r="A5721">
        <v>20160415</v>
      </c>
      <c r="B5721" t="str">
        <f>"063163"</f>
        <v>063163</v>
      </c>
      <c r="C5721" t="str">
        <f>"78726"</f>
        <v>78726</v>
      </c>
      <c r="D5721" t="s">
        <v>2772</v>
      </c>
      <c r="E5721" s="3">
        <v>1550</v>
      </c>
      <c r="F5721">
        <v>20160413</v>
      </c>
      <c r="G5721" t="s">
        <v>2773</v>
      </c>
      <c r="H5721" t="s">
        <v>4872</v>
      </c>
      <c r="I5721">
        <v>0</v>
      </c>
      <c r="J5721" t="s">
        <v>1709</v>
      </c>
      <c r="K5721" t="s">
        <v>2252</v>
      </c>
      <c r="L5721" t="s">
        <v>285</v>
      </c>
      <c r="M5721" t="str">
        <f t="shared" si="412"/>
        <v>04</v>
      </c>
      <c r="N5721" t="s">
        <v>12</v>
      </c>
    </row>
    <row r="5722" spans="1:14" x14ac:dyDescent="0.25">
      <c r="A5722">
        <v>20160415</v>
      </c>
      <c r="B5722" t="str">
        <f>"063164"</f>
        <v>063164</v>
      </c>
      <c r="C5722" t="str">
        <f>"79680"</f>
        <v>79680</v>
      </c>
      <c r="D5722" t="s">
        <v>781</v>
      </c>
      <c r="E5722" s="3">
        <v>405</v>
      </c>
      <c r="F5722">
        <v>20160413</v>
      </c>
      <c r="G5722" t="s">
        <v>3908</v>
      </c>
      <c r="H5722" t="s">
        <v>4138</v>
      </c>
      <c r="I5722">
        <v>0</v>
      </c>
      <c r="J5722" t="s">
        <v>1709</v>
      </c>
      <c r="K5722" t="s">
        <v>1861</v>
      </c>
      <c r="L5722" t="s">
        <v>285</v>
      </c>
      <c r="M5722" t="str">
        <f t="shared" si="412"/>
        <v>04</v>
      </c>
      <c r="N5722" t="s">
        <v>12</v>
      </c>
    </row>
    <row r="5723" spans="1:14" x14ac:dyDescent="0.25">
      <c r="A5723">
        <v>20160415</v>
      </c>
      <c r="B5723" t="str">
        <f>"063165"</f>
        <v>063165</v>
      </c>
      <c r="C5723" t="str">
        <f>"81155"</f>
        <v>81155</v>
      </c>
      <c r="D5723" t="s">
        <v>131</v>
      </c>
      <c r="E5723" s="3">
        <v>2500</v>
      </c>
      <c r="F5723">
        <v>20160413</v>
      </c>
      <c r="G5723" t="s">
        <v>3150</v>
      </c>
      <c r="H5723" t="s">
        <v>3151</v>
      </c>
      <c r="I5723">
        <v>0</v>
      </c>
      <c r="J5723" t="s">
        <v>1709</v>
      </c>
      <c r="K5723" t="s">
        <v>235</v>
      </c>
      <c r="L5723" t="s">
        <v>285</v>
      </c>
      <c r="M5723" t="str">
        <f t="shared" si="412"/>
        <v>04</v>
      </c>
      <c r="N5723" t="s">
        <v>12</v>
      </c>
    </row>
    <row r="5724" spans="1:14" x14ac:dyDescent="0.25">
      <c r="A5724">
        <v>20160415</v>
      </c>
      <c r="B5724" t="str">
        <f>"063166"</f>
        <v>063166</v>
      </c>
      <c r="C5724" t="str">
        <f>"80611"</f>
        <v>80611</v>
      </c>
      <c r="D5724" t="s">
        <v>1796</v>
      </c>
      <c r="E5724" s="3">
        <v>2208.33</v>
      </c>
      <c r="F5724">
        <v>20160413</v>
      </c>
      <c r="G5724" t="s">
        <v>2414</v>
      </c>
      <c r="H5724" t="s">
        <v>4138</v>
      </c>
      <c r="I5724">
        <v>0</v>
      </c>
      <c r="J5724" t="s">
        <v>1709</v>
      </c>
      <c r="K5724" t="s">
        <v>133</v>
      </c>
      <c r="L5724" t="s">
        <v>285</v>
      </c>
      <c r="M5724" t="str">
        <f t="shared" si="412"/>
        <v>04</v>
      </c>
      <c r="N5724" t="s">
        <v>12</v>
      </c>
    </row>
    <row r="5725" spans="1:14" x14ac:dyDescent="0.25">
      <c r="A5725">
        <v>20160415</v>
      </c>
      <c r="B5725" t="str">
        <f>"063167"</f>
        <v>063167</v>
      </c>
      <c r="C5725" t="str">
        <f>"82132"</f>
        <v>82132</v>
      </c>
      <c r="D5725" t="s">
        <v>4712</v>
      </c>
      <c r="E5725" s="3">
        <v>190</v>
      </c>
      <c r="F5725">
        <v>20160413</v>
      </c>
      <c r="G5725" t="s">
        <v>1710</v>
      </c>
      <c r="H5725" t="s">
        <v>4873</v>
      </c>
      <c r="I5725">
        <v>0</v>
      </c>
      <c r="J5725" t="s">
        <v>1709</v>
      </c>
      <c r="K5725" t="s">
        <v>290</v>
      </c>
      <c r="L5725" t="s">
        <v>285</v>
      </c>
      <c r="M5725" t="str">
        <f t="shared" si="412"/>
        <v>04</v>
      </c>
      <c r="N5725" t="s">
        <v>12</v>
      </c>
    </row>
    <row r="5726" spans="1:14" x14ac:dyDescent="0.25">
      <c r="A5726">
        <v>20160415</v>
      </c>
      <c r="B5726" t="str">
        <f>"063170"</f>
        <v>063170</v>
      </c>
      <c r="C5726" t="str">
        <f>"82176"</f>
        <v>82176</v>
      </c>
      <c r="D5726" t="s">
        <v>1166</v>
      </c>
      <c r="E5726" s="3">
        <v>80</v>
      </c>
      <c r="F5726">
        <v>20160413</v>
      </c>
      <c r="G5726" t="s">
        <v>4874</v>
      </c>
      <c r="H5726" t="s">
        <v>4875</v>
      </c>
      <c r="I5726">
        <v>0</v>
      </c>
      <c r="J5726" t="s">
        <v>1709</v>
      </c>
      <c r="K5726" t="s">
        <v>290</v>
      </c>
      <c r="L5726" t="s">
        <v>285</v>
      </c>
      <c r="M5726" t="str">
        <f t="shared" si="412"/>
        <v>04</v>
      </c>
      <c r="N5726" t="s">
        <v>12</v>
      </c>
    </row>
    <row r="5727" spans="1:14" x14ac:dyDescent="0.25">
      <c r="A5727">
        <v>20160415</v>
      </c>
      <c r="B5727" t="str">
        <f>"063172"</f>
        <v>063172</v>
      </c>
      <c r="C5727" t="str">
        <f>"82374"</f>
        <v>82374</v>
      </c>
      <c r="D5727" t="s">
        <v>4198</v>
      </c>
      <c r="E5727" s="3">
        <v>240</v>
      </c>
      <c r="F5727">
        <v>20160413</v>
      </c>
      <c r="G5727" t="s">
        <v>4876</v>
      </c>
      <c r="H5727" t="s">
        <v>4877</v>
      </c>
      <c r="I5727">
        <v>0</v>
      </c>
      <c r="J5727" t="s">
        <v>1709</v>
      </c>
      <c r="K5727" t="s">
        <v>290</v>
      </c>
      <c r="L5727" t="s">
        <v>285</v>
      </c>
      <c r="M5727" t="str">
        <f t="shared" si="412"/>
        <v>04</v>
      </c>
      <c r="N5727" t="s">
        <v>12</v>
      </c>
    </row>
    <row r="5728" spans="1:14" x14ac:dyDescent="0.25">
      <c r="A5728">
        <v>20160415</v>
      </c>
      <c r="B5728" t="str">
        <f>"063175"</f>
        <v>063175</v>
      </c>
      <c r="C5728" t="str">
        <f>"83800"</f>
        <v>83800</v>
      </c>
      <c r="D5728" t="s">
        <v>3745</v>
      </c>
      <c r="E5728" s="3">
        <v>436.67</v>
      </c>
      <c r="F5728">
        <v>20160413</v>
      </c>
      <c r="G5728" t="s">
        <v>4878</v>
      </c>
      <c r="H5728" t="s">
        <v>4879</v>
      </c>
      <c r="I5728">
        <v>0</v>
      </c>
      <c r="J5728" t="s">
        <v>1709</v>
      </c>
      <c r="K5728" t="s">
        <v>1643</v>
      </c>
      <c r="L5728" t="s">
        <v>285</v>
      </c>
      <c r="M5728" t="str">
        <f t="shared" si="412"/>
        <v>04</v>
      </c>
      <c r="N5728" t="s">
        <v>12</v>
      </c>
    </row>
    <row r="5729" spans="1:14" x14ac:dyDescent="0.25">
      <c r="A5729">
        <v>20160415</v>
      </c>
      <c r="B5729" t="str">
        <f>"063176"</f>
        <v>063176</v>
      </c>
      <c r="C5729" t="str">
        <f>"85950"</f>
        <v>85950</v>
      </c>
      <c r="D5729" t="s">
        <v>4880</v>
      </c>
      <c r="E5729" s="3">
        <v>455.4</v>
      </c>
      <c r="F5729">
        <v>20160413</v>
      </c>
      <c r="G5729" t="s">
        <v>4881</v>
      </c>
      <c r="H5729" t="s">
        <v>4882</v>
      </c>
      <c r="I5729">
        <v>0</v>
      </c>
      <c r="J5729" t="s">
        <v>1709</v>
      </c>
      <c r="K5729" t="s">
        <v>95</v>
      </c>
      <c r="L5729" t="s">
        <v>285</v>
      </c>
      <c r="M5729" t="str">
        <f t="shared" si="412"/>
        <v>04</v>
      </c>
      <c r="N5729" t="s">
        <v>12</v>
      </c>
    </row>
    <row r="5730" spans="1:14" x14ac:dyDescent="0.25">
      <c r="A5730">
        <v>20160420</v>
      </c>
      <c r="B5730" t="str">
        <f>"063179"</f>
        <v>063179</v>
      </c>
      <c r="C5730" t="str">
        <f>"01530"</f>
        <v>01530</v>
      </c>
      <c r="D5730" t="s">
        <v>1943</v>
      </c>
      <c r="E5730" s="3">
        <v>45</v>
      </c>
      <c r="F5730">
        <v>20160419</v>
      </c>
      <c r="G5730" t="s">
        <v>2424</v>
      </c>
      <c r="H5730" t="s">
        <v>4883</v>
      </c>
      <c r="I5730">
        <v>0</v>
      </c>
      <c r="J5730" t="s">
        <v>1709</v>
      </c>
      <c r="K5730" t="s">
        <v>1775</v>
      </c>
      <c r="L5730" t="s">
        <v>285</v>
      </c>
      <c r="M5730" t="str">
        <f t="shared" si="412"/>
        <v>04</v>
      </c>
      <c r="N5730" t="s">
        <v>12</v>
      </c>
    </row>
    <row r="5731" spans="1:14" x14ac:dyDescent="0.25">
      <c r="A5731">
        <v>20160420</v>
      </c>
      <c r="B5731" t="str">
        <f>"063181"</f>
        <v>063181</v>
      </c>
      <c r="C5731" t="str">
        <f>"64653"</f>
        <v>64653</v>
      </c>
      <c r="D5731" t="s">
        <v>1946</v>
      </c>
      <c r="E5731" s="3">
        <v>6500</v>
      </c>
      <c r="F5731">
        <v>20160419</v>
      </c>
      <c r="G5731" t="s">
        <v>4884</v>
      </c>
      <c r="H5731" t="s">
        <v>4885</v>
      </c>
      <c r="I5731">
        <v>0</v>
      </c>
      <c r="J5731" t="s">
        <v>1709</v>
      </c>
      <c r="K5731" t="s">
        <v>290</v>
      </c>
      <c r="L5731" t="s">
        <v>285</v>
      </c>
      <c r="M5731" t="str">
        <f t="shared" si="412"/>
        <v>04</v>
      </c>
      <c r="N5731" t="s">
        <v>12</v>
      </c>
    </row>
    <row r="5732" spans="1:14" x14ac:dyDescent="0.25">
      <c r="A5732">
        <v>20160420</v>
      </c>
      <c r="B5732" t="str">
        <f>"063182"</f>
        <v>063182</v>
      </c>
      <c r="C5732" t="str">
        <f>"06509"</f>
        <v>06509</v>
      </c>
      <c r="D5732" t="s">
        <v>1555</v>
      </c>
      <c r="E5732" s="3">
        <v>1158</v>
      </c>
      <c r="F5732">
        <v>20160419</v>
      </c>
      <c r="G5732" t="s">
        <v>4886</v>
      </c>
      <c r="H5732" t="s">
        <v>4887</v>
      </c>
      <c r="I5732">
        <v>0</v>
      </c>
      <c r="J5732" t="s">
        <v>1709</v>
      </c>
      <c r="K5732" t="s">
        <v>290</v>
      </c>
      <c r="L5732" t="s">
        <v>285</v>
      </c>
      <c r="M5732" t="str">
        <f t="shared" si="412"/>
        <v>04</v>
      </c>
      <c r="N5732" t="s">
        <v>12</v>
      </c>
    </row>
    <row r="5733" spans="1:14" x14ac:dyDescent="0.25">
      <c r="A5733">
        <v>20160420</v>
      </c>
      <c r="B5733" t="str">
        <f>"063184"</f>
        <v>063184</v>
      </c>
      <c r="C5733" t="str">
        <f>"10020"</f>
        <v>10020</v>
      </c>
      <c r="D5733" t="s">
        <v>1018</v>
      </c>
      <c r="E5733" s="3">
        <v>2000</v>
      </c>
      <c r="F5733">
        <v>20160419</v>
      </c>
      <c r="G5733" t="s">
        <v>4888</v>
      </c>
      <c r="H5733" t="s">
        <v>1307</v>
      </c>
      <c r="I5733">
        <v>0</v>
      </c>
      <c r="J5733" t="s">
        <v>1709</v>
      </c>
      <c r="K5733" t="s">
        <v>290</v>
      </c>
      <c r="L5733" t="s">
        <v>285</v>
      </c>
      <c r="M5733" t="str">
        <f t="shared" si="412"/>
        <v>04</v>
      </c>
      <c r="N5733" t="s">
        <v>12</v>
      </c>
    </row>
    <row r="5734" spans="1:14" x14ac:dyDescent="0.25">
      <c r="A5734">
        <v>20160420</v>
      </c>
      <c r="B5734" t="str">
        <f>"063185"</f>
        <v>063185</v>
      </c>
      <c r="C5734" t="str">
        <f>"10085"</f>
        <v>10085</v>
      </c>
      <c r="D5734" t="s">
        <v>4227</v>
      </c>
      <c r="E5734" s="3">
        <v>320.01</v>
      </c>
      <c r="F5734">
        <v>20160419</v>
      </c>
      <c r="G5734" t="s">
        <v>1933</v>
      </c>
      <c r="H5734" t="s">
        <v>4889</v>
      </c>
      <c r="I5734">
        <v>0</v>
      </c>
      <c r="J5734" t="s">
        <v>1709</v>
      </c>
      <c r="K5734" t="s">
        <v>1558</v>
      </c>
      <c r="L5734" t="s">
        <v>285</v>
      </c>
      <c r="M5734" t="str">
        <f t="shared" si="412"/>
        <v>04</v>
      </c>
      <c r="N5734" t="s">
        <v>12</v>
      </c>
    </row>
    <row r="5735" spans="1:14" x14ac:dyDescent="0.25">
      <c r="A5735">
        <v>20160420</v>
      </c>
      <c r="B5735" t="str">
        <f>"063185"</f>
        <v>063185</v>
      </c>
      <c r="C5735" t="str">
        <f>"10085"</f>
        <v>10085</v>
      </c>
      <c r="D5735" t="s">
        <v>4227</v>
      </c>
      <c r="E5735" s="3">
        <v>63.4</v>
      </c>
      <c r="F5735">
        <v>20160419</v>
      </c>
      <c r="G5735" t="s">
        <v>2795</v>
      </c>
      <c r="H5735" t="s">
        <v>4890</v>
      </c>
      <c r="I5735">
        <v>0</v>
      </c>
      <c r="J5735" t="s">
        <v>1709</v>
      </c>
      <c r="K5735" t="s">
        <v>95</v>
      </c>
      <c r="L5735" t="s">
        <v>285</v>
      </c>
      <c r="M5735" t="str">
        <f t="shared" si="412"/>
        <v>04</v>
      </c>
      <c r="N5735" t="s">
        <v>12</v>
      </c>
    </row>
    <row r="5736" spans="1:14" x14ac:dyDescent="0.25">
      <c r="A5736">
        <v>20160420</v>
      </c>
      <c r="B5736" t="str">
        <f>"063188"</f>
        <v>063188</v>
      </c>
      <c r="C5736" t="str">
        <f>"13165"</f>
        <v>13165</v>
      </c>
      <c r="D5736" t="s">
        <v>2448</v>
      </c>
      <c r="E5736" s="3">
        <v>150</v>
      </c>
      <c r="F5736">
        <v>20160419</v>
      </c>
      <c r="G5736" t="s">
        <v>4147</v>
      </c>
      <c r="H5736" t="s">
        <v>4451</v>
      </c>
      <c r="I5736">
        <v>0</v>
      </c>
      <c r="J5736" t="s">
        <v>1709</v>
      </c>
      <c r="K5736" t="s">
        <v>290</v>
      </c>
      <c r="L5736" t="s">
        <v>285</v>
      </c>
      <c r="M5736" t="str">
        <f t="shared" si="412"/>
        <v>04</v>
      </c>
      <c r="N5736" t="s">
        <v>12</v>
      </c>
    </row>
    <row r="5737" spans="1:14" x14ac:dyDescent="0.25">
      <c r="A5737">
        <v>20160420</v>
      </c>
      <c r="B5737" t="str">
        <f>"063189"</f>
        <v>063189</v>
      </c>
      <c r="C5737" t="str">
        <f>"13268"</f>
        <v>13268</v>
      </c>
      <c r="D5737" t="s">
        <v>2450</v>
      </c>
      <c r="E5737" s="3">
        <v>1387.92</v>
      </c>
      <c r="F5737">
        <v>20160419</v>
      </c>
      <c r="G5737" t="s">
        <v>2303</v>
      </c>
      <c r="H5737" t="s">
        <v>4891</v>
      </c>
      <c r="I5737">
        <v>0</v>
      </c>
      <c r="J5737" t="s">
        <v>1709</v>
      </c>
      <c r="K5737" t="s">
        <v>235</v>
      </c>
      <c r="L5737" t="s">
        <v>285</v>
      </c>
      <c r="M5737" t="str">
        <f t="shared" si="412"/>
        <v>04</v>
      </c>
      <c r="N5737" t="s">
        <v>12</v>
      </c>
    </row>
    <row r="5738" spans="1:14" x14ac:dyDescent="0.25">
      <c r="A5738">
        <v>20160420</v>
      </c>
      <c r="B5738" t="str">
        <f>"063199"</f>
        <v>063199</v>
      </c>
      <c r="C5738" t="str">
        <f>"21098"</f>
        <v>21098</v>
      </c>
      <c r="D5738" t="s">
        <v>2261</v>
      </c>
      <c r="E5738" s="3">
        <v>153.27000000000001</v>
      </c>
      <c r="F5738">
        <v>20160419</v>
      </c>
      <c r="G5738" t="s">
        <v>2262</v>
      </c>
      <c r="H5738" t="s">
        <v>595</v>
      </c>
      <c r="I5738">
        <v>0</v>
      </c>
      <c r="J5738" t="s">
        <v>1709</v>
      </c>
      <c r="K5738" t="s">
        <v>1643</v>
      </c>
      <c r="L5738" t="s">
        <v>285</v>
      </c>
      <c r="M5738" t="str">
        <f t="shared" si="412"/>
        <v>04</v>
      </c>
      <c r="N5738" t="s">
        <v>12</v>
      </c>
    </row>
    <row r="5739" spans="1:14" x14ac:dyDescent="0.25">
      <c r="A5739">
        <v>20160420</v>
      </c>
      <c r="B5739" t="str">
        <f>"063199"</f>
        <v>063199</v>
      </c>
      <c r="C5739" t="str">
        <f>"21098"</f>
        <v>21098</v>
      </c>
      <c r="D5739" t="s">
        <v>2261</v>
      </c>
      <c r="E5739" s="3">
        <v>544.35</v>
      </c>
      <c r="F5739">
        <v>20160419</v>
      </c>
      <c r="G5739" t="s">
        <v>2264</v>
      </c>
      <c r="H5739" t="s">
        <v>595</v>
      </c>
      <c r="I5739">
        <v>0</v>
      </c>
      <c r="J5739" t="s">
        <v>1709</v>
      </c>
      <c r="K5739" t="s">
        <v>1643</v>
      </c>
      <c r="L5739" t="s">
        <v>285</v>
      </c>
      <c r="M5739" t="str">
        <f t="shared" si="412"/>
        <v>04</v>
      </c>
      <c r="N5739" t="s">
        <v>12</v>
      </c>
    </row>
    <row r="5740" spans="1:14" x14ac:dyDescent="0.25">
      <c r="A5740">
        <v>20160420</v>
      </c>
      <c r="B5740" t="str">
        <f>"063200"</f>
        <v>063200</v>
      </c>
      <c r="C5740" t="str">
        <f>"21610"</f>
        <v>21610</v>
      </c>
      <c r="D5740" t="s">
        <v>4892</v>
      </c>
      <c r="E5740" s="3">
        <v>3023.58</v>
      </c>
      <c r="F5740">
        <v>20160419</v>
      </c>
      <c r="G5740" t="s">
        <v>1840</v>
      </c>
      <c r="H5740" t="s">
        <v>4893</v>
      </c>
      <c r="I5740">
        <v>0</v>
      </c>
      <c r="J5740" t="s">
        <v>1709</v>
      </c>
      <c r="K5740" t="s">
        <v>1744</v>
      </c>
      <c r="L5740" t="s">
        <v>285</v>
      </c>
      <c r="M5740" t="str">
        <f t="shared" si="412"/>
        <v>04</v>
      </c>
      <c r="N5740" t="s">
        <v>12</v>
      </c>
    </row>
    <row r="5741" spans="1:14" x14ac:dyDescent="0.25">
      <c r="A5741">
        <v>20160420</v>
      </c>
      <c r="B5741" t="str">
        <f>"063201"</f>
        <v>063201</v>
      </c>
      <c r="C5741" t="str">
        <f>"21769"</f>
        <v>21769</v>
      </c>
      <c r="D5741" t="s">
        <v>1836</v>
      </c>
      <c r="E5741" s="3">
        <v>1073</v>
      </c>
      <c r="F5741">
        <v>20160419</v>
      </c>
      <c r="G5741" t="s">
        <v>2192</v>
      </c>
      <c r="H5741" t="s">
        <v>4894</v>
      </c>
      <c r="I5741">
        <v>0</v>
      </c>
      <c r="J5741" t="s">
        <v>1709</v>
      </c>
      <c r="K5741" t="s">
        <v>2194</v>
      </c>
      <c r="L5741" t="s">
        <v>285</v>
      </c>
      <c r="M5741" t="str">
        <f t="shared" si="412"/>
        <v>04</v>
      </c>
      <c r="N5741" t="s">
        <v>12</v>
      </c>
    </row>
    <row r="5742" spans="1:14" x14ac:dyDescent="0.25">
      <c r="A5742">
        <v>20160420</v>
      </c>
      <c r="B5742" t="str">
        <f>"063202"</f>
        <v>063202</v>
      </c>
      <c r="C5742" t="str">
        <f>"21860"</f>
        <v>21860</v>
      </c>
      <c r="D5742" t="s">
        <v>1838</v>
      </c>
      <c r="E5742" s="3">
        <v>148.80000000000001</v>
      </c>
      <c r="F5742">
        <v>20160419</v>
      </c>
      <c r="G5742" t="s">
        <v>4895</v>
      </c>
      <c r="H5742" t="s">
        <v>4896</v>
      </c>
      <c r="I5742">
        <v>0</v>
      </c>
      <c r="J5742" t="s">
        <v>1709</v>
      </c>
      <c r="K5742" t="s">
        <v>1893</v>
      </c>
      <c r="L5742" t="s">
        <v>285</v>
      </c>
      <c r="M5742" t="str">
        <f t="shared" si="412"/>
        <v>04</v>
      </c>
      <c r="N5742" t="s">
        <v>12</v>
      </c>
    </row>
    <row r="5743" spans="1:14" x14ac:dyDescent="0.25">
      <c r="A5743">
        <v>20160420</v>
      </c>
      <c r="B5743" t="str">
        <f>"063202"</f>
        <v>063202</v>
      </c>
      <c r="C5743" t="str">
        <f>"21860"</f>
        <v>21860</v>
      </c>
      <c r="D5743" t="s">
        <v>1838</v>
      </c>
      <c r="E5743" s="3">
        <v>326.60000000000002</v>
      </c>
      <c r="F5743">
        <v>20160419</v>
      </c>
      <c r="G5743" t="s">
        <v>2475</v>
      </c>
      <c r="H5743" t="s">
        <v>4897</v>
      </c>
      <c r="I5743">
        <v>0</v>
      </c>
      <c r="J5743" t="s">
        <v>1709</v>
      </c>
      <c r="K5743" t="s">
        <v>1775</v>
      </c>
      <c r="L5743" t="s">
        <v>285</v>
      </c>
      <c r="M5743" t="str">
        <f t="shared" si="412"/>
        <v>04</v>
      </c>
      <c r="N5743" t="s">
        <v>12</v>
      </c>
    </row>
    <row r="5744" spans="1:14" x14ac:dyDescent="0.25">
      <c r="A5744">
        <v>20160420</v>
      </c>
      <c r="B5744" t="str">
        <f>"063203"</f>
        <v>063203</v>
      </c>
      <c r="C5744" t="str">
        <f>"24130"</f>
        <v>24130</v>
      </c>
      <c r="D5744" t="s">
        <v>2278</v>
      </c>
      <c r="E5744" s="3">
        <v>1980</v>
      </c>
      <c r="F5744">
        <v>20160419</v>
      </c>
      <c r="G5744" t="s">
        <v>4898</v>
      </c>
      <c r="H5744" t="s">
        <v>4899</v>
      </c>
      <c r="I5744">
        <v>0</v>
      </c>
      <c r="J5744" t="s">
        <v>1709</v>
      </c>
      <c r="K5744" t="s">
        <v>1861</v>
      </c>
      <c r="L5744" t="s">
        <v>285</v>
      </c>
      <c r="M5744" t="str">
        <f t="shared" si="412"/>
        <v>04</v>
      </c>
      <c r="N5744" t="s">
        <v>12</v>
      </c>
    </row>
    <row r="5745" spans="1:14" x14ac:dyDescent="0.25">
      <c r="A5745">
        <v>20160420</v>
      </c>
      <c r="B5745" t="str">
        <f>"063208"</f>
        <v>063208</v>
      </c>
      <c r="C5745" t="str">
        <f>"28634"</f>
        <v>28634</v>
      </c>
      <c r="D5745" t="s">
        <v>4900</v>
      </c>
      <c r="E5745" s="3">
        <v>80.459999999999994</v>
      </c>
      <c r="F5745">
        <v>20160419</v>
      </c>
      <c r="G5745" t="s">
        <v>4545</v>
      </c>
      <c r="H5745" t="s">
        <v>4901</v>
      </c>
      <c r="I5745">
        <v>0</v>
      </c>
      <c r="J5745" t="s">
        <v>1709</v>
      </c>
      <c r="K5745" t="s">
        <v>1775</v>
      </c>
      <c r="L5745" t="s">
        <v>285</v>
      </c>
      <c r="M5745" t="str">
        <f t="shared" si="412"/>
        <v>04</v>
      </c>
      <c r="N5745" t="s">
        <v>12</v>
      </c>
    </row>
    <row r="5746" spans="1:14" x14ac:dyDescent="0.25">
      <c r="A5746">
        <v>20160420</v>
      </c>
      <c r="B5746" t="str">
        <f>"063210"</f>
        <v>063210</v>
      </c>
      <c r="C5746" t="str">
        <f>"29610"</f>
        <v>29610</v>
      </c>
      <c r="D5746" t="s">
        <v>1867</v>
      </c>
      <c r="E5746" s="3">
        <v>388.57</v>
      </c>
      <c r="F5746">
        <v>20160419</v>
      </c>
      <c r="G5746" t="s">
        <v>2495</v>
      </c>
      <c r="H5746" t="s">
        <v>4902</v>
      </c>
      <c r="I5746">
        <v>0</v>
      </c>
      <c r="J5746" t="s">
        <v>1709</v>
      </c>
      <c r="K5746" t="s">
        <v>235</v>
      </c>
      <c r="L5746" t="s">
        <v>285</v>
      </c>
      <c r="M5746" t="str">
        <f t="shared" si="412"/>
        <v>04</v>
      </c>
      <c r="N5746" t="s">
        <v>12</v>
      </c>
    </row>
    <row r="5747" spans="1:14" x14ac:dyDescent="0.25">
      <c r="A5747">
        <v>20160420</v>
      </c>
      <c r="B5747" t="str">
        <f>"063210"</f>
        <v>063210</v>
      </c>
      <c r="C5747" t="str">
        <f>"29610"</f>
        <v>29610</v>
      </c>
      <c r="D5747" t="s">
        <v>1867</v>
      </c>
      <c r="E5747" s="3">
        <v>436</v>
      </c>
      <c r="F5747">
        <v>20160419</v>
      </c>
      <c r="G5747" t="s">
        <v>2495</v>
      </c>
      <c r="H5747" t="s">
        <v>4903</v>
      </c>
      <c r="I5747">
        <v>0</v>
      </c>
      <c r="J5747" t="s">
        <v>1709</v>
      </c>
      <c r="K5747" t="s">
        <v>235</v>
      </c>
      <c r="L5747" t="s">
        <v>285</v>
      </c>
      <c r="M5747" t="str">
        <f t="shared" si="412"/>
        <v>04</v>
      </c>
      <c r="N5747" t="s">
        <v>12</v>
      </c>
    </row>
    <row r="5748" spans="1:14" x14ac:dyDescent="0.25">
      <c r="A5748">
        <v>20160420</v>
      </c>
      <c r="B5748" t="str">
        <f>"063210"</f>
        <v>063210</v>
      </c>
      <c r="C5748" t="str">
        <f>"29610"</f>
        <v>29610</v>
      </c>
      <c r="D5748" t="s">
        <v>1867</v>
      </c>
      <c r="E5748" s="3">
        <v>348</v>
      </c>
      <c r="F5748">
        <v>20160419</v>
      </c>
      <c r="G5748" t="s">
        <v>2495</v>
      </c>
      <c r="H5748" t="s">
        <v>4904</v>
      </c>
      <c r="I5748">
        <v>0</v>
      </c>
      <c r="J5748" t="s">
        <v>1709</v>
      </c>
      <c r="K5748" t="s">
        <v>235</v>
      </c>
      <c r="L5748" t="s">
        <v>285</v>
      </c>
      <c r="M5748" t="str">
        <f t="shared" si="412"/>
        <v>04</v>
      </c>
      <c r="N5748" t="s">
        <v>12</v>
      </c>
    </row>
    <row r="5749" spans="1:14" x14ac:dyDescent="0.25">
      <c r="A5749">
        <v>20160420</v>
      </c>
      <c r="B5749" t="str">
        <f>"063210"</f>
        <v>063210</v>
      </c>
      <c r="C5749" t="str">
        <f>"29610"</f>
        <v>29610</v>
      </c>
      <c r="D5749" t="s">
        <v>1867</v>
      </c>
      <c r="E5749" s="3">
        <v>132.78</v>
      </c>
      <c r="F5749">
        <v>20160419</v>
      </c>
      <c r="G5749" t="s">
        <v>2495</v>
      </c>
      <c r="H5749" t="s">
        <v>4905</v>
      </c>
      <c r="I5749">
        <v>0</v>
      </c>
      <c r="J5749" t="s">
        <v>1709</v>
      </c>
      <c r="K5749" t="s">
        <v>235</v>
      </c>
      <c r="L5749" t="s">
        <v>285</v>
      </c>
      <c r="M5749" t="str">
        <f t="shared" si="412"/>
        <v>04</v>
      </c>
      <c r="N5749" t="s">
        <v>12</v>
      </c>
    </row>
    <row r="5750" spans="1:14" x14ac:dyDescent="0.25">
      <c r="A5750">
        <v>20160420</v>
      </c>
      <c r="B5750" t="str">
        <f>"063210"</f>
        <v>063210</v>
      </c>
      <c r="C5750" t="str">
        <f>"29610"</f>
        <v>29610</v>
      </c>
      <c r="D5750" t="s">
        <v>1867</v>
      </c>
      <c r="E5750" s="3">
        <v>340.56</v>
      </c>
      <c r="F5750">
        <v>20160419</v>
      </c>
      <c r="G5750" t="s">
        <v>1758</v>
      </c>
      <c r="H5750" t="s">
        <v>4906</v>
      </c>
      <c r="I5750">
        <v>0</v>
      </c>
      <c r="J5750" t="s">
        <v>1709</v>
      </c>
      <c r="K5750" t="s">
        <v>1643</v>
      </c>
      <c r="L5750" t="s">
        <v>285</v>
      </c>
      <c r="M5750" t="str">
        <f t="shared" si="412"/>
        <v>04</v>
      </c>
      <c r="N5750" t="s">
        <v>12</v>
      </c>
    </row>
    <row r="5751" spans="1:14" x14ac:dyDescent="0.25">
      <c r="A5751">
        <v>20160420</v>
      </c>
      <c r="B5751" t="str">
        <f>"063211"</f>
        <v>063211</v>
      </c>
      <c r="C5751" t="str">
        <f>"29633"</f>
        <v>29633</v>
      </c>
      <c r="D5751" t="s">
        <v>2107</v>
      </c>
      <c r="E5751" s="3">
        <v>250.9</v>
      </c>
      <c r="F5751">
        <v>20160419</v>
      </c>
      <c r="G5751" t="s">
        <v>1859</v>
      </c>
      <c r="H5751" t="s">
        <v>2295</v>
      </c>
      <c r="I5751">
        <v>0</v>
      </c>
      <c r="J5751" t="s">
        <v>1709</v>
      </c>
      <c r="K5751" t="s">
        <v>1861</v>
      </c>
      <c r="L5751" t="s">
        <v>285</v>
      </c>
      <c r="M5751" t="str">
        <f t="shared" si="412"/>
        <v>04</v>
      </c>
      <c r="N5751" t="s">
        <v>12</v>
      </c>
    </row>
    <row r="5752" spans="1:14" x14ac:dyDescent="0.25">
      <c r="A5752">
        <v>20160420</v>
      </c>
      <c r="B5752" t="str">
        <f>"063212"</f>
        <v>063212</v>
      </c>
      <c r="C5752" t="str">
        <f>"29680"</f>
        <v>29680</v>
      </c>
      <c r="D5752" t="s">
        <v>653</v>
      </c>
      <c r="E5752" s="3">
        <v>29.95</v>
      </c>
      <c r="F5752">
        <v>20160420</v>
      </c>
      <c r="G5752" t="s">
        <v>1715</v>
      </c>
      <c r="H5752" t="s">
        <v>4527</v>
      </c>
      <c r="I5752">
        <v>0</v>
      </c>
      <c r="J5752" t="s">
        <v>1709</v>
      </c>
      <c r="K5752" t="s">
        <v>290</v>
      </c>
      <c r="L5752" t="s">
        <v>285</v>
      </c>
      <c r="M5752" t="str">
        <f t="shared" si="412"/>
        <v>04</v>
      </c>
      <c r="N5752" t="s">
        <v>12</v>
      </c>
    </row>
    <row r="5753" spans="1:14" x14ac:dyDescent="0.25">
      <c r="A5753">
        <v>20160420</v>
      </c>
      <c r="B5753" t="str">
        <f t="shared" ref="B5753:B5759" si="413">"063213"</f>
        <v>063213</v>
      </c>
      <c r="C5753" t="str">
        <f t="shared" ref="C5753:C5759" si="414">"30130"</f>
        <v>30130</v>
      </c>
      <c r="D5753" t="s">
        <v>3082</v>
      </c>
      <c r="E5753" s="3">
        <v>924.11</v>
      </c>
      <c r="F5753">
        <v>20160419</v>
      </c>
      <c r="G5753" t="s">
        <v>1854</v>
      </c>
      <c r="H5753" t="s">
        <v>4907</v>
      </c>
      <c r="I5753">
        <v>0</v>
      </c>
      <c r="J5753" t="s">
        <v>1709</v>
      </c>
      <c r="K5753" t="s">
        <v>1856</v>
      </c>
      <c r="L5753" t="s">
        <v>285</v>
      </c>
      <c r="M5753" t="str">
        <f t="shared" si="412"/>
        <v>04</v>
      </c>
      <c r="N5753" t="s">
        <v>12</v>
      </c>
    </row>
    <row r="5754" spans="1:14" x14ac:dyDescent="0.25">
      <c r="A5754">
        <v>20160420</v>
      </c>
      <c r="B5754" t="str">
        <f t="shared" si="413"/>
        <v>063213</v>
      </c>
      <c r="C5754" t="str">
        <f t="shared" si="414"/>
        <v>30130</v>
      </c>
      <c r="D5754" t="s">
        <v>3082</v>
      </c>
      <c r="E5754" s="3">
        <v>635.64</v>
      </c>
      <c r="F5754">
        <v>20160419</v>
      </c>
      <c r="G5754" t="s">
        <v>1854</v>
      </c>
      <c r="H5754" t="s">
        <v>4908</v>
      </c>
      <c r="I5754">
        <v>0</v>
      </c>
      <c r="J5754" t="s">
        <v>1709</v>
      </c>
      <c r="K5754" t="s">
        <v>1856</v>
      </c>
      <c r="L5754" t="s">
        <v>285</v>
      </c>
      <c r="M5754" t="str">
        <f t="shared" si="412"/>
        <v>04</v>
      </c>
      <c r="N5754" t="s">
        <v>12</v>
      </c>
    </row>
    <row r="5755" spans="1:14" x14ac:dyDescent="0.25">
      <c r="A5755">
        <v>20160420</v>
      </c>
      <c r="B5755" t="str">
        <f t="shared" si="413"/>
        <v>063213</v>
      </c>
      <c r="C5755" t="str">
        <f t="shared" si="414"/>
        <v>30130</v>
      </c>
      <c r="D5755" t="s">
        <v>3082</v>
      </c>
      <c r="E5755" s="3">
        <v>1956.58</v>
      </c>
      <c r="F5755">
        <v>20160419</v>
      </c>
      <c r="G5755" t="s">
        <v>1854</v>
      </c>
      <c r="H5755" t="s">
        <v>4909</v>
      </c>
      <c r="I5755">
        <v>0</v>
      </c>
      <c r="J5755" t="s">
        <v>1709</v>
      </c>
      <c r="K5755" t="s">
        <v>1856</v>
      </c>
      <c r="L5755" t="s">
        <v>285</v>
      </c>
      <c r="M5755" t="str">
        <f t="shared" si="412"/>
        <v>04</v>
      </c>
      <c r="N5755" t="s">
        <v>12</v>
      </c>
    </row>
    <row r="5756" spans="1:14" x14ac:dyDescent="0.25">
      <c r="A5756">
        <v>20160420</v>
      </c>
      <c r="B5756" t="str">
        <f t="shared" si="413"/>
        <v>063213</v>
      </c>
      <c r="C5756" t="str">
        <f t="shared" si="414"/>
        <v>30130</v>
      </c>
      <c r="D5756" t="s">
        <v>3082</v>
      </c>
      <c r="E5756" s="3">
        <v>2352.14</v>
      </c>
      <c r="F5756">
        <v>20160419</v>
      </c>
      <c r="G5756" t="s">
        <v>1854</v>
      </c>
      <c r="H5756" t="s">
        <v>4910</v>
      </c>
      <c r="I5756">
        <v>0</v>
      </c>
      <c r="J5756" t="s">
        <v>1709</v>
      </c>
      <c r="K5756" t="s">
        <v>1856</v>
      </c>
      <c r="L5756" t="s">
        <v>285</v>
      </c>
      <c r="M5756" t="str">
        <f t="shared" si="412"/>
        <v>04</v>
      </c>
      <c r="N5756" t="s">
        <v>12</v>
      </c>
    </row>
    <row r="5757" spans="1:14" x14ac:dyDescent="0.25">
      <c r="A5757">
        <v>20160420</v>
      </c>
      <c r="B5757" t="str">
        <f t="shared" si="413"/>
        <v>063213</v>
      </c>
      <c r="C5757" t="str">
        <f t="shared" si="414"/>
        <v>30130</v>
      </c>
      <c r="D5757" t="s">
        <v>3082</v>
      </c>
      <c r="E5757" s="3">
        <v>1696.05</v>
      </c>
      <c r="F5757">
        <v>20160419</v>
      </c>
      <c r="G5757" t="s">
        <v>1854</v>
      </c>
      <c r="H5757" t="s">
        <v>4911</v>
      </c>
      <c r="I5757">
        <v>0</v>
      </c>
      <c r="J5757" t="s">
        <v>1709</v>
      </c>
      <c r="K5757" t="s">
        <v>1856</v>
      </c>
      <c r="L5757" t="s">
        <v>285</v>
      </c>
      <c r="M5757" t="str">
        <f t="shared" si="412"/>
        <v>04</v>
      </c>
      <c r="N5757" t="s">
        <v>12</v>
      </c>
    </row>
    <row r="5758" spans="1:14" x14ac:dyDescent="0.25">
      <c r="A5758">
        <v>20160420</v>
      </c>
      <c r="B5758" t="str">
        <f t="shared" si="413"/>
        <v>063213</v>
      </c>
      <c r="C5758" t="str">
        <f t="shared" si="414"/>
        <v>30130</v>
      </c>
      <c r="D5758" t="s">
        <v>3082</v>
      </c>
      <c r="E5758" s="3">
        <v>1440.35</v>
      </c>
      <c r="F5758">
        <v>20160419</v>
      </c>
      <c r="G5758" t="s">
        <v>1854</v>
      </c>
      <c r="H5758" t="s">
        <v>4912</v>
      </c>
      <c r="I5758">
        <v>0</v>
      </c>
      <c r="J5758" t="s">
        <v>1709</v>
      </c>
      <c r="K5758" t="s">
        <v>1856</v>
      </c>
      <c r="L5758" t="s">
        <v>285</v>
      </c>
      <c r="M5758" t="str">
        <f t="shared" si="412"/>
        <v>04</v>
      </c>
      <c r="N5758" t="s">
        <v>12</v>
      </c>
    </row>
    <row r="5759" spans="1:14" x14ac:dyDescent="0.25">
      <c r="A5759">
        <v>20160420</v>
      </c>
      <c r="B5759" t="str">
        <f t="shared" si="413"/>
        <v>063213</v>
      </c>
      <c r="C5759" t="str">
        <f t="shared" si="414"/>
        <v>30130</v>
      </c>
      <c r="D5759" t="s">
        <v>3082</v>
      </c>
      <c r="E5759" s="3">
        <v>332.67</v>
      </c>
      <c r="F5759">
        <v>20160419</v>
      </c>
      <c r="G5759" t="s">
        <v>1854</v>
      </c>
      <c r="H5759" t="s">
        <v>4913</v>
      </c>
      <c r="I5759">
        <v>0</v>
      </c>
      <c r="J5759" t="s">
        <v>1709</v>
      </c>
      <c r="K5759" t="s">
        <v>1856</v>
      </c>
      <c r="L5759" t="s">
        <v>285</v>
      </c>
      <c r="M5759" t="str">
        <f t="shared" si="412"/>
        <v>04</v>
      </c>
      <c r="N5759" t="s">
        <v>12</v>
      </c>
    </row>
    <row r="5760" spans="1:14" x14ac:dyDescent="0.25">
      <c r="A5760">
        <v>20160420</v>
      </c>
      <c r="B5760" t="str">
        <f>"063214"</f>
        <v>063214</v>
      </c>
      <c r="C5760" t="str">
        <f>"30390"</f>
        <v>30390</v>
      </c>
      <c r="D5760" t="s">
        <v>3087</v>
      </c>
      <c r="E5760" s="3">
        <v>459.78</v>
      </c>
      <c r="F5760">
        <v>20160419</v>
      </c>
      <c r="G5760" t="s">
        <v>4914</v>
      </c>
      <c r="H5760" t="s">
        <v>2644</v>
      </c>
      <c r="I5760">
        <v>0</v>
      </c>
      <c r="J5760" t="s">
        <v>1709</v>
      </c>
      <c r="K5760" t="s">
        <v>95</v>
      </c>
      <c r="L5760" t="s">
        <v>285</v>
      </c>
      <c r="M5760" t="str">
        <f t="shared" si="412"/>
        <v>04</v>
      </c>
      <c r="N5760" t="s">
        <v>12</v>
      </c>
    </row>
    <row r="5761" spans="1:14" x14ac:dyDescent="0.25">
      <c r="A5761">
        <v>20160420</v>
      </c>
      <c r="B5761" t="str">
        <f>"063215"</f>
        <v>063215</v>
      </c>
      <c r="C5761" t="str">
        <f>"30479"</f>
        <v>30479</v>
      </c>
      <c r="D5761" t="s">
        <v>2663</v>
      </c>
      <c r="E5761" s="3">
        <v>27.5</v>
      </c>
      <c r="F5761">
        <v>20160419</v>
      </c>
      <c r="G5761" t="s">
        <v>2850</v>
      </c>
      <c r="H5761" t="s">
        <v>4915</v>
      </c>
      <c r="I5761">
        <v>0</v>
      </c>
      <c r="J5761" t="s">
        <v>1709</v>
      </c>
      <c r="K5761" t="s">
        <v>1775</v>
      </c>
      <c r="L5761" t="s">
        <v>285</v>
      </c>
      <c r="M5761" t="str">
        <f t="shared" si="412"/>
        <v>04</v>
      </c>
      <c r="N5761" t="s">
        <v>12</v>
      </c>
    </row>
    <row r="5762" spans="1:14" x14ac:dyDescent="0.25">
      <c r="A5762">
        <v>20160420</v>
      </c>
      <c r="B5762" t="str">
        <f>"063217"</f>
        <v>063217</v>
      </c>
      <c r="C5762" t="str">
        <f>"31113"</f>
        <v>31113</v>
      </c>
      <c r="D5762" t="s">
        <v>2502</v>
      </c>
      <c r="E5762" s="3">
        <v>300</v>
      </c>
      <c r="F5762">
        <v>20160419</v>
      </c>
      <c r="G5762" t="s">
        <v>4147</v>
      </c>
      <c r="H5762" t="s">
        <v>4451</v>
      </c>
      <c r="I5762">
        <v>0</v>
      </c>
      <c r="J5762" t="s">
        <v>1709</v>
      </c>
      <c r="K5762" t="s">
        <v>290</v>
      </c>
      <c r="L5762" t="s">
        <v>285</v>
      </c>
      <c r="M5762" t="str">
        <f t="shared" si="412"/>
        <v>04</v>
      </c>
      <c r="N5762" t="s">
        <v>12</v>
      </c>
    </row>
    <row r="5763" spans="1:14" x14ac:dyDescent="0.25">
      <c r="A5763">
        <v>20160420</v>
      </c>
      <c r="B5763" t="str">
        <f>"063219"</f>
        <v>063219</v>
      </c>
      <c r="C5763" t="str">
        <f>"31367"</f>
        <v>31367</v>
      </c>
      <c r="D5763" t="s">
        <v>4916</v>
      </c>
      <c r="E5763" s="3">
        <v>18.100000000000001</v>
      </c>
      <c r="F5763">
        <v>20160419</v>
      </c>
      <c r="G5763" t="s">
        <v>2155</v>
      </c>
      <c r="H5763" t="s">
        <v>4917</v>
      </c>
      <c r="I5763">
        <v>0</v>
      </c>
      <c r="J5763" t="s">
        <v>1709</v>
      </c>
      <c r="K5763" t="s">
        <v>290</v>
      </c>
      <c r="L5763" t="s">
        <v>285</v>
      </c>
      <c r="M5763" t="str">
        <f t="shared" si="412"/>
        <v>04</v>
      </c>
      <c r="N5763" t="s">
        <v>12</v>
      </c>
    </row>
    <row r="5764" spans="1:14" x14ac:dyDescent="0.25">
      <c r="A5764">
        <v>20160420</v>
      </c>
      <c r="B5764" t="str">
        <f>"063219"</f>
        <v>063219</v>
      </c>
      <c r="C5764" t="str">
        <f>"31367"</f>
        <v>31367</v>
      </c>
      <c r="D5764" t="s">
        <v>4916</v>
      </c>
      <c r="E5764" s="3">
        <v>60.13</v>
      </c>
      <c r="F5764">
        <v>20160419</v>
      </c>
      <c r="G5764" t="s">
        <v>4918</v>
      </c>
      <c r="H5764" t="s">
        <v>4917</v>
      </c>
      <c r="I5764">
        <v>0</v>
      </c>
      <c r="J5764" t="s">
        <v>1709</v>
      </c>
      <c r="K5764" t="s">
        <v>290</v>
      </c>
      <c r="L5764" t="s">
        <v>285</v>
      </c>
      <c r="M5764" t="str">
        <f t="shared" si="412"/>
        <v>04</v>
      </c>
      <c r="N5764" t="s">
        <v>12</v>
      </c>
    </row>
    <row r="5765" spans="1:14" x14ac:dyDescent="0.25">
      <c r="A5765">
        <v>20160420</v>
      </c>
      <c r="B5765" t="str">
        <f>"063220"</f>
        <v>063220</v>
      </c>
      <c r="C5765" t="str">
        <f>"34226"</f>
        <v>34226</v>
      </c>
      <c r="D5765" t="s">
        <v>1976</v>
      </c>
      <c r="E5765" s="3">
        <v>1024.18</v>
      </c>
      <c r="F5765">
        <v>20160419</v>
      </c>
      <c r="G5765" t="s">
        <v>2412</v>
      </c>
      <c r="H5765" t="s">
        <v>3235</v>
      </c>
      <c r="I5765">
        <v>0</v>
      </c>
      <c r="J5765" t="s">
        <v>1709</v>
      </c>
      <c r="K5765" t="s">
        <v>290</v>
      </c>
      <c r="L5765" t="s">
        <v>285</v>
      </c>
      <c r="M5765" t="str">
        <f t="shared" si="412"/>
        <v>04</v>
      </c>
      <c r="N5765" t="s">
        <v>12</v>
      </c>
    </row>
    <row r="5766" spans="1:14" x14ac:dyDescent="0.25">
      <c r="A5766">
        <v>20160420</v>
      </c>
      <c r="B5766" t="str">
        <f>"063221"</f>
        <v>063221</v>
      </c>
      <c r="C5766" t="str">
        <f>"37260"</f>
        <v>37260</v>
      </c>
      <c r="D5766" t="s">
        <v>2507</v>
      </c>
      <c r="E5766" s="3">
        <v>800</v>
      </c>
      <c r="F5766">
        <v>20160419</v>
      </c>
      <c r="G5766" t="s">
        <v>4147</v>
      </c>
      <c r="H5766" t="s">
        <v>4451</v>
      </c>
      <c r="I5766">
        <v>0</v>
      </c>
      <c r="J5766" t="s">
        <v>1709</v>
      </c>
      <c r="K5766" t="s">
        <v>290</v>
      </c>
      <c r="L5766" t="s">
        <v>285</v>
      </c>
      <c r="M5766" t="str">
        <f t="shared" si="412"/>
        <v>04</v>
      </c>
      <c r="N5766" t="s">
        <v>12</v>
      </c>
    </row>
    <row r="5767" spans="1:14" x14ac:dyDescent="0.25">
      <c r="A5767">
        <v>20160420</v>
      </c>
      <c r="B5767" t="str">
        <f>"063223"</f>
        <v>063223</v>
      </c>
      <c r="C5767" t="str">
        <f>"37897"</f>
        <v>37897</v>
      </c>
      <c r="D5767" t="s">
        <v>4919</v>
      </c>
      <c r="E5767" s="3">
        <v>100</v>
      </c>
      <c r="F5767">
        <v>20160419</v>
      </c>
      <c r="G5767" t="s">
        <v>4920</v>
      </c>
      <c r="H5767" t="s">
        <v>3401</v>
      </c>
      <c r="I5767">
        <v>0</v>
      </c>
      <c r="J5767" t="s">
        <v>1709</v>
      </c>
      <c r="K5767" t="s">
        <v>290</v>
      </c>
      <c r="L5767" t="s">
        <v>285</v>
      </c>
      <c r="M5767" t="str">
        <f t="shared" si="412"/>
        <v>04</v>
      </c>
      <c r="N5767" t="s">
        <v>12</v>
      </c>
    </row>
    <row r="5768" spans="1:14" x14ac:dyDescent="0.25">
      <c r="A5768">
        <v>20160420</v>
      </c>
      <c r="B5768" t="str">
        <f>"063226"</f>
        <v>063226</v>
      </c>
      <c r="C5768" t="str">
        <f>"42150"</f>
        <v>42150</v>
      </c>
      <c r="D5768" t="s">
        <v>2324</v>
      </c>
      <c r="E5768" s="3">
        <v>283</v>
      </c>
      <c r="F5768">
        <v>20160419</v>
      </c>
      <c r="G5768" t="s">
        <v>2325</v>
      </c>
      <c r="H5768" t="s">
        <v>4921</v>
      </c>
      <c r="I5768">
        <v>0</v>
      </c>
      <c r="J5768" t="s">
        <v>1709</v>
      </c>
      <c r="K5768" t="s">
        <v>1643</v>
      </c>
      <c r="L5768" t="s">
        <v>285</v>
      </c>
      <c r="M5768" t="str">
        <f t="shared" si="412"/>
        <v>04</v>
      </c>
      <c r="N5768" t="s">
        <v>12</v>
      </c>
    </row>
    <row r="5769" spans="1:14" x14ac:dyDescent="0.25">
      <c r="A5769">
        <v>20160420</v>
      </c>
      <c r="B5769" t="str">
        <f>"063227"</f>
        <v>063227</v>
      </c>
      <c r="C5769" t="str">
        <f>"42212"</f>
        <v>42212</v>
      </c>
      <c r="D5769" t="s">
        <v>2513</v>
      </c>
      <c r="E5769" s="3">
        <v>308</v>
      </c>
      <c r="F5769">
        <v>20160419</v>
      </c>
      <c r="G5769" t="s">
        <v>4664</v>
      </c>
      <c r="H5769" t="s">
        <v>4652</v>
      </c>
      <c r="I5769">
        <v>0</v>
      </c>
      <c r="J5769" t="s">
        <v>1709</v>
      </c>
      <c r="K5769" t="s">
        <v>290</v>
      </c>
      <c r="L5769" t="s">
        <v>285</v>
      </c>
      <c r="M5769" t="str">
        <f t="shared" si="412"/>
        <v>04</v>
      </c>
      <c r="N5769" t="s">
        <v>12</v>
      </c>
    </row>
    <row r="5770" spans="1:14" x14ac:dyDescent="0.25">
      <c r="A5770">
        <v>20160420</v>
      </c>
      <c r="B5770" t="str">
        <f>"063227"</f>
        <v>063227</v>
      </c>
      <c r="C5770" t="str">
        <f>"42212"</f>
        <v>42212</v>
      </c>
      <c r="D5770" t="s">
        <v>2513</v>
      </c>
      <c r="E5770" s="3">
        <v>123.33</v>
      </c>
      <c r="F5770">
        <v>20160419</v>
      </c>
      <c r="G5770" t="s">
        <v>4651</v>
      </c>
      <c r="H5770" t="s">
        <v>4652</v>
      </c>
      <c r="I5770">
        <v>0</v>
      </c>
      <c r="J5770" t="s">
        <v>1709</v>
      </c>
      <c r="K5770" t="s">
        <v>290</v>
      </c>
      <c r="L5770" t="s">
        <v>285</v>
      </c>
      <c r="M5770" t="str">
        <f t="shared" si="412"/>
        <v>04</v>
      </c>
      <c r="N5770" t="s">
        <v>12</v>
      </c>
    </row>
    <row r="5771" spans="1:14" x14ac:dyDescent="0.25">
      <c r="A5771">
        <v>20160420</v>
      </c>
      <c r="B5771" t="str">
        <f>"063227"</f>
        <v>063227</v>
      </c>
      <c r="C5771" t="str">
        <f>"42212"</f>
        <v>42212</v>
      </c>
      <c r="D5771" t="s">
        <v>2513</v>
      </c>
      <c r="E5771" s="3">
        <v>1451.67</v>
      </c>
      <c r="F5771">
        <v>20160419</v>
      </c>
      <c r="G5771" t="s">
        <v>4922</v>
      </c>
      <c r="H5771" t="s">
        <v>4652</v>
      </c>
      <c r="I5771">
        <v>0</v>
      </c>
      <c r="J5771" t="s">
        <v>1709</v>
      </c>
      <c r="K5771" t="s">
        <v>290</v>
      </c>
      <c r="L5771" t="s">
        <v>285</v>
      </c>
      <c r="M5771" t="str">
        <f t="shared" si="412"/>
        <v>04</v>
      </c>
      <c r="N5771" t="s">
        <v>12</v>
      </c>
    </row>
    <row r="5772" spans="1:14" x14ac:dyDescent="0.25">
      <c r="A5772">
        <v>20160420</v>
      </c>
      <c r="B5772" t="str">
        <f>"063227"</f>
        <v>063227</v>
      </c>
      <c r="C5772" t="str">
        <f>"42212"</f>
        <v>42212</v>
      </c>
      <c r="D5772" t="s">
        <v>2513</v>
      </c>
      <c r="E5772" s="3">
        <v>47.83</v>
      </c>
      <c r="F5772">
        <v>20160419</v>
      </c>
      <c r="G5772" t="s">
        <v>4121</v>
      </c>
      <c r="H5772" t="s">
        <v>4652</v>
      </c>
      <c r="I5772">
        <v>0</v>
      </c>
      <c r="J5772" t="s">
        <v>1709</v>
      </c>
      <c r="K5772" t="s">
        <v>290</v>
      </c>
      <c r="L5772" t="s">
        <v>285</v>
      </c>
      <c r="M5772" t="str">
        <f t="shared" si="412"/>
        <v>04</v>
      </c>
      <c r="N5772" t="s">
        <v>12</v>
      </c>
    </row>
    <row r="5773" spans="1:14" x14ac:dyDescent="0.25">
      <c r="A5773">
        <v>20160420</v>
      </c>
      <c r="B5773" t="str">
        <f>"063227"</f>
        <v>063227</v>
      </c>
      <c r="C5773" t="str">
        <f>"42212"</f>
        <v>42212</v>
      </c>
      <c r="D5773" t="s">
        <v>2513</v>
      </c>
      <c r="E5773" s="3">
        <v>394.17</v>
      </c>
      <c r="F5773">
        <v>20160419</v>
      </c>
      <c r="G5773" t="s">
        <v>4595</v>
      </c>
      <c r="H5773" t="s">
        <v>4652</v>
      </c>
      <c r="I5773">
        <v>0</v>
      </c>
      <c r="J5773" t="s">
        <v>1709</v>
      </c>
      <c r="K5773" t="s">
        <v>290</v>
      </c>
      <c r="L5773" t="s">
        <v>285</v>
      </c>
      <c r="M5773" t="str">
        <f t="shared" si="412"/>
        <v>04</v>
      </c>
      <c r="N5773" t="s">
        <v>12</v>
      </c>
    </row>
    <row r="5774" spans="1:14" x14ac:dyDescent="0.25">
      <c r="A5774">
        <v>20160420</v>
      </c>
      <c r="B5774" t="str">
        <f>"063228"</f>
        <v>063228</v>
      </c>
      <c r="C5774" t="str">
        <f>"43532"</f>
        <v>43532</v>
      </c>
      <c r="D5774" t="s">
        <v>1979</v>
      </c>
      <c r="E5774" s="3">
        <v>135</v>
      </c>
      <c r="F5774">
        <v>20160419</v>
      </c>
      <c r="G5774" t="s">
        <v>2083</v>
      </c>
      <c r="H5774" t="s">
        <v>4923</v>
      </c>
      <c r="I5774">
        <v>0</v>
      </c>
      <c r="J5774" t="s">
        <v>1709</v>
      </c>
      <c r="K5774" t="s">
        <v>290</v>
      </c>
      <c r="L5774" t="s">
        <v>285</v>
      </c>
      <c r="M5774" t="str">
        <f t="shared" si="412"/>
        <v>04</v>
      </c>
      <c r="N5774" t="s">
        <v>12</v>
      </c>
    </row>
    <row r="5775" spans="1:14" x14ac:dyDescent="0.25">
      <c r="A5775">
        <v>20160420</v>
      </c>
      <c r="B5775" t="str">
        <f>"063229"</f>
        <v>063229</v>
      </c>
      <c r="C5775" t="str">
        <f>"57791"</f>
        <v>57791</v>
      </c>
      <c r="D5775" t="s">
        <v>1878</v>
      </c>
      <c r="E5775" s="3">
        <v>331.65</v>
      </c>
      <c r="F5775">
        <v>20160419</v>
      </c>
      <c r="G5775" t="s">
        <v>2785</v>
      </c>
      <c r="H5775" t="s">
        <v>3949</v>
      </c>
      <c r="I5775">
        <v>0</v>
      </c>
      <c r="J5775" t="s">
        <v>1709</v>
      </c>
      <c r="K5775" t="s">
        <v>95</v>
      </c>
      <c r="L5775" t="s">
        <v>285</v>
      </c>
      <c r="M5775" t="str">
        <f t="shared" ref="M5775:M5838" si="415">"04"</f>
        <v>04</v>
      </c>
      <c r="N5775" t="s">
        <v>12</v>
      </c>
    </row>
    <row r="5776" spans="1:14" x14ac:dyDescent="0.25">
      <c r="A5776">
        <v>20160420</v>
      </c>
      <c r="B5776" t="str">
        <f>"063229"</f>
        <v>063229</v>
      </c>
      <c r="C5776" t="str">
        <f>"57791"</f>
        <v>57791</v>
      </c>
      <c r="D5776" t="s">
        <v>1878</v>
      </c>
      <c r="E5776" s="3">
        <v>27</v>
      </c>
      <c r="F5776">
        <v>20160419</v>
      </c>
      <c r="G5776" t="s">
        <v>2785</v>
      </c>
      <c r="H5776" t="s">
        <v>4924</v>
      </c>
      <c r="I5776">
        <v>0</v>
      </c>
      <c r="J5776" t="s">
        <v>1709</v>
      </c>
      <c r="K5776" t="s">
        <v>95</v>
      </c>
      <c r="L5776" t="s">
        <v>285</v>
      </c>
      <c r="M5776" t="str">
        <f t="shared" si="415"/>
        <v>04</v>
      </c>
      <c r="N5776" t="s">
        <v>12</v>
      </c>
    </row>
    <row r="5777" spans="1:14" x14ac:dyDescent="0.25">
      <c r="A5777">
        <v>20160420</v>
      </c>
      <c r="B5777" t="str">
        <f>"063230"</f>
        <v>063230</v>
      </c>
      <c r="C5777" t="str">
        <f>"46369"</f>
        <v>46369</v>
      </c>
      <c r="D5777" t="s">
        <v>1991</v>
      </c>
      <c r="E5777" s="3">
        <v>375</v>
      </c>
      <c r="F5777">
        <v>20160419</v>
      </c>
      <c r="G5777" t="s">
        <v>2279</v>
      </c>
      <c r="H5777" t="s">
        <v>4925</v>
      </c>
      <c r="I5777">
        <v>0</v>
      </c>
      <c r="J5777" t="s">
        <v>1709</v>
      </c>
      <c r="K5777" t="s">
        <v>1861</v>
      </c>
      <c r="L5777" t="s">
        <v>285</v>
      </c>
      <c r="M5777" t="str">
        <f t="shared" si="415"/>
        <v>04</v>
      </c>
      <c r="N5777" t="s">
        <v>12</v>
      </c>
    </row>
    <row r="5778" spans="1:14" x14ac:dyDescent="0.25">
      <c r="A5778">
        <v>20160420</v>
      </c>
      <c r="B5778" t="str">
        <f>"063230"</f>
        <v>063230</v>
      </c>
      <c r="C5778" t="str">
        <f>"46369"</f>
        <v>46369</v>
      </c>
      <c r="D5778" t="s">
        <v>1991</v>
      </c>
      <c r="E5778" s="3">
        <v>645.5</v>
      </c>
      <c r="F5778">
        <v>20160419</v>
      </c>
      <c r="G5778" t="s">
        <v>1992</v>
      </c>
      <c r="H5778" t="s">
        <v>4926</v>
      </c>
      <c r="I5778">
        <v>0</v>
      </c>
      <c r="J5778" t="s">
        <v>1709</v>
      </c>
      <c r="K5778" t="s">
        <v>1861</v>
      </c>
      <c r="L5778" t="s">
        <v>285</v>
      </c>
      <c r="M5778" t="str">
        <f t="shared" si="415"/>
        <v>04</v>
      </c>
      <c r="N5778" t="s">
        <v>12</v>
      </c>
    </row>
    <row r="5779" spans="1:14" x14ac:dyDescent="0.25">
      <c r="A5779">
        <v>20160420</v>
      </c>
      <c r="B5779" t="str">
        <f>"063230"</f>
        <v>063230</v>
      </c>
      <c r="C5779" t="str">
        <f>"46369"</f>
        <v>46369</v>
      </c>
      <c r="D5779" t="s">
        <v>1991</v>
      </c>
      <c r="E5779" s="3">
        <v>290</v>
      </c>
      <c r="F5779">
        <v>20160419</v>
      </c>
      <c r="G5779" t="s">
        <v>1992</v>
      </c>
      <c r="H5779" t="s">
        <v>4927</v>
      </c>
      <c r="I5779">
        <v>0</v>
      </c>
      <c r="J5779" t="s">
        <v>1709</v>
      </c>
      <c r="K5779" t="s">
        <v>1861</v>
      </c>
      <c r="L5779" t="s">
        <v>285</v>
      </c>
      <c r="M5779" t="str">
        <f t="shared" si="415"/>
        <v>04</v>
      </c>
      <c r="N5779" t="s">
        <v>12</v>
      </c>
    </row>
    <row r="5780" spans="1:14" x14ac:dyDescent="0.25">
      <c r="A5780">
        <v>20160420</v>
      </c>
      <c r="B5780" t="str">
        <f>"063231"</f>
        <v>063231</v>
      </c>
      <c r="C5780" t="str">
        <f>"46351"</f>
        <v>46351</v>
      </c>
      <c r="D5780" t="s">
        <v>2518</v>
      </c>
      <c r="E5780" s="3">
        <v>10402.51</v>
      </c>
      <c r="F5780">
        <v>20160419</v>
      </c>
      <c r="G5780" t="s">
        <v>1995</v>
      </c>
      <c r="H5780" t="s">
        <v>4810</v>
      </c>
      <c r="I5780">
        <v>0</v>
      </c>
      <c r="J5780" t="s">
        <v>1709</v>
      </c>
      <c r="K5780" t="s">
        <v>235</v>
      </c>
      <c r="L5780" t="s">
        <v>285</v>
      </c>
      <c r="M5780" t="str">
        <f t="shared" si="415"/>
        <v>04</v>
      </c>
      <c r="N5780" t="s">
        <v>12</v>
      </c>
    </row>
    <row r="5781" spans="1:14" x14ac:dyDescent="0.25">
      <c r="A5781">
        <v>20160420</v>
      </c>
      <c r="B5781" t="str">
        <f>"063232"</f>
        <v>063232</v>
      </c>
      <c r="C5781" t="str">
        <f>"46384"</f>
        <v>46384</v>
      </c>
      <c r="D5781" t="s">
        <v>4928</v>
      </c>
      <c r="E5781" s="3">
        <v>100</v>
      </c>
      <c r="F5781">
        <v>20160419</v>
      </c>
      <c r="G5781" t="s">
        <v>4839</v>
      </c>
      <c r="H5781" t="s">
        <v>4665</v>
      </c>
      <c r="I5781">
        <v>0</v>
      </c>
      <c r="J5781" t="s">
        <v>1709</v>
      </c>
      <c r="K5781" t="s">
        <v>290</v>
      </c>
      <c r="L5781" t="s">
        <v>285</v>
      </c>
      <c r="M5781" t="str">
        <f t="shared" si="415"/>
        <v>04</v>
      </c>
      <c r="N5781" t="s">
        <v>12</v>
      </c>
    </row>
    <row r="5782" spans="1:14" x14ac:dyDescent="0.25">
      <c r="A5782">
        <v>20160420</v>
      </c>
      <c r="B5782" t="str">
        <f>"063233"</f>
        <v>063233</v>
      </c>
      <c r="C5782" t="str">
        <f>"47147"</f>
        <v>47147</v>
      </c>
      <c r="D5782" t="s">
        <v>4929</v>
      </c>
      <c r="E5782" s="3">
        <v>235.44</v>
      </c>
      <c r="F5782">
        <v>20160419</v>
      </c>
      <c r="G5782" t="s">
        <v>4930</v>
      </c>
      <c r="H5782" t="s">
        <v>4931</v>
      </c>
      <c r="I5782">
        <v>0</v>
      </c>
      <c r="J5782" t="s">
        <v>1709</v>
      </c>
      <c r="K5782" t="s">
        <v>33</v>
      </c>
      <c r="L5782" t="s">
        <v>285</v>
      </c>
      <c r="M5782" t="str">
        <f t="shared" si="415"/>
        <v>04</v>
      </c>
      <c r="N5782" t="s">
        <v>12</v>
      </c>
    </row>
    <row r="5783" spans="1:14" x14ac:dyDescent="0.25">
      <c r="A5783">
        <v>20160420</v>
      </c>
      <c r="B5783" t="str">
        <f>"063234"</f>
        <v>063234</v>
      </c>
      <c r="C5783" t="str">
        <f>"46779"</f>
        <v>46779</v>
      </c>
      <c r="D5783" t="s">
        <v>4932</v>
      </c>
      <c r="E5783" s="3">
        <v>290.18</v>
      </c>
      <c r="F5783">
        <v>20160419</v>
      </c>
      <c r="G5783" t="s">
        <v>2234</v>
      </c>
      <c r="H5783" t="s">
        <v>4933</v>
      </c>
      <c r="I5783">
        <v>0</v>
      </c>
      <c r="J5783" t="s">
        <v>1709</v>
      </c>
      <c r="K5783" t="s">
        <v>290</v>
      </c>
      <c r="L5783" t="s">
        <v>285</v>
      </c>
      <c r="M5783" t="str">
        <f t="shared" si="415"/>
        <v>04</v>
      </c>
      <c r="N5783" t="s">
        <v>12</v>
      </c>
    </row>
    <row r="5784" spans="1:14" x14ac:dyDescent="0.25">
      <c r="A5784">
        <v>20160420</v>
      </c>
      <c r="B5784" t="str">
        <f>"063234"</f>
        <v>063234</v>
      </c>
      <c r="C5784" t="str">
        <f>"46779"</f>
        <v>46779</v>
      </c>
      <c r="D5784" t="s">
        <v>4932</v>
      </c>
      <c r="E5784" s="3">
        <v>204.6</v>
      </c>
      <c r="F5784">
        <v>20160419</v>
      </c>
      <c r="G5784" t="s">
        <v>2234</v>
      </c>
      <c r="H5784" t="s">
        <v>4934</v>
      </c>
      <c r="I5784">
        <v>0</v>
      </c>
      <c r="J5784" t="s">
        <v>1709</v>
      </c>
      <c r="K5784" t="s">
        <v>290</v>
      </c>
      <c r="L5784" t="s">
        <v>285</v>
      </c>
      <c r="M5784" t="str">
        <f t="shared" si="415"/>
        <v>04</v>
      </c>
      <c r="N5784" t="s">
        <v>12</v>
      </c>
    </row>
    <row r="5785" spans="1:14" x14ac:dyDescent="0.25">
      <c r="A5785">
        <v>20160420</v>
      </c>
      <c r="B5785" t="str">
        <f>"063238"</f>
        <v>063238</v>
      </c>
      <c r="C5785" t="str">
        <f>"49786"</f>
        <v>49786</v>
      </c>
      <c r="D5785" t="s">
        <v>4935</v>
      </c>
      <c r="E5785" s="3">
        <v>18.05</v>
      </c>
      <c r="F5785">
        <v>20160419</v>
      </c>
      <c r="G5785" t="s">
        <v>3912</v>
      </c>
      <c r="H5785" t="s">
        <v>4936</v>
      </c>
      <c r="I5785">
        <v>0</v>
      </c>
      <c r="J5785" t="s">
        <v>1709</v>
      </c>
      <c r="K5785" t="s">
        <v>1861</v>
      </c>
      <c r="L5785" t="s">
        <v>285</v>
      </c>
      <c r="M5785" t="str">
        <f t="shared" si="415"/>
        <v>04</v>
      </c>
      <c r="N5785" t="s">
        <v>12</v>
      </c>
    </row>
    <row r="5786" spans="1:14" x14ac:dyDescent="0.25">
      <c r="A5786">
        <v>20160420</v>
      </c>
      <c r="B5786" t="str">
        <f>"063239"</f>
        <v>063239</v>
      </c>
      <c r="C5786" t="str">
        <f>"49898"</f>
        <v>49898</v>
      </c>
      <c r="D5786" t="s">
        <v>2342</v>
      </c>
      <c r="E5786" s="3">
        <v>1575.95</v>
      </c>
      <c r="F5786">
        <v>20160419</v>
      </c>
      <c r="G5786" t="s">
        <v>1859</v>
      </c>
      <c r="H5786" t="s">
        <v>2295</v>
      </c>
      <c r="I5786">
        <v>0</v>
      </c>
      <c r="J5786" t="s">
        <v>1709</v>
      </c>
      <c r="K5786" t="s">
        <v>1861</v>
      </c>
      <c r="L5786" t="s">
        <v>285</v>
      </c>
      <c r="M5786" t="str">
        <f t="shared" si="415"/>
        <v>04</v>
      </c>
      <c r="N5786" t="s">
        <v>12</v>
      </c>
    </row>
    <row r="5787" spans="1:14" x14ac:dyDescent="0.25">
      <c r="A5787">
        <v>20160420</v>
      </c>
      <c r="B5787" t="str">
        <f>"063239"</f>
        <v>063239</v>
      </c>
      <c r="C5787" t="str">
        <f>"49898"</f>
        <v>49898</v>
      </c>
      <c r="D5787" t="s">
        <v>2342</v>
      </c>
      <c r="E5787" s="3">
        <v>66.98</v>
      </c>
      <c r="F5787">
        <v>20160419</v>
      </c>
      <c r="G5787" t="s">
        <v>1859</v>
      </c>
      <c r="H5787" t="s">
        <v>4937</v>
      </c>
      <c r="I5787">
        <v>0</v>
      </c>
      <c r="J5787" t="s">
        <v>1709</v>
      </c>
      <c r="K5787" t="s">
        <v>1861</v>
      </c>
      <c r="L5787" t="s">
        <v>285</v>
      </c>
      <c r="M5787" t="str">
        <f t="shared" si="415"/>
        <v>04</v>
      </c>
      <c r="N5787" t="s">
        <v>12</v>
      </c>
    </row>
    <row r="5788" spans="1:14" x14ac:dyDescent="0.25">
      <c r="A5788">
        <v>20160420</v>
      </c>
      <c r="B5788" t="str">
        <f>"063239"</f>
        <v>063239</v>
      </c>
      <c r="C5788" t="str">
        <f>"49898"</f>
        <v>49898</v>
      </c>
      <c r="D5788" t="s">
        <v>2342</v>
      </c>
      <c r="E5788" s="3">
        <v>35.64</v>
      </c>
      <c r="F5788">
        <v>20160419</v>
      </c>
      <c r="G5788" t="s">
        <v>1859</v>
      </c>
      <c r="H5788" t="s">
        <v>4938</v>
      </c>
      <c r="I5788">
        <v>0</v>
      </c>
      <c r="J5788" t="s">
        <v>1709</v>
      </c>
      <c r="K5788" t="s">
        <v>1861</v>
      </c>
      <c r="L5788" t="s">
        <v>285</v>
      </c>
      <c r="M5788" t="str">
        <f t="shared" si="415"/>
        <v>04</v>
      </c>
      <c r="N5788" t="s">
        <v>12</v>
      </c>
    </row>
    <row r="5789" spans="1:14" x14ac:dyDescent="0.25">
      <c r="A5789">
        <v>20160420</v>
      </c>
      <c r="B5789" t="str">
        <f>"063240"</f>
        <v>063240</v>
      </c>
      <c r="C5789" t="str">
        <f>"49959"</f>
        <v>49959</v>
      </c>
      <c r="D5789" t="s">
        <v>361</v>
      </c>
      <c r="E5789" s="3">
        <v>300</v>
      </c>
      <c r="F5789">
        <v>20160420</v>
      </c>
      <c r="G5789" t="s">
        <v>1788</v>
      </c>
      <c r="H5789" t="s">
        <v>4939</v>
      </c>
      <c r="I5789">
        <v>0</v>
      </c>
      <c r="J5789" t="s">
        <v>1709</v>
      </c>
      <c r="K5789" t="s">
        <v>1643</v>
      </c>
      <c r="L5789" t="s">
        <v>285</v>
      </c>
      <c r="M5789" t="str">
        <f t="shared" si="415"/>
        <v>04</v>
      </c>
      <c r="N5789" t="s">
        <v>12</v>
      </c>
    </row>
    <row r="5790" spans="1:14" x14ac:dyDescent="0.25">
      <c r="A5790">
        <v>20160420</v>
      </c>
      <c r="B5790" t="str">
        <f>"063241"</f>
        <v>063241</v>
      </c>
      <c r="C5790" t="str">
        <f>"51475"</f>
        <v>51475</v>
      </c>
      <c r="D5790" t="s">
        <v>2352</v>
      </c>
      <c r="E5790" s="3">
        <v>4.4000000000000004</v>
      </c>
      <c r="F5790">
        <v>20160419</v>
      </c>
      <c r="G5790" t="s">
        <v>2525</v>
      </c>
      <c r="H5790" t="s">
        <v>4940</v>
      </c>
      <c r="I5790">
        <v>0</v>
      </c>
      <c r="J5790" t="s">
        <v>1709</v>
      </c>
      <c r="K5790" t="s">
        <v>2194</v>
      </c>
      <c r="L5790" t="s">
        <v>285</v>
      </c>
      <c r="M5790" t="str">
        <f t="shared" si="415"/>
        <v>04</v>
      </c>
      <c r="N5790" t="s">
        <v>12</v>
      </c>
    </row>
    <row r="5791" spans="1:14" x14ac:dyDescent="0.25">
      <c r="A5791">
        <v>20160420</v>
      </c>
      <c r="B5791" t="str">
        <f>"063241"</f>
        <v>063241</v>
      </c>
      <c r="C5791" t="str">
        <f>"51475"</f>
        <v>51475</v>
      </c>
      <c r="D5791" t="s">
        <v>2352</v>
      </c>
      <c r="E5791" s="3">
        <v>174.39</v>
      </c>
      <c r="F5791">
        <v>20160419</v>
      </c>
      <c r="G5791" t="s">
        <v>2525</v>
      </c>
      <c r="H5791" t="s">
        <v>4941</v>
      </c>
      <c r="I5791">
        <v>0</v>
      </c>
      <c r="J5791" t="s">
        <v>1709</v>
      </c>
      <c r="K5791" t="s">
        <v>2194</v>
      </c>
      <c r="L5791" t="s">
        <v>285</v>
      </c>
      <c r="M5791" t="str">
        <f t="shared" si="415"/>
        <v>04</v>
      </c>
      <c r="N5791" t="s">
        <v>12</v>
      </c>
    </row>
    <row r="5792" spans="1:14" x14ac:dyDescent="0.25">
      <c r="A5792">
        <v>20160420</v>
      </c>
      <c r="B5792" t="str">
        <f>"063242"</f>
        <v>063242</v>
      </c>
      <c r="C5792" t="str">
        <f>"70048"</f>
        <v>70048</v>
      </c>
      <c r="D5792" t="s">
        <v>4942</v>
      </c>
      <c r="E5792" s="3">
        <v>90</v>
      </c>
      <c r="F5792">
        <v>20160419</v>
      </c>
      <c r="G5792" t="s">
        <v>3080</v>
      </c>
      <c r="H5792" t="s">
        <v>4943</v>
      </c>
      <c r="I5792">
        <v>0</v>
      </c>
      <c r="J5792" t="s">
        <v>1709</v>
      </c>
      <c r="K5792" t="s">
        <v>1643</v>
      </c>
      <c r="L5792" t="s">
        <v>285</v>
      </c>
      <c r="M5792" t="str">
        <f t="shared" si="415"/>
        <v>04</v>
      </c>
      <c r="N5792" t="s">
        <v>12</v>
      </c>
    </row>
    <row r="5793" spans="1:14" x14ac:dyDescent="0.25">
      <c r="A5793">
        <v>20160420</v>
      </c>
      <c r="B5793" t="str">
        <f>"063243"</f>
        <v>063243</v>
      </c>
      <c r="C5793" t="str">
        <f>"54149"</f>
        <v>54149</v>
      </c>
      <c r="D5793" t="s">
        <v>1617</v>
      </c>
      <c r="E5793" s="3">
        <v>258.11</v>
      </c>
      <c r="F5793">
        <v>20160419</v>
      </c>
      <c r="G5793" t="s">
        <v>2333</v>
      </c>
      <c r="H5793" t="s">
        <v>4944</v>
      </c>
      <c r="I5793">
        <v>0</v>
      </c>
      <c r="J5793" t="s">
        <v>1709</v>
      </c>
      <c r="K5793" t="s">
        <v>290</v>
      </c>
      <c r="L5793" t="s">
        <v>285</v>
      </c>
      <c r="M5793" t="str">
        <f t="shared" si="415"/>
        <v>04</v>
      </c>
      <c r="N5793" t="s">
        <v>12</v>
      </c>
    </row>
    <row r="5794" spans="1:14" x14ac:dyDescent="0.25">
      <c r="A5794">
        <v>20160420</v>
      </c>
      <c r="B5794" t="str">
        <f>"063243"</f>
        <v>063243</v>
      </c>
      <c r="C5794" t="str">
        <f>"54149"</f>
        <v>54149</v>
      </c>
      <c r="D5794" t="s">
        <v>1617</v>
      </c>
      <c r="E5794" s="3">
        <v>71.86</v>
      </c>
      <c r="F5794">
        <v>20160419</v>
      </c>
      <c r="G5794" t="s">
        <v>2309</v>
      </c>
      <c r="H5794" t="s">
        <v>2310</v>
      </c>
      <c r="I5794">
        <v>0</v>
      </c>
      <c r="J5794" t="s">
        <v>1709</v>
      </c>
      <c r="K5794" t="s">
        <v>1558</v>
      </c>
      <c r="L5794" t="s">
        <v>285</v>
      </c>
      <c r="M5794" t="str">
        <f t="shared" si="415"/>
        <v>04</v>
      </c>
      <c r="N5794" t="s">
        <v>12</v>
      </c>
    </row>
    <row r="5795" spans="1:14" x14ac:dyDescent="0.25">
      <c r="A5795">
        <v>20160420</v>
      </c>
      <c r="B5795" t="str">
        <f>"063244"</f>
        <v>063244</v>
      </c>
      <c r="C5795" t="str">
        <f>"61166"</f>
        <v>61166</v>
      </c>
      <c r="D5795" t="s">
        <v>3269</v>
      </c>
      <c r="E5795" s="3">
        <v>246.16</v>
      </c>
      <c r="F5795">
        <v>20160420</v>
      </c>
      <c r="G5795" t="s">
        <v>3270</v>
      </c>
      <c r="H5795" t="s">
        <v>3271</v>
      </c>
      <c r="I5795">
        <v>0</v>
      </c>
      <c r="J5795" t="s">
        <v>1709</v>
      </c>
      <c r="K5795" t="s">
        <v>1750</v>
      </c>
      <c r="L5795" t="s">
        <v>285</v>
      </c>
      <c r="M5795" t="str">
        <f t="shared" si="415"/>
        <v>04</v>
      </c>
      <c r="N5795" t="s">
        <v>12</v>
      </c>
    </row>
    <row r="5796" spans="1:14" x14ac:dyDescent="0.25">
      <c r="A5796">
        <v>20160420</v>
      </c>
      <c r="B5796" t="str">
        <f>"063246"</f>
        <v>063246</v>
      </c>
      <c r="C5796" t="str">
        <f>"58204"</f>
        <v>58204</v>
      </c>
      <c r="D5796" t="s">
        <v>1816</v>
      </c>
      <c r="E5796" s="3">
        <v>25</v>
      </c>
      <c r="F5796">
        <v>20160419</v>
      </c>
      <c r="G5796" t="s">
        <v>1794</v>
      </c>
      <c r="H5796" t="s">
        <v>4945</v>
      </c>
      <c r="I5796">
        <v>0</v>
      </c>
      <c r="J5796" t="s">
        <v>1709</v>
      </c>
      <c r="K5796" t="s">
        <v>290</v>
      </c>
      <c r="L5796" t="s">
        <v>285</v>
      </c>
      <c r="M5796" t="str">
        <f t="shared" si="415"/>
        <v>04</v>
      </c>
      <c r="N5796" t="s">
        <v>12</v>
      </c>
    </row>
    <row r="5797" spans="1:14" x14ac:dyDescent="0.25">
      <c r="A5797">
        <v>20160420</v>
      </c>
      <c r="B5797" t="str">
        <f>"063246"</f>
        <v>063246</v>
      </c>
      <c r="C5797" t="str">
        <f>"58204"</f>
        <v>58204</v>
      </c>
      <c r="D5797" t="s">
        <v>1816</v>
      </c>
      <c r="E5797" s="3">
        <v>64.87</v>
      </c>
      <c r="F5797">
        <v>20160419</v>
      </c>
      <c r="G5797" t="s">
        <v>1961</v>
      </c>
      <c r="H5797" t="s">
        <v>4946</v>
      </c>
      <c r="I5797">
        <v>0</v>
      </c>
      <c r="J5797" t="s">
        <v>1709</v>
      </c>
      <c r="K5797" t="s">
        <v>290</v>
      </c>
      <c r="L5797" t="s">
        <v>285</v>
      </c>
      <c r="M5797" t="str">
        <f t="shared" si="415"/>
        <v>04</v>
      </c>
      <c r="N5797" t="s">
        <v>12</v>
      </c>
    </row>
    <row r="5798" spans="1:14" x14ac:dyDescent="0.25">
      <c r="A5798">
        <v>20160420</v>
      </c>
      <c r="B5798" t="str">
        <f>"063246"</f>
        <v>063246</v>
      </c>
      <c r="C5798" t="str">
        <f>"58204"</f>
        <v>58204</v>
      </c>
      <c r="D5798" t="s">
        <v>1816</v>
      </c>
      <c r="E5798" s="3">
        <v>88.2</v>
      </c>
      <c r="F5798">
        <v>20160419</v>
      </c>
      <c r="G5798" t="s">
        <v>2339</v>
      </c>
      <c r="H5798" t="s">
        <v>1866</v>
      </c>
      <c r="I5798">
        <v>0</v>
      </c>
      <c r="J5798" t="s">
        <v>1709</v>
      </c>
      <c r="K5798" t="s">
        <v>290</v>
      </c>
      <c r="L5798" t="s">
        <v>285</v>
      </c>
      <c r="M5798" t="str">
        <f t="shared" si="415"/>
        <v>04</v>
      </c>
      <c r="N5798" t="s">
        <v>12</v>
      </c>
    </row>
    <row r="5799" spans="1:14" x14ac:dyDescent="0.25">
      <c r="A5799">
        <v>20160420</v>
      </c>
      <c r="B5799" t="str">
        <f>"063246"</f>
        <v>063246</v>
      </c>
      <c r="C5799" t="str">
        <f>"58204"</f>
        <v>58204</v>
      </c>
      <c r="D5799" t="s">
        <v>1816</v>
      </c>
      <c r="E5799" s="3">
        <v>20.96</v>
      </c>
      <c r="F5799">
        <v>20160419</v>
      </c>
      <c r="G5799" t="s">
        <v>1715</v>
      </c>
      <c r="H5799" t="s">
        <v>4947</v>
      </c>
      <c r="I5799">
        <v>0</v>
      </c>
      <c r="J5799" t="s">
        <v>1709</v>
      </c>
      <c r="K5799" t="s">
        <v>290</v>
      </c>
      <c r="L5799" t="s">
        <v>285</v>
      </c>
      <c r="M5799" t="str">
        <f t="shared" si="415"/>
        <v>04</v>
      </c>
      <c r="N5799" t="s">
        <v>12</v>
      </c>
    </row>
    <row r="5800" spans="1:14" x14ac:dyDescent="0.25">
      <c r="A5800">
        <v>20160420</v>
      </c>
      <c r="B5800" t="str">
        <f>"063246"</f>
        <v>063246</v>
      </c>
      <c r="C5800" t="str">
        <f>"58204"</f>
        <v>58204</v>
      </c>
      <c r="D5800" t="s">
        <v>1816</v>
      </c>
      <c r="E5800" s="3">
        <v>24.49</v>
      </c>
      <c r="F5800">
        <v>20160419</v>
      </c>
      <c r="G5800" t="s">
        <v>3534</v>
      </c>
      <c r="H5800" t="s">
        <v>4608</v>
      </c>
      <c r="I5800">
        <v>0</v>
      </c>
      <c r="J5800" t="s">
        <v>1709</v>
      </c>
      <c r="K5800" t="s">
        <v>290</v>
      </c>
      <c r="L5800" t="s">
        <v>285</v>
      </c>
      <c r="M5800" t="str">
        <f t="shared" si="415"/>
        <v>04</v>
      </c>
      <c r="N5800" t="s">
        <v>12</v>
      </c>
    </row>
    <row r="5801" spans="1:14" x14ac:dyDescent="0.25">
      <c r="A5801">
        <v>20160420</v>
      </c>
      <c r="B5801" t="str">
        <f t="shared" ref="B5801:B5813" si="416">"063252"</f>
        <v>063252</v>
      </c>
      <c r="C5801" t="str">
        <f t="shared" ref="C5801:C5813" si="417">"65106"</f>
        <v>65106</v>
      </c>
      <c r="D5801" t="s">
        <v>1568</v>
      </c>
      <c r="E5801" s="3">
        <v>141.56</v>
      </c>
      <c r="F5801">
        <v>20160420</v>
      </c>
      <c r="G5801" t="s">
        <v>3551</v>
      </c>
      <c r="H5801" t="s">
        <v>4948</v>
      </c>
      <c r="I5801">
        <v>0</v>
      </c>
      <c r="J5801" t="s">
        <v>1709</v>
      </c>
      <c r="K5801" t="s">
        <v>1558</v>
      </c>
      <c r="L5801" t="s">
        <v>285</v>
      </c>
      <c r="M5801" t="str">
        <f t="shared" si="415"/>
        <v>04</v>
      </c>
      <c r="N5801" t="s">
        <v>12</v>
      </c>
    </row>
    <row r="5802" spans="1:14" x14ac:dyDescent="0.25">
      <c r="A5802">
        <v>20160420</v>
      </c>
      <c r="B5802" t="str">
        <f t="shared" si="416"/>
        <v>063252</v>
      </c>
      <c r="C5802" t="str">
        <f t="shared" si="417"/>
        <v>65106</v>
      </c>
      <c r="D5802" t="s">
        <v>1568</v>
      </c>
      <c r="E5802" s="3">
        <v>203.34</v>
      </c>
      <c r="F5802">
        <v>20160420</v>
      </c>
      <c r="G5802" t="s">
        <v>2317</v>
      </c>
      <c r="H5802" t="s">
        <v>2563</v>
      </c>
      <c r="I5802">
        <v>0</v>
      </c>
      <c r="J5802" t="s">
        <v>1709</v>
      </c>
      <c r="K5802" t="s">
        <v>290</v>
      </c>
      <c r="L5802" t="s">
        <v>285</v>
      </c>
      <c r="M5802" t="str">
        <f t="shared" si="415"/>
        <v>04</v>
      </c>
      <c r="N5802" t="s">
        <v>12</v>
      </c>
    </row>
    <row r="5803" spans="1:14" x14ac:dyDescent="0.25">
      <c r="A5803">
        <v>20160420</v>
      </c>
      <c r="B5803" t="str">
        <f t="shared" si="416"/>
        <v>063252</v>
      </c>
      <c r="C5803" t="str">
        <f t="shared" si="417"/>
        <v>65106</v>
      </c>
      <c r="D5803" t="s">
        <v>1568</v>
      </c>
      <c r="E5803" s="3">
        <v>166.98</v>
      </c>
      <c r="F5803">
        <v>20160420</v>
      </c>
      <c r="G5803" t="s">
        <v>1886</v>
      </c>
      <c r="H5803" t="s">
        <v>4949</v>
      </c>
      <c r="I5803">
        <v>0</v>
      </c>
      <c r="J5803" t="s">
        <v>1709</v>
      </c>
      <c r="K5803" t="s">
        <v>290</v>
      </c>
      <c r="L5803" t="s">
        <v>285</v>
      </c>
      <c r="M5803" t="str">
        <f t="shared" si="415"/>
        <v>04</v>
      </c>
      <c r="N5803" t="s">
        <v>12</v>
      </c>
    </row>
    <row r="5804" spans="1:14" x14ac:dyDescent="0.25">
      <c r="A5804">
        <v>20160420</v>
      </c>
      <c r="B5804" t="str">
        <f t="shared" si="416"/>
        <v>063252</v>
      </c>
      <c r="C5804" t="str">
        <f t="shared" si="417"/>
        <v>65106</v>
      </c>
      <c r="D5804" t="s">
        <v>1568</v>
      </c>
      <c r="E5804" s="3">
        <v>54</v>
      </c>
      <c r="F5804">
        <v>20160420</v>
      </c>
      <c r="G5804" t="s">
        <v>1933</v>
      </c>
      <c r="H5804" t="s">
        <v>4659</v>
      </c>
      <c r="I5804">
        <v>0</v>
      </c>
      <c r="J5804" t="s">
        <v>1709</v>
      </c>
      <c r="K5804" t="s">
        <v>1558</v>
      </c>
      <c r="L5804" t="s">
        <v>285</v>
      </c>
      <c r="M5804" t="str">
        <f t="shared" si="415"/>
        <v>04</v>
      </c>
      <c r="N5804" t="s">
        <v>12</v>
      </c>
    </row>
    <row r="5805" spans="1:14" x14ac:dyDescent="0.25">
      <c r="A5805">
        <v>20160420</v>
      </c>
      <c r="B5805" t="str">
        <f t="shared" si="416"/>
        <v>063252</v>
      </c>
      <c r="C5805" t="str">
        <f t="shared" si="417"/>
        <v>65106</v>
      </c>
      <c r="D5805" t="s">
        <v>1568</v>
      </c>
      <c r="E5805" s="3">
        <v>108</v>
      </c>
      <c r="F5805">
        <v>20160420</v>
      </c>
      <c r="G5805" t="s">
        <v>1786</v>
      </c>
      <c r="H5805" t="s">
        <v>4659</v>
      </c>
      <c r="I5805">
        <v>0</v>
      </c>
      <c r="J5805" t="s">
        <v>1709</v>
      </c>
      <c r="K5805" t="s">
        <v>290</v>
      </c>
      <c r="L5805" t="s">
        <v>285</v>
      </c>
      <c r="M5805" t="str">
        <f t="shared" si="415"/>
        <v>04</v>
      </c>
      <c r="N5805" t="s">
        <v>12</v>
      </c>
    </row>
    <row r="5806" spans="1:14" x14ac:dyDescent="0.25">
      <c r="A5806">
        <v>20160420</v>
      </c>
      <c r="B5806" t="str">
        <f t="shared" si="416"/>
        <v>063252</v>
      </c>
      <c r="C5806" t="str">
        <f t="shared" si="417"/>
        <v>65106</v>
      </c>
      <c r="D5806" t="s">
        <v>1568</v>
      </c>
      <c r="E5806" s="3">
        <v>54</v>
      </c>
      <c r="F5806">
        <v>20160420</v>
      </c>
      <c r="G5806" t="s">
        <v>2159</v>
      </c>
      <c r="H5806" t="s">
        <v>4659</v>
      </c>
      <c r="I5806">
        <v>0</v>
      </c>
      <c r="J5806" t="s">
        <v>1709</v>
      </c>
      <c r="K5806" t="s">
        <v>95</v>
      </c>
      <c r="L5806" t="s">
        <v>285</v>
      </c>
      <c r="M5806" t="str">
        <f t="shared" si="415"/>
        <v>04</v>
      </c>
      <c r="N5806" t="s">
        <v>12</v>
      </c>
    </row>
    <row r="5807" spans="1:14" x14ac:dyDescent="0.25">
      <c r="A5807">
        <v>20160420</v>
      </c>
      <c r="B5807" t="str">
        <f t="shared" si="416"/>
        <v>063252</v>
      </c>
      <c r="C5807" t="str">
        <f t="shared" si="417"/>
        <v>65106</v>
      </c>
      <c r="D5807" t="s">
        <v>1568</v>
      </c>
      <c r="E5807" s="3">
        <v>108</v>
      </c>
      <c r="F5807">
        <v>20160420</v>
      </c>
      <c r="G5807" t="s">
        <v>2394</v>
      </c>
      <c r="H5807" t="s">
        <v>4659</v>
      </c>
      <c r="I5807">
        <v>0</v>
      </c>
      <c r="J5807" t="s">
        <v>1709</v>
      </c>
      <c r="K5807" t="s">
        <v>1643</v>
      </c>
      <c r="L5807" t="s">
        <v>285</v>
      </c>
      <c r="M5807" t="str">
        <f t="shared" si="415"/>
        <v>04</v>
      </c>
      <c r="N5807" t="s">
        <v>12</v>
      </c>
    </row>
    <row r="5808" spans="1:14" x14ac:dyDescent="0.25">
      <c r="A5808">
        <v>20160420</v>
      </c>
      <c r="B5808" t="str">
        <f t="shared" si="416"/>
        <v>063252</v>
      </c>
      <c r="C5808" t="str">
        <f t="shared" si="417"/>
        <v>65106</v>
      </c>
      <c r="D5808" t="s">
        <v>1568</v>
      </c>
      <c r="E5808" s="3">
        <v>162</v>
      </c>
      <c r="F5808">
        <v>20160420</v>
      </c>
      <c r="G5808" t="s">
        <v>2214</v>
      </c>
      <c r="H5808" t="s">
        <v>4659</v>
      </c>
      <c r="I5808">
        <v>0</v>
      </c>
      <c r="J5808" t="s">
        <v>1709</v>
      </c>
      <c r="K5808" t="s">
        <v>33</v>
      </c>
      <c r="L5808" t="s">
        <v>285</v>
      </c>
      <c r="M5808" t="str">
        <f t="shared" si="415"/>
        <v>04</v>
      </c>
      <c r="N5808" t="s">
        <v>12</v>
      </c>
    </row>
    <row r="5809" spans="1:14" x14ac:dyDescent="0.25">
      <c r="A5809">
        <v>20160420</v>
      </c>
      <c r="B5809" t="str">
        <f t="shared" si="416"/>
        <v>063252</v>
      </c>
      <c r="C5809" t="str">
        <f t="shared" si="417"/>
        <v>65106</v>
      </c>
      <c r="D5809" t="s">
        <v>1568</v>
      </c>
      <c r="E5809" s="3">
        <v>322.92</v>
      </c>
      <c r="F5809">
        <v>20160420</v>
      </c>
      <c r="G5809" t="s">
        <v>2565</v>
      </c>
      <c r="H5809" t="s">
        <v>1571</v>
      </c>
      <c r="I5809">
        <v>0</v>
      </c>
      <c r="J5809" t="s">
        <v>1709</v>
      </c>
      <c r="K5809" t="s">
        <v>1558</v>
      </c>
      <c r="L5809" t="s">
        <v>285</v>
      </c>
      <c r="M5809" t="str">
        <f t="shared" si="415"/>
        <v>04</v>
      </c>
      <c r="N5809" t="s">
        <v>12</v>
      </c>
    </row>
    <row r="5810" spans="1:14" x14ac:dyDescent="0.25">
      <c r="A5810">
        <v>20160420</v>
      </c>
      <c r="B5810" t="str">
        <f t="shared" si="416"/>
        <v>063252</v>
      </c>
      <c r="C5810" t="str">
        <f t="shared" si="417"/>
        <v>65106</v>
      </c>
      <c r="D5810" t="s">
        <v>1568</v>
      </c>
      <c r="E5810" s="3">
        <v>84.06</v>
      </c>
      <c r="F5810">
        <v>20160420</v>
      </c>
      <c r="G5810" t="s">
        <v>4328</v>
      </c>
      <c r="H5810" t="s">
        <v>4950</v>
      </c>
      <c r="I5810">
        <v>0</v>
      </c>
      <c r="J5810" t="s">
        <v>1709</v>
      </c>
      <c r="K5810" t="s">
        <v>290</v>
      </c>
      <c r="L5810" t="s">
        <v>285</v>
      </c>
      <c r="M5810" t="str">
        <f t="shared" si="415"/>
        <v>04</v>
      </c>
      <c r="N5810" t="s">
        <v>12</v>
      </c>
    </row>
    <row r="5811" spans="1:14" x14ac:dyDescent="0.25">
      <c r="A5811">
        <v>20160420</v>
      </c>
      <c r="B5811" t="str">
        <f t="shared" si="416"/>
        <v>063252</v>
      </c>
      <c r="C5811" t="str">
        <f t="shared" si="417"/>
        <v>65106</v>
      </c>
      <c r="D5811" t="s">
        <v>1568</v>
      </c>
      <c r="E5811" s="3">
        <v>109.76</v>
      </c>
      <c r="F5811">
        <v>20160420</v>
      </c>
      <c r="G5811" t="s">
        <v>2368</v>
      </c>
      <c r="H5811" t="s">
        <v>4951</v>
      </c>
      <c r="I5811">
        <v>0</v>
      </c>
      <c r="J5811" t="s">
        <v>1709</v>
      </c>
      <c r="K5811" t="s">
        <v>290</v>
      </c>
      <c r="L5811" t="s">
        <v>285</v>
      </c>
      <c r="M5811" t="str">
        <f t="shared" si="415"/>
        <v>04</v>
      </c>
      <c r="N5811" t="s">
        <v>12</v>
      </c>
    </row>
    <row r="5812" spans="1:14" x14ac:dyDescent="0.25">
      <c r="A5812">
        <v>20160420</v>
      </c>
      <c r="B5812" t="str">
        <f t="shared" si="416"/>
        <v>063252</v>
      </c>
      <c r="C5812" t="str">
        <f t="shared" si="417"/>
        <v>65106</v>
      </c>
      <c r="D5812" t="s">
        <v>1568</v>
      </c>
      <c r="E5812" s="3">
        <v>54</v>
      </c>
      <c r="F5812">
        <v>20160420</v>
      </c>
      <c r="G5812" t="s">
        <v>4952</v>
      </c>
      <c r="H5812" t="s">
        <v>4659</v>
      </c>
      <c r="I5812">
        <v>0</v>
      </c>
      <c r="J5812" t="s">
        <v>1709</v>
      </c>
      <c r="K5812" t="s">
        <v>2923</v>
      </c>
      <c r="L5812" t="s">
        <v>285</v>
      </c>
      <c r="M5812" t="str">
        <f t="shared" si="415"/>
        <v>04</v>
      </c>
      <c r="N5812" t="s">
        <v>12</v>
      </c>
    </row>
    <row r="5813" spans="1:14" x14ac:dyDescent="0.25">
      <c r="A5813">
        <v>20160420</v>
      </c>
      <c r="B5813" t="str">
        <f t="shared" si="416"/>
        <v>063252</v>
      </c>
      <c r="C5813" t="str">
        <f t="shared" si="417"/>
        <v>65106</v>
      </c>
      <c r="D5813" t="s">
        <v>1568</v>
      </c>
      <c r="E5813" s="3">
        <v>55</v>
      </c>
      <c r="F5813">
        <v>20160420</v>
      </c>
      <c r="G5813" t="s">
        <v>3522</v>
      </c>
      <c r="H5813" t="s">
        <v>4659</v>
      </c>
      <c r="I5813">
        <v>0</v>
      </c>
      <c r="J5813" t="s">
        <v>1709</v>
      </c>
      <c r="K5813" t="s">
        <v>1882</v>
      </c>
      <c r="L5813" t="s">
        <v>285</v>
      </c>
      <c r="M5813" t="str">
        <f t="shared" si="415"/>
        <v>04</v>
      </c>
      <c r="N5813" t="s">
        <v>12</v>
      </c>
    </row>
    <row r="5814" spans="1:14" x14ac:dyDescent="0.25">
      <c r="A5814">
        <v>20160420</v>
      </c>
      <c r="B5814" t="str">
        <f>"063254"</f>
        <v>063254</v>
      </c>
      <c r="C5814" t="str">
        <f>"65809"</f>
        <v>65809</v>
      </c>
      <c r="D5814" t="s">
        <v>2766</v>
      </c>
      <c r="E5814" s="3">
        <v>48.37</v>
      </c>
      <c r="F5814">
        <v>20160420</v>
      </c>
      <c r="G5814" t="s">
        <v>2368</v>
      </c>
      <c r="H5814" t="s">
        <v>2023</v>
      </c>
      <c r="I5814">
        <v>0</v>
      </c>
      <c r="J5814" t="s">
        <v>1709</v>
      </c>
      <c r="K5814" t="s">
        <v>290</v>
      </c>
      <c r="L5814" t="s">
        <v>285</v>
      </c>
      <c r="M5814" t="str">
        <f t="shared" si="415"/>
        <v>04</v>
      </c>
      <c r="N5814" t="s">
        <v>12</v>
      </c>
    </row>
    <row r="5815" spans="1:14" x14ac:dyDescent="0.25">
      <c r="A5815">
        <v>20160420</v>
      </c>
      <c r="B5815" t="str">
        <f>"063258"</f>
        <v>063258</v>
      </c>
      <c r="C5815" t="str">
        <f>"71225"</f>
        <v>71225</v>
      </c>
      <c r="D5815" t="s">
        <v>1920</v>
      </c>
      <c r="E5815" s="3">
        <v>366</v>
      </c>
      <c r="F5815">
        <v>20160420</v>
      </c>
      <c r="G5815" t="s">
        <v>2164</v>
      </c>
      <c r="H5815" t="s">
        <v>4953</v>
      </c>
      <c r="I5815">
        <v>0</v>
      </c>
      <c r="J5815" t="s">
        <v>1709</v>
      </c>
      <c r="K5815" t="s">
        <v>1861</v>
      </c>
      <c r="L5815" t="s">
        <v>285</v>
      </c>
      <c r="M5815" t="str">
        <f t="shared" si="415"/>
        <v>04</v>
      </c>
      <c r="N5815" t="s">
        <v>12</v>
      </c>
    </row>
    <row r="5816" spans="1:14" x14ac:dyDescent="0.25">
      <c r="A5816">
        <v>20160420</v>
      </c>
      <c r="B5816" t="str">
        <f>"063258"</f>
        <v>063258</v>
      </c>
      <c r="C5816" t="str">
        <f>"71225"</f>
        <v>71225</v>
      </c>
      <c r="D5816" t="s">
        <v>1920</v>
      </c>
      <c r="E5816" s="3">
        <v>710</v>
      </c>
      <c r="F5816">
        <v>20160420</v>
      </c>
      <c r="G5816" t="s">
        <v>2164</v>
      </c>
      <c r="H5816" t="s">
        <v>4954</v>
      </c>
      <c r="I5816">
        <v>0</v>
      </c>
      <c r="J5816" t="s">
        <v>1709</v>
      </c>
      <c r="K5816" t="s">
        <v>1861</v>
      </c>
      <c r="L5816" t="s">
        <v>285</v>
      </c>
      <c r="M5816" t="str">
        <f t="shared" si="415"/>
        <v>04</v>
      </c>
      <c r="N5816" t="s">
        <v>12</v>
      </c>
    </row>
    <row r="5817" spans="1:14" x14ac:dyDescent="0.25">
      <c r="A5817">
        <v>20160420</v>
      </c>
      <c r="B5817" t="str">
        <f>"063258"</f>
        <v>063258</v>
      </c>
      <c r="C5817" t="str">
        <f>"71225"</f>
        <v>71225</v>
      </c>
      <c r="D5817" t="s">
        <v>1920</v>
      </c>
      <c r="E5817" s="3">
        <v>165.5</v>
      </c>
      <c r="F5817">
        <v>20160420</v>
      </c>
      <c r="G5817" t="s">
        <v>2164</v>
      </c>
      <c r="H5817" t="s">
        <v>4955</v>
      </c>
      <c r="I5817">
        <v>0</v>
      </c>
      <c r="J5817" t="s">
        <v>1709</v>
      </c>
      <c r="K5817" t="s">
        <v>1861</v>
      </c>
      <c r="L5817" t="s">
        <v>285</v>
      </c>
      <c r="M5817" t="str">
        <f t="shared" si="415"/>
        <v>04</v>
      </c>
      <c r="N5817" t="s">
        <v>12</v>
      </c>
    </row>
    <row r="5818" spans="1:14" x14ac:dyDescent="0.25">
      <c r="A5818">
        <v>20160420</v>
      </c>
      <c r="B5818" t="str">
        <f>"063259"</f>
        <v>063259</v>
      </c>
      <c r="C5818" t="str">
        <f>"73610"</f>
        <v>73610</v>
      </c>
      <c r="D5818" t="s">
        <v>2578</v>
      </c>
      <c r="E5818" s="3">
        <v>353.21</v>
      </c>
      <c r="F5818">
        <v>20160420</v>
      </c>
      <c r="G5818" t="s">
        <v>1859</v>
      </c>
      <c r="H5818" t="s">
        <v>2579</v>
      </c>
      <c r="I5818">
        <v>0</v>
      </c>
      <c r="J5818" t="s">
        <v>1709</v>
      </c>
      <c r="K5818" t="s">
        <v>1861</v>
      </c>
      <c r="L5818" t="s">
        <v>285</v>
      </c>
      <c r="M5818" t="str">
        <f t="shared" si="415"/>
        <v>04</v>
      </c>
      <c r="N5818" t="s">
        <v>12</v>
      </c>
    </row>
    <row r="5819" spans="1:14" x14ac:dyDescent="0.25">
      <c r="A5819">
        <v>20160420</v>
      </c>
      <c r="B5819" t="str">
        <f>"063261"</f>
        <v>063261</v>
      </c>
      <c r="C5819" t="str">
        <f>"74385"</f>
        <v>74385</v>
      </c>
      <c r="D5819" t="s">
        <v>1767</v>
      </c>
      <c r="E5819" s="3">
        <v>198.96</v>
      </c>
      <c r="F5819">
        <v>20160420</v>
      </c>
      <c r="G5819" t="s">
        <v>1768</v>
      </c>
      <c r="H5819" t="s">
        <v>4956</v>
      </c>
      <c r="I5819">
        <v>0</v>
      </c>
      <c r="J5819" t="s">
        <v>1709</v>
      </c>
      <c r="K5819" t="s">
        <v>1744</v>
      </c>
      <c r="L5819" t="s">
        <v>285</v>
      </c>
      <c r="M5819" t="str">
        <f t="shared" si="415"/>
        <v>04</v>
      </c>
      <c r="N5819" t="s">
        <v>12</v>
      </c>
    </row>
    <row r="5820" spans="1:14" x14ac:dyDescent="0.25">
      <c r="A5820">
        <v>20160420</v>
      </c>
      <c r="B5820" t="str">
        <f>"063263"</f>
        <v>063263</v>
      </c>
      <c r="C5820" t="str">
        <f>"80389"</f>
        <v>80389</v>
      </c>
      <c r="D5820" t="s">
        <v>2032</v>
      </c>
      <c r="E5820" s="3">
        <v>84.58</v>
      </c>
      <c r="F5820">
        <v>20160420</v>
      </c>
      <c r="G5820" t="s">
        <v>2033</v>
      </c>
      <c r="H5820" t="s">
        <v>4957</v>
      </c>
      <c r="I5820">
        <v>0</v>
      </c>
      <c r="J5820" t="s">
        <v>1709</v>
      </c>
      <c r="K5820" t="s">
        <v>1984</v>
      </c>
      <c r="L5820" t="s">
        <v>285</v>
      </c>
      <c r="M5820" t="str">
        <f t="shared" si="415"/>
        <v>04</v>
      </c>
      <c r="N5820" t="s">
        <v>12</v>
      </c>
    </row>
    <row r="5821" spans="1:14" x14ac:dyDescent="0.25">
      <c r="A5821">
        <v>20160420</v>
      </c>
      <c r="B5821" t="str">
        <f>"063263"</f>
        <v>063263</v>
      </c>
      <c r="C5821" t="str">
        <f>"80389"</f>
        <v>80389</v>
      </c>
      <c r="D5821" t="s">
        <v>2032</v>
      </c>
      <c r="E5821" s="3">
        <v>894.61</v>
      </c>
      <c r="F5821">
        <v>20160420</v>
      </c>
      <c r="G5821" t="s">
        <v>2035</v>
      </c>
      <c r="H5821" t="s">
        <v>4958</v>
      </c>
      <c r="I5821">
        <v>0</v>
      </c>
      <c r="J5821" t="s">
        <v>1709</v>
      </c>
      <c r="K5821" t="s">
        <v>1984</v>
      </c>
      <c r="L5821" t="s">
        <v>285</v>
      </c>
      <c r="M5821" t="str">
        <f t="shared" si="415"/>
        <v>04</v>
      </c>
      <c r="N5821" t="s">
        <v>12</v>
      </c>
    </row>
    <row r="5822" spans="1:14" x14ac:dyDescent="0.25">
      <c r="A5822">
        <v>20160420</v>
      </c>
      <c r="B5822" t="str">
        <f>"063263"</f>
        <v>063263</v>
      </c>
      <c r="C5822" t="str">
        <f>"80389"</f>
        <v>80389</v>
      </c>
      <c r="D5822" t="s">
        <v>2032</v>
      </c>
      <c r="E5822" s="3">
        <v>1445.11</v>
      </c>
      <c r="F5822">
        <v>20160420</v>
      </c>
      <c r="G5822" t="s">
        <v>2037</v>
      </c>
      <c r="H5822" t="s">
        <v>4959</v>
      </c>
      <c r="I5822">
        <v>0</v>
      </c>
      <c r="J5822" t="s">
        <v>1709</v>
      </c>
      <c r="K5822" t="s">
        <v>1984</v>
      </c>
      <c r="L5822" t="s">
        <v>285</v>
      </c>
      <c r="M5822" t="str">
        <f t="shared" si="415"/>
        <v>04</v>
      </c>
      <c r="N5822" t="s">
        <v>12</v>
      </c>
    </row>
    <row r="5823" spans="1:14" x14ac:dyDescent="0.25">
      <c r="A5823">
        <v>20160420</v>
      </c>
      <c r="B5823" t="str">
        <f t="shared" ref="B5823:B5828" si="418">"063264"</f>
        <v>063264</v>
      </c>
      <c r="C5823" t="str">
        <f t="shared" ref="C5823:C5828" si="419">"80481"</f>
        <v>80481</v>
      </c>
      <c r="D5823" t="s">
        <v>1935</v>
      </c>
      <c r="E5823" s="3">
        <v>74</v>
      </c>
      <c r="F5823">
        <v>20160420</v>
      </c>
      <c r="G5823" t="s">
        <v>1938</v>
      </c>
      <c r="H5823" t="s">
        <v>4709</v>
      </c>
      <c r="I5823">
        <v>0</v>
      </c>
      <c r="J5823" t="s">
        <v>1709</v>
      </c>
      <c r="K5823" t="s">
        <v>1643</v>
      </c>
      <c r="L5823" t="s">
        <v>285</v>
      </c>
      <c r="M5823" t="str">
        <f t="shared" si="415"/>
        <v>04</v>
      </c>
      <c r="N5823" t="s">
        <v>12</v>
      </c>
    </row>
    <row r="5824" spans="1:14" x14ac:dyDescent="0.25">
      <c r="A5824">
        <v>20160420</v>
      </c>
      <c r="B5824" t="str">
        <f t="shared" si="418"/>
        <v>063264</v>
      </c>
      <c r="C5824" t="str">
        <f t="shared" si="419"/>
        <v>80481</v>
      </c>
      <c r="D5824" t="s">
        <v>1935</v>
      </c>
      <c r="E5824" s="3">
        <v>74</v>
      </c>
      <c r="F5824">
        <v>20160420</v>
      </c>
      <c r="G5824" t="s">
        <v>1939</v>
      </c>
      <c r="H5824" t="s">
        <v>4709</v>
      </c>
      <c r="I5824">
        <v>0</v>
      </c>
      <c r="J5824" t="s">
        <v>1709</v>
      </c>
      <c r="K5824" t="s">
        <v>33</v>
      </c>
      <c r="L5824" t="s">
        <v>285</v>
      </c>
      <c r="M5824" t="str">
        <f t="shared" si="415"/>
        <v>04</v>
      </c>
      <c r="N5824" t="s">
        <v>12</v>
      </c>
    </row>
    <row r="5825" spans="1:14" x14ac:dyDescent="0.25">
      <c r="A5825">
        <v>20160420</v>
      </c>
      <c r="B5825" t="str">
        <f t="shared" si="418"/>
        <v>063264</v>
      </c>
      <c r="C5825" t="str">
        <f t="shared" si="419"/>
        <v>80481</v>
      </c>
      <c r="D5825" t="s">
        <v>1935</v>
      </c>
      <c r="E5825" s="3">
        <v>74</v>
      </c>
      <c r="F5825">
        <v>20160420</v>
      </c>
      <c r="G5825" t="s">
        <v>1940</v>
      </c>
      <c r="H5825" t="s">
        <v>4709</v>
      </c>
      <c r="I5825">
        <v>0</v>
      </c>
      <c r="J5825" t="s">
        <v>1709</v>
      </c>
      <c r="K5825" t="s">
        <v>290</v>
      </c>
      <c r="L5825" t="s">
        <v>285</v>
      </c>
      <c r="M5825" t="str">
        <f t="shared" si="415"/>
        <v>04</v>
      </c>
      <c r="N5825" t="s">
        <v>12</v>
      </c>
    </row>
    <row r="5826" spans="1:14" x14ac:dyDescent="0.25">
      <c r="A5826">
        <v>20160420</v>
      </c>
      <c r="B5826" t="str">
        <f t="shared" si="418"/>
        <v>063264</v>
      </c>
      <c r="C5826" t="str">
        <f t="shared" si="419"/>
        <v>80481</v>
      </c>
      <c r="D5826" t="s">
        <v>1935</v>
      </c>
      <c r="E5826" s="3">
        <v>74</v>
      </c>
      <c r="F5826">
        <v>20160420</v>
      </c>
      <c r="G5826" t="s">
        <v>1940</v>
      </c>
      <c r="H5826" t="s">
        <v>4709</v>
      </c>
      <c r="I5826">
        <v>0</v>
      </c>
      <c r="J5826" t="s">
        <v>1709</v>
      </c>
      <c r="K5826" t="s">
        <v>290</v>
      </c>
      <c r="L5826" t="s">
        <v>285</v>
      </c>
      <c r="M5826" t="str">
        <f t="shared" si="415"/>
        <v>04</v>
      </c>
      <c r="N5826" t="s">
        <v>12</v>
      </c>
    </row>
    <row r="5827" spans="1:14" x14ac:dyDescent="0.25">
      <c r="A5827">
        <v>20160420</v>
      </c>
      <c r="B5827" t="str">
        <f t="shared" si="418"/>
        <v>063264</v>
      </c>
      <c r="C5827" t="str">
        <f t="shared" si="419"/>
        <v>80481</v>
      </c>
      <c r="D5827" t="s">
        <v>1935</v>
      </c>
      <c r="E5827" s="3">
        <v>33.92</v>
      </c>
      <c r="F5827">
        <v>20160420</v>
      </c>
      <c r="G5827" t="s">
        <v>1941</v>
      </c>
      <c r="H5827" t="s">
        <v>4960</v>
      </c>
      <c r="I5827">
        <v>0</v>
      </c>
      <c r="J5827" t="s">
        <v>1709</v>
      </c>
      <c r="K5827" t="s">
        <v>1942</v>
      </c>
      <c r="L5827" t="s">
        <v>285</v>
      </c>
      <c r="M5827" t="str">
        <f t="shared" si="415"/>
        <v>04</v>
      </c>
      <c r="N5827" t="s">
        <v>12</v>
      </c>
    </row>
    <row r="5828" spans="1:14" x14ac:dyDescent="0.25">
      <c r="A5828">
        <v>20160420</v>
      </c>
      <c r="B5828" t="str">
        <f t="shared" si="418"/>
        <v>063264</v>
      </c>
      <c r="C5828" t="str">
        <f t="shared" si="419"/>
        <v>80481</v>
      </c>
      <c r="D5828" t="s">
        <v>1935</v>
      </c>
      <c r="E5828" s="3">
        <v>77.650000000000006</v>
      </c>
      <c r="F5828">
        <v>20160420</v>
      </c>
      <c r="G5828" t="s">
        <v>1941</v>
      </c>
      <c r="H5828" t="s">
        <v>4709</v>
      </c>
      <c r="I5828">
        <v>0</v>
      </c>
      <c r="J5828" t="s">
        <v>1709</v>
      </c>
      <c r="K5828" t="s">
        <v>1942</v>
      </c>
      <c r="L5828" t="s">
        <v>285</v>
      </c>
      <c r="M5828" t="str">
        <f t="shared" si="415"/>
        <v>04</v>
      </c>
      <c r="N5828" t="s">
        <v>12</v>
      </c>
    </row>
    <row r="5829" spans="1:14" x14ac:dyDescent="0.25">
      <c r="A5829">
        <v>20160420</v>
      </c>
      <c r="B5829" t="str">
        <f>"063268"</f>
        <v>063268</v>
      </c>
      <c r="C5829" t="str">
        <f>"81299"</f>
        <v>81299</v>
      </c>
      <c r="D5829" t="s">
        <v>2415</v>
      </c>
      <c r="E5829" s="3">
        <v>192.5</v>
      </c>
      <c r="F5829">
        <v>20160420</v>
      </c>
      <c r="G5829" t="s">
        <v>3114</v>
      </c>
      <c r="H5829" t="s">
        <v>4961</v>
      </c>
      <c r="I5829">
        <v>0</v>
      </c>
      <c r="J5829" t="s">
        <v>1709</v>
      </c>
      <c r="K5829" t="s">
        <v>33</v>
      </c>
      <c r="L5829" t="s">
        <v>285</v>
      </c>
      <c r="M5829" t="str">
        <f t="shared" si="415"/>
        <v>04</v>
      </c>
      <c r="N5829" t="s">
        <v>12</v>
      </c>
    </row>
    <row r="5830" spans="1:14" x14ac:dyDescent="0.25">
      <c r="A5830">
        <v>20160420</v>
      </c>
      <c r="B5830" t="str">
        <f>"063268"</f>
        <v>063268</v>
      </c>
      <c r="C5830" t="str">
        <f>"81299"</f>
        <v>81299</v>
      </c>
      <c r="D5830" t="s">
        <v>2415</v>
      </c>
      <c r="E5830" s="3">
        <v>525</v>
      </c>
      <c r="F5830">
        <v>20160420</v>
      </c>
      <c r="G5830" t="s">
        <v>1728</v>
      </c>
      <c r="H5830" t="s">
        <v>4962</v>
      </c>
      <c r="I5830">
        <v>0</v>
      </c>
      <c r="J5830" t="s">
        <v>1709</v>
      </c>
      <c r="K5830" t="s">
        <v>290</v>
      </c>
      <c r="L5830" t="s">
        <v>285</v>
      </c>
      <c r="M5830" t="str">
        <f t="shared" si="415"/>
        <v>04</v>
      </c>
      <c r="N5830" t="s">
        <v>12</v>
      </c>
    </row>
    <row r="5831" spans="1:14" x14ac:dyDescent="0.25">
      <c r="A5831">
        <v>20160420</v>
      </c>
      <c r="B5831" t="str">
        <f>"063269"</f>
        <v>063269</v>
      </c>
      <c r="C5831" t="str">
        <f>"82403"</f>
        <v>82403</v>
      </c>
      <c r="D5831" t="s">
        <v>4963</v>
      </c>
      <c r="E5831" s="3">
        <v>150</v>
      </c>
      <c r="F5831">
        <v>20160420</v>
      </c>
      <c r="G5831" t="s">
        <v>4147</v>
      </c>
      <c r="H5831" t="s">
        <v>4451</v>
      </c>
      <c r="I5831">
        <v>0</v>
      </c>
      <c r="J5831" t="s">
        <v>1709</v>
      </c>
      <c r="K5831" t="s">
        <v>290</v>
      </c>
      <c r="L5831" t="s">
        <v>285</v>
      </c>
      <c r="M5831" t="str">
        <f t="shared" si="415"/>
        <v>04</v>
      </c>
      <c r="N5831" t="s">
        <v>12</v>
      </c>
    </row>
    <row r="5832" spans="1:14" x14ac:dyDescent="0.25">
      <c r="A5832">
        <v>20160425</v>
      </c>
      <c r="B5832" t="str">
        <f>"063273"</f>
        <v>063273</v>
      </c>
      <c r="C5832" t="str">
        <f>"58985"</f>
        <v>58985</v>
      </c>
      <c r="D5832" t="s">
        <v>3985</v>
      </c>
      <c r="E5832" s="3">
        <v>1000</v>
      </c>
      <c r="F5832">
        <v>20160425</v>
      </c>
      <c r="G5832" t="s">
        <v>4964</v>
      </c>
      <c r="H5832" t="s">
        <v>4965</v>
      </c>
      <c r="I5832">
        <v>0</v>
      </c>
      <c r="J5832" t="s">
        <v>1709</v>
      </c>
      <c r="K5832" t="s">
        <v>235</v>
      </c>
      <c r="L5832" t="s">
        <v>17</v>
      </c>
      <c r="M5832" t="str">
        <f t="shared" si="415"/>
        <v>04</v>
      </c>
      <c r="N5832" t="s">
        <v>12</v>
      </c>
    </row>
    <row r="5833" spans="1:14" x14ac:dyDescent="0.25">
      <c r="A5833">
        <v>20160425</v>
      </c>
      <c r="B5833" t="str">
        <f>"063273"</f>
        <v>063273</v>
      </c>
      <c r="C5833" t="str">
        <f>"58985"</f>
        <v>58985</v>
      </c>
      <c r="D5833" t="s">
        <v>3985</v>
      </c>
      <c r="E5833" s="3">
        <v>1000</v>
      </c>
      <c r="F5833">
        <v>20160425</v>
      </c>
      <c r="G5833" t="s">
        <v>4966</v>
      </c>
      <c r="H5833" t="s">
        <v>4965</v>
      </c>
      <c r="I5833">
        <v>0</v>
      </c>
      <c r="J5833" t="s">
        <v>1709</v>
      </c>
      <c r="K5833" t="s">
        <v>235</v>
      </c>
      <c r="L5833" t="s">
        <v>17</v>
      </c>
      <c r="M5833" t="str">
        <f t="shared" si="415"/>
        <v>04</v>
      </c>
      <c r="N5833" t="s">
        <v>12</v>
      </c>
    </row>
    <row r="5834" spans="1:14" x14ac:dyDescent="0.25">
      <c r="A5834">
        <v>20160425</v>
      </c>
      <c r="B5834" t="str">
        <f>"063273"</f>
        <v>063273</v>
      </c>
      <c r="C5834" t="str">
        <f>"58985"</f>
        <v>58985</v>
      </c>
      <c r="D5834" t="s">
        <v>3985</v>
      </c>
      <c r="E5834" s="3">
        <v>-1000</v>
      </c>
      <c r="F5834">
        <v>20160429</v>
      </c>
      <c r="G5834" t="s">
        <v>4966</v>
      </c>
      <c r="H5834" t="s">
        <v>4967</v>
      </c>
      <c r="I5834">
        <v>0</v>
      </c>
      <c r="J5834" t="s">
        <v>1709</v>
      </c>
      <c r="K5834" t="s">
        <v>235</v>
      </c>
      <c r="L5834" t="s">
        <v>17</v>
      </c>
      <c r="M5834" t="str">
        <f t="shared" si="415"/>
        <v>04</v>
      </c>
      <c r="N5834" t="s">
        <v>12</v>
      </c>
    </row>
    <row r="5835" spans="1:14" x14ac:dyDescent="0.25">
      <c r="A5835">
        <v>20160426</v>
      </c>
      <c r="B5835" t="str">
        <f>"063275"</f>
        <v>063275</v>
      </c>
      <c r="C5835" t="str">
        <f>"40831"</f>
        <v>40831</v>
      </c>
      <c r="D5835" t="s">
        <v>4968</v>
      </c>
      <c r="E5835" s="3">
        <v>2821.18</v>
      </c>
      <c r="F5835">
        <v>20160426</v>
      </c>
      <c r="G5835" t="s">
        <v>4969</v>
      </c>
      <c r="H5835" t="s">
        <v>1345</v>
      </c>
      <c r="I5835">
        <v>0</v>
      </c>
      <c r="J5835" t="s">
        <v>1709</v>
      </c>
      <c r="K5835" t="s">
        <v>290</v>
      </c>
      <c r="L5835" t="s">
        <v>17</v>
      </c>
      <c r="M5835" t="str">
        <f t="shared" si="415"/>
        <v>04</v>
      </c>
      <c r="N5835" t="s">
        <v>12</v>
      </c>
    </row>
    <row r="5836" spans="1:14" x14ac:dyDescent="0.25">
      <c r="A5836">
        <v>20160429</v>
      </c>
      <c r="B5836" t="str">
        <f>"063276"</f>
        <v>063276</v>
      </c>
      <c r="C5836" t="str">
        <f>"02230"</f>
        <v>02230</v>
      </c>
      <c r="D5836" t="s">
        <v>1945</v>
      </c>
      <c r="E5836" s="3">
        <v>200.82</v>
      </c>
      <c r="F5836">
        <v>20160427</v>
      </c>
      <c r="G5836" t="s">
        <v>2333</v>
      </c>
      <c r="H5836" t="s">
        <v>4970</v>
      </c>
      <c r="I5836">
        <v>0</v>
      </c>
      <c r="J5836" t="s">
        <v>1709</v>
      </c>
      <c r="K5836" t="s">
        <v>290</v>
      </c>
      <c r="L5836" t="s">
        <v>285</v>
      </c>
      <c r="M5836" t="str">
        <f t="shared" si="415"/>
        <v>04</v>
      </c>
      <c r="N5836" t="s">
        <v>12</v>
      </c>
    </row>
    <row r="5837" spans="1:14" x14ac:dyDescent="0.25">
      <c r="A5837">
        <v>20160429</v>
      </c>
      <c r="B5837" t="str">
        <f>"063276"</f>
        <v>063276</v>
      </c>
      <c r="C5837" t="str">
        <f>"02230"</f>
        <v>02230</v>
      </c>
      <c r="D5837" t="s">
        <v>1945</v>
      </c>
      <c r="E5837" s="3">
        <v>126.78</v>
      </c>
      <c r="F5837">
        <v>20160427</v>
      </c>
      <c r="G5837" t="s">
        <v>2333</v>
      </c>
      <c r="H5837" t="s">
        <v>4971</v>
      </c>
      <c r="I5837">
        <v>0</v>
      </c>
      <c r="J5837" t="s">
        <v>1709</v>
      </c>
      <c r="K5837" t="s">
        <v>290</v>
      </c>
      <c r="L5837" t="s">
        <v>285</v>
      </c>
      <c r="M5837" t="str">
        <f t="shared" si="415"/>
        <v>04</v>
      </c>
      <c r="N5837" t="s">
        <v>12</v>
      </c>
    </row>
    <row r="5838" spans="1:14" x14ac:dyDescent="0.25">
      <c r="A5838">
        <v>20160429</v>
      </c>
      <c r="B5838" t="str">
        <f>"063276"</f>
        <v>063276</v>
      </c>
      <c r="C5838" t="str">
        <f>"02230"</f>
        <v>02230</v>
      </c>
      <c r="D5838" t="s">
        <v>1945</v>
      </c>
      <c r="E5838" s="3">
        <v>62.99</v>
      </c>
      <c r="F5838">
        <v>20160427</v>
      </c>
      <c r="G5838" t="s">
        <v>2333</v>
      </c>
      <c r="H5838" t="s">
        <v>4138</v>
      </c>
      <c r="I5838">
        <v>0</v>
      </c>
      <c r="J5838" t="s">
        <v>1709</v>
      </c>
      <c r="K5838" t="s">
        <v>290</v>
      </c>
      <c r="L5838" t="s">
        <v>285</v>
      </c>
      <c r="M5838" t="str">
        <f t="shared" si="415"/>
        <v>04</v>
      </c>
      <c r="N5838" t="s">
        <v>12</v>
      </c>
    </row>
    <row r="5839" spans="1:14" x14ac:dyDescent="0.25">
      <c r="A5839">
        <v>20160429</v>
      </c>
      <c r="B5839" t="str">
        <f>"063277"</f>
        <v>063277</v>
      </c>
      <c r="C5839" t="str">
        <f>"29779"</f>
        <v>29779</v>
      </c>
      <c r="D5839" t="s">
        <v>1806</v>
      </c>
      <c r="E5839" s="3">
        <v>737.48</v>
      </c>
      <c r="F5839">
        <v>20160427</v>
      </c>
      <c r="G5839" t="s">
        <v>2192</v>
      </c>
      <c r="H5839" t="s">
        <v>2051</v>
      </c>
      <c r="I5839">
        <v>0</v>
      </c>
      <c r="J5839" t="s">
        <v>1709</v>
      </c>
      <c r="K5839" t="s">
        <v>2194</v>
      </c>
      <c r="L5839" t="s">
        <v>285</v>
      </c>
      <c r="M5839" t="str">
        <f t="shared" ref="M5839:M5902" si="420">"04"</f>
        <v>04</v>
      </c>
      <c r="N5839" t="s">
        <v>12</v>
      </c>
    </row>
    <row r="5840" spans="1:14" x14ac:dyDescent="0.25">
      <c r="A5840">
        <v>20160429</v>
      </c>
      <c r="B5840" t="str">
        <f>"063278"</f>
        <v>063278</v>
      </c>
      <c r="C5840" t="str">
        <f>"00390"</f>
        <v>00390</v>
      </c>
      <c r="D5840" t="s">
        <v>1717</v>
      </c>
      <c r="E5840" s="3">
        <v>6368.2</v>
      </c>
      <c r="F5840">
        <v>20160427</v>
      </c>
      <c r="G5840" t="s">
        <v>2217</v>
      </c>
      <c r="H5840" t="s">
        <v>4972</v>
      </c>
      <c r="I5840">
        <v>0</v>
      </c>
      <c r="J5840" t="s">
        <v>1709</v>
      </c>
      <c r="K5840" t="s">
        <v>1984</v>
      </c>
      <c r="L5840" t="s">
        <v>285</v>
      </c>
      <c r="M5840" t="str">
        <f t="shared" si="420"/>
        <v>04</v>
      </c>
      <c r="N5840" t="s">
        <v>12</v>
      </c>
    </row>
    <row r="5841" spans="1:14" x14ac:dyDescent="0.25">
      <c r="A5841">
        <v>20160429</v>
      </c>
      <c r="B5841" t="str">
        <f>"063279"</f>
        <v>063279</v>
      </c>
      <c r="C5841" t="str">
        <f>"00392"</f>
        <v>00392</v>
      </c>
      <c r="D5841" t="s">
        <v>1717</v>
      </c>
      <c r="E5841" s="3">
        <v>462.66</v>
      </c>
      <c r="F5841">
        <v>20160427</v>
      </c>
      <c r="G5841" t="s">
        <v>2219</v>
      </c>
      <c r="H5841" t="s">
        <v>4972</v>
      </c>
      <c r="I5841">
        <v>0</v>
      </c>
      <c r="J5841" t="s">
        <v>1709</v>
      </c>
      <c r="K5841" t="s">
        <v>1984</v>
      </c>
      <c r="L5841" t="s">
        <v>285</v>
      </c>
      <c r="M5841" t="str">
        <f t="shared" si="420"/>
        <v>04</v>
      </c>
      <c r="N5841" t="s">
        <v>12</v>
      </c>
    </row>
    <row r="5842" spans="1:14" x14ac:dyDescent="0.25">
      <c r="A5842">
        <v>20160429</v>
      </c>
      <c r="B5842" t="str">
        <f>"063280"</f>
        <v>063280</v>
      </c>
      <c r="C5842" t="str">
        <f>"08123"</f>
        <v>08123</v>
      </c>
      <c r="D5842" t="s">
        <v>4973</v>
      </c>
      <c r="E5842" s="3">
        <v>125</v>
      </c>
      <c r="F5842">
        <v>20160427</v>
      </c>
      <c r="G5842" t="s">
        <v>4413</v>
      </c>
      <c r="H5842" t="s">
        <v>4974</v>
      </c>
      <c r="I5842">
        <v>0</v>
      </c>
      <c r="J5842" t="s">
        <v>1709</v>
      </c>
      <c r="K5842" t="s">
        <v>290</v>
      </c>
      <c r="L5842" t="s">
        <v>285</v>
      </c>
      <c r="M5842" t="str">
        <f t="shared" si="420"/>
        <v>04</v>
      </c>
      <c r="N5842" t="s">
        <v>12</v>
      </c>
    </row>
    <row r="5843" spans="1:14" x14ac:dyDescent="0.25">
      <c r="A5843">
        <v>20160429</v>
      </c>
      <c r="B5843" t="str">
        <f t="shared" ref="B5843:B5871" si="421">"063281"</f>
        <v>063281</v>
      </c>
      <c r="C5843" t="str">
        <f t="shared" ref="C5843:C5871" si="422">"09170"</f>
        <v>09170</v>
      </c>
      <c r="D5843" t="s">
        <v>596</v>
      </c>
      <c r="E5843" s="3">
        <v>24.72</v>
      </c>
      <c r="F5843">
        <v>20160427</v>
      </c>
      <c r="G5843" t="s">
        <v>2083</v>
      </c>
      <c r="H5843" t="s">
        <v>4975</v>
      </c>
      <c r="I5843">
        <v>0</v>
      </c>
      <c r="J5843" t="s">
        <v>1709</v>
      </c>
      <c r="K5843" t="s">
        <v>290</v>
      </c>
      <c r="L5843" t="s">
        <v>285</v>
      </c>
      <c r="M5843" t="str">
        <f t="shared" si="420"/>
        <v>04</v>
      </c>
      <c r="N5843" t="s">
        <v>12</v>
      </c>
    </row>
    <row r="5844" spans="1:14" x14ac:dyDescent="0.25">
      <c r="A5844">
        <v>20160429</v>
      </c>
      <c r="B5844" t="str">
        <f t="shared" si="421"/>
        <v>063281</v>
      </c>
      <c r="C5844" t="str">
        <f t="shared" si="422"/>
        <v>09170</v>
      </c>
      <c r="D5844" t="s">
        <v>596</v>
      </c>
      <c r="E5844" s="3">
        <v>24.71</v>
      </c>
      <c r="F5844">
        <v>20160427</v>
      </c>
      <c r="G5844" t="s">
        <v>2086</v>
      </c>
      <c r="H5844" t="s">
        <v>4975</v>
      </c>
      <c r="I5844">
        <v>0</v>
      </c>
      <c r="J5844" t="s">
        <v>1709</v>
      </c>
      <c r="K5844" t="s">
        <v>95</v>
      </c>
      <c r="L5844" t="s">
        <v>285</v>
      </c>
      <c r="M5844" t="str">
        <f t="shared" si="420"/>
        <v>04</v>
      </c>
      <c r="N5844" t="s">
        <v>12</v>
      </c>
    </row>
    <row r="5845" spans="1:14" x14ac:dyDescent="0.25">
      <c r="A5845">
        <v>20160429</v>
      </c>
      <c r="B5845" t="str">
        <f t="shared" si="421"/>
        <v>063281</v>
      </c>
      <c r="C5845" t="str">
        <f t="shared" si="422"/>
        <v>09170</v>
      </c>
      <c r="D5845" t="s">
        <v>596</v>
      </c>
      <c r="E5845" s="3">
        <v>24.71</v>
      </c>
      <c r="F5845">
        <v>20160427</v>
      </c>
      <c r="G5845" t="s">
        <v>2087</v>
      </c>
      <c r="H5845" t="s">
        <v>4975</v>
      </c>
      <c r="I5845">
        <v>0</v>
      </c>
      <c r="J5845" t="s">
        <v>1709</v>
      </c>
      <c r="K5845" t="s">
        <v>1643</v>
      </c>
      <c r="L5845" t="s">
        <v>285</v>
      </c>
      <c r="M5845" t="str">
        <f t="shared" si="420"/>
        <v>04</v>
      </c>
      <c r="N5845" t="s">
        <v>12</v>
      </c>
    </row>
    <row r="5846" spans="1:14" x14ac:dyDescent="0.25">
      <c r="A5846">
        <v>20160429</v>
      </c>
      <c r="B5846" t="str">
        <f t="shared" si="421"/>
        <v>063281</v>
      </c>
      <c r="C5846" t="str">
        <f t="shared" si="422"/>
        <v>09170</v>
      </c>
      <c r="D5846" t="s">
        <v>596</v>
      </c>
      <c r="E5846" s="3">
        <v>24.71</v>
      </c>
      <c r="F5846">
        <v>20160427</v>
      </c>
      <c r="G5846" t="s">
        <v>2088</v>
      </c>
      <c r="H5846" t="s">
        <v>4975</v>
      </c>
      <c r="I5846">
        <v>0</v>
      </c>
      <c r="J5846" t="s">
        <v>1709</v>
      </c>
      <c r="K5846" t="s">
        <v>33</v>
      </c>
      <c r="L5846" t="s">
        <v>285</v>
      </c>
      <c r="M5846" t="str">
        <f t="shared" si="420"/>
        <v>04</v>
      </c>
      <c r="N5846" t="s">
        <v>12</v>
      </c>
    </row>
    <row r="5847" spans="1:14" x14ac:dyDescent="0.25">
      <c r="A5847">
        <v>20160429</v>
      </c>
      <c r="B5847" t="str">
        <f t="shared" si="421"/>
        <v>063281</v>
      </c>
      <c r="C5847" t="str">
        <f t="shared" si="422"/>
        <v>09170</v>
      </c>
      <c r="D5847" t="s">
        <v>596</v>
      </c>
      <c r="E5847" s="3">
        <v>77</v>
      </c>
      <c r="F5847">
        <v>20160428</v>
      </c>
      <c r="G5847" t="s">
        <v>3461</v>
      </c>
      <c r="H5847" t="s">
        <v>4976</v>
      </c>
      <c r="I5847">
        <v>0</v>
      </c>
      <c r="J5847" t="s">
        <v>1709</v>
      </c>
      <c r="K5847" t="s">
        <v>290</v>
      </c>
      <c r="L5847" t="s">
        <v>285</v>
      </c>
      <c r="M5847" t="str">
        <f t="shared" si="420"/>
        <v>04</v>
      </c>
      <c r="N5847" t="s">
        <v>12</v>
      </c>
    </row>
    <row r="5848" spans="1:14" x14ac:dyDescent="0.25">
      <c r="A5848">
        <v>20160429</v>
      </c>
      <c r="B5848" t="str">
        <f t="shared" si="421"/>
        <v>063281</v>
      </c>
      <c r="C5848" t="str">
        <f t="shared" si="422"/>
        <v>09170</v>
      </c>
      <c r="D5848" t="s">
        <v>596</v>
      </c>
      <c r="E5848" s="3">
        <v>77</v>
      </c>
      <c r="F5848">
        <v>20160428</v>
      </c>
      <c r="G5848" t="s">
        <v>3463</v>
      </c>
      <c r="H5848" t="s">
        <v>4976</v>
      </c>
      <c r="I5848">
        <v>0</v>
      </c>
      <c r="J5848" t="s">
        <v>1709</v>
      </c>
      <c r="K5848" t="s">
        <v>95</v>
      </c>
      <c r="L5848" t="s">
        <v>285</v>
      </c>
      <c r="M5848" t="str">
        <f t="shared" si="420"/>
        <v>04</v>
      </c>
      <c r="N5848" t="s">
        <v>12</v>
      </c>
    </row>
    <row r="5849" spans="1:14" x14ac:dyDescent="0.25">
      <c r="A5849">
        <v>20160429</v>
      </c>
      <c r="B5849" t="str">
        <f t="shared" si="421"/>
        <v>063281</v>
      </c>
      <c r="C5849" t="str">
        <f t="shared" si="422"/>
        <v>09170</v>
      </c>
      <c r="D5849" t="s">
        <v>596</v>
      </c>
      <c r="E5849" s="3">
        <v>77</v>
      </c>
      <c r="F5849">
        <v>20160428</v>
      </c>
      <c r="G5849" t="s">
        <v>3464</v>
      </c>
      <c r="H5849" t="s">
        <v>4976</v>
      </c>
      <c r="I5849">
        <v>0</v>
      </c>
      <c r="J5849" t="s">
        <v>1709</v>
      </c>
      <c r="K5849" t="s">
        <v>1643</v>
      </c>
      <c r="L5849" t="s">
        <v>285</v>
      </c>
      <c r="M5849" t="str">
        <f t="shared" si="420"/>
        <v>04</v>
      </c>
      <c r="N5849" t="s">
        <v>12</v>
      </c>
    </row>
    <row r="5850" spans="1:14" x14ac:dyDescent="0.25">
      <c r="A5850">
        <v>20160429</v>
      </c>
      <c r="B5850" t="str">
        <f t="shared" si="421"/>
        <v>063281</v>
      </c>
      <c r="C5850" t="str">
        <f t="shared" si="422"/>
        <v>09170</v>
      </c>
      <c r="D5850" t="s">
        <v>596</v>
      </c>
      <c r="E5850" s="3">
        <v>76.97</v>
      </c>
      <c r="F5850">
        <v>20160428</v>
      </c>
      <c r="G5850" t="s">
        <v>3465</v>
      </c>
      <c r="H5850" t="s">
        <v>4976</v>
      </c>
      <c r="I5850">
        <v>0</v>
      </c>
      <c r="J5850" t="s">
        <v>1709</v>
      </c>
      <c r="K5850" t="s">
        <v>33</v>
      </c>
      <c r="L5850" t="s">
        <v>285</v>
      </c>
      <c r="M5850" t="str">
        <f t="shared" si="420"/>
        <v>04</v>
      </c>
      <c r="N5850" t="s">
        <v>12</v>
      </c>
    </row>
    <row r="5851" spans="1:14" x14ac:dyDescent="0.25">
      <c r="A5851">
        <v>20160429</v>
      </c>
      <c r="B5851" t="str">
        <f t="shared" si="421"/>
        <v>063281</v>
      </c>
      <c r="C5851" t="str">
        <f t="shared" si="422"/>
        <v>09170</v>
      </c>
      <c r="D5851" t="s">
        <v>596</v>
      </c>
      <c r="E5851" s="3">
        <v>528.27</v>
      </c>
      <c r="F5851">
        <v>20160427</v>
      </c>
      <c r="G5851" t="s">
        <v>2789</v>
      </c>
      <c r="H5851" t="s">
        <v>4649</v>
      </c>
      <c r="I5851">
        <v>0</v>
      </c>
      <c r="J5851" t="s">
        <v>1709</v>
      </c>
      <c r="K5851" t="s">
        <v>290</v>
      </c>
      <c r="L5851" t="s">
        <v>285</v>
      </c>
      <c r="M5851" t="str">
        <f t="shared" si="420"/>
        <v>04</v>
      </c>
      <c r="N5851" t="s">
        <v>12</v>
      </c>
    </row>
    <row r="5852" spans="1:14" x14ac:dyDescent="0.25">
      <c r="A5852">
        <v>20160429</v>
      </c>
      <c r="B5852" t="str">
        <f t="shared" si="421"/>
        <v>063281</v>
      </c>
      <c r="C5852" t="str">
        <f t="shared" si="422"/>
        <v>09170</v>
      </c>
      <c r="D5852" t="s">
        <v>596</v>
      </c>
      <c r="E5852" s="3">
        <v>146.88</v>
      </c>
      <c r="F5852">
        <v>20160427</v>
      </c>
      <c r="G5852" t="s">
        <v>2817</v>
      </c>
      <c r="H5852" t="s">
        <v>4977</v>
      </c>
      <c r="I5852">
        <v>0</v>
      </c>
      <c r="J5852" t="s">
        <v>1709</v>
      </c>
      <c r="K5852" t="s">
        <v>290</v>
      </c>
      <c r="L5852" t="s">
        <v>285</v>
      </c>
      <c r="M5852" t="str">
        <f t="shared" si="420"/>
        <v>04</v>
      </c>
      <c r="N5852" t="s">
        <v>12</v>
      </c>
    </row>
    <row r="5853" spans="1:14" x14ac:dyDescent="0.25">
      <c r="A5853">
        <v>20160429</v>
      </c>
      <c r="B5853" t="str">
        <f t="shared" si="421"/>
        <v>063281</v>
      </c>
      <c r="C5853" t="str">
        <f t="shared" si="422"/>
        <v>09170</v>
      </c>
      <c r="D5853" t="s">
        <v>596</v>
      </c>
      <c r="E5853" s="3">
        <v>53.95</v>
      </c>
      <c r="F5853">
        <v>20160427</v>
      </c>
      <c r="G5853" t="s">
        <v>2333</v>
      </c>
      <c r="H5853" t="s">
        <v>4978</v>
      </c>
      <c r="I5853">
        <v>0</v>
      </c>
      <c r="J5853" t="s">
        <v>1709</v>
      </c>
      <c r="K5853" t="s">
        <v>290</v>
      </c>
      <c r="L5853" t="s">
        <v>285</v>
      </c>
      <c r="M5853" t="str">
        <f t="shared" si="420"/>
        <v>04</v>
      </c>
      <c r="N5853" t="s">
        <v>12</v>
      </c>
    </row>
    <row r="5854" spans="1:14" x14ac:dyDescent="0.25">
      <c r="A5854">
        <v>20160429</v>
      </c>
      <c r="B5854" t="str">
        <f t="shared" si="421"/>
        <v>063281</v>
      </c>
      <c r="C5854" t="str">
        <f t="shared" si="422"/>
        <v>09170</v>
      </c>
      <c r="D5854" t="s">
        <v>596</v>
      </c>
      <c r="E5854" s="3">
        <v>710.12</v>
      </c>
      <c r="F5854">
        <v>20160427</v>
      </c>
      <c r="G5854" t="s">
        <v>4701</v>
      </c>
      <c r="H5854" t="s">
        <v>4652</v>
      </c>
      <c r="I5854">
        <v>0</v>
      </c>
      <c r="J5854" t="s">
        <v>1709</v>
      </c>
      <c r="K5854" t="s">
        <v>95</v>
      </c>
      <c r="L5854" t="s">
        <v>285</v>
      </c>
      <c r="M5854" t="str">
        <f t="shared" si="420"/>
        <v>04</v>
      </c>
      <c r="N5854" t="s">
        <v>12</v>
      </c>
    </row>
    <row r="5855" spans="1:14" x14ac:dyDescent="0.25">
      <c r="A5855">
        <v>20160429</v>
      </c>
      <c r="B5855" t="str">
        <f t="shared" si="421"/>
        <v>063281</v>
      </c>
      <c r="C5855" t="str">
        <f t="shared" si="422"/>
        <v>09170</v>
      </c>
      <c r="D5855" t="s">
        <v>596</v>
      </c>
      <c r="E5855" s="3">
        <v>710.12</v>
      </c>
      <c r="F5855">
        <v>20160427</v>
      </c>
      <c r="G5855" t="s">
        <v>4702</v>
      </c>
      <c r="H5855" t="s">
        <v>4652</v>
      </c>
      <c r="I5855">
        <v>0</v>
      </c>
      <c r="J5855" t="s">
        <v>1709</v>
      </c>
      <c r="K5855" t="s">
        <v>95</v>
      </c>
      <c r="L5855" t="s">
        <v>285</v>
      </c>
      <c r="M5855" t="str">
        <f t="shared" si="420"/>
        <v>04</v>
      </c>
      <c r="N5855" t="s">
        <v>12</v>
      </c>
    </row>
    <row r="5856" spans="1:14" x14ac:dyDescent="0.25">
      <c r="A5856">
        <v>20160429</v>
      </c>
      <c r="B5856" t="str">
        <f t="shared" si="421"/>
        <v>063281</v>
      </c>
      <c r="C5856" t="str">
        <f t="shared" si="422"/>
        <v>09170</v>
      </c>
      <c r="D5856" t="s">
        <v>596</v>
      </c>
      <c r="E5856" s="3">
        <v>767.9</v>
      </c>
      <c r="F5856">
        <v>20160427</v>
      </c>
      <c r="G5856" t="s">
        <v>2587</v>
      </c>
      <c r="H5856" t="s">
        <v>4979</v>
      </c>
      <c r="I5856">
        <v>0</v>
      </c>
      <c r="J5856" t="s">
        <v>1709</v>
      </c>
      <c r="K5856" t="s">
        <v>290</v>
      </c>
      <c r="L5856" t="s">
        <v>285</v>
      </c>
      <c r="M5856" t="str">
        <f t="shared" si="420"/>
        <v>04</v>
      </c>
      <c r="N5856" t="s">
        <v>12</v>
      </c>
    </row>
    <row r="5857" spans="1:14" x14ac:dyDescent="0.25">
      <c r="A5857">
        <v>20160429</v>
      </c>
      <c r="B5857" t="str">
        <f t="shared" si="421"/>
        <v>063281</v>
      </c>
      <c r="C5857" t="str">
        <f t="shared" si="422"/>
        <v>09170</v>
      </c>
      <c r="D5857" t="s">
        <v>596</v>
      </c>
      <c r="E5857" s="3">
        <v>990</v>
      </c>
      <c r="F5857">
        <v>20160427</v>
      </c>
      <c r="G5857" t="s">
        <v>2587</v>
      </c>
      <c r="H5857" t="s">
        <v>4979</v>
      </c>
      <c r="I5857">
        <v>0</v>
      </c>
      <c r="J5857" t="s">
        <v>1709</v>
      </c>
      <c r="K5857" t="s">
        <v>290</v>
      </c>
      <c r="L5857" t="s">
        <v>285</v>
      </c>
      <c r="M5857" t="str">
        <f t="shared" si="420"/>
        <v>04</v>
      </c>
      <c r="N5857" t="s">
        <v>12</v>
      </c>
    </row>
    <row r="5858" spans="1:14" x14ac:dyDescent="0.25">
      <c r="A5858">
        <v>20160429</v>
      </c>
      <c r="B5858" t="str">
        <f t="shared" si="421"/>
        <v>063281</v>
      </c>
      <c r="C5858" t="str">
        <f t="shared" si="422"/>
        <v>09170</v>
      </c>
      <c r="D5858" t="s">
        <v>596</v>
      </c>
      <c r="E5858" s="3">
        <v>167.63</v>
      </c>
      <c r="F5858">
        <v>20160427</v>
      </c>
      <c r="G5858" t="s">
        <v>2587</v>
      </c>
      <c r="H5858" t="s">
        <v>4979</v>
      </c>
      <c r="I5858">
        <v>0</v>
      </c>
      <c r="J5858" t="s">
        <v>1709</v>
      </c>
      <c r="K5858" t="s">
        <v>290</v>
      </c>
      <c r="L5858" t="s">
        <v>285</v>
      </c>
      <c r="M5858" t="str">
        <f t="shared" si="420"/>
        <v>04</v>
      </c>
      <c r="N5858" t="s">
        <v>12</v>
      </c>
    </row>
    <row r="5859" spans="1:14" x14ac:dyDescent="0.25">
      <c r="A5859">
        <v>20160429</v>
      </c>
      <c r="B5859" t="str">
        <f t="shared" si="421"/>
        <v>063281</v>
      </c>
      <c r="C5859" t="str">
        <f t="shared" si="422"/>
        <v>09170</v>
      </c>
      <c r="D5859" t="s">
        <v>596</v>
      </c>
      <c r="E5859" s="3">
        <v>290.47000000000003</v>
      </c>
      <c r="F5859">
        <v>20160427</v>
      </c>
      <c r="G5859" t="s">
        <v>4980</v>
      </c>
      <c r="H5859" t="s">
        <v>4981</v>
      </c>
      <c r="I5859">
        <v>0</v>
      </c>
      <c r="J5859" t="s">
        <v>1709</v>
      </c>
      <c r="K5859" t="s">
        <v>290</v>
      </c>
      <c r="L5859" t="s">
        <v>285</v>
      </c>
      <c r="M5859" t="str">
        <f t="shared" si="420"/>
        <v>04</v>
      </c>
      <c r="N5859" t="s">
        <v>12</v>
      </c>
    </row>
    <row r="5860" spans="1:14" x14ac:dyDescent="0.25">
      <c r="A5860">
        <v>20160429</v>
      </c>
      <c r="B5860" t="str">
        <f t="shared" si="421"/>
        <v>063281</v>
      </c>
      <c r="C5860" t="str">
        <f t="shared" si="422"/>
        <v>09170</v>
      </c>
      <c r="D5860" t="s">
        <v>596</v>
      </c>
      <c r="E5860" s="3">
        <v>321.95999999999998</v>
      </c>
      <c r="F5860">
        <v>20160427</v>
      </c>
      <c r="G5860" t="s">
        <v>1969</v>
      </c>
      <c r="H5860" t="s">
        <v>4982</v>
      </c>
      <c r="I5860">
        <v>0</v>
      </c>
      <c r="J5860" t="s">
        <v>1709</v>
      </c>
      <c r="K5860" t="s">
        <v>290</v>
      </c>
      <c r="L5860" t="s">
        <v>285</v>
      </c>
      <c r="M5860" t="str">
        <f t="shared" si="420"/>
        <v>04</v>
      </c>
      <c r="N5860" t="s">
        <v>12</v>
      </c>
    </row>
    <row r="5861" spans="1:14" x14ac:dyDescent="0.25">
      <c r="A5861">
        <v>20160429</v>
      </c>
      <c r="B5861" t="str">
        <f t="shared" si="421"/>
        <v>063281</v>
      </c>
      <c r="C5861" t="str">
        <f t="shared" si="422"/>
        <v>09170</v>
      </c>
      <c r="D5861" t="s">
        <v>596</v>
      </c>
      <c r="E5861" s="3">
        <v>1479</v>
      </c>
      <c r="F5861">
        <v>20160427</v>
      </c>
      <c r="G5861" t="s">
        <v>1969</v>
      </c>
      <c r="H5861" t="s">
        <v>4982</v>
      </c>
      <c r="I5861">
        <v>0</v>
      </c>
      <c r="J5861" t="s">
        <v>1709</v>
      </c>
      <c r="K5861" t="s">
        <v>290</v>
      </c>
      <c r="L5861" t="s">
        <v>285</v>
      </c>
      <c r="M5861" t="str">
        <f t="shared" si="420"/>
        <v>04</v>
      </c>
      <c r="N5861" t="s">
        <v>12</v>
      </c>
    </row>
    <row r="5862" spans="1:14" x14ac:dyDescent="0.25">
      <c r="A5862">
        <v>20160429</v>
      </c>
      <c r="B5862" t="str">
        <f t="shared" si="421"/>
        <v>063281</v>
      </c>
      <c r="C5862" t="str">
        <f t="shared" si="422"/>
        <v>09170</v>
      </c>
      <c r="D5862" t="s">
        <v>596</v>
      </c>
      <c r="E5862" s="3">
        <v>239.83</v>
      </c>
      <c r="F5862">
        <v>20160427</v>
      </c>
      <c r="G5862" t="s">
        <v>1969</v>
      </c>
      <c r="H5862" t="s">
        <v>4982</v>
      </c>
      <c r="I5862">
        <v>0</v>
      </c>
      <c r="J5862" t="s">
        <v>1709</v>
      </c>
      <c r="K5862" t="s">
        <v>290</v>
      </c>
      <c r="L5862" t="s">
        <v>285</v>
      </c>
      <c r="M5862" t="str">
        <f t="shared" si="420"/>
        <v>04</v>
      </c>
      <c r="N5862" t="s">
        <v>12</v>
      </c>
    </row>
    <row r="5863" spans="1:14" x14ac:dyDescent="0.25">
      <c r="A5863">
        <v>20160429</v>
      </c>
      <c r="B5863" t="str">
        <f t="shared" si="421"/>
        <v>063281</v>
      </c>
      <c r="C5863" t="str">
        <f t="shared" si="422"/>
        <v>09170</v>
      </c>
      <c r="D5863" t="s">
        <v>596</v>
      </c>
      <c r="E5863" s="3">
        <v>140.55000000000001</v>
      </c>
      <c r="F5863">
        <v>20160427</v>
      </c>
      <c r="G5863" t="s">
        <v>2762</v>
      </c>
      <c r="H5863" t="s">
        <v>4983</v>
      </c>
      <c r="I5863">
        <v>0</v>
      </c>
      <c r="J5863" t="s">
        <v>1709</v>
      </c>
      <c r="K5863" t="s">
        <v>2764</v>
      </c>
      <c r="L5863" t="s">
        <v>285</v>
      </c>
      <c r="M5863" t="str">
        <f t="shared" si="420"/>
        <v>04</v>
      </c>
      <c r="N5863" t="s">
        <v>12</v>
      </c>
    </row>
    <row r="5864" spans="1:14" x14ac:dyDescent="0.25">
      <c r="A5864">
        <v>20160429</v>
      </c>
      <c r="B5864" t="str">
        <f t="shared" si="421"/>
        <v>063281</v>
      </c>
      <c r="C5864" t="str">
        <f t="shared" si="422"/>
        <v>09170</v>
      </c>
      <c r="D5864" t="s">
        <v>596</v>
      </c>
      <c r="E5864" s="3">
        <v>39.93</v>
      </c>
      <c r="F5864">
        <v>20160427</v>
      </c>
      <c r="G5864" t="s">
        <v>1933</v>
      </c>
      <c r="H5864" t="s">
        <v>4984</v>
      </c>
      <c r="I5864">
        <v>0</v>
      </c>
      <c r="J5864" t="s">
        <v>1709</v>
      </c>
      <c r="K5864" t="s">
        <v>1558</v>
      </c>
      <c r="L5864" t="s">
        <v>285</v>
      </c>
      <c r="M5864" t="str">
        <f t="shared" si="420"/>
        <v>04</v>
      </c>
      <c r="N5864" t="s">
        <v>12</v>
      </c>
    </row>
    <row r="5865" spans="1:14" x14ac:dyDescent="0.25">
      <c r="A5865">
        <v>20160429</v>
      </c>
      <c r="B5865" t="str">
        <f t="shared" si="421"/>
        <v>063281</v>
      </c>
      <c r="C5865" t="str">
        <f t="shared" si="422"/>
        <v>09170</v>
      </c>
      <c r="D5865" t="s">
        <v>596</v>
      </c>
      <c r="E5865" s="3">
        <v>45</v>
      </c>
      <c r="F5865">
        <v>20160427</v>
      </c>
      <c r="G5865" t="s">
        <v>3522</v>
      </c>
      <c r="H5865" t="s">
        <v>722</v>
      </c>
      <c r="I5865">
        <v>0</v>
      </c>
      <c r="J5865" t="s">
        <v>1709</v>
      </c>
      <c r="K5865" t="s">
        <v>1882</v>
      </c>
      <c r="L5865" t="s">
        <v>285</v>
      </c>
      <c r="M5865" t="str">
        <f t="shared" si="420"/>
        <v>04</v>
      </c>
      <c r="N5865" t="s">
        <v>12</v>
      </c>
    </row>
    <row r="5866" spans="1:14" x14ac:dyDescent="0.25">
      <c r="A5866">
        <v>20160429</v>
      </c>
      <c r="B5866" t="str">
        <f t="shared" si="421"/>
        <v>063281</v>
      </c>
      <c r="C5866" t="str">
        <f t="shared" si="422"/>
        <v>09170</v>
      </c>
      <c r="D5866" t="s">
        <v>596</v>
      </c>
      <c r="E5866" s="3">
        <v>247.65</v>
      </c>
      <c r="F5866">
        <v>20160427</v>
      </c>
      <c r="G5866" t="s">
        <v>4985</v>
      </c>
      <c r="H5866" t="s">
        <v>4986</v>
      </c>
      <c r="I5866">
        <v>0</v>
      </c>
      <c r="J5866" t="s">
        <v>1709</v>
      </c>
      <c r="K5866" t="s">
        <v>1775</v>
      </c>
      <c r="L5866" t="s">
        <v>285</v>
      </c>
      <c r="M5866" t="str">
        <f t="shared" si="420"/>
        <v>04</v>
      </c>
      <c r="N5866" t="s">
        <v>12</v>
      </c>
    </row>
    <row r="5867" spans="1:14" x14ac:dyDescent="0.25">
      <c r="A5867">
        <v>20160429</v>
      </c>
      <c r="B5867" t="str">
        <f t="shared" si="421"/>
        <v>063281</v>
      </c>
      <c r="C5867" t="str">
        <f t="shared" si="422"/>
        <v>09170</v>
      </c>
      <c r="D5867" t="s">
        <v>596</v>
      </c>
      <c r="E5867" s="3">
        <v>215.55</v>
      </c>
      <c r="F5867">
        <v>20160427</v>
      </c>
      <c r="G5867" t="s">
        <v>3668</v>
      </c>
      <c r="H5867" t="s">
        <v>4987</v>
      </c>
      <c r="I5867">
        <v>0</v>
      </c>
      <c r="J5867" t="s">
        <v>1709</v>
      </c>
      <c r="K5867" t="s">
        <v>2820</v>
      </c>
      <c r="L5867" t="s">
        <v>285</v>
      </c>
      <c r="M5867" t="str">
        <f t="shared" si="420"/>
        <v>04</v>
      </c>
      <c r="N5867" t="s">
        <v>12</v>
      </c>
    </row>
    <row r="5868" spans="1:14" x14ac:dyDescent="0.25">
      <c r="A5868">
        <v>20160429</v>
      </c>
      <c r="B5868" t="str">
        <f t="shared" si="421"/>
        <v>063281</v>
      </c>
      <c r="C5868" t="str">
        <f t="shared" si="422"/>
        <v>09170</v>
      </c>
      <c r="D5868" t="s">
        <v>596</v>
      </c>
      <c r="E5868" s="3">
        <v>526.41</v>
      </c>
      <c r="F5868">
        <v>20160427</v>
      </c>
      <c r="G5868" t="s">
        <v>2074</v>
      </c>
      <c r="H5868" t="s">
        <v>4988</v>
      </c>
      <c r="I5868">
        <v>0</v>
      </c>
      <c r="J5868" t="s">
        <v>1709</v>
      </c>
      <c r="K5868" t="s">
        <v>1861</v>
      </c>
      <c r="L5868" t="s">
        <v>285</v>
      </c>
      <c r="M5868" t="str">
        <f t="shared" si="420"/>
        <v>04</v>
      </c>
      <c r="N5868" t="s">
        <v>12</v>
      </c>
    </row>
    <row r="5869" spans="1:14" x14ac:dyDescent="0.25">
      <c r="A5869">
        <v>20160429</v>
      </c>
      <c r="B5869" t="str">
        <f t="shared" si="421"/>
        <v>063281</v>
      </c>
      <c r="C5869" t="str">
        <f t="shared" si="422"/>
        <v>09170</v>
      </c>
      <c r="D5869" t="s">
        <v>596</v>
      </c>
      <c r="E5869" s="3">
        <v>478</v>
      </c>
      <c r="F5869">
        <v>20160427</v>
      </c>
      <c r="G5869" t="s">
        <v>2025</v>
      </c>
      <c r="H5869" t="s">
        <v>4989</v>
      </c>
      <c r="I5869">
        <v>0</v>
      </c>
      <c r="J5869" t="s">
        <v>1709</v>
      </c>
      <c r="K5869" t="s">
        <v>1984</v>
      </c>
      <c r="L5869" t="s">
        <v>285</v>
      </c>
      <c r="M5869" t="str">
        <f t="shared" si="420"/>
        <v>04</v>
      </c>
      <c r="N5869" t="s">
        <v>12</v>
      </c>
    </row>
    <row r="5870" spans="1:14" x14ac:dyDescent="0.25">
      <c r="A5870">
        <v>20160429</v>
      </c>
      <c r="B5870" t="str">
        <f t="shared" si="421"/>
        <v>063281</v>
      </c>
      <c r="C5870" t="str">
        <f t="shared" si="422"/>
        <v>09170</v>
      </c>
      <c r="D5870" t="s">
        <v>596</v>
      </c>
      <c r="E5870" s="3">
        <v>478</v>
      </c>
      <c r="F5870">
        <v>20160427</v>
      </c>
      <c r="G5870" t="s">
        <v>2025</v>
      </c>
      <c r="H5870" t="s">
        <v>4989</v>
      </c>
      <c r="I5870">
        <v>0</v>
      </c>
      <c r="J5870" t="s">
        <v>1709</v>
      </c>
      <c r="K5870" t="s">
        <v>1984</v>
      </c>
      <c r="L5870" t="s">
        <v>285</v>
      </c>
      <c r="M5870" t="str">
        <f t="shared" si="420"/>
        <v>04</v>
      </c>
      <c r="N5870" t="s">
        <v>12</v>
      </c>
    </row>
    <row r="5871" spans="1:14" x14ac:dyDescent="0.25">
      <c r="A5871">
        <v>20160429</v>
      </c>
      <c r="B5871" t="str">
        <f t="shared" si="421"/>
        <v>063281</v>
      </c>
      <c r="C5871" t="str">
        <f t="shared" si="422"/>
        <v>09170</v>
      </c>
      <c r="D5871" t="s">
        <v>596</v>
      </c>
      <c r="E5871" s="3">
        <v>67.23</v>
      </c>
      <c r="F5871">
        <v>20160427</v>
      </c>
      <c r="G5871" t="s">
        <v>2314</v>
      </c>
      <c r="H5871" t="s">
        <v>4990</v>
      </c>
      <c r="I5871">
        <v>0</v>
      </c>
      <c r="J5871" t="s">
        <v>1709</v>
      </c>
      <c r="K5871" t="s">
        <v>1984</v>
      </c>
      <c r="L5871" t="s">
        <v>285</v>
      </c>
      <c r="M5871" t="str">
        <f t="shared" si="420"/>
        <v>04</v>
      </c>
      <c r="N5871" t="s">
        <v>12</v>
      </c>
    </row>
    <row r="5872" spans="1:14" x14ac:dyDescent="0.25">
      <c r="A5872">
        <v>20160429</v>
      </c>
      <c r="B5872" t="str">
        <f>"063282"</f>
        <v>063282</v>
      </c>
      <c r="C5872" t="str">
        <f>"10024"</f>
        <v>10024</v>
      </c>
      <c r="D5872" t="s">
        <v>1701</v>
      </c>
      <c r="E5872" s="3">
        <v>1511</v>
      </c>
      <c r="F5872">
        <v>20160427</v>
      </c>
      <c r="G5872" t="s">
        <v>2281</v>
      </c>
      <c r="H5872" t="s">
        <v>4991</v>
      </c>
      <c r="I5872">
        <v>0</v>
      </c>
      <c r="J5872" t="s">
        <v>1709</v>
      </c>
      <c r="K5872" t="s">
        <v>290</v>
      </c>
      <c r="L5872" t="s">
        <v>285</v>
      </c>
      <c r="M5872" t="str">
        <f t="shared" si="420"/>
        <v>04</v>
      </c>
      <c r="N5872" t="s">
        <v>12</v>
      </c>
    </row>
    <row r="5873" spans="1:14" x14ac:dyDescent="0.25">
      <c r="A5873">
        <v>20160429</v>
      </c>
      <c r="B5873" t="str">
        <f>"063284"</f>
        <v>063284</v>
      </c>
      <c r="C5873" t="str">
        <f>"10085"</f>
        <v>10085</v>
      </c>
      <c r="D5873" t="s">
        <v>4227</v>
      </c>
      <c r="E5873" s="3">
        <v>951.81</v>
      </c>
      <c r="F5873">
        <v>20160427</v>
      </c>
      <c r="G5873" t="s">
        <v>4992</v>
      </c>
      <c r="H5873" t="s">
        <v>4993</v>
      </c>
      <c r="I5873">
        <v>0</v>
      </c>
      <c r="J5873" t="s">
        <v>1709</v>
      </c>
      <c r="K5873" t="s">
        <v>290</v>
      </c>
      <c r="L5873" t="s">
        <v>285</v>
      </c>
      <c r="M5873" t="str">
        <f t="shared" si="420"/>
        <v>04</v>
      </c>
      <c r="N5873" t="s">
        <v>12</v>
      </c>
    </row>
    <row r="5874" spans="1:14" x14ac:dyDescent="0.25">
      <c r="A5874">
        <v>20160429</v>
      </c>
      <c r="B5874" t="str">
        <f>"063285"</f>
        <v>063285</v>
      </c>
      <c r="C5874" t="str">
        <f>"11518"</f>
        <v>11518</v>
      </c>
      <c r="D5874" t="s">
        <v>4994</v>
      </c>
      <c r="E5874" s="3">
        <v>49.95</v>
      </c>
      <c r="F5874">
        <v>20160427</v>
      </c>
      <c r="G5874" t="s">
        <v>3746</v>
      </c>
      <c r="H5874" t="s">
        <v>4995</v>
      </c>
      <c r="I5874">
        <v>0</v>
      </c>
      <c r="J5874" t="s">
        <v>1709</v>
      </c>
      <c r="K5874" t="s">
        <v>33</v>
      </c>
      <c r="L5874" t="s">
        <v>285</v>
      </c>
      <c r="M5874" t="str">
        <f t="shared" si="420"/>
        <v>04</v>
      </c>
      <c r="N5874" t="s">
        <v>12</v>
      </c>
    </row>
    <row r="5875" spans="1:14" x14ac:dyDescent="0.25">
      <c r="A5875">
        <v>20160429</v>
      </c>
      <c r="B5875" t="str">
        <f>"063285"</f>
        <v>063285</v>
      </c>
      <c r="C5875" t="str">
        <f>"11518"</f>
        <v>11518</v>
      </c>
      <c r="D5875" t="s">
        <v>4994</v>
      </c>
      <c r="E5875" s="3">
        <v>100</v>
      </c>
      <c r="F5875">
        <v>20160427</v>
      </c>
      <c r="G5875" t="s">
        <v>4996</v>
      </c>
      <c r="H5875" t="s">
        <v>4995</v>
      </c>
      <c r="I5875">
        <v>0</v>
      </c>
      <c r="J5875" t="s">
        <v>1709</v>
      </c>
      <c r="K5875" t="s">
        <v>33</v>
      </c>
      <c r="L5875" t="s">
        <v>285</v>
      </c>
      <c r="M5875" t="str">
        <f t="shared" si="420"/>
        <v>04</v>
      </c>
      <c r="N5875" t="s">
        <v>12</v>
      </c>
    </row>
    <row r="5876" spans="1:14" x14ac:dyDescent="0.25">
      <c r="A5876">
        <v>20160429</v>
      </c>
      <c r="B5876" t="str">
        <f>"063285"</f>
        <v>063285</v>
      </c>
      <c r="C5876" t="str">
        <f>"11518"</f>
        <v>11518</v>
      </c>
      <c r="D5876" t="s">
        <v>4994</v>
      </c>
      <c r="E5876" s="3">
        <v>50</v>
      </c>
      <c r="F5876">
        <v>20160427</v>
      </c>
      <c r="G5876" t="s">
        <v>4997</v>
      </c>
      <c r="H5876" t="s">
        <v>4995</v>
      </c>
      <c r="I5876">
        <v>0</v>
      </c>
      <c r="J5876" t="s">
        <v>1709</v>
      </c>
      <c r="K5876" t="s">
        <v>33</v>
      </c>
      <c r="L5876" t="s">
        <v>285</v>
      </c>
      <c r="M5876" t="str">
        <f t="shared" si="420"/>
        <v>04</v>
      </c>
      <c r="N5876" t="s">
        <v>12</v>
      </c>
    </row>
    <row r="5877" spans="1:14" x14ac:dyDescent="0.25">
      <c r="A5877">
        <v>20160429</v>
      </c>
      <c r="B5877" t="str">
        <f>"063287"</f>
        <v>063287</v>
      </c>
      <c r="C5877" t="str">
        <f>"18981"</f>
        <v>18981</v>
      </c>
      <c r="D5877" t="s">
        <v>4998</v>
      </c>
      <c r="E5877" s="3">
        <v>330</v>
      </c>
      <c r="F5877">
        <v>20160427</v>
      </c>
      <c r="G5877" t="s">
        <v>2899</v>
      </c>
      <c r="H5877" t="s">
        <v>4999</v>
      </c>
      <c r="I5877">
        <v>0</v>
      </c>
      <c r="J5877" t="s">
        <v>1709</v>
      </c>
      <c r="K5877" t="s">
        <v>1861</v>
      </c>
      <c r="L5877" t="s">
        <v>285</v>
      </c>
      <c r="M5877" t="str">
        <f t="shared" si="420"/>
        <v>04</v>
      </c>
      <c r="N5877" t="s">
        <v>12</v>
      </c>
    </row>
    <row r="5878" spans="1:14" x14ac:dyDescent="0.25">
      <c r="A5878">
        <v>20160429</v>
      </c>
      <c r="B5878" t="str">
        <f>"063290"</f>
        <v>063290</v>
      </c>
      <c r="C5878" t="str">
        <f>"19425"</f>
        <v>19425</v>
      </c>
      <c r="D5878" t="s">
        <v>2631</v>
      </c>
      <c r="E5878" s="3">
        <v>-131.9</v>
      </c>
      <c r="F5878">
        <v>20160330</v>
      </c>
      <c r="G5878" t="s">
        <v>2360</v>
      </c>
      <c r="H5878" t="s">
        <v>5000</v>
      </c>
      <c r="I5878">
        <v>0</v>
      </c>
      <c r="J5878" t="s">
        <v>1709</v>
      </c>
      <c r="K5878" t="s">
        <v>1856</v>
      </c>
      <c r="L5878" t="s">
        <v>1385</v>
      </c>
      <c r="M5878" t="str">
        <f t="shared" si="420"/>
        <v>04</v>
      </c>
      <c r="N5878" t="s">
        <v>12</v>
      </c>
    </row>
    <row r="5879" spans="1:14" x14ac:dyDescent="0.25">
      <c r="A5879">
        <v>20160429</v>
      </c>
      <c r="B5879" t="str">
        <f t="shared" ref="B5879:B5888" si="423">"063292"</f>
        <v>063292</v>
      </c>
      <c r="C5879" t="str">
        <f t="shared" ref="C5879:C5888" si="424">"20683"</f>
        <v>20683</v>
      </c>
      <c r="D5879" t="s">
        <v>1818</v>
      </c>
      <c r="E5879" s="3">
        <v>47.54</v>
      </c>
      <c r="F5879">
        <v>20160427</v>
      </c>
      <c r="G5879" t="s">
        <v>2469</v>
      </c>
      <c r="H5879" t="s">
        <v>5001</v>
      </c>
      <c r="I5879">
        <v>0</v>
      </c>
      <c r="J5879" t="s">
        <v>1709</v>
      </c>
      <c r="K5879" t="s">
        <v>290</v>
      </c>
      <c r="L5879" t="s">
        <v>285</v>
      </c>
      <c r="M5879" t="str">
        <f t="shared" si="420"/>
        <v>04</v>
      </c>
      <c r="N5879" t="s">
        <v>12</v>
      </c>
    </row>
    <row r="5880" spans="1:14" x14ac:dyDescent="0.25">
      <c r="A5880">
        <v>20160429</v>
      </c>
      <c r="B5880" t="str">
        <f t="shared" si="423"/>
        <v>063292</v>
      </c>
      <c r="C5880" t="str">
        <f t="shared" si="424"/>
        <v>20683</v>
      </c>
      <c r="D5880" t="s">
        <v>1818</v>
      </c>
      <c r="E5880" s="3">
        <v>40.17</v>
      </c>
      <c r="F5880">
        <v>20160427</v>
      </c>
      <c r="G5880" t="s">
        <v>2469</v>
      </c>
      <c r="H5880" t="s">
        <v>5002</v>
      </c>
      <c r="I5880">
        <v>0</v>
      </c>
      <c r="J5880" t="s">
        <v>1709</v>
      </c>
      <c r="K5880" t="s">
        <v>290</v>
      </c>
      <c r="L5880" t="s">
        <v>285</v>
      </c>
      <c r="M5880" t="str">
        <f t="shared" si="420"/>
        <v>04</v>
      </c>
      <c r="N5880" t="s">
        <v>12</v>
      </c>
    </row>
    <row r="5881" spans="1:14" x14ac:dyDescent="0.25">
      <c r="A5881">
        <v>20160429</v>
      </c>
      <c r="B5881" t="str">
        <f t="shared" si="423"/>
        <v>063292</v>
      </c>
      <c r="C5881" t="str">
        <f t="shared" si="424"/>
        <v>20683</v>
      </c>
      <c r="D5881" t="s">
        <v>1818</v>
      </c>
      <c r="E5881" s="3">
        <v>52.55</v>
      </c>
      <c r="F5881">
        <v>20160427</v>
      </c>
      <c r="G5881" t="s">
        <v>2469</v>
      </c>
      <c r="H5881" t="s">
        <v>5003</v>
      </c>
      <c r="I5881">
        <v>0</v>
      </c>
      <c r="J5881" t="s">
        <v>1709</v>
      </c>
      <c r="K5881" t="s">
        <v>290</v>
      </c>
      <c r="L5881" t="s">
        <v>285</v>
      </c>
      <c r="M5881" t="str">
        <f t="shared" si="420"/>
        <v>04</v>
      </c>
      <c r="N5881" t="s">
        <v>12</v>
      </c>
    </row>
    <row r="5882" spans="1:14" x14ac:dyDescent="0.25">
      <c r="A5882">
        <v>20160429</v>
      </c>
      <c r="B5882" t="str">
        <f t="shared" si="423"/>
        <v>063292</v>
      </c>
      <c r="C5882" t="str">
        <f t="shared" si="424"/>
        <v>20683</v>
      </c>
      <c r="D5882" t="s">
        <v>1818</v>
      </c>
      <c r="E5882" s="3">
        <v>69.34</v>
      </c>
      <c r="F5882">
        <v>20160427</v>
      </c>
      <c r="G5882" t="s">
        <v>2469</v>
      </c>
      <c r="H5882" t="s">
        <v>5004</v>
      </c>
      <c r="I5882">
        <v>0</v>
      </c>
      <c r="J5882" t="s">
        <v>1709</v>
      </c>
      <c r="K5882" t="s">
        <v>290</v>
      </c>
      <c r="L5882" t="s">
        <v>285</v>
      </c>
      <c r="M5882" t="str">
        <f t="shared" si="420"/>
        <v>04</v>
      </c>
      <c r="N5882" t="s">
        <v>12</v>
      </c>
    </row>
    <row r="5883" spans="1:14" x14ac:dyDescent="0.25">
      <c r="A5883">
        <v>20160429</v>
      </c>
      <c r="B5883" t="str">
        <f t="shared" si="423"/>
        <v>063292</v>
      </c>
      <c r="C5883" t="str">
        <f t="shared" si="424"/>
        <v>20683</v>
      </c>
      <c r="D5883" t="s">
        <v>1818</v>
      </c>
      <c r="E5883" s="3">
        <v>47.54</v>
      </c>
      <c r="F5883">
        <v>20160427</v>
      </c>
      <c r="G5883" t="s">
        <v>2469</v>
      </c>
      <c r="H5883" t="s">
        <v>5005</v>
      </c>
      <c r="I5883">
        <v>0</v>
      </c>
      <c r="J5883" t="s">
        <v>1709</v>
      </c>
      <c r="K5883" t="s">
        <v>290</v>
      </c>
      <c r="L5883" t="s">
        <v>285</v>
      </c>
      <c r="M5883" t="str">
        <f t="shared" si="420"/>
        <v>04</v>
      </c>
      <c r="N5883" t="s">
        <v>12</v>
      </c>
    </row>
    <row r="5884" spans="1:14" x14ac:dyDescent="0.25">
      <c r="A5884">
        <v>20160429</v>
      </c>
      <c r="B5884" t="str">
        <f t="shared" si="423"/>
        <v>063292</v>
      </c>
      <c r="C5884" t="str">
        <f t="shared" si="424"/>
        <v>20683</v>
      </c>
      <c r="D5884" t="s">
        <v>1818</v>
      </c>
      <c r="E5884" s="3">
        <v>12.45</v>
      </c>
      <c r="F5884">
        <v>20160427</v>
      </c>
      <c r="G5884" t="s">
        <v>2333</v>
      </c>
      <c r="H5884" t="s">
        <v>5001</v>
      </c>
      <c r="I5884">
        <v>0</v>
      </c>
      <c r="J5884" t="s">
        <v>1709</v>
      </c>
      <c r="K5884" t="s">
        <v>290</v>
      </c>
      <c r="L5884" t="s">
        <v>285</v>
      </c>
      <c r="M5884" t="str">
        <f t="shared" si="420"/>
        <v>04</v>
      </c>
      <c r="N5884" t="s">
        <v>12</v>
      </c>
    </row>
    <row r="5885" spans="1:14" x14ac:dyDescent="0.25">
      <c r="A5885">
        <v>20160429</v>
      </c>
      <c r="B5885" t="str">
        <f t="shared" si="423"/>
        <v>063292</v>
      </c>
      <c r="C5885" t="str">
        <f t="shared" si="424"/>
        <v>20683</v>
      </c>
      <c r="D5885" t="s">
        <v>1818</v>
      </c>
      <c r="E5885" s="3">
        <v>19.82</v>
      </c>
      <c r="F5885">
        <v>20160427</v>
      </c>
      <c r="G5885" t="s">
        <v>2333</v>
      </c>
      <c r="H5885" t="s">
        <v>5002</v>
      </c>
      <c r="I5885">
        <v>0</v>
      </c>
      <c r="J5885" t="s">
        <v>1709</v>
      </c>
      <c r="K5885" t="s">
        <v>290</v>
      </c>
      <c r="L5885" t="s">
        <v>285</v>
      </c>
      <c r="M5885" t="str">
        <f t="shared" si="420"/>
        <v>04</v>
      </c>
      <c r="N5885" t="s">
        <v>12</v>
      </c>
    </row>
    <row r="5886" spans="1:14" x14ac:dyDescent="0.25">
      <c r="A5886">
        <v>20160429</v>
      </c>
      <c r="B5886" t="str">
        <f t="shared" si="423"/>
        <v>063292</v>
      </c>
      <c r="C5886" t="str">
        <f t="shared" si="424"/>
        <v>20683</v>
      </c>
      <c r="D5886" t="s">
        <v>1818</v>
      </c>
      <c r="E5886" s="3">
        <v>7.44</v>
      </c>
      <c r="F5886">
        <v>20160427</v>
      </c>
      <c r="G5886" t="s">
        <v>2333</v>
      </c>
      <c r="H5886" t="s">
        <v>5003</v>
      </c>
      <c r="I5886">
        <v>0</v>
      </c>
      <c r="J5886" t="s">
        <v>1709</v>
      </c>
      <c r="K5886" t="s">
        <v>290</v>
      </c>
      <c r="L5886" t="s">
        <v>285</v>
      </c>
      <c r="M5886" t="str">
        <f t="shared" si="420"/>
        <v>04</v>
      </c>
      <c r="N5886" t="s">
        <v>12</v>
      </c>
    </row>
    <row r="5887" spans="1:14" x14ac:dyDescent="0.25">
      <c r="A5887">
        <v>20160429</v>
      </c>
      <c r="B5887" t="str">
        <f t="shared" si="423"/>
        <v>063292</v>
      </c>
      <c r="C5887" t="str">
        <f t="shared" si="424"/>
        <v>20683</v>
      </c>
      <c r="D5887" t="s">
        <v>1818</v>
      </c>
      <c r="E5887" s="3">
        <v>34.25</v>
      </c>
      <c r="F5887">
        <v>20160427</v>
      </c>
      <c r="G5887" t="s">
        <v>2333</v>
      </c>
      <c r="H5887" t="s">
        <v>5004</v>
      </c>
      <c r="I5887">
        <v>0</v>
      </c>
      <c r="J5887" t="s">
        <v>1709</v>
      </c>
      <c r="K5887" t="s">
        <v>290</v>
      </c>
      <c r="L5887" t="s">
        <v>285</v>
      </c>
      <c r="M5887" t="str">
        <f t="shared" si="420"/>
        <v>04</v>
      </c>
      <c r="N5887" t="s">
        <v>12</v>
      </c>
    </row>
    <row r="5888" spans="1:14" x14ac:dyDescent="0.25">
      <c r="A5888">
        <v>20160429</v>
      </c>
      <c r="B5888" t="str">
        <f t="shared" si="423"/>
        <v>063292</v>
      </c>
      <c r="C5888" t="str">
        <f t="shared" si="424"/>
        <v>20683</v>
      </c>
      <c r="D5888" t="s">
        <v>1818</v>
      </c>
      <c r="E5888" s="3">
        <v>12.45</v>
      </c>
      <c r="F5888">
        <v>20160427</v>
      </c>
      <c r="G5888" t="s">
        <v>2333</v>
      </c>
      <c r="H5888" t="s">
        <v>5005</v>
      </c>
      <c r="I5888">
        <v>0</v>
      </c>
      <c r="J5888" t="s">
        <v>1709</v>
      </c>
      <c r="K5888" t="s">
        <v>290</v>
      </c>
      <c r="L5888" t="s">
        <v>285</v>
      </c>
      <c r="M5888" t="str">
        <f t="shared" si="420"/>
        <v>04</v>
      </c>
      <c r="N5888" t="s">
        <v>12</v>
      </c>
    </row>
    <row r="5889" spans="1:14" x14ac:dyDescent="0.25">
      <c r="A5889">
        <v>20160429</v>
      </c>
      <c r="B5889" t="str">
        <f>"063294"</f>
        <v>063294</v>
      </c>
      <c r="C5889" t="str">
        <f>"21049"</f>
        <v>21049</v>
      </c>
      <c r="D5889" t="s">
        <v>2094</v>
      </c>
      <c r="E5889" s="3">
        <v>60</v>
      </c>
      <c r="F5889">
        <v>20160427</v>
      </c>
      <c r="G5889" t="s">
        <v>1712</v>
      </c>
      <c r="H5889" t="s">
        <v>5006</v>
      </c>
      <c r="I5889">
        <v>0</v>
      </c>
      <c r="J5889" t="s">
        <v>1709</v>
      </c>
      <c r="K5889" t="s">
        <v>290</v>
      </c>
      <c r="L5889" t="s">
        <v>285</v>
      </c>
      <c r="M5889" t="str">
        <f t="shared" si="420"/>
        <v>04</v>
      </c>
      <c r="N5889" t="s">
        <v>12</v>
      </c>
    </row>
    <row r="5890" spans="1:14" x14ac:dyDescent="0.25">
      <c r="A5890">
        <v>20160429</v>
      </c>
      <c r="B5890" t="str">
        <f>"063294"</f>
        <v>063294</v>
      </c>
      <c r="C5890" t="str">
        <f>"21049"</f>
        <v>21049</v>
      </c>
      <c r="D5890" t="s">
        <v>2094</v>
      </c>
      <c r="E5890" s="3">
        <v>55</v>
      </c>
      <c r="F5890">
        <v>20160427</v>
      </c>
      <c r="G5890" t="s">
        <v>1712</v>
      </c>
      <c r="H5890" t="s">
        <v>5007</v>
      </c>
      <c r="I5890">
        <v>0</v>
      </c>
      <c r="J5890" t="s">
        <v>1709</v>
      </c>
      <c r="K5890" t="s">
        <v>290</v>
      </c>
      <c r="L5890" t="s">
        <v>285</v>
      </c>
      <c r="M5890" t="str">
        <f t="shared" si="420"/>
        <v>04</v>
      </c>
      <c r="N5890" t="s">
        <v>12</v>
      </c>
    </row>
    <row r="5891" spans="1:14" x14ac:dyDescent="0.25">
      <c r="A5891">
        <v>20160429</v>
      </c>
      <c r="B5891" t="str">
        <f>"063294"</f>
        <v>063294</v>
      </c>
      <c r="C5891" t="str">
        <f>"21049"</f>
        <v>21049</v>
      </c>
      <c r="D5891" t="s">
        <v>2094</v>
      </c>
      <c r="E5891" s="3">
        <v>15</v>
      </c>
      <c r="F5891">
        <v>20160427</v>
      </c>
      <c r="G5891" t="s">
        <v>4159</v>
      </c>
      <c r="H5891" t="s">
        <v>5007</v>
      </c>
      <c r="I5891">
        <v>0</v>
      </c>
      <c r="J5891" t="s">
        <v>1709</v>
      </c>
      <c r="K5891" t="s">
        <v>290</v>
      </c>
      <c r="L5891" t="s">
        <v>285</v>
      </c>
      <c r="M5891" t="str">
        <f t="shared" si="420"/>
        <v>04</v>
      </c>
      <c r="N5891" t="s">
        <v>12</v>
      </c>
    </row>
    <row r="5892" spans="1:14" x14ac:dyDescent="0.25">
      <c r="A5892">
        <v>20160429</v>
      </c>
      <c r="B5892" t="str">
        <f>"063296"</f>
        <v>063296</v>
      </c>
      <c r="C5892" t="str">
        <f>"25144"</f>
        <v>25144</v>
      </c>
      <c r="D5892" t="s">
        <v>3437</v>
      </c>
      <c r="E5892" s="3">
        <v>1486.07</v>
      </c>
      <c r="F5892">
        <v>20160427</v>
      </c>
      <c r="G5892" t="s">
        <v>2635</v>
      </c>
      <c r="H5892" t="s">
        <v>5008</v>
      </c>
      <c r="I5892">
        <v>0</v>
      </c>
      <c r="J5892" t="s">
        <v>1709</v>
      </c>
      <c r="K5892" t="s">
        <v>290</v>
      </c>
      <c r="L5892" t="s">
        <v>285</v>
      </c>
      <c r="M5892" t="str">
        <f t="shared" si="420"/>
        <v>04</v>
      </c>
      <c r="N5892" t="s">
        <v>12</v>
      </c>
    </row>
    <row r="5893" spans="1:14" x14ac:dyDescent="0.25">
      <c r="A5893">
        <v>20160429</v>
      </c>
      <c r="B5893" t="str">
        <f>"063296"</f>
        <v>063296</v>
      </c>
      <c r="C5893" t="str">
        <f>"25144"</f>
        <v>25144</v>
      </c>
      <c r="D5893" t="s">
        <v>3437</v>
      </c>
      <c r="E5893" s="3">
        <v>5000</v>
      </c>
      <c r="F5893">
        <v>20160427</v>
      </c>
      <c r="G5893" t="s">
        <v>5009</v>
      </c>
      <c r="H5893" t="s">
        <v>5010</v>
      </c>
      <c r="I5893">
        <v>0</v>
      </c>
      <c r="J5893" t="s">
        <v>1709</v>
      </c>
      <c r="K5893" t="s">
        <v>290</v>
      </c>
      <c r="L5893" t="s">
        <v>285</v>
      </c>
      <c r="M5893" t="str">
        <f t="shared" si="420"/>
        <v>04</v>
      </c>
      <c r="N5893" t="s">
        <v>12</v>
      </c>
    </row>
    <row r="5894" spans="1:14" x14ac:dyDescent="0.25">
      <c r="A5894">
        <v>20160429</v>
      </c>
      <c r="B5894" t="str">
        <f>"063297"</f>
        <v>063297</v>
      </c>
      <c r="C5894" t="str">
        <f>"54555"</f>
        <v>54555</v>
      </c>
      <c r="D5894" t="s">
        <v>2104</v>
      </c>
      <c r="E5894" s="3">
        <v>37.049999999999997</v>
      </c>
      <c r="F5894">
        <v>20160427</v>
      </c>
      <c r="G5894" t="s">
        <v>1916</v>
      </c>
      <c r="H5894" t="s">
        <v>5011</v>
      </c>
      <c r="I5894">
        <v>0</v>
      </c>
      <c r="J5894" t="s">
        <v>1709</v>
      </c>
      <c r="K5894" t="s">
        <v>1782</v>
      </c>
      <c r="L5894" t="s">
        <v>285</v>
      </c>
      <c r="M5894" t="str">
        <f t="shared" si="420"/>
        <v>04</v>
      </c>
      <c r="N5894" t="s">
        <v>12</v>
      </c>
    </row>
    <row r="5895" spans="1:14" x14ac:dyDescent="0.25">
      <c r="A5895">
        <v>20160429</v>
      </c>
      <c r="B5895" t="str">
        <f>"063298"</f>
        <v>063298</v>
      </c>
      <c r="C5895" t="str">
        <f>"28680"</f>
        <v>28680</v>
      </c>
      <c r="D5895" t="s">
        <v>422</v>
      </c>
      <c r="E5895" s="3">
        <v>104</v>
      </c>
      <c r="F5895">
        <v>20160427</v>
      </c>
      <c r="G5895" t="s">
        <v>1712</v>
      </c>
      <c r="H5895" t="s">
        <v>5012</v>
      </c>
      <c r="I5895">
        <v>0</v>
      </c>
      <c r="J5895" t="s">
        <v>1709</v>
      </c>
      <c r="K5895" t="s">
        <v>290</v>
      </c>
      <c r="L5895" t="s">
        <v>285</v>
      </c>
      <c r="M5895" t="str">
        <f t="shared" si="420"/>
        <v>04</v>
      </c>
      <c r="N5895" t="s">
        <v>12</v>
      </c>
    </row>
    <row r="5896" spans="1:14" x14ac:dyDescent="0.25">
      <c r="A5896">
        <v>20160429</v>
      </c>
      <c r="B5896" t="str">
        <f>"063298"</f>
        <v>063298</v>
      </c>
      <c r="C5896" t="str">
        <f>"28680"</f>
        <v>28680</v>
      </c>
      <c r="D5896" t="s">
        <v>422</v>
      </c>
      <c r="E5896" s="3">
        <v>292.45</v>
      </c>
      <c r="F5896">
        <v>20160427</v>
      </c>
      <c r="G5896" t="s">
        <v>3534</v>
      </c>
      <c r="H5896" t="s">
        <v>4372</v>
      </c>
      <c r="I5896">
        <v>0</v>
      </c>
      <c r="J5896" t="s">
        <v>1709</v>
      </c>
      <c r="K5896" t="s">
        <v>290</v>
      </c>
      <c r="L5896" t="s">
        <v>285</v>
      </c>
      <c r="M5896" t="str">
        <f t="shared" si="420"/>
        <v>04</v>
      </c>
      <c r="N5896" t="s">
        <v>12</v>
      </c>
    </row>
    <row r="5897" spans="1:14" x14ac:dyDescent="0.25">
      <c r="A5897">
        <v>20160429</v>
      </c>
      <c r="B5897" t="str">
        <f>"063298"</f>
        <v>063298</v>
      </c>
      <c r="C5897" t="str">
        <f>"28680"</f>
        <v>28680</v>
      </c>
      <c r="D5897" t="s">
        <v>422</v>
      </c>
      <c r="E5897" s="3">
        <v>323.77</v>
      </c>
      <c r="F5897">
        <v>20160427</v>
      </c>
      <c r="G5897" t="s">
        <v>3534</v>
      </c>
      <c r="H5897" t="s">
        <v>4778</v>
      </c>
      <c r="I5897">
        <v>0</v>
      </c>
      <c r="J5897" t="s">
        <v>1709</v>
      </c>
      <c r="K5897" t="s">
        <v>290</v>
      </c>
      <c r="L5897" t="s">
        <v>285</v>
      </c>
      <c r="M5897" t="str">
        <f t="shared" si="420"/>
        <v>04</v>
      </c>
      <c r="N5897" t="s">
        <v>12</v>
      </c>
    </row>
    <row r="5898" spans="1:14" x14ac:dyDescent="0.25">
      <c r="A5898">
        <v>20160429</v>
      </c>
      <c r="B5898" t="str">
        <f>"063299"</f>
        <v>063299</v>
      </c>
      <c r="C5898" t="str">
        <f>"29556"</f>
        <v>29556</v>
      </c>
      <c r="D5898" t="s">
        <v>5013</v>
      </c>
      <c r="E5898" s="3">
        <v>261.8</v>
      </c>
      <c r="F5898">
        <v>20160427</v>
      </c>
      <c r="G5898" t="s">
        <v>1859</v>
      </c>
      <c r="H5898" t="s">
        <v>5014</v>
      </c>
      <c r="I5898">
        <v>0</v>
      </c>
      <c r="J5898" t="s">
        <v>1709</v>
      </c>
      <c r="K5898" t="s">
        <v>1861</v>
      </c>
      <c r="L5898" t="s">
        <v>285</v>
      </c>
      <c r="M5898" t="str">
        <f t="shared" si="420"/>
        <v>04</v>
      </c>
      <c r="N5898" t="s">
        <v>12</v>
      </c>
    </row>
    <row r="5899" spans="1:14" x14ac:dyDescent="0.25">
      <c r="A5899">
        <v>20160429</v>
      </c>
      <c r="B5899" t="str">
        <f>"063299"</f>
        <v>063299</v>
      </c>
      <c r="C5899" t="str">
        <f>"29556"</f>
        <v>29556</v>
      </c>
      <c r="D5899" t="s">
        <v>5013</v>
      </c>
      <c r="E5899" s="3">
        <v>-261.8</v>
      </c>
      <c r="F5899">
        <v>20160505</v>
      </c>
      <c r="G5899" t="s">
        <v>1859</v>
      </c>
      <c r="H5899" t="s">
        <v>228</v>
      </c>
      <c r="I5899">
        <v>0</v>
      </c>
      <c r="J5899" t="s">
        <v>1709</v>
      </c>
      <c r="K5899" t="s">
        <v>1861</v>
      </c>
      <c r="L5899" t="s">
        <v>17</v>
      </c>
      <c r="M5899" t="str">
        <f t="shared" si="420"/>
        <v>04</v>
      </c>
      <c r="N5899" t="s">
        <v>12</v>
      </c>
    </row>
    <row r="5900" spans="1:14" x14ac:dyDescent="0.25">
      <c r="A5900">
        <v>20160429</v>
      </c>
      <c r="B5900" t="str">
        <f>"063300"</f>
        <v>063300</v>
      </c>
      <c r="C5900" t="str">
        <f>"29624"</f>
        <v>29624</v>
      </c>
      <c r="D5900" t="s">
        <v>1870</v>
      </c>
      <c r="E5900" s="3">
        <v>565.84</v>
      </c>
      <c r="F5900">
        <v>20160427</v>
      </c>
      <c r="G5900" t="s">
        <v>2333</v>
      </c>
      <c r="H5900" t="s">
        <v>2410</v>
      </c>
      <c r="I5900">
        <v>0</v>
      </c>
      <c r="J5900" t="s">
        <v>1709</v>
      </c>
      <c r="K5900" t="s">
        <v>290</v>
      </c>
      <c r="L5900" t="s">
        <v>285</v>
      </c>
      <c r="M5900" t="str">
        <f t="shared" si="420"/>
        <v>04</v>
      </c>
      <c r="N5900" t="s">
        <v>12</v>
      </c>
    </row>
    <row r="5901" spans="1:14" x14ac:dyDescent="0.25">
      <c r="A5901">
        <v>20160429</v>
      </c>
      <c r="B5901" t="str">
        <f>"063302"</f>
        <v>063302</v>
      </c>
      <c r="C5901" t="str">
        <f>"45665"</f>
        <v>45665</v>
      </c>
      <c r="D5901" t="s">
        <v>2887</v>
      </c>
      <c r="E5901" s="3">
        <v>170</v>
      </c>
      <c r="F5901">
        <v>20160427</v>
      </c>
      <c r="G5901" t="s">
        <v>2888</v>
      </c>
      <c r="H5901" t="s">
        <v>5007</v>
      </c>
      <c r="I5901">
        <v>0</v>
      </c>
      <c r="J5901" t="s">
        <v>1709</v>
      </c>
      <c r="K5901" t="s">
        <v>290</v>
      </c>
      <c r="L5901" t="s">
        <v>285</v>
      </c>
      <c r="M5901" t="str">
        <f t="shared" si="420"/>
        <v>04</v>
      </c>
      <c r="N5901" t="s">
        <v>12</v>
      </c>
    </row>
    <row r="5902" spans="1:14" x14ac:dyDescent="0.25">
      <c r="A5902">
        <v>20160429</v>
      </c>
      <c r="B5902" t="str">
        <f>"063303"</f>
        <v>063303</v>
      </c>
      <c r="C5902" t="str">
        <f>"45665"</f>
        <v>45665</v>
      </c>
      <c r="D5902" t="s">
        <v>2887</v>
      </c>
      <c r="E5902" s="3">
        <v>120</v>
      </c>
      <c r="F5902">
        <v>20160427</v>
      </c>
      <c r="G5902" t="s">
        <v>1712</v>
      </c>
      <c r="H5902" t="s">
        <v>5006</v>
      </c>
      <c r="I5902">
        <v>0</v>
      </c>
      <c r="J5902" t="s">
        <v>1709</v>
      </c>
      <c r="K5902" t="s">
        <v>290</v>
      </c>
      <c r="L5902" t="s">
        <v>285</v>
      </c>
      <c r="M5902" t="str">
        <f t="shared" si="420"/>
        <v>04</v>
      </c>
      <c r="N5902" t="s">
        <v>12</v>
      </c>
    </row>
    <row r="5903" spans="1:14" x14ac:dyDescent="0.25">
      <c r="A5903">
        <v>20160429</v>
      </c>
      <c r="B5903" t="str">
        <f>"063304"</f>
        <v>063304</v>
      </c>
      <c r="C5903" t="str">
        <f>"39572"</f>
        <v>39572</v>
      </c>
      <c r="D5903" t="s">
        <v>2112</v>
      </c>
      <c r="E5903" s="3">
        <v>70</v>
      </c>
      <c r="F5903">
        <v>20160427</v>
      </c>
      <c r="G5903" t="s">
        <v>2113</v>
      </c>
      <c r="H5903" t="s">
        <v>5015</v>
      </c>
      <c r="I5903">
        <v>0</v>
      </c>
      <c r="J5903" t="s">
        <v>1709</v>
      </c>
      <c r="K5903" t="s">
        <v>290</v>
      </c>
      <c r="L5903" t="s">
        <v>285</v>
      </c>
      <c r="M5903" t="str">
        <f t="shared" ref="M5903:M5962" si="425">"04"</f>
        <v>04</v>
      </c>
      <c r="N5903" t="s">
        <v>12</v>
      </c>
    </row>
    <row r="5904" spans="1:14" x14ac:dyDescent="0.25">
      <c r="A5904">
        <v>20160429</v>
      </c>
      <c r="B5904" t="str">
        <f>"063304"</f>
        <v>063304</v>
      </c>
      <c r="C5904" t="str">
        <f>"39572"</f>
        <v>39572</v>
      </c>
      <c r="D5904" t="s">
        <v>2112</v>
      </c>
      <c r="E5904" s="3">
        <v>84</v>
      </c>
      <c r="F5904">
        <v>20160427</v>
      </c>
      <c r="G5904" t="s">
        <v>2115</v>
      </c>
      <c r="H5904" t="s">
        <v>5016</v>
      </c>
      <c r="I5904">
        <v>0</v>
      </c>
      <c r="J5904" t="s">
        <v>1709</v>
      </c>
      <c r="K5904" t="s">
        <v>290</v>
      </c>
      <c r="L5904" t="s">
        <v>285</v>
      </c>
      <c r="M5904" t="str">
        <f t="shared" si="425"/>
        <v>04</v>
      </c>
      <c r="N5904" t="s">
        <v>12</v>
      </c>
    </row>
    <row r="5905" spans="1:14" x14ac:dyDescent="0.25">
      <c r="A5905">
        <v>20160429</v>
      </c>
      <c r="B5905" t="str">
        <f>"063305"</f>
        <v>063305</v>
      </c>
      <c r="C5905" t="str">
        <f>"21290"</f>
        <v>21290</v>
      </c>
      <c r="D5905" t="s">
        <v>5017</v>
      </c>
      <c r="E5905" s="3">
        <v>327.04000000000002</v>
      </c>
      <c r="F5905">
        <v>20160427</v>
      </c>
      <c r="G5905" t="s">
        <v>1712</v>
      </c>
      <c r="H5905" t="s">
        <v>5006</v>
      </c>
      <c r="I5905">
        <v>0</v>
      </c>
      <c r="J5905" t="s">
        <v>1709</v>
      </c>
      <c r="K5905" t="s">
        <v>290</v>
      </c>
      <c r="L5905" t="s">
        <v>285</v>
      </c>
      <c r="M5905" t="str">
        <f t="shared" si="425"/>
        <v>04</v>
      </c>
      <c r="N5905" t="s">
        <v>12</v>
      </c>
    </row>
    <row r="5906" spans="1:14" x14ac:dyDescent="0.25">
      <c r="A5906">
        <v>20160429</v>
      </c>
      <c r="B5906" t="str">
        <f>"063305"</f>
        <v>063305</v>
      </c>
      <c r="C5906" t="str">
        <f>"21290"</f>
        <v>21290</v>
      </c>
      <c r="D5906" t="s">
        <v>5017</v>
      </c>
      <c r="E5906" s="3">
        <v>163.52000000000001</v>
      </c>
      <c r="F5906">
        <v>20160427</v>
      </c>
      <c r="G5906" t="s">
        <v>4159</v>
      </c>
      <c r="H5906" t="s">
        <v>5006</v>
      </c>
      <c r="I5906">
        <v>0</v>
      </c>
      <c r="J5906" t="s">
        <v>1709</v>
      </c>
      <c r="K5906" t="s">
        <v>290</v>
      </c>
      <c r="L5906" t="s">
        <v>285</v>
      </c>
      <c r="M5906" t="str">
        <f t="shared" si="425"/>
        <v>04</v>
      </c>
      <c r="N5906" t="s">
        <v>12</v>
      </c>
    </row>
    <row r="5907" spans="1:14" x14ac:dyDescent="0.25">
      <c r="A5907">
        <v>20160429</v>
      </c>
      <c r="B5907" t="str">
        <f>"063306"</f>
        <v>063306</v>
      </c>
      <c r="C5907" t="str">
        <f>"40827"</f>
        <v>40827</v>
      </c>
      <c r="D5907" t="s">
        <v>5018</v>
      </c>
      <c r="E5907" s="3">
        <v>764.16</v>
      </c>
      <c r="F5907">
        <v>20160427</v>
      </c>
      <c r="G5907" t="s">
        <v>5019</v>
      </c>
      <c r="H5907" t="s">
        <v>5020</v>
      </c>
      <c r="I5907">
        <v>0</v>
      </c>
      <c r="J5907" t="s">
        <v>1709</v>
      </c>
      <c r="K5907" t="s">
        <v>290</v>
      </c>
      <c r="L5907" t="s">
        <v>285</v>
      </c>
      <c r="M5907" t="str">
        <f t="shared" si="425"/>
        <v>04</v>
      </c>
      <c r="N5907" t="s">
        <v>12</v>
      </c>
    </row>
    <row r="5908" spans="1:14" x14ac:dyDescent="0.25">
      <c r="A5908">
        <v>20160429</v>
      </c>
      <c r="B5908" t="str">
        <f>"063308"</f>
        <v>063308</v>
      </c>
      <c r="C5908" t="str">
        <f>"46221"</f>
        <v>46221</v>
      </c>
      <c r="D5908" t="s">
        <v>5021</v>
      </c>
      <c r="E5908" s="3">
        <v>90</v>
      </c>
      <c r="F5908">
        <v>20160427</v>
      </c>
      <c r="G5908" t="s">
        <v>4702</v>
      </c>
      <c r="H5908" t="s">
        <v>4652</v>
      </c>
      <c r="I5908">
        <v>0</v>
      </c>
      <c r="J5908" t="s">
        <v>1709</v>
      </c>
      <c r="K5908" t="s">
        <v>95</v>
      </c>
      <c r="L5908" t="s">
        <v>285</v>
      </c>
      <c r="M5908" t="str">
        <f t="shared" si="425"/>
        <v>04</v>
      </c>
      <c r="N5908" t="s">
        <v>12</v>
      </c>
    </row>
    <row r="5909" spans="1:14" x14ac:dyDescent="0.25">
      <c r="A5909">
        <v>20160429</v>
      </c>
      <c r="B5909" t="str">
        <f>"063309"</f>
        <v>063309</v>
      </c>
      <c r="C5909" t="str">
        <f>"46374"</f>
        <v>46374</v>
      </c>
      <c r="D5909" t="s">
        <v>2901</v>
      </c>
      <c r="E5909" s="3">
        <v>713.16</v>
      </c>
      <c r="F5909">
        <v>20160427</v>
      </c>
      <c r="G5909" t="s">
        <v>2356</v>
      </c>
      <c r="H5909" t="s">
        <v>4285</v>
      </c>
      <c r="I5909">
        <v>0</v>
      </c>
      <c r="J5909" t="s">
        <v>1709</v>
      </c>
      <c r="K5909" t="s">
        <v>1861</v>
      </c>
      <c r="L5909" t="s">
        <v>285</v>
      </c>
      <c r="M5909" t="str">
        <f t="shared" si="425"/>
        <v>04</v>
      </c>
      <c r="N5909" t="s">
        <v>12</v>
      </c>
    </row>
    <row r="5910" spans="1:14" x14ac:dyDescent="0.25">
      <c r="A5910">
        <v>20160429</v>
      </c>
      <c r="B5910" t="str">
        <f>"063309"</f>
        <v>063309</v>
      </c>
      <c r="C5910" t="str">
        <f>"46374"</f>
        <v>46374</v>
      </c>
      <c r="D5910" t="s">
        <v>2901</v>
      </c>
      <c r="E5910" s="3">
        <v>356.58</v>
      </c>
      <c r="F5910">
        <v>20160427</v>
      </c>
      <c r="G5910" t="s">
        <v>2356</v>
      </c>
      <c r="H5910" t="s">
        <v>4285</v>
      </c>
      <c r="I5910">
        <v>0</v>
      </c>
      <c r="J5910" t="s">
        <v>1709</v>
      </c>
      <c r="K5910" t="s">
        <v>1861</v>
      </c>
      <c r="L5910" t="s">
        <v>285</v>
      </c>
      <c r="M5910" t="str">
        <f t="shared" si="425"/>
        <v>04</v>
      </c>
      <c r="N5910" t="s">
        <v>12</v>
      </c>
    </row>
    <row r="5911" spans="1:14" x14ac:dyDescent="0.25">
      <c r="A5911">
        <v>20160429</v>
      </c>
      <c r="B5911" t="str">
        <f>"063310"</f>
        <v>063310</v>
      </c>
      <c r="C5911" t="str">
        <f>"46351"</f>
        <v>46351</v>
      </c>
      <c r="D5911" t="s">
        <v>2518</v>
      </c>
      <c r="E5911" s="3">
        <v>633.32000000000005</v>
      </c>
      <c r="F5911">
        <v>20160427</v>
      </c>
      <c r="G5911" t="s">
        <v>1995</v>
      </c>
      <c r="H5911" t="s">
        <v>5022</v>
      </c>
      <c r="I5911">
        <v>0</v>
      </c>
      <c r="J5911" t="s">
        <v>1709</v>
      </c>
      <c r="K5911" t="s">
        <v>235</v>
      </c>
      <c r="L5911" t="s">
        <v>285</v>
      </c>
      <c r="M5911" t="str">
        <f t="shared" si="425"/>
        <v>04</v>
      </c>
      <c r="N5911" t="s">
        <v>12</v>
      </c>
    </row>
    <row r="5912" spans="1:14" x14ac:dyDescent="0.25">
      <c r="A5912">
        <v>20160429</v>
      </c>
      <c r="B5912" t="str">
        <f>"063311"</f>
        <v>063311</v>
      </c>
      <c r="C5912" t="str">
        <f>"49959"</f>
        <v>49959</v>
      </c>
      <c r="D5912" t="s">
        <v>361</v>
      </c>
      <c r="E5912" s="3">
        <v>300</v>
      </c>
      <c r="F5912">
        <v>20160427</v>
      </c>
      <c r="G5912" t="s">
        <v>1788</v>
      </c>
      <c r="H5912" t="s">
        <v>5023</v>
      </c>
      <c r="I5912">
        <v>0</v>
      </c>
      <c r="J5912" t="s">
        <v>1709</v>
      </c>
      <c r="K5912" t="s">
        <v>1643</v>
      </c>
      <c r="L5912" t="s">
        <v>285</v>
      </c>
      <c r="M5912" t="str">
        <f t="shared" si="425"/>
        <v>04</v>
      </c>
      <c r="N5912" t="s">
        <v>12</v>
      </c>
    </row>
    <row r="5913" spans="1:14" x14ac:dyDescent="0.25">
      <c r="A5913">
        <v>20160429</v>
      </c>
      <c r="B5913" t="str">
        <f>"063312"</f>
        <v>063312</v>
      </c>
      <c r="C5913" t="str">
        <f>"50109"</f>
        <v>50109</v>
      </c>
      <c r="D5913" t="s">
        <v>3481</v>
      </c>
      <c r="E5913" s="3">
        <v>462.5</v>
      </c>
      <c r="F5913">
        <v>20160427</v>
      </c>
      <c r="G5913" t="s">
        <v>2056</v>
      </c>
      <c r="H5913" t="s">
        <v>5024</v>
      </c>
      <c r="I5913">
        <v>0</v>
      </c>
      <c r="J5913" t="s">
        <v>1709</v>
      </c>
      <c r="K5913" t="s">
        <v>95</v>
      </c>
      <c r="L5913" t="s">
        <v>285</v>
      </c>
      <c r="M5913" t="str">
        <f t="shared" si="425"/>
        <v>04</v>
      </c>
      <c r="N5913" t="s">
        <v>12</v>
      </c>
    </row>
    <row r="5914" spans="1:14" x14ac:dyDescent="0.25">
      <c r="A5914">
        <v>20160429</v>
      </c>
      <c r="B5914" t="str">
        <f>"063313"</f>
        <v>063313</v>
      </c>
      <c r="C5914" t="str">
        <f>"52211"</f>
        <v>52211</v>
      </c>
      <c r="D5914" t="s">
        <v>5025</v>
      </c>
      <c r="E5914" s="3">
        <v>199.69</v>
      </c>
      <c r="F5914">
        <v>20160427</v>
      </c>
      <c r="G5914" t="s">
        <v>5026</v>
      </c>
      <c r="H5914" t="s">
        <v>2169</v>
      </c>
      <c r="I5914">
        <v>0</v>
      </c>
      <c r="J5914" t="s">
        <v>1709</v>
      </c>
      <c r="K5914" t="s">
        <v>33</v>
      </c>
      <c r="L5914" t="s">
        <v>285</v>
      </c>
      <c r="M5914" t="str">
        <f t="shared" si="425"/>
        <v>04</v>
      </c>
      <c r="N5914" t="s">
        <v>12</v>
      </c>
    </row>
    <row r="5915" spans="1:14" x14ac:dyDescent="0.25">
      <c r="A5915">
        <v>20160429</v>
      </c>
      <c r="B5915" t="str">
        <f>"063317"</f>
        <v>063317</v>
      </c>
      <c r="C5915" t="str">
        <f>"58173"</f>
        <v>58173</v>
      </c>
      <c r="D5915" t="s">
        <v>2544</v>
      </c>
      <c r="E5915" s="3">
        <v>337.5</v>
      </c>
      <c r="F5915">
        <v>20160427</v>
      </c>
      <c r="G5915" t="s">
        <v>2545</v>
      </c>
      <c r="H5915" t="s">
        <v>4138</v>
      </c>
      <c r="I5915">
        <v>0</v>
      </c>
      <c r="J5915" t="s">
        <v>1709</v>
      </c>
      <c r="K5915" t="s">
        <v>1861</v>
      </c>
      <c r="L5915" t="s">
        <v>285</v>
      </c>
      <c r="M5915" t="str">
        <f t="shared" si="425"/>
        <v>04</v>
      </c>
      <c r="N5915" t="s">
        <v>12</v>
      </c>
    </row>
    <row r="5916" spans="1:14" x14ac:dyDescent="0.25">
      <c r="A5916">
        <v>20160429</v>
      </c>
      <c r="B5916" t="str">
        <f>"063321"</f>
        <v>063321</v>
      </c>
      <c r="C5916" t="str">
        <f>"64789"</f>
        <v>64789</v>
      </c>
      <c r="D5916" t="s">
        <v>2555</v>
      </c>
      <c r="E5916" s="3">
        <v>10</v>
      </c>
      <c r="F5916">
        <v>20160427</v>
      </c>
      <c r="G5916" t="s">
        <v>4090</v>
      </c>
      <c r="H5916" t="s">
        <v>5027</v>
      </c>
      <c r="I5916">
        <v>0</v>
      </c>
      <c r="J5916" t="s">
        <v>1709</v>
      </c>
      <c r="K5916" t="s">
        <v>1861</v>
      </c>
      <c r="L5916" t="s">
        <v>285</v>
      </c>
      <c r="M5916" t="str">
        <f t="shared" si="425"/>
        <v>04</v>
      </c>
      <c r="N5916" t="s">
        <v>12</v>
      </c>
    </row>
    <row r="5917" spans="1:14" x14ac:dyDescent="0.25">
      <c r="A5917">
        <v>20160429</v>
      </c>
      <c r="B5917" t="str">
        <f>"063322"</f>
        <v>063322</v>
      </c>
      <c r="C5917" t="str">
        <f>"65212"</f>
        <v>65212</v>
      </c>
      <c r="D5917" t="s">
        <v>2017</v>
      </c>
      <c r="E5917" s="3">
        <v>1179.4000000000001</v>
      </c>
      <c r="F5917">
        <v>20160427</v>
      </c>
      <c r="G5917" t="s">
        <v>2018</v>
      </c>
      <c r="H5917" t="s">
        <v>5028</v>
      </c>
      <c r="I5917">
        <v>0</v>
      </c>
      <c r="J5917" t="s">
        <v>1709</v>
      </c>
      <c r="K5917" t="s">
        <v>1856</v>
      </c>
      <c r="L5917" t="s">
        <v>285</v>
      </c>
      <c r="M5917" t="str">
        <f t="shared" si="425"/>
        <v>04</v>
      </c>
      <c r="N5917" t="s">
        <v>12</v>
      </c>
    </row>
    <row r="5918" spans="1:14" x14ac:dyDescent="0.25">
      <c r="A5918">
        <v>20160429</v>
      </c>
      <c r="B5918" t="str">
        <f t="shared" ref="B5918:B5925" si="426">"063323"</f>
        <v>063323</v>
      </c>
      <c r="C5918" t="str">
        <f t="shared" ref="C5918:C5925" si="427">"72730"</f>
        <v>72730</v>
      </c>
      <c r="D5918" t="s">
        <v>1400</v>
      </c>
      <c r="E5918" s="3">
        <v>496.8</v>
      </c>
      <c r="F5918">
        <v>20160427</v>
      </c>
      <c r="G5918" t="s">
        <v>4208</v>
      </c>
      <c r="H5918" t="s">
        <v>5029</v>
      </c>
      <c r="I5918">
        <v>0</v>
      </c>
      <c r="J5918" t="s">
        <v>1709</v>
      </c>
      <c r="K5918" t="s">
        <v>290</v>
      </c>
      <c r="L5918" t="s">
        <v>285</v>
      </c>
      <c r="M5918" t="str">
        <f t="shared" si="425"/>
        <v>04</v>
      </c>
      <c r="N5918" t="s">
        <v>12</v>
      </c>
    </row>
    <row r="5919" spans="1:14" x14ac:dyDescent="0.25">
      <c r="A5919">
        <v>20160429</v>
      </c>
      <c r="B5919" t="str">
        <f t="shared" si="426"/>
        <v>063323</v>
      </c>
      <c r="C5919" t="str">
        <f t="shared" si="427"/>
        <v>72730</v>
      </c>
      <c r="D5919" t="s">
        <v>1400</v>
      </c>
      <c r="E5919" s="3">
        <v>380.5</v>
      </c>
      <c r="F5919">
        <v>20160427</v>
      </c>
      <c r="G5919" t="s">
        <v>4208</v>
      </c>
      <c r="H5919" t="s">
        <v>5030</v>
      </c>
      <c r="I5919">
        <v>0</v>
      </c>
      <c r="J5919" t="s">
        <v>1709</v>
      </c>
      <c r="K5919" t="s">
        <v>290</v>
      </c>
      <c r="L5919" t="s">
        <v>285</v>
      </c>
      <c r="M5919" t="str">
        <f t="shared" si="425"/>
        <v>04</v>
      </c>
      <c r="N5919" t="s">
        <v>12</v>
      </c>
    </row>
    <row r="5920" spans="1:14" x14ac:dyDescent="0.25">
      <c r="A5920">
        <v>20160429</v>
      </c>
      <c r="B5920" t="str">
        <f t="shared" si="426"/>
        <v>063323</v>
      </c>
      <c r="C5920" t="str">
        <f t="shared" si="427"/>
        <v>72730</v>
      </c>
      <c r="D5920" t="s">
        <v>1400</v>
      </c>
      <c r="E5920" s="3">
        <v>326</v>
      </c>
      <c r="F5920">
        <v>20160427</v>
      </c>
      <c r="G5920" t="s">
        <v>4208</v>
      </c>
      <c r="H5920" t="s">
        <v>5031</v>
      </c>
      <c r="I5920">
        <v>0</v>
      </c>
      <c r="J5920" t="s">
        <v>1709</v>
      </c>
      <c r="K5920" t="s">
        <v>290</v>
      </c>
      <c r="L5920" t="s">
        <v>285</v>
      </c>
      <c r="M5920" t="str">
        <f t="shared" si="425"/>
        <v>04</v>
      </c>
      <c r="N5920" t="s">
        <v>12</v>
      </c>
    </row>
    <row r="5921" spans="1:14" x14ac:dyDescent="0.25">
      <c r="A5921">
        <v>20160429</v>
      </c>
      <c r="B5921" t="str">
        <f t="shared" si="426"/>
        <v>063323</v>
      </c>
      <c r="C5921" t="str">
        <f t="shared" si="427"/>
        <v>72730</v>
      </c>
      <c r="D5921" t="s">
        <v>1400</v>
      </c>
      <c r="E5921" s="3">
        <v>-9.06</v>
      </c>
      <c r="F5921">
        <v>20160409</v>
      </c>
      <c r="G5921" t="s">
        <v>4208</v>
      </c>
      <c r="H5921" t="s">
        <v>5032</v>
      </c>
      <c r="I5921">
        <v>0</v>
      </c>
      <c r="J5921" t="s">
        <v>1709</v>
      </c>
      <c r="K5921" t="s">
        <v>290</v>
      </c>
      <c r="L5921" t="s">
        <v>1385</v>
      </c>
      <c r="M5921" t="str">
        <f t="shared" si="425"/>
        <v>04</v>
      </c>
      <c r="N5921" t="s">
        <v>12</v>
      </c>
    </row>
    <row r="5922" spans="1:14" x14ac:dyDescent="0.25">
      <c r="A5922">
        <v>20160429</v>
      </c>
      <c r="B5922" t="str">
        <f t="shared" si="426"/>
        <v>063323</v>
      </c>
      <c r="C5922" t="str">
        <f t="shared" si="427"/>
        <v>72730</v>
      </c>
      <c r="D5922" t="s">
        <v>1400</v>
      </c>
      <c r="E5922" s="3">
        <v>-60.6</v>
      </c>
      <c r="F5922">
        <v>20160325</v>
      </c>
      <c r="G5922" t="s">
        <v>2980</v>
      </c>
      <c r="H5922" t="s">
        <v>1414</v>
      </c>
      <c r="I5922">
        <v>0</v>
      </c>
      <c r="J5922" t="s">
        <v>1709</v>
      </c>
      <c r="K5922" t="s">
        <v>95</v>
      </c>
      <c r="L5922" t="s">
        <v>1385</v>
      </c>
      <c r="M5922" t="str">
        <f t="shared" si="425"/>
        <v>04</v>
      </c>
      <c r="N5922" t="s">
        <v>12</v>
      </c>
    </row>
    <row r="5923" spans="1:14" x14ac:dyDescent="0.25">
      <c r="A5923">
        <v>20160429</v>
      </c>
      <c r="B5923" t="str">
        <f t="shared" si="426"/>
        <v>063323</v>
      </c>
      <c r="C5923" t="str">
        <f t="shared" si="427"/>
        <v>72730</v>
      </c>
      <c r="D5923" t="s">
        <v>1400</v>
      </c>
      <c r="E5923" s="3">
        <v>220.84</v>
      </c>
      <c r="F5923">
        <v>20160427</v>
      </c>
      <c r="G5923" t="s">
        <v>5033</v>
      </c>
      <c r="H5923" t="s">
        <v>5034</v>
      </c>
      <c r="I5923">
        <v>0</v>
      </c>
      <c r="J5923" t="s">
        <v>1709</v>
      </c>
      <c r="K5923" t="s">
        <v>290</v>
      </c>
      <c r="L5923" t="s">
        <v>285</v>
      </c>
      <c r="M5923" t="str">
        <f t="shared" si="425"/>
        <v>04</v>
      </c>
      <c r="N5923" t="s">
        <v>12</v>
      </c>
    </row>
    <row r="5924" spans="1:14" x14ac:dyDescent="0.25">
      <c r="A5924">
        <v>20160429</v>
      </c>
      <c r="B5924" t="str">
        <f t="shared" si="426"/>
        <v>063323</v>
      </c>
      <c r="C5924" t="str">
        <f t="shared" si="427"/>
        <v>72730</v>
      </c>
      <c r="D5924" t="s">
        <v>1400</v>
      </c>
      <c r="E5924" s="3">
        <v>20.97</v>
      </c>
      <c r="F5924">
        <v>20160427</v>
      </c>
      <c r="G5924" t="s">
        <v>1933</v>
      </c>
      <c r="H5924" t="s">
        <v>5035</v>
      </c>
      <c r="I5924">
        <v>0</v>
      </c>
      <c r="J5924" t="s">
        <v>1709</v>
      </c>
      <c r="K5924" t="s">
        <v>1558</v>
      </c>
      <c r="L5924" t="s">
        <v>285</v>
      </c>
      <c r="M5924" t="str">
        <f t="shared" si="425"/>
        <v>04</v>
      </c>
      <c r="N5924" t="s">
        <v>12</v>
      </c>
    </row>
    <row r="5925" spans="1:14" x14ac:dyDescent="0.25">
      <c r="A5925">
        <v>20160429</v>
      </c>
      <c r="B5925" t="str">
        <f t="shared" si="426"/>
        <v>063323</v>
      </c>
      <c r="C5925" t="str">
        <f t="shared" si="427"/>
        <v>72730</v>
      </c>
      <c r="D5925" t="s">
        <v>1400</v>
      </c>
      <c r="E5925" s="3">
        <v>64.900000000000006</v>
      </c>
      <c r="F5925">
        <v>20160427</v>
      </c>
      <c r="G5925" t="s">
        <v>1933</v>
      </c>
      <c r="H5925" t="s">
        <v>5036</v>
      </c>
      <c r="I5925">
        <v>0</v>
      </c>
      <c r="J5925" t="s">
        <v>1709</v>
      </c>
      <c r="K5925" t="s">
        <v>1558</v>
      </c>
      <c r="L5925" t="s">
        <v>285</v>
      </c>
      <c r="M5925" t="str">
        <f t="shared" si="425"/>
        <v>04</v>
      </c>
      <c r="N5925" t="s">
        <v>12</v>
      </c>
    </row>
    <row r="5926" spans="1:14" x14ac:dyDescent="0.25">
      <c r="A5926">
        <v>20160429</v>
      </c>
      <c r="B5926" t="str">
        <f>"063324"</f>
        <v>063324</v>
      </c>
      <c r="C5926" t="str">
        <f>"77068"</f>
        <v>77068</v>
      </c>
      <c r="D5926" t="s">
        <v>1929</v>
      </c>
      <c r="E5926" s="3">
        <v>5111.46</v>
      </c>
      <c r="F5926">
        <v>20160427</v>
      </c>
      <c r="G5926" t="s">
        <v>2588</v>
      </c>
      <c r="H5926" t="s">
        <v>5037</v>
      </c>
      <c r="I5926">
        <v>0</v>
      </c>
      <c r="J5926" t="s">
        <v>1709</v>
      </c>
      <c r="K5926" t="s">
        <v>1861</v>
      </c>
      <c r="L5926" t="s">
        <v>285</v>
      </c>
      <c r="M5926" t="str">
        <f t="shared" si="425"/>
        <v>04</v>
      </c>
      <c r="N5926" t="s">
        <v>12</v>
      </c>
    </row>
    <row r="5927" spans="1:14" x14ac:dyDescent="0.25">
      <c r="A5927">
        <v>20160429</v>
      </c>
      <c r="B5927" t="str">
        <f>"063324"</f>
        <v>063324</v>
      </c>
      <c r="C5927" t="str">
        <f>"77068"</f>
        <v>77068</v>
      </c>
      <c r="D5927" t="s">
        <v>1929</v>
      </c>
      <c r="E5927" s="3">
        <v>649</v>
      </c>
      <c r="F5927">
        <v>20160427</v>
      </c>
      <c r="G5927" t="s">
        <v>2588</v>
      </c>
      <c r="H5927" t="s">
        <v>5038</v>
      </c>
      <c r="I5927">
        <v>0</v>
      </c>
      <c r="J5927" t="s">
        <v>1709</v>
      </c>
      <c r="K5927" t="s">
        <v>1861</v>
      </c>
      <c r="L5927" t="s">
        <v>285</v>
      </c>
      <c r="M5927" t="str">
        <f t="shared" si="425"/>
        <v>04</v>
      </c>
      <c r="N5927" t="s">
        <v>12</v>
      </c>
    </row>
    <row r="5928" spans="1:14" x14ac:dyDescent="0.25">
      <c r="A5928">
        <v>20160429</v>
      </c>
      <c r="B5928" t="str">
        <f t="shared" ref="B5928:B5934" si="428">"063325"</f>
        <v>063325</v>
      </c>
      <c r="C5928" t="str">
        <f t="shared" ref="C5928:C5934" si="429">"78311"</f>
        <v>78311</v>
      </c>
      <c r="D5928" t="s">
        <v>458</v>
      </c>
      <c r="E5928" s="3">
        <v>23.4</v>
      </c>
      <c r="F5928">
        <v>20160427</v>
      </c>
      <c r="G5928" t="s">
        <v>1957</v>
      </c>
      <c r="H5928" t="s">
        <v>4594</v>
      </c>
      <c r="I5928">
        <v>0</v>
      </c>
      <c r="J5928" t="s">
        <v>1709</v>
      </c>
      <c r="K5928" t="s">
        <v>290</v>
      </c>
      <c r="L5928" t="s">
        <v>285</v>
      </c>
      <c r="M5928" t="str">
        <f t="shared" si="425"/>
        <v>04</v>
      </c>
      <c r="N5928" t="s">
        <v>12</v>
      </c>
    </row>
    <row r="5929" spans="1:14" x14ac:dyDescent="0.25">
      <c r="A5929">
        <v>20160429</v>
      </c>
      <c r="B5929" t="str">
        <f t="shared" si="428"/>
        <v>063325</v>
      </c>
      <c r="C5929" t="str">
        <f t="shared" si="429"/>
        <v>78311</v>
      </c>
      <c r="D5929" t="s">
        <v>458</v>
      </c>
      <c r="E5929" s="3">
        <v>27.14</v>
      </c>
      <c r="F5929">
        <v>20160427</v>
      </c>
      <c r="G5929" t="s">
        <v>1712</v>
      </c>
      <c r="H5929" t="s">
        <v>4503</v>
      </c>
      <c r="I5929">
        <v>0</v>
      </c>
      <c r="J5929" t="s">
        <v>1709</v>
      </c>
      <c r="K5929" t="s">
        <v>290</v>
      </c>
      <c r="L5929" t="s">
        <v>285</v>
      </c>
      <c r="M5929" t="str">
        <f t="shared" si="425"/>
        <v>04</v>
      </c>
      <c r="N5929" t="s">
        <v>12</v>
      </c>
    </row>
    <row r="5930" spans="1:14" x14ac:dyDescent="0.25">
      <c r="A5930">
        <v>20160429</v>
      </c>
      <c r="B5930" t="str">
        <f t="shared" si="428"/>
        <v>063325</v>
      </c>
      <c r="C5930" t="str">
        <f t="shared" si="429"/>
        <v>78311</v>
      </c>
      <c r="D5930" t="s">
        <v>458</v>
      </c>
      <c r="E5930" s="3">
        <v>15.22</v>
      </c>
      <c r="F5930">
        <v>20160427</v>
      </c>
      <c r="G5930" t="s">
        <v>1712</v>
      </c>
      <c r="H5930" t="s">
        <v>4503</v>
      </c>
      <c r="I5930">
        <v>0</v>
      </c>
      <c r="J5930" t="s">
        <v>1709</v>
      </c>
      <c r="K5930" t="s">
        <v>290</v>
      </c>
      <c r="L5930" t="s">
        <v>285</v>
      </c>
      <c r="M5930" t="str">
        <f t="shared" si="425"/>
        <v>04</v>
      </c>
      <c r="N5930" t="s">
        <v>12</v>
      </c>
    </row>
    <row r="5931" spans="1:14" x14ac:dyDescent="0.25">
      <c r="A5931">
        <v>20160429</v>
      </c>
      <c r="B5931" t="str">
        <f t="shared" si="428"/>
        <v>063325</v>
      </c>
      <c r="C5931" t="str">
        <f t="shared" si="429"/>
        <v>78311</v>
      </c>
      <c r="D5931" t="s">
        <v>458</v>
      </c>
      <c r="E5931" s="3">
        <v>33.22</v>
      </c>
      <c r="F5931">
        <v>20160427</v>
      </c>
      <c r="G5931" t="s">
        <v>2888</v>
      </c>
      <c r="H5931" t="s">
        <v>4503</v>
      </c>
      <c r="I5931">
        <v>0</v>
      </c>
      <c r="J5931" t="s">
        <v>1709</v>
      </c>
      <c r="K5931" t="s">
        <v>290</v>
      </c>
      <c r="L5931" t="s">
        <v>285</v>
      </c>
      <c r="M5931" t="str">
        <f t="shared" si="425"/>
        <v>04</v>
      </c>
      <c r="N5931" t="s">
        <v>12</v>
      </c>
    </row>
    <row r="5932" spans="1:14" x14ac:dyDescent="0.25">
      <c r="A5932">
        <v>20160429</v>
      </c>
      <c r="B5932" t="str">
        <f t="shared" si="428"/>
        <v>063325</v>
      </c>
      <c r="C5932" t="str">
        <f t="shared" si="429"/>
        <v>78311</v>
      </c>
      <c r="D5932" t="s">
        <v>458</v>
      </c>
      <c r="E5932" s="3">
        <v>14.25</v>
      </c>
      <c r="F5932">
        <v>20160427</v>
      </c>
      <c r="G5932" t="s">
        <v>2888</v>
      </c>
      <c r="H5932" t="s">
        <v>4503</v>
      </c>
      <c r="I5932">
        <v>0</v>
      </c>
      <c r="J5932" t="s">
        <v>1709</v>
      </c>
      <c r="K5932" t="s">
        <v>290</v>
      </c>
      <c r="L5932" t="s">
        <v>285</v>
      </c>
      <c r="M5932" t="str">
        <f t="shared" si="425"/>
        <v>04</v>
      </c>
      <c r="N5932" t="s">
        <v>12</v>
      </c>
    </row>
    <row r="5933" spans="1:14" x14ac:dyDescent="0.25">
      <c r="A5933">
        <v>20160429</v>
      </c>
      <c r="B5933" t="str">
        <f t="shared" si="428"/>
        <v>063325</v>
      </c>
      <c r="C5933" t="str">
        <f t="shared" si="429"/>
        <v>78311</v>
      </c>
      <c r="D5933" t="s">
        <v>458</v>
      </c>
      <c r="E5933" s="3">
        <v>25.11</v>
      </c>
      <c r="F5933">
        <v>20160427</v>
      </c>
      <c r="G5933" t="s">
        <v>2888</v>
      </c>
      <c r="H5933" t="s">
        <v>4503</v>
      </c>
      <c r="I5933">
        <v>0</v>
      </c>
      <c r="J5933" t="s">
        <v>1709</v>
      </c>
      <c r="K5933" t="s">
        <v>290</v>
      </c>
      <c r="L5933" t="s">
        <v>285</v>
      </c>
      <c r="M5933" t="str">
        <f t="shared" si="425"/>
        <v>04</v>
      </c>
      <c r="N5933" t="s">
        <v>12</v>
      </c>
    </row>
    <row r="5934" spans="1:14" x14ac:dyDescent="0.25">
      <c r="A5934">
        <v>20160429</v>
      </c>
      <c r="B5934" t="str">
        <f t="shared" si="428"/>
        <v>063325</v>
      </c>
      <c r="C5934" t="str">
        <f t="shared" si="429"/>
        <v>78311</v>
      </c>
      <c r="D5934" t="s">
        <v>458</v>
      </c>
      <c r="E5934" s="3">
        <v>11.32</v>
      </c>
      <c r="F5934">
        <v>20160427</v>
      </c>
      <c r="G5934" t="s">
        <v>2888</v>
      </c>
      <c r="H5934" t="s">
        <v>4503</v>
      </c>
      <c r="I5934">
        <v>0</v>
      </c>
      <c r="J5934" t="s">
        <v>1709</v>
      </c>
      <c r="K5934" t="s">
        <v>290</v>
      </c>
      <c r="L5934" t="s">
        <v>285</v>
      </c>
      <c r="M5934" t="str">
        <f t="shared" si="425"/>
        <v>04</v>
      </c>
      <c r="N5934" t="s">
        <v>12</v>
      </c>
    </row>
    <row r="5935" spans="1:14" x14ac:dyDescent="0.25">
      <c r="A5935">
        <v>20160429</v>
      </c>
      <c r="B5935" t="str">
        <f>"063327"</f>
        <v>063327</v>
      </c>
      <c r="C5935" t="str">
        <f>"82131"</f>
        <v>82131</v>
      </c>
      <c r="D5935" t="s">
        <v>1516</v>
      </c>
      <c r="E5935" s="3">
        <v>120</v>
      </c>
      <c r="F5935">
        <v>20160427</v>
      </c>
      <c r="G5935" t="s">
        <v>2339</v>
      </c>
      <c r="H5935" t="s">
        <v>5039</v>
      </c>
      <c r="I5935">
        <v>0</v>
      </c>
      <c r="J5935" t="s">
        <v>1709</v>
      </c>
      <c r="K5935" t="s">
        <v>290</v>
      </c>
      <c r="L5935" t="s">
        <v>285</v>
      </c>
      <c r="M5935" t="str">
        <f t="shared" si="425"/>
        <v>04</v>
      </c>
      <c r="N5935" t="s">
        <v>12</v>
      </c>
    </row>
    <row r="5936" spans="1:14" x14ac:dyDescent="0.25">
      <c r="A5936">
        <v>20160429</v>
      </c>
      <c r="B5936" t="str">
        <f t="shared" ref="B5936:B5956" si="430">"063329"</f>
        <v>063329</v>
      </c>
      <c r="C5936" t="str">
        <f t="shared" ref="C5936:C5956" si="431">"83022"</f>
        <v>83022</v>
      </c>
      <c r="D5936" t="s">
        <v>394</v>
      </c>
      <c r="E5936" s="3">
        <v>25.16</v>
      </c>
      <c r="F5936">
        <v>20160427</v>
      </c>
      <c r="G5936" t="s">
        <v>3888</v>
      </c>
      <c r="H5936" t="s">
        <v>3890</v>
      </c>
      <c r="I5936">
        <v>0</v>
      </c>
      <c r="J5936" t="s">
        <v>1709</v>
      </c>
      <c r="K5936" t="s">
        <v>95</v>
      </c>
      <c r="L5936" t="s">
        <v>285</v>
      </c>
      <c r="M5936" t="str">
        <f t="shared" si="425"/>
        <v>04</v>
      </c>
      <c r="N5936" t="s">
        <v>12</v>
      </c>
    </row>
    <row r="5937" spans="1:14" x14ac:dyDescent="0.25">
      <c r="A5937">
        <v>20160429</v>
      </c>
      <c r="B5937" t="str">
        <f t="shared" si="430"/>
        <v>063329</v>
      </c>
      <c r="C5937" t="str">
        <f t="shared" si="431"/>
        <v>83022</v>
      </c>
      <c r="D5937" t="s">
        <v>394</v>
      </c>
      <c r="E5937" s="3">
        <v>99.14</v>
      </c>
      <c r="F5937">
        <v>20160427</v>
      </c>
      <c r="G5937" t="s">
        <v>3888</v>
      </c>
      <c r="H5937" t="s">
        <v>3890</v>
      </c>
      <c r="I5937">
        <v>0</v>
      </c>
      <c r="J5937" t="s">
        <v>1709</v>
      </c>
      <c r="K5937" t="s">
        <v>95</v>
      </c>
      <c r="L5937" t="s">
        <v>285</v>
      </c>
      <c r="M5937" t="str">
        <f t="shared" si="425"/>
        <v>04</v>
      </c>
      <c r="N5937" t="s">
        <v>12</v>
      </c>
    </row>
    <row r="5938" spans="1:14" x14ac:dyDescent="0.25">
      <c r="A5938">
        <v>20160429</v>
      </c>
      <c r="B5938" t="str">
        <f t="shared" si="430"/>
        <v>063329</v>
      </c>
      <c r="C5938" t="str">
        <f t="shared" si="431"/>
        <v>83022</v>
      </c>
      <c r="D5938" t="s">
        <v>394</v>
      </c>
      <c r="E5938" s="3">
        <v>4.34</v>
      </c>
      <c r="F5938">
        <v>20160427</v>
      </c>
      <c r="G5938" t="s">
        <v>2168</v>
      </c>
      <c r="H5938" t="s">
        <v>4317</v>
      </c>
      <c r="I5938">
        <v>0</v>
      </c>
      <c r="J5938" t="s">
        <v>1709</v>
      </c>
      <c r="K5938" t="s">
        <v>33</v>
      </c>
      <c r="L5938" t="s">
        <v>285</v>
      </c>
      <c r="M5938" t="str">
        <f t="shared" si="425"/>
        <v>04</v>
      </c>
      <c r="N5938" t="s">
        <v>12</v>
      </c>
    </row>
    <row r="5939" spans="1:14" x14ac:dyDescent="0.25">
      <c r="A5939">
        <v>20160429</v>
      </c>
      <c r="B5939" t="str">
        <f t="shared" si="430"/>
        <v>063329</v>
      </c>
      <c r="C5939" t="str">
        <f t="shared" si="431"/>
        <v>83022</v>
      </c>
      <c r="D5939" t="s">
        <v>394</v>
      </c>
      <c r="E5939" s="3">
        <v>50.77</v>
      </c>
      <c r="F5939">
        <v>20160427</v>
      </c>
      <c r="G5939" t="s">
        <v>2168</v>
      </c>
      <c r="H5939" t="s">
        <v>4317</v>
      </c>
      <c r="I5939">
        <v>0</v>
      </c>
      <c r="J5939" t="s">
        <v>1709</v>
      </c>
      <c r="K5939" t="s">
        <v>33</v>
      </c>
      <c r="L5939" t="s">
        <v>285</v>
      </c>
      <c r="M5939" t="str">
        <f t="shared" si="425"/>
        <v>04</v>
      </c>
      <c r="N5939" t="s">
        <v>12</v>
      </c>
    </row>
    <row r="5940" spans="1:14" x14ac:dyDescent="0.25">
      <c r="A5940">
        <v>20160429</v>
      </c>
      <c r="B5940" t="str">
        <f t="shared" si="430"/>
        <v>063329</v>
      </c>
      <c r="C5940" t="str">
        <f t="shared" si="431"/>
        <v>83022</v>
      </c>
      <c r="D5940" t="s">
        <v>394</v>
      </c>
      <c r="E5940" s="3">
        <v>42.99</v>
      </c>
      <c r="F5940">
        <v>20160427</v>
      </c>
      <c r="G5940" t="s">
        <v>2100</v>
      </c>
      <c r="H5940" t="s">
        <v>2790</v>
      </c>
      <c r="I5940">
        <v>0</v>
      </c>
      <c r="J5940" t="s">
        <v>1709</v>
      </c>
      <c r="K5940" t="s">
        <v>33</v>
      </c>
      <c r="L5940" t="s">
        <v>285</v>
      </c>
      <c r="M5940" t="str">
        <f t="shared" si="425"/>
        <v>04</v>
      </c>
      <c r="N5940" t="s">
        <v>12</v>
      </c>
    </row>
    <row r="5941" spans="1:14" x14ac:dyDescent="0.25">
      <c r="A5941">
        <v>20160429</v>
      </c>
      <c r="B5941" t="str">
        <f t="shared" si="430"/>
        <v>063329</v>
      </c>
      <c r="C5941" t="str">
        <f t="shared" si="431"/>
        <v>83022</v>
      </c>
      <c r="D5941" t="s">
        <v>394</v>
      </c>
      <c r="E5941" s="3">
        <v>43.19</v>
      </c>
      <c r="F5941">
        <v>20160427</v>
      </c>
      <c r="G5941" t="s">
        <v>2727</v>
      </c>
      <c r="H5941" t="s">
        <v>5040</v>
      </c>
      <c r="I5941">
        <v>0</v>
      </c>
      <c r="J5941" t="s">
        <v>1709</v>
      </c>
      <c r="K5941" t="s">
        <v>95</v>
      </c>
      <c r="L5941" t="s">
        <v>285</v>
      </c>
      <c r="M5941" t="str">
        <f t="shared" si="425"/>
        <v>04</v>
      </c>
      <c r="N5941" t="s">
        <v>12</v>
      </c>
    </row>
    <row r="5942" spans="1:14" x14ac:dyDescent="0.25">
      <c r="A5942">
        <v>20160429</v>
      </c>
      <c r="B5942" t="str">
        <f t="shared" si="430"/>
        <v>063329</v>
      </c>
      <c r="C5942" t="str">
        <f t="shared" si="431"/>
        <v>83022</v>
      </c>
      <c r="D5942" t="s">
        <v>394</v>
      </c>
      <c r="E5942" s="3">
        <v>211</v>
      </c>
      <c r="F5942">
        <v>20160427</v>
      </c>
      <c r="G5942" t="s">
        <v>3180</v>
      </c>
      <c r="H5942" t="s">
        <v>5041</v>
      </c>
      <c r="I5942">
        <v>0</v>
      </c>
      <c r="J5942" t="s">
        <v>1709</v>
      </c>
      <c r="K5942" t="s">
        <v>290</v>
      </c>
      <c r="L5942" t="s">
        <v>285</v>
      </c>
      <c r="M5942" t="str">
        <f t="shared" si="425"/>
        <v>04</v>
      </c>
      <c r="N5942" t="s">
        <v>12</v>
      </c>
    </row>
    <row r="5943" spans="1:14" x14ac:dyDescent="0.25">
      <c r="A5943">
        <v>20160429</v>
      </c>
      <c r="B5943" t="str">
        <f t="shared" si="430"/>
        <v>063329</v>
      </c>
      <c r="C5943" t="str">
        <f t="shared" si="431"/>
        <v>83022</v>
      </c>
      <c r="D5943" t="s">
        <v>394</v>
      </c>
      <c r="E5943" s="3">
        <v>110.54</v>
      </c>
      <c r="F5943">
        <v>20160427</v>
      </c>
      <c r="G5943" t="s">
        <v>2275</v>
      </c>
      <c r="H5943" t="s">
        <v>595</v>
      </c>
      <c r="I5943">
        <v>0</v>
      </c>
      <c r="J5943" t="s">
        <v>1709</v>
      </c>
      <c r="K5943" t="s">
        <v>95</v>
      </c>
      <c r="L5943" t="s">
        <v>285</v>
      </c>
      <c r="M5943" t="str">
        <f t="shared" si="425"/>
        <v>04</v>
      </c>
      <c r="N5943" t="s">
        <v>12</v>
      </c>
    </row>
    <row r="5944" spans="1:14" x14ac:dyDescent="0.25">
      <c r="A5944">
        <v>20160429</v>
      </c>
      <c r="B5944" t="str">
        <f t="shared" si="430"/>
        <v>063329</v>
      </c>
      <c r="C5944" t="str">
        <f t="shared" si="431"/>
        <v>83022</v>
      </c>
      <c r="D5944" t="s">
        <v>394</v>
      </c>
      <c r="E5944" s="3">
        <v>42.88</v>
      </c>
      <c r="F5944">
        <v>20160427</v>
      </c>
      <c r="G5944" t="s">
        <v>1758</v>
      </c>
      <c r="H5944" t="s">
        <v>1554</v>
      </c>
      <c r="I5944">
        <v>0</v>
      </c>
      <c r="J5944" t="s">
        <v>1709</v>
      </c>
      <c r="K5944" t="s">
        <v>1643</v>
      </c>
      <c r="L5944" t="s">
        <v>285</v>
      </c>
      <c r="M5944" t="str">
        <f t="shared" si="425"/>
        <v>04</v>
      </c>
      <c r="N5944" t="s">
        <v>12</v>
      </c>
    </row>
    <row r="5945" spans="1:14" x14ac:dyDescent="0.25">
      <c r="A5945">
        <v>20160429</v>
      </c>
      <c r="B5945" t="str">
        <f t="shared" si="430"/>
        <v>063329</v>
      </c>
      <c r="C5945" t="str">
        <f t="shared" si="431"/>
        <v>83022</v>
      </c>
      <c r="D5945" t="s">
        <v>394</v>
      </c>
      <c r="E5945" s="3">
        <v>24.7</v>
      </c>
      <c r="F5945">
        <v>20160427</v>
      </c>
      <c r="G5945" t="s">
        <v>1845</v>
      </c>
      <c r="H5945" t="s">
        <v>5042</v>
      </c>
      <c r="I5945">
        <v>0</v>
      </c>
      <c r="J5945" t="s">
        <v>1709</v>
      </c>
      <c r="K5945" t="s">
        <v>290</v>
      </c>
      <c r="L5945" t="s">
        <v>285</v>
      </c>
      <c r="M5945" t="str">
        <f t="shared" si="425"/>
        <v>04</v>
      </c>
      <c r="N5945" t="s">
        <v>12</v>
      </c>
    </row>
    <row r="5946" spans="1:14" x14ac:dyDescent="0.25">
      <c r="A5946">
        <v>20160429</v>
      </c>
      <c r="B5946" t="str">
        <f t="shared" si="430"/>
        <v>063329</v>
      </c>
      <c r="C5946" t="str">
        <f t="shared" si="431"/>
        <v>83022</v>
      </c>
      <c r="D5946" t="s">
        <v>394</v>
      </c>
      <c r="E5946" s="3">
        <v>45.92</v>
      </c>
      <c r="F5946">
        <v>20160427</v>
      </c>
      <c r="G5946" t="s">
        <v>2115</v>
      </c>
      <c r="H5946" t="s">
        <v>3295</v>
      </c>
      <c r="I5946">
        <v>0</v>
      </c>
      <c r="J5946" t="s">
        <v>1709</v>
      </c>
      <c r="K5946" t="s">
        <v>290</v>
      </c>
      <c r="L5946" t="s">
        <v>285</v>
      </c>
      <c r="M5946" t="str">
        <f t="shared" si="425"/>
        <v>04</v>
      </c>
      <c r="N5946" t="s">
        <v>12</v>
      </c>
    </row>
    <row r="5947" spans="1:14" x14ac:dyDescent="0.25">
      <c r="A5947">
        <v>20160429</v>
      </c>
      <c r="B5947" t="str">
        <f t="shared" si="430"/>
        <v>063329</v>
      </c>
      <c r="C5947" t="str">
        <f t="shared" si="431"/>
        <v>83022</v>
      </c>
      <c r="D5947" t="s">
        <v>394</v>
      </c>
      <c r="E5947" s="3">
        <v>105.85</v>
      </c>
      <c r="F5947">
        <v>20160427</v>
      </c>
      <c r="G5947" t="s">
        <v>2317</v>
      </c>
      <c r="H5947" t="s">
        <v>2563</v>
      </c>
      <c r="I5947">
        <v>0</v>
      </c>
      <c r="J5947" t="s">
        <v>1709</v>
      </c>
      <c r="K5947" t="s">
        <v>290</v>
      </c>
      <c r="L5947" t="s">
        <v>285</v>
      </c>
      <c r="M5947" t="str">
        <f t="shared" si="425"/>
        <v>04</v>
      </c>
      <c r="N5947" t="s">
        <v>12</v>
      </c>
    </row>
    <row r="5948" spans="1:14" x14ac:dyDescent="0.25">
      <c r="A5948">
        <v>20160429</v>
      </c>
      <c r="B5948" t="str">
        <f t="shared" si="430"/>
        <v>063329</v>
      </c>
      <c r="C5948" t="str">
        <f t="shared" si="431"/>
        <v>83022</v>
      </c>
      <c r="D5948" t="s">
        <v>394</v>
      </c>
      <c r="E5948" s="3">
        <v>191.14</v>
      </c>
      <c r="F5948">
        <v>20160427</v>
      </c>
      <c r="G5948" t="s">
        <v>2817</v>
      </c>
      <c r="H5948" t="s">
        <v>2169</v>
      </c>
      <c r="I5948">
        <v>0</v>
      </c>
      <c r="J5948" t="s">
        <v>1709</v>
      </c>
      <c r="K5948" t="s">
        <v>290</v>
      </c>
      <c r="L5948" t="s">
        <v>285</v>
      </c>
      <c r="M5948" t="str">
        <f t="shared" si="425"/>
        <v>04</v>
      </c>
      <c r="N5948" t="s">
        <v>12</v>
      </c>
    </row>
    <row r="5949" spans="1:14" x14ac:dyDescent="0.25">
      <c r="A5949">
        <v>20160429</v>
      </c>
      <c r="B5949" t="str">
        <f t="shared" si="430"/>
        <v>063329</v>
      </c>
      <c r="C5949" t="str">
        <f t="shared" si="431"/>
        <v>83022</v>
      </c>
      <c r="D5949" t="s">
        <v>394</v>
      </c>
      <c r="E5949" s="3">
        <v>11.26</v>
      </c>
      <c r="F5949">
        <v>20160427</v>
      </c>
      <c r="G5949" t="s">
        <v>2817</v>
      </c>
      <c r="H5949" t="s">
        <v>3002</v>
      </c>
      <c r="I5949">
        <v>0</v>
      </c>
      <c r="J5949" t="s">
        <v>1709</v>
      </c>
      <c r="K5949" t="s">
        <v>290</v>
      </c>
      <c r="L5949" t="s">
        <v>285</v>
      </c>
      <c r="M5949" t="str">
        <f t="shared" si="425"/>
        <v>04</v>
      </c>
      <c r="N5949" t="s">
        <v>12</v>
      </c>
    </row>
    <row r="5950" spans="1:14" x14ac:dyDescent="0.25">
      <c r="A5950">
        <v>20160429</v>
      </c>
      <c r="B5950" t="str">
        <f t="shared" si="430"/>
        <v>063329</v>
      </c>
      <c r="C5950" t="str">
        <f t="shared" si="431"/>
        <v>83022</v>
      </c>
      <c r="D5950" t="s">
        <v>394</v>
      </c>
      <c r="E5950" s="3">
        <v>147.12</v>
      </c>
      <c r="F5950">
        <v>20160427</v>
      </c>
      <c r="G5950" t="s">
        <v>2791</v>
      </c>
      <c r="H5950" t="s">
        <v>2310</v>
      </c>
      <c r="I5950">
        <v>0</v>
      </c>
      <c r="J5950" t="s">
        <v>1709</v>
      </c>
      <c r="K5950" t="s">
        <v>290</v>
      </c>
      <c r="L5950" t="s">
        <v>285</v>
      </c>
      <c r="M5950" t="str">
        <f t="shared" si="425"/>
        <v>04</v>
      </c>
      <c r="N5950" t="s">
        <v>12</v>
      </c>
    </row>
    <row r="5951" spans="1:14" x14ac:dyDescent="0.25">
      <c r="A5951">
        <v>20160429</v>
      </c>
      <c r="B5951" t="str">
        <f t="shared" si="430"/>
        <v>063329</v>
      </c>
      <c r="C5951" t="str">
        <f t="shared" si="431"/>
        <v>83022</v>
      </c>
      <c r="D5951" t="s">
        <v>394</v>
      </c>
      <c r="E5951" s="3">
        <v>77.83</v>
      </c>
      <c r="F5951">
        <v>20160427</v>
      </c>
      <c r="G5951" t="s">
        <v>2309</v>
      </c>
      <c r="H5951" t="s">
        <v>2310</v>
      </c>
      <c r="I5951">
        <v>0</v>
      </c>
      <c r="J5951" t="s">
        <v>1709</v>
      </c>
      <c r="K5951" t="s">
        <v>1558</v>
      </c>
      <c r="L5951" t="s">
        <v>285</v>
      </c>
      <c r="M5951" t="str">
        <f t="shared" si="425"/>
        <v>04</v>
      </c>
      <c r="N5951" t="s">
        <v>12</v>
      </c>
    </row>
    <row r="5952" spans="1:14" x14ac:dyDescent="0.25">
      <c r="A5952">
        <v>20160429</v>
      </c>
      <c r="B5952" t="str">
        <f t="shared" si="430"/>
        <v>063329</v>
      </c>
      <c r="C5952" t="str">
        <f t="shared" si="431"/>
        <v>83022</v>
      </c>
      <c r="D5952" t="s">
        <v>394</v>
      </c>
      <c r="E5952" s="3">
        <v>274.56</v>
      </c>
      <c r="F5952">
        <v>20160427</v>
      </c>
      <c r="G5952" t="s">
        <v>2162</v>
      </c>
      <c r="H5952" t="s">
        <v>2173</v>
      </c>
      <c r="I5952">
        <v>0</v>
      </c>
      <c r="J5952" t="s">
        <v>1709</v>
      </c>
      <c r="K5952" t="s">
        <v>1643</v>
      </c>
      <c r="L5952" t="s">
        <v>285</v>
      </c>
      <c r="M5952" t="str">
        <f t="shared" si="425"/>
        <v>04</v>
      </c>
      <c r="N5952" t="s">
        <v>12</v>
      </c>
    </row>
    <row r="5953" spans="1:14" x14ac:dyDescent="0.25">
      <c r="A5953">
        <v>20160429</v>
      </c>
      <c r="B5953" t="str">
        <f t="shared" si="430"/>
        <v>063329</v>
      </c>
      <c r="C5953" t="str">
        <f t="shared" si="431"/>
        <v>83022</v>
      </c>
      <c r="D5953" t="s">
        <v>394</v>
      </c>
      <c r="E5953" s="3">
        <v>74.12</v>
      </c>
      <c r="F5953">
        <v>20160427</v>
      </c>
      <c r="G5953" t="s">
        <v>2172</v>
      </c>
      <c r="H5953" t="s">
        <v>5043</v>
      </c>
      <c r="I5953">
        <v>0</v>
      </c>
      <c r="J5953" t="s">
        <v>1709</v>
      </c>
      <c r="K5953" t="s">
        <v>95</v>
      </c>
      <c r="L5953" t="s">
        <v>285</v>
      </c>
      <c r="M5953" t="str">
        <f t="shared" si="425"/>
        <v>04</v>
      </c>
      <c r="N5953" t="s">
        <v>12</v>
      </c>
    </row>
    <row r="5954" spans="1:14" x14ac:dyDescent="0.25">
      <c r="A5954">
        <v>20160429</v>
      </c>
      <c r="B5954" t="str">
        <f t="shared" si="430"/>
        <v>063329</v>
      </c>
      <c r="C5954" t="str">
        <f t="shared" si="431"/>
        <v>83022</v>
      </c>
      <c r="D5954" t="s">
        <v>394</v>
      </c>
      <c r="E5954" s="3">
        <v>335.04</v>
      </c>
      <c r="F5954">
        <v>20160427</v>
      </c>
      <c r="G5954" t="s">
        <v>2172</v>
      </c>
      <c r="H5954" t="s">
        <v>3890</v>
      </c>
      <c r="I5954">
        <v>0</v>
      </c>
      <c r="J5954" t="s">
        <v>1709</v>
      </c>
      <c r="K5954" t="s">
        <v>95</v>
      </c>
      <c r="L5954" t="s">
        <v>285</v>
      </c>
      <c r="M5954" t="str">
        <f t="shared" si="425"/>
        <v>04</v>
      </c>
      <c r="N5954" t="s">
        <v>12</v>
      </c>
    </row>
    <row r="5955" spans="1:14" x14ac:dyDescent="0.25">
      <c r="A5955">
        <v>20160429</v>
      </c>
      <c r="B5955" t="str">
        <f t="shared" si="430"/>
        <v>063329</v>
      </c>
      <c r="C5955" t="str">
        <f t="shared" si="431"/>
        <v>83022</v>
      </c>
      <c r="D5955" t="s">
        <v>394</v>
      </c>
      <c r="E5955" s="3">
        <v>108.51</v>
      </c>
      <c r="F5955">
        <v>20160427</v>
      </c>
      <c r="G5955" t="s">
        <v>2049</v>
      </c>
      <c r="H5955" t="s">
        <v>2173</v>
      </c>
      <c r="I5955">
        <v>0</v>
      </c>
      <c r="J5955" t="s">
        <v>1709</v>
      </c>
      <c r="K5955" t="s">
        <v>1775</v>
      </c>
      <c r="L5955" t="s">
        <v>285</v>
      </c>
      <c r="M5955" t="str">
        <f t="shared" si="425"/>
        <v>04</v>
      </c>
      <c r="N5955" t="s">
        <v>12</v>
      </c>
    </row>
    <row r="5956" spans="1:14" x14ac:dyDescent="0.25">
      <c r="A5956">
        <v>20160429</v>
      </c>
      <c r="B5956" t="str">
        <f t="shared" si="430"/>
        <v>063329</v>
      </c>
      <c r="C5956" t="str">
        <f t="shared" si="431"/>
        <v>83022</v>
      </c>
      <c r="D5956" t="s">
        <v>394</v>
      </c>
      <c r="E5956" s="3">
        <v>26.14</v>
      </c>
      <c r="F5956">
        <v>20160427</v>
      </c>
      <c r="G5956" t="s">
        <v>2049</v>
      </c>
      <c r="H5956" t="s">
        <v>2173</v>
      </c>
      <c r="I5956">
        <v>0</v>
      </c>
      <c r="J5956" t="s">
        <v>1709</v>
      </c>
      <c r="K5956" t="s">
        <v>1775</v>
      </c>
      <c r="L5956" t="s">
        <v>285</v>
      </c>
      <c r="M5956" t="str">
        <f t="shared" si="425"/>
        <v>04</v>
      </c>
      <c r="N5956" t="s">
        <v>12</v>
      </c>
    </row>
    <row r="5957" spans="1:14" x14ac:dyDescent="0.25">
      <c r="A5957">
        <v>20160429</v>
      </c>
      <c r="B5957" t="str">
        <f>"063330"</f>
        <v>063330</v>
      </c>
      <c r="C5957" t="str">
        <f>"83410"</f>
        <v>83410</v>
      </c>
      <c r="D5957" t="s">
        <v>2601</v>
      </c>
      <c r="E5957" s="3">
        <v>200</v>
      </c>
      <c r="F5957">
        <v>20160427</v>
      </c>
      <c r="G5957" t="s">
        <v>3402</v>
      </c>
      <c r="H5957" t="s">
        <v>5044</v>
      </c>
      <c r="I5957">
        <v>0</v>
      </c>
      <c r="J5957" t="s">
        <v>1709</v>
      </c>
      <c r="K5957" t="s">
        <v>2207</v>
      </c>
      <c r="L5957" t="s">
        <v>285</v>
      </c>
      <c r="M5957" t="str">
        <f t="shared" si="425"/>
        <v>04</v>
      </c>
      <c r="N5957" t="s">
        <v>12</v>
      </c>
    </row>
    <row r="5958" spans="1:14" x14ac:dyDescent="0.25">
      <c r="A5958">
        <v>20160429</v>
      </c>
      <c r="B5958" t="str">
        <f>"063331"</f>
        <v>063331</v>
      </c>
      <c r="C5958" t="str">
        <f>"86106"</f>
        <v>86106</v>
      </c>
      <c r="D5958" t="s">
        <v>4458</v>
      </c>
      <c r="E5958" s="3">
        <v>249</v>
      </c>
      <c r="F5958">
        <v>20160427</v>
      </c>
      <c r="G5958" t="s">
        <v>2115</v>
      </c>
      <c r="H5958" t="s">
        <v>4459</v>
      </c>
      <c r="I5958">
        <v>0</v>
      </c>
      <c r="J5958" t="s">
        <v>1709</v>
      </c>
      <c r="K5958" t="s">
        <v>290</v>
      </c>
      <c r="L5958" t="s">
        <v>285</v>
      </c>
      <c r="M5958" t="str">
        <f t="shared" si="425"/>
        <v>04</v>
      </c>
      <c r="N5958" t="s">
        <v>12</v>
      </c>
    </row>
    <row r="5959" spans="1:14" x14ac:dyDescent="0.25">
      <c r="A5959">
        <v>20160429</v>
      </c>
      <c r="B5959" t="str">
        <f>"063331"</f>
        <v>063331</v>
      </c>
      <c r="C5959" t="str">
        <f>"86106"</f>
        <v>86106</v>
      </c>
      <c r="D5959" t="s">
        <v>4458</v>
      </c>
      <c r="E5959" s="3">
        <v>114.57</v>
      </c>
      <c r="F5959">
        <v>20160427</v>
      </c>
      <c r="G5959" t="s">
        <v>3311</v>
      </c>
      <c r="H5959" t="s">
        <v>5045</v>
      </c>
      <c r="I5959">
        <v>0</v>
      </c>
      <c r="J5959" t="s">
        <v>1709</v>
      </c>
      <c r="K5959" t="s">
        <v>290</v>
      </c>
      <c r="L5959" t="s">
        <v>285</v>
      </c>
      <c r="M5959" t="str">
        <f t="shared" si="425"/>
        <v>04</v>
      </c>
      <c r="N5959" t="s">
        <v>12</v>
      </c>
    </row>
    <row r="5960" spans="1:14" x14ac:dyDescent="0.25">
      <c r="A5960">
        <v>20160429</v>
      </c>
      <c r="B5960" t="str">
        <f>"063331"</f>
        <v>063331</v>
      </c>
      <c r="C5960" t="str">
        <f>"86106"</f>
        <v>86106</v>
      </c>
      <c r="D5960" t="s">
        <v>4458</v>
      </c>
      <c r="E5960" s="3">
        <v>860</v>
      </c>
      <c r="F5960">
        <v>20160427</v>
      </c>
      <c r="G5960" t="s">
        <v>3311</v>
      </c>
      <c r="H5960" t="s">
        <v>5046</v>
      </c>
      <c r="I5960">
        <v>0</v>
      </c>
      <c r="J5960" t="s">
        <v>1709</v>
      </c>
      <c r="K5960" t="s">
        <v>290</v>
      </c>
      <c r="L5960" t="s">
        <v>285</v>
      </c>
      <c r="M5960" t="str">
        <f t="shared" si="425"/>
        <v>04</v>
      </c>
      <c r="N5960" t="s">
        <v>12</v>
      </c>
    </row>
    <row r="5961" spans="1:14" x14ac:dyDescent="0.25">
      <c r="A5961">
        <v>20160429</v>
      </c>
      <c r="B5961" t="str">
        <f>"063331"</f>
        <v>063331</v>
      </c>
      <c r="C5961" t="str">
        <f>"86106"</f>
        <v>86106</v>
      </c>
      <c r="D5961" t="s">
        <v>4458</v>
      </c>
      <c r="E5961" s="3">
        <v>19</v>
      </c>
      <c r="F5961">
        <v>20160427</v>
      </c>
      <c r="G5961" t="s">
        <v>3311</v>
      </c>
      <c r="H5961" t="s">
        <v>5047</v>
      </c>
      <c r="I5961">
        <v>0</v>
      </c>
      <c r="J5961" t="s">
        <v>1709</v>
      </c>
      <c r="K5961" t="s">
        <v>290</v>
      </c>
      <c r="L5961" t="s">
        <v>285</v>
      </c>
      <c r="M5961" t="str">
        <f t="shared" si="425"/>
        <v>04</v>
      </c>
      <c r="N5961" t="s">
        <v>12</v>
      </c>
    </row>
    <row r="5962" spans="1:14" x14ac:dyDescent="0.25">
      <c r="A5962">
        <v>20160429</v>
      </c>
      <c r="B5962" t="str">
        <f>"063331"</f>
        <v>063331</v>
      </c>
      <c r="C5962" t="str">
        <f>"86106"</f>
        <v>86106</v>
      </c>
      <c r="D5962" t="s">
        <v>4458</v>
      </c>
      <c r="E5962" s="3">
        <v>2.4300000000000002</v>
      </c>
      <c r="F5962">
        <v>20160427</v>
      </c>
      <c r="G5962" t="s">
        <v>3311</v>
      </c>
      <c r="H5962" t="s">
        <v>5048</v>
      </c>
      <c r="I5962">
        <v>0</v>
      </c>
      <c r="J5962" t="s">
        <v>1709</v>
      </c>
      <c r="K5962" t="s">
        <v>290</v>
      </c>
      <c r="L5962" t="s">
        <v>285</v>
      </c>
      <c r="M5962" t="str">
        <f t="shared" si="425"/>
        <v>04</v>
      </c>
      <c r="N5962" t="s">
        <v>12</v>
      </c>
    </row>
    <row r="5963" spans="1:14" x14ac:dyDescent="0.25">
      <c r="A5963">
        <v>20160506</v>
      </c>
      <c r="B5963" t="str">
        <f>"063337"</f>
        <v>063337</v>
      </c>
      <c r="C5963" t="str">
        <f>"01196"</f>
        <v>01196</v>
      </c>
      <c r="D5963" t="s">
        <v>2421</v>
      </c>
      <c r="E5963" s="3">
        <v>98.11</v>
      </c>
      <c r="F5963">
        <v>20160504</v>
      </c>
      <c r="G5963" t="s">
        <v>3013</v>
      </c>
      <c r="H5963" t="s">
        <v>5049</v>
      </c>
      <c r="I5963">
        <v>0</v>
      </c>
      <c r="J5963" t="s">
        <v>1709</v>
      </c>
      <c r="K5963" t="s">
        <v>1984</v>
      </c>
      <c r="L5963" t="s">
        <v>285</v>
      </c>
      <c r="M5963" t="str">
        <f t="shared" ref="M5963:M6026" si="432">"05"</f>
        <v>05</v>
      </c>
      <c r="N5963" t="s">
        <v>12</v>
      </c>
    </row>
    <row r="5964" spans="1:14" x14ac:dyDescent="0.25">
      <c r="A5964">
        <v>20160506</v>
      </c>
      <c r="B5964" t="str">
        <f>"063339"</f>
        <v>063339</v>
      </c>
      <c r="C5964" t="str">
        <f>"29779"</f>
        <v>29779</v>
      </c>
      <c r="D5964" t="s">
        <v>1806</v>
      </c>
      <c r="E5964" s="3">
        <v>718.74</v>
      </c>
      <c r="F5964">
        <v>20160504</v>
      </c>
      <c r="G5964" t="s">
        <v>2192</v>
      </c>
      <c r="H5964" t="s">
        <v>2051</v>
      </c>
      <c r="I5964">
        <v>0</v>
      </c>
      <c r="J5964" t="s">
        <v>1709</v>
      </c>
      <c r="K5964" t="s">
        <v>2194</v>
      </c>
      <c r="L5964" t="s">
        <v>285</v>
      </c>
      <c r="M5964" t="str">
        <f t="shared" si="432"/>
        <v>05</v>
      </c>
      <c r="N5964" t="s">
        <v>12</v>
      </c>
    </row>
    <row r="5965" spans="1:14" x14ac:dyDescent="0.25">
      <c r="A5965">
        <v>20160506</v>
      </c>
      <c r="B5965" t="str">
        <f>"063339"</f>
        <v>063339</v>
      </c>
      <c r="C5965" t="str">
        <f>"29779"</f>
        <v>29779</v>
      </c>
      <c r="D5965" t="s">
        <v>1806</v>
      </c>
      <c r="E5965" s="3">
        <v>1120</v>
      </c>
      <c r="F5965">
        <v>20160504</v>
      </c>
      <c r="G5965" t="s">
        <v>2192</v>
      </c>
      <c r="H5965" t="s">
        <v>5050</v>
      </c>
      <c r="I5965">
        <v>0</v>
      </c>
      <c r="J5965" t="s">
        <v>1709</v>
      </c>
      <c r="K5965" t="s">
        <v>2194</v>
      </c>
      <c r="L5965" t="s">
        <v>285</v>
      </c>
      <c r="M5965" t="str">
        <f t="shared" si="432"/>
        <v>05</v>
      </c>
      <c r="N5965" t="s">
        <v>12</v>
      </c>
    </row>
    <row r="5966" spans="1:14" x14ac:dyDescent="0.25">
      <c r="A5966">
        <v>20160506</v>
      </c>
      <c r="B5966" t="str">
        <f>"063339"</f>
        <v>063339</v>
      </c>
      <c r="C5966" t="str">
        <f>"29779"</f>
        <v>29779</v>
      </c>
      <c r="D5966" t="s">
        <v>1806</v>
      </c>
      <c r="E5966" s="3">
        <v>568.74</v>
      </c>
      <c r="F5966">
        <v>20160504</v>
      </c>
      <c r="G5966" t="s">
        <v>2192</v>
      </c>
      <c r="H5966" t="s">
        <v>2051</v>
      </c>
      <c r="I5966">
        <v>0</v>
      </c>
      <c r="J5966" t="s">
        <v>1709</v>
      </c>
      <c r="K5966" t="s">
        <v>2194</v>
      </c>
      <c r="L5966" t="s">
        <v>285</v>
      </c>
      <c r="M5966" t="str">
        <f t="shared" si="432"/>
        <v>05</v>
      </c>
      <c r="N5966" t="s">
        <v>12</v>
      </c>
    </row>
    <row r="5967" spans="1:14" x14ac:dyDescent="0.25">
      <c r="A5967">
        <v>20160506</v>
      </c>
      <c r="B5967" t="str">
        <f>"063340"</f>
        <v>063340</v>
      </c>
      <c r="C5967" t="str">
        <f>"03829"</f>
        <v>03829</v>
      </c>
      <c r="D5967" t="s">
        <v>1808</v>
      </c>
      <c r="E5967" s="3">
        <v>237.76</v>
      </c>
      <c r="F5967">
        <v>20160504</v>
      </c>
      <c r="G5967" t="s">
        <v>2427</v>
      </c>
      <c r="H5967" t="s">
        <v>5051</v>
      </c>
      <c r="I5967">
        <v>0</v>
      </c>
      <c r="J5967" t="s">
        <v>1709</v>
      </c>
      <c r="K5967" t="s">
        <v>1861</v>
      </c>
      <c r="L5967" t="s">
        <v>285</v>
      </c>
      <c r="M5967" t="str">
        <f t="shared" si="432"/>
        <v>05</v>
      </c>
      <c r="N5967" t="s">
        <v>12</v>
      </c>
    </row>
    <row r="5968" spans="1:14" x14ac:dyDescent="0.25">
      <c r="A5968">
        <v>20160506</v>
      </c>
      <c r="B5968" t="str">
        <f>"063340"</f>
        <v>063340</v>
      </c>
      <c r="C5968" t="str">
        <f>"03829"</f>
        <v>03829</v>
      </c>
      <c r="D5968" t="s">
        <v>1808</v>
      </c>
      <c r="E5968" s="3">
        <v>149.71</v>
      </c>
      <c r="F5968">
        <v>20160504</v>
      </c>
      <c r="G5968" t="s">
        <v>2427</v>
      </c>
      <c r="H5968" t="s">
        <v>5052</v>
      </c>
      <c r="I5968">
        <v>0</v>
      </c>
      <c r="J5968" t="s">
        <v>1709</v>
      </c>
      <c r="K5968" t="s">
        <v>1861</v>
      </c>
      <c r="L5968" t="s">
        <v>285</v>
      </c>
      <c r="M5968" t="str">
        <f t="shared" si="432"/>
        <v>05</v>
      </c>
      <c r="N5968" t="s">
        <v>12</v>
      </c>
    </row>
    <row r="5969" spans="1:14" x14ac:dyDescent="0.25">
      <c r="A5969">
        <v>20160506</v>
      </c>
      <c r="B5969" t="str">
        <f>"063340"</f>
        <v>063340</v>
      </c>
      <c r="C5969" t="str">
        <f>"03829"</f>
        <v>03829</v>
      </c>
      <c r="D5969" t="s">
        <v>1808</v>
      </c>
      <c r="E5969" s="3">
        <v>10.27</v>
      </c>
      <c r="F5969">
        <v>20160504</v>
      </c>
      <c r="G5969" t="s">
        <v>2427</v>
      </c>
      <c r="H5969" t="s">
        <v>5053</v>
      </c>
      <c r="I5969">
        <v>0</v>
      </c>
      <c r="J5969" t="s">
        <v>1709</v>
      </c>
      <c r="K5969" t="s">
        <v>1861</v>
      </c>
      <c r="L5969" t="s">
        <v>285</v>
      </c>
      <c r="M5969" t="str">
        <f t="shared" si="432"/>
        <v>05</v>
      </c>
      <c r="N5969" t="s">
        <v>12</v>
      </c>
    </row>
    <row r="5970" spans="1:14" x14ac:dyDescent="0.25">
      <c r="A5970">
        <v>20160506</v>
      </c>
      <c r="B5970" t="str">
        <f>"063340"</f>
        <v>063340</v>
      </c>
      <c r="C5970" t="str">
        <f>"03829"</f>
        <v>03829</v>
      </c>
      <c r="D5970" t="s">
        <v>1808</v>
      </c>
      <c r="E5970" s="3">
        <v>189.3</v>
      </c>
      <c r="F5970">
        <v>20160504</v>
      </c>
      <c r="G5970" t="s">
        <v>2427</v>
      </c>
      <c r="H5970" t="s">
        <v>5054</v>
      </c>
      <c r="I5970">
        <v>0</v>
      </c>
      <c r="J5970" t="s">
        <v>1709</v>
      </c>
      <c r="K5970" t="s">
        <v>1861</v>
      </c>
      <c r="L5970" t="s">
        <v>285</v>
      </c>
      <c r="M5970" t="str">
        <f t="shared" si="432"/>
        <v>05</v>
      </c>
      <c r="N5970" t="s">
        <v>12</v>
      </c>
    </row>
    <row r="5971" spans="1:14" x14ac:dyDescent="0.25">
      <c r="A5971">
        <v>20160506</v>
      </c>
      <c r="B5971" t="str">
        <f>"063341"</f>
        <v>063341</v>
      </c>
      <c r="C5971" t="str">
        <f>"10040"</f>
        <v>10040</v>
      </c>
      <c r="D5971" t="s">
        <v>2082</v>
      </c>
      <c r="E5971" s="3">
        <v>12.5</v>
      </c>
      <c r="F5971">
        <v>20160504</v>
      </c>
      <c r="G5971" t="s">
        <v>2083</v>
      </c>
      <c r="H5971" t="s">
        <v>5055</v>
      </c>
      <c r="I5971">
        <v>0</v>
      </c>
      <c r="J5971" t="s">
        <v>1709</v>
      </c>
      <c r="K5971" t="s">
        <v>290</v>
      </c>
      <c r="L5971" t="s">
        <v>285</v>
      </c>
      <c r="M5971" t="str">
        <f t="shared" si="432"/>
        <v>05</v>
      </c>
      <c r="N5971" t="s">
        <v>12</v>
      </c>
    </row>
    <row r="5972" spans="1:14" x14ac:dyDescent="0.25">
      <c r="A5972">
        <v>20160506</v>
      </c>
      <c r="B5972" t="str">
        <f>"063341"</f>
        <v>063341</v>
      </c>
      <c r="C5972" t="str">
        <f>"10040"</f>
        <v>10040</v>
      </c>
      <c r="D5972" t="s">
        <v>2082</v>
      </c>
      <c r="E5972" s="3">
        <v>12.5</v>
      </c>
      <c r="F5972">
        <v>20160504</v>
      </c>
      <c r="G5972" t="s">
        <v>2086</v>
      </c>
      <c r="H5972" t="s">
        <v>5055</v>
      </c>
      <c r="I5972">
        <v>0</v>
      </c>
      <c r="J5972" t="s">
        <v>1709</v>
      </c>
      <c r="K5972" t="s">
        <v>95</v>
      </c>
      <c r="L5972" t="s">
        <v>285</v>
      </c>
      <c r="M5972" t="str">
        <f t="shared" si="432"/>
        <v>05</v>
      </c>
      <c r="N5972" t="s">
        <v>12</v>
      </c>
    </row>
    <row r="5973" spans="1:14" x14ac:dyDescent="0.25">
      <c r="A5973">
        <v>20160506</v>
      </c>
      <c r="B5973" t="str">
        <f>"063341"</f>
        <v>063341</v>
      </c>
      <c r="C5973" t="str">
        <f>"10040"</f>
        <v>10040</v>
      </c>
      <c r="D5973" t="s">
        <v>2082</v>
      </c>
      <c r="E5973" s="3">
        <v>12.5</v>
      </c>
      <c r="F5973">
        <v>20160504</v>
      </c>
      <c r="G5973" t="s">
        <v>2087</v>
      </c>
      <c r="H5973" t="s">
        <v>5055</v>
      </c>
      <c r="I5973">
        <v>0</v>
      </c>
      <c r="J5973" t="s">
        <v>1709</v>
      </c>
      <c r="K5973" t="s">
        <v>1643</v>
      </c>
      <c r="L5973" t="s">
        <v>285</v>
      </c>
      <c r="M5973" t="str">
        <f t="shared" si="432"/>
        <v>05</v>
      </c>
      <c r="N5973" t="s">
        <v>12</v>
      </c>
    </row>
    <row r="5974" spans="1:14" x14ac:dyDescent="0.25">
      <c r="A5974">
        <v>20160506</v>
      </c>
      <c r="B5974" t="str">
        <f>"063341"</f>
        <v>063341</v>
      </c>
      <c r="C5974" t="str">
        <f>"10040"</f>
        <v>10040</v>
      </c>
      <c r="D5974" t="s">
        <v>2082</v>
      </c>
      <c r="E5974" s="3">
        <v>12.5</v>
      </c>
      <c r="F5974">
        <v>20160504</v>
      </c>
      <c r="G5974" t="s">
        <v>2088</v>
      </c>
      <c r="H5974" t="s">
        <v>5055</v>
      </c>
      <c r="I5974">
        <v>0</v>
      </c>
      <c r="J5974" t="s">
        <v>1709</v>
      </c>
      <c r="K5974" t="s">
        <v>33</v>
      </c>
      <c r="L5974" t="s">
        <v>285</v>
      </c>
      <c r="M5974" t="str">
        <f t="shared" si="432"/>
        <v>05</v>
      </c>
      <c r="N5974" t="s">
        <v>12</v>
      </c>
    </row>
    <row r="5975" spans="1:14" x14ac:dyDescent="0.25">
      <c r="A5975">
        <v>20160506</v>
      </c>
      <c r="B5975" t="str">
        <f>"063342"</f>
        <v>063342</v>
      </c>
      <c r="C5975" t="str">
        <f>"10099"</f>
        <v>10099</v>
      </c>
      <c r="D5975" t="s">
        <v>5056</v>
      </c>
      <c r="E5975" s="3">
        <v>75</v>
      </c>
      <c r="F5975">
        <v>20160504</v>
      </c>
      <c r="G5975" t="s">
        <v>1859</v>
      </c>
      <c r="H5975" t="s">
        <v>5057</v>
      </c>
      <c r="I5975">
        <v>0</v>
      </c>
      <c r="J5975" t="s">
        <v>1709</v>
      </c>
      <c r="K5975" t="s">
        <v>1861</v>
      </c>
      <c r="L5975" t="s">
        <v>285</v>
      </c>
      <c r="M5975" t="str">
        <f t="shared" si="432"/>
        <v>05</v>
      </c>
      <c r="N5975" t="s">
        <v>12</v>
      </c>
    </row>
    <row r="5976" spans="1:14" x14ac:dyDescent="0.25">
      <c r="A5976">
        <v>20160506</v>
      </c>
      <c r="B5976" t="str">
        <f>"063343"</f>
        <v>063343</v>
      </c>
      <c r="C5976" t="str">
        <f>"21158"</f>
        <v>21158</v>
      </c>
      <c r="D5976" t="s">
        <v>1721</v>
      </c>
      <c r="E5976" s="3">
        <v>75.760000000000005</v>
      </c>
      <c r="F5976">
        <v>20160505</v>
      </c>
      <c r="G5976" t="s">
        <v>3204</v>
      </c>
      <c r="H5976" t="s">
        <v>5058</v>
      </c>
      <c r="I5976">
        <v>0</v>
      </c>
      <c r="J5976" t="s">
        <v>1709</v>
      </c>
      <c r="K5976" t="s">
        <v>1643</v>
      </c>
      <c r="L5976" t="s">
        <v>285</v>
      </c>
      <c r="M5976" t="str">
        <f t="shared" si="432"/>
        <v>05</v>
      </c>
      <c r="N5976" t="s">
        <v>12</v>
      </c>
    </row>
    <row r="5977" spans="1:14" x14ac:dyDescent="0.25">
      <c r="A5977">
        <v>20160506</v>
      </c>
      <c r="B5977" t="str">
        <f>"063345"</f>
        <v>063345</v>
      </c>
      <c r="C5977" t="str">
        <f>"08788"</f>
        <v>08788</v>
      </c>
      <c r="D5977" t="s">
        <v>302</v>
      </c>
      <c r="E5977" s="3">
        <v>328.82</v>
      </c>
      <c r="F5977">
        <v>20160504</v>
      </c>
      <c r="G5977" t="s">
        <v>5059</v>
      </c>
      <c r="H5977" t="s">
        <v>5060</v>
      </c>
      <c r="I5977">
        <v>0</v>
      </c>
      <c r="J5977" t="s">
        <v>1709</v>
      </c>
      <c r="K5977" t="s">
        <v>1519</v>
      </c>
      <c r="L5977" t="s">
        <v>285</v>
      </c>
      <c r="M5977" t="str">
        <f t="shared" si="432"/>
        <v>05</v>
      </c>
      <c r="N5977" t="s">
        <v>12</v>
      </c>
    </row>
    <row r="5978" spans="1:14" x14ac:dyDescent="0.25">
      <c r="A5978">
        <v>20160506</v>
      </c>
      <c r="B5978" t="str">
        <f>"063347"</f>
        <v>063347</v>
      </c>
      <c r="C5978" t="str">
        <f>"19140"</f>
        <v>19140</v>
      </c>
      <c r="D5978" t="s">
        <v>4122</v>
      </c>
      <c r="E5978" s="3">
        <v>21244</v>
      </c>
      <c r="F5978">
        <v>20160504</v>
      </c>
      <c r="G5978" t="s">
        <v>4123</v>
      </c>
      <c r="H5978" t="s">
        <v>5061</v>
      </c>
      <c r="I5978">
        <v>0</v>
      </c>
      <c r="J5978" t="s">
        <v>1709</v>
      </c>
      <c r="K5978" t="s">
        <v>235</v>
      </c>
      <c r="L5978" t="s">
        <v>285</v>
      </c>
      <c r="M5978" t="str">
        <f t="shared" si="432"/>
        <v>05</v>
      </c>
      <c r="N5978" t="s">
        <v>12</v>
      </c>
    </row>
    <row r="5979" spans="1:14" x14ac:dyDescent="0.25">
      <c r="A5979">
        <v>20160506</v>
      </c>
      <c r="B5979" t="str">
        <f>"063348"</f>
        <v>063348</v>
      </c>
      <c r="C5979" t="str">
        <f>"19291"</f>
        <v>19291</v>
      </c>
      <c r="D5979" t="s">
        <v>598</v>
      </c>
      <c r="E5979" s="3">
        <v>289.31</v>
      </c>
      <c r="F5979">
        <v>20160504</v>
      </c>
      <c r="G5979" t="s">
        <v>4969</v>
      </c>
      <c r="H5979" t="s">
        <v>1358</v>
      </c>
      <c r="I5979">
        <v>0</v>
      </c>
      <c r="J5979" t="s">
        <v>1709</v>
      </c>
      <c r="K5979" t="s">
        <v>290</v>
      </c>
      <c r="L5979" t="s">
        <v>285</v>
      </c>
      <c r="M5979" t="str">
        <f t="shared" si="432"/>
        <v>05</v>
      </c>
      <c r="N5979" t="s">
        <v>12</v>
      </c>
    </row>
    <row r="5980" spans="1:14" x14ac:dyDescent="0.25">
      <c r="A5980">
        <v>20160506</v>
      </c>
      <c r="B5980" t="str">
        <f>"063348"</f>
        <v>063348</v>
      </c>
      <c r="C5980" t="str">
        <f>"19291"</f>
        <v>19291</v>
      </c>
      <c r="D5980" t="s">
        <v>598</v>
      </c>
      <c r="E5980" s="3">
        <v>30</v>
      </c>
      <c r="F5980">
        <v>20160504</v>
      </c>
      <c r="G5980" t="s">
        <v>4969</v>
      </c>
      <c r="H5980" t="s">
        <v>1358</v>
      </c>
      <c r="I5980">
        <v>0</v>
      </c>
      <c r="J5980" t="s">
        <v>1709</v>
      </c>
      <c r="K5980" t="s">
        <v>290</v>
      </c>
      <c r="L5980" t="s">
        <v>285</v>
      </c>
      <c r="M5980" t="str">
        <f t="shared" si="432"/>
        <v>05</v>
      </c>
      <c r="N5980" t="s">
        <v>12</v>
      </c>
    </row>
    <row r="5981" spans="1:14" x14ac:dyDescent="0.25">
      <c r="A5981">
        <v>20160506</v>
      </c>
      <c r="B5981" t="str">
        <f>"063350"</f>
        <v>063350</v>
      </c>
      <c r="C5981" t="str">
        <f>"21842"</f>
        <v>21842</v>
      </c>
      <c r="D5981" t="s">
        <v>2455</v>
      </c>
      <c r="E5981" s="3">
        <v>305.89999999999998</v>
      </c>
      <c r="F5981">
        <v>20160504</v>
      </c>
      <c r="G5981" t="s">
        <v>2360</v>
      </c>
      <c r="H5981" t="s">
        <v>4011</v>
      </c>
      <c r="I5981">
        <v>0</v>
      </c>
      <c r="J5981" t="s">
        <v>1709</v>
      </c>
      <c r="K5981" t="s">
        <v>1856</v>
      </c>
      <c r="L5981" t="s">
        <v>285</v>
      </c>
      <c r="M5981" t="str">
        <f t="shared" si="432"/>
        <v>05</v>
      </c>
      <c r="N5981" t="s">
        <v>12</v>
      </c>
    </row>
    <row r="5982" spans="1:14" x14ac:dyDescent="0.25">
      <c r="A5982">
        <v>20160506</v>
      </c>
      <c r="B5982" t="str">
        <f>"063353"</f>
        <v>063353</v>
      </c>
      <c r="C5982" t="str">
        <f>"46281"</f>
        <v>46281</v>
      </c>
      <c r="D5982" t="s">
        <v>2468</v>
      </c>
      <c r="E5982" s="3">
        <v>2297</v>
      </c>
      <c r="F5982">
        <v>20160504</v>
      </c>
      <c r="G5982" t="s">
        <v>2339</v>
      </c>
      <c r="H5982" t="s">
        <v>5062</v>
      </c>
      <c r="I5982">
        <v>0</v>
      </c>
      <c r="J5982" t="s">
        <v>1709</v>
      </c>
      <c r="K5982" t="s">
        <v>290</v>
      </c>
      <c r="L5982" t="s">
        <v>285</v>
      </c>
      <c r="M5982" t="str">
        <f t="shared" si="432"/>
        <v>05</v>
      </c>
      <c r="N5982" t="s">
        <v>12</v>
      </c>
    </row>
    <row r="5983" spans="1:14" x14ac:dyDescent="0.25">
      <c r="A5983">
        <v>20160506</v>
      </c>
      <c r="B5983" t="str">
        <f t="shared" ref="B5983:B5995" si="433">"063355"</f>
        <v>063355</v>
      </c>
      <c r="C5983" t="str">
        <f t="shared" ref="C5983:C5995" si="434">"20706"</f>
        <v>20706</v>
      </c>
      <c r="D5983" t="s">
        <v>1823</v>
      </c>
      <c r="E5983" s="3">
        <v>11003.38</v>
      </c>
      <c r="F5983">
        <v>20160504</v>
      </c>
      <c r="G5983" t="s">
        <v>2235</v>
      </c>
      <c r="H5983" t="s">
        <v>5063</v>
      </c>
      <c r="I5983">
        <v>0</v>
      </c>
      <c r="J5983" t="s">
        <v>1709</v>
      </c>
      <c r="K5983" t="s">
        <v>290</v>
      </c>
      <c r="L5983" t="s">
        <v>285</v>
      </c>
      <c r="M5983" t="str">
        <f t="shared" si="432"/>
        <v>05</v>
      </c>
      <c r="N5983" t="s">
        <v>12</v>
      </c>
    </row>
    <row r="5984" spans="1:14" x14ac:dyDescent="0.25">
      <c r="A5984">
        <v>20160506</v>
      </c>
      <c r="B5984" t="str">
        <f t="shared" si="433"/>
        <v>063355</v>
      </c>
      <c r="C5984" t="str">
        <f t="shared" si="434"/>
        <v>20706</v>
      </c>
      <c r="D5984" t="s">
        <v>1823</v>
      </c>
      <c r="E5984" s="3">
        <v>45.21</v>
      </c>
      <c r="F5984">
        <v>20160504</v>
      </c>
      <c r="G5984" t="s">
        <v>2237</v>
      </c>
      <c r="H5984" t="s">
        <v>5064</v>
      </c>
      <c r="I5984">
        <v>0</v>
      </c>
      <c r="J5984" t="s">
        <v>1709</v>
      </c>
      <c r="K5984" t="s">
        <v>1558</v>
      </c>
      <c r="L5984" t="s">
        <v>285</v>
      </c>
      <c r="M5984" t="str">
        <f t="shared" si="432"/>
        <v>05</v>
      </c>
      <c r="N5984" t="s">
        <v>12</v>
      </c>
    </row>
    <row r="5985" spans="1:14" x14ac:dyDescent="0.25">
      <c r="A5985">
        <v>20160506</v>
      </c>
      <c r="B5985" t="str">
        <f t="shared" si="433"/>
        <v>063355</v>
      </c>
      <c r="C5985" t="str">
        <f t="shared" si="434"/>
        <v>20706</v>
      </c>
      <c r="D5985" t="s">
        <v>1823</v>
      </c>
      <c r="E5985" s="3">
        <v>648.91</v>
      </c>
      <c r="F5985">
        <v>20160504</v>
      </c>
      <c r="G5985" t="s">
        <v>2239</v>
      </c>
      <c r="H5985" t="s">
        <v>5065</v>
      </c>
      <c r="I5985">
        <v>0</v>
      </c>
      <c r="J5985" t="s">
        <v>1709</v>
      </c>
      <c r="K5985" t="s">
        <v>95</v>
      </c>
      <c r="L5985" t="s">
        <v>285</v>
      </c>
      <c r="M5985" t="str">
        <f t="shared" si="432"/>
        <v>05</v>
      </c>
      <c r="N5985" t="s">
        <v>12</v>
      </c>
    </row>
    <row r="5986" spans="1:14" x14ac:dyDescent="0.25">
      <c r="A5986">
        <v>20160506</v>
      </c>
      <c r="B5986" t="str">
        <f t="shared" si="433"/>
        <v>063355</v>
      </c>
      <c r="C5986" t="str">
        <f t="shared" si="434"/>
        <v>20706</v>
      </c>
      <c r="D5986" t="s">
        <v>1823</v>
      </c>
      <c r="E5986" s="3">
        <v>3081.76</v>
      </c>
      <c r="F5986">
        <v>20160504</v>
      </c>
      <c r="G5986" t="s">
        <v>2241</v>
      </c>
      <c r="H5986" t="s">
        <v>5066</v>
      </c>
      <c r="I5986">
        <v>0</v>
      </c>
      <c r="J5986" t="s">
        <v>1709</v>
      </c>
      <c r="K5986" t="s">
        <v>1643</v>
      </c>
      <c r="L5986" t="s">
        <v>285</v>
      </c>
      <c r="M5986" t="str">
        <f t="shared" si="432"/>
        <v>05</v>
      </c>
      <c r="N5986" t="s">
        <v>12</v>
      </c>
    </row>
    <row r="5987" spans="1:14" x14ac:dyDescent="0.25">
      <c r="A5987">
        <v>20160506</v>
      </c>
      <c r="B5987" t="str">
        <f t="shared" si="433"/>
        <v>063355</v>
      </c>
      <c r="C5987" t="str">
        <f t="shared" si="434"/>
        <v>20706</v>
      </c>
      <c r="D5987" t="s">
        <v>1823</v>
      </c>
      <c r="E5987" s="3">
        <v>1363.74</v>
      </c>
      <c r="F5987">
        <v>20160504</v>
      </c>
      <c r="G5987" t="s">
        <v>2243</v>
      </c>
      <c r="H5987" t="s">
        <v>5067</v>
      </c>
      <c r="I5987">
        <v>0</v>
      </c>
      <c r="J5987" t="s">
        <v>1709</v>
      </c>
      <c r="K5987" t="s">
        <v>33</v>
      </c>
      <c r="L5987" t="s">
        <v>285</v>
      </c>
      <c r="M5987" t="str">
        <f t="shared" si="432"/>
        <v>05</v>
      </c>
      <c r="N5987" t="s">
        <v>12</v>
      </c>
    </row>
    <row r="5988" spans="1:14" x14ac:dyDescent="0.25">
      <c r="A5988">
        <v>20160506</v>
      </c>
      <c r="B5988" t="str">
        <f t="shared" si="433"/>
        <v>063355</v>
      </c>
      <c r="C5988" t="str">
        <f t="shared" si="434"/>
        <v>20706</v>
      </c>
      <c r="D5988" t="s">
        <v>1823</v>
      </c>
      <c r="E5988" s="3">
        <v>385.09</v>
      </c>
      <c r="F5988">
        <v>20160504</v>
      </c>
      <c r="G5988" t="s">
        <v>2245</v>
      </c>
      <c r="H5988" t="s">
        <v>5068</v>
      </c>
      <c r="I5988">
        <v>0</v>
      </c>
      <c r="J5988" t="s">
        <v>1709</v>
      </c>
      <c r="K5988" t="s">
        <v>2247</v>
      </c>
      <c r="L5988" t="s">
        <v>285</v>
      </c>
      <c r="M5988" t="str">
        <f t="shared" si="432"/>
        <v>05</v>
      </c>
      <c r="N5988" t="s">
        <v>12</v>
      </c>
    </row>
    <row r="5989" spans="1:14" x14ac:dyDescent="0.25">
      <c r="A5989">
        <v>20160506</v>
      </c>
      <c r="B5989" t="str">
        <f t="shared" si="433"/>
        <v>063355</v>
      </c>
      <c r="C5989" t="str">
        <f t="shared" si="434"/>
        <v>20706</v>
      </c>
      <c r="D5989" t="s">
        <v>1823</v>
      </c>
      <c r="E5989" s="3">
        <v>84.08</v>
      </c>
      <c r="F5989">
        <v>20160504</v>
      </c>
      <c r="G5989" t="s">
        <v>2248</v>
      </c>
      <c r="H5989" t="s">
        <v>5069</v>
      </c>
      <c r="I5989">
        <v>0</v>
      </c>
      <c r="J5989" t="s">
        <v>1709</v>
      </c>
      <c r="K5989" t="s">
        <v>1861</v>
      </c>
      <c r="L5989" t="s">
        <v>285</v>
      </c>
      <c r="M5989" t="str">
        <f t="shared" si="432"/>
        <v>05</v>
      </c>
      <c r="N5989" t="s">
        <v>12</v>
      </c>
    </row>
    <row r="5990" spans="1:14" x14ac:dyDescent="0.25">
      <c r="A5990">
        <v>20160506</v>
      </c>
      <c r="B5990" t="str">
        <f t="shared" si="433"/>
        <v>063355</v>
      </c>
      <c r="C5990" t="str">
        <f t="shared" si="434"/>
        <v>20706</v>
      </c>
      <c r="D5990" t="s">
        <v>1823</v>
      </c>
      <c r="E5990" s="3">
        <v>5907.98</v>
      </c>
      <c r="F5990">
        <v>20160504</v>
      </c>
      <c r="G5990" t="s">
        <v>2250</v>
      </c>
      <c r="H5990" t="s">
        <v>5070</v>
      </c>
      <c r="I5990">
        <v>0</v>
      </c>
      <c r="J5990" t="s">
        <v>1709</v>
      </c>
      <c r="K5990" t="s">
        <v>2252</v>
      </c>
      <c r="L5990" t="s">
        <v>285</v>
      </c>
      <c r="M5990" t="str">
        <f t="shared" si="432"/>
        <v>05</v>
      </c>
      <c r="N5990" t="s">
        <v>12</v>
      </c>
    </row>
    <row r="5991" spans="1:14" x14ac:dyDescent="0.25">
      <c r="A5991">
        <v>20160506</v>
      </c>
      <c r="B5991" t="str">
        <f t="shared" si="433"/>
        <v>063355</v>
      </c>
      <c r="C5991" t="str">
        <f t="shared" si="434"/>
        <v>20706</v>
      </c>
      <c r="D5991" t="s">
        <v>1823</v>
      </c>
      <c r="E5991" s="3">
        <v>1656.5</v>
      </c>
      <c r="F5991">
        <v>20160504</v>
      </c>
      <c r="G5991" t="s">
        <v>2253</v>
      </c>
      <c r="H5991" t="s">
        <v>5071</v>
      </c>
      <c r="I5991">
        <v>0</v>
      </c>
      <c r="J5991" t="s">
        <v>1709</v>
      </c>
      <c r="K5991" t="s">
        <v>290</v>
      </c>
      <c r="L5991" t="s">
        <v>285</v>
      </c>
      <c r="M5991" t="str">
        <f t="shared" si="432"/>
        <v>05</v>
      </c>
      <c r="N5991" t="s">
        <v>12</v>
      </c>
    </row>
    <row r="5992" spans="1:14" x14ac:dyDescent="0.25">
      <c r="A5992">
        <v>20160506</v>
      </c>
      <c r="B5992" t="str">
        <f t="shared" si="433"/>
        <v>063355</v>
      </c>
      <c r="C5992" t="str">
        <f t="shared" si="434"/>
        <v>20706</v>
      </c>
      <c r="D5992" t="s">
        <v>1823</v>
      </c>
      <c r="E5992" s="3">
        <v>269.08</v>
      </c>
      <c r="F5992">
        <v>20160504</v>
      </c>
      <c r="G5992" t="s">
        <v>2255</v>
      </c>
      <c r="H5992" t="s">
        <v>5072</v>
      </c>
      <c r="I5992">
        <v>0</v>
      </c>
      <c r="J5992" t="s">
        <v>1709</v>
      </c>
      <c r="K5992" t="s">
        <v>95</v>
      </c>
      <c r="L5992" t="s">
        <v>285</v>
      </c>
      <c r="M5992" t="str">
        <f t="shared" si="432"/>
        <v>05</v>
      </c>
      <c r="N5992" t="s">
        <v>12</v>
      </c>
    </row>
    <row r="5993" spans="1:14" x14ac:dyDescent="0.25">
      <c r="A5993">
        <v>20160506</v>
      </c>
      <c r="B5993" t="str">
        <f t="shared" si="433"/>
        <v>063355</v>
      </c>
      <c r="C5993" t="str">
        <f t="shared" si="434"/>
        <v>20706</v>
      </c>
      <c r="D5993" t="s">
        <v>1823</v>
      </c>
      <c r="E5993" s="3">
        <v>322.49</v>
      </c>
      <c r="F5993">
        <v>20160504</v>
      </c>
      <c r="G5993" t="s">
        <v>2257</v>
      </c>
      <c r="H5993" t="s">
        <v>5073</v>
      </c>
      <c r="I5993">
        <v>0</v>
      </c>
      <c r="J5993" t="s">
        <v>1709</v>
      </c>
      <c r="K5993" t="s">
        <v>1643</v>
      </c>
      <c r="L5993" t="s">
        <v>285</v>
      </c>
      <c r="M5993" t="str">
        <f t="shared" si="432"/>
        <v>05</v>
      </c>
      <c r="N5993" t="s">
        <v>12</v>
      </c>
    </row>
    <row r="5994" spans="1:14" x14ac:dyDescent="0.25">
      <c r="A5994">
        <v>20160506</v>
      </c>
      <c r="B5994" t="str">
        <f t="shared" si="433"/>
        <v>063355</v>
      </c>
      <c r="C5994" t="str">
        <f t="shared" si="434"/>
        <v>20706</v>
      </c>
      <c r="D5994" t="s">
        <v>1823</v>
      </c>
      <c r="E5994" s="3">
        <v>124.11</v>
      </c>
      <c r="F5994">
        <v>20160504</v>
      </c>
      <c r="G5994" t="s">
        <v>2259</v>
      </c>
      <c r="H5994" t="s">
        <v>5074</v>
      </c>
      <c r="I5994">
        <v>0</v>
      </c>
      <c r="J5994" t="s">
        <v>1709</v>
      </c>
      <c r="K5994" t="s">
        <v>33</v>
      </c>
      <c r="L5994" t="s">
        <v>285</v>
      </c>
      <c r="M5994" t="str">
        <f t="shared" si="432"/>
        <v>05</v>
      </c>
      <c r="N5994" t="s">
        <v>12</v>
      </c>
    </row>
    <row r="5995" spans="1:14" x14ac:dyDescent="0.25">
      <c r="A5995">
        <v>20160506</v>
      </c>
      <c r="B5995" t="str">
        <f t="shared" si="433"/>
        <v>063355</v>
      </c>
      <c r="C5995" t="str">
        <f t="shared" si="434"/>
        <v>20706</v>
      </c>
      <c r="D5995" t="s">
        <v>1823</v>
      </c>
      <c r="E5995" s="3">
        <v>124.11</v>
      </c>
      <c r="F5995">
        <v>20160504</v>
      </c>
      <c r="G5995" t="s">
        <v>4361</v>
      </c>
      <c r="H5995" t="s">
        <v>5075</v>
      </c>
      <c r="I5995">
        <v>0</v>
      </c>
      <c r="J5995" t="s">
        <v>1709</v>
      </c>
      <c r="K5995" t="s">
        <v>290</v>
      </c>
      <c r="L5995" t="s">
        <v>285</v>
      </c>
      <c r="M5995" t="str">
        <f t="shared" si="432"/>
        <v>05</v>
      </c>
      <c r="N5995" t="s">
        <v>12</v>
      </c>
    </row>
    <row r="5996" spans="1:14" x14ac:dyDescent="0.25">
      <c r="A5996">
        <v>20160506</v>
      </c>
      <c r="B5996" t="str">
        <f>"063356"</f>
        <v>063356</v>
      </c>
      <c r="C5996" t="str">
        <f>"21091"</f>
        <v>21091</v>
      </c>
      <c r="D5996" t="s">
        <v>2855</v>
      </c>
      <c r="E5996" s="3">
        <v>424.14</v>
      </c>
      <c r="F5996">
        <v>20160504</v>
      </c>
      <c r="G5996" t="s">
        <v>1854</v>
      </c>
      <c r="H5996" t="s">
        <v>5076</v>
      </c>
      <c r="I5996">
        <v>0</v>
      </c>
      <c r="J5996" t="s">
        <v>1709</v>
      </c>
      <c r="K5996" t="s">
        <v>1856</v>
      </c>
      <c r="L5996" t="s">
        <v>285</v>
      </c>
      <c r="M5996" t="str">
        <f t="shared" si="432"/>
        <v>05</v>
      </c>
      <c r="N5996" t="s">
        <v>12</v>
      </c>
    </row>
    <row r="5997" spans="1:14" x14ac:dyDescent="0.25">
      <c r="A5997">
        <v>20160506</v>
      </c>
      <c r="B5997" t="str">
        <f>"063359"</f>
        <v>063359</v>
      </c>
      <c r="C5997" t="str">
        <f>"21514"</f>
        <v>21514</v>
      </c>
      <c r="D5997" t="s">
        <v>3434</v>
      </c>
      <c r="E5997" s="3">
        <v>135</v>
      </c>
      <c r="F5997">
        <v>20160504</v>
      </c>
      <c r="G5997" t="s">
        <v>3114</v>
      </c>
      <c r="H5997" t="s">
        <v>5077</v>
      </c>
      <c r="I5997">
        <v>0</v>
      </c>
      <c r="J5997" t="s">
        <v>1709</v>
      </c>
      <c r="K5997" t="s">
        <v>33</v>
      </c>
      <c r="L5997" t="s">
        <v>285</v>
      </c>
      <c r="M5997" t="str">
        <f t="shared" si="432"/>
        <v>05</v>
      </c>
      <c r="N5997" t="s">
        <v>12</v>
      </c>
    </row>
    <row r="5998" spans="1:14" x14ac:dyDescent="0.25">
      <c r="A5998">
        <v>20160506</v>
      </c>
      <c r="B5998" t="str">
        <f>"063360"</f>
        <v>063360</v>
      </c>
      <c r="C5998" t="str">
        <f>"21610"</f>
        <v>21610</v>
      </c>
      <c r="D5998" t="s">
        <v>4892</v>
      </c>
      <c r="E5998" s="3">
        <v>1090.92</v>
      </c>
      <c r="F5998">
        <v>20160504</v>
      </c>
      <c r="G5998" t="s">
        <v>1840</v>
      </c>
      <c r="H5998" t="s">
        <v>4893</v>
      </c>
      <c r="I5998">
        <v>0</v>
      </c>
      <c r="J5998" t="s">
        <v>1709</v>
      </c>
      <c r="K5998" t="s">
        <v>1744</v>
      </c>
      <c r="L5998" t="s">
        <v>285</v>
      </c>
      <c r="M5998" t="str">
        <f t="shared" si="432"/>
        <v>05</v>
      </c>
      <c r="N5998" t="s">
        <v>12</v>
      </c>
    </row>
    <row r="5999" spans="1:14" x14ac:dyDescent="0.25">
      <c r="A5999">
        <v>20160506</v>
      </c>
      <c r="B5999" t="str">
        <f>"063364"</f>
        <v>063364</v>
      </c>
      <c r="C5999" t="str">
        <f>"27900"</f>
        <v>27900</v>
      </c>
      <c r="D5999" t="s">
        <v>1596</v>
      </c>
      <c r="E5999" s="3">
        <v>55</v>
      </c>
      <c r="F5999">
        <v>20160504</v>
      </c>
      <c r="G5999" t="s">
        <v>2490</v>
      </c>
      <c r="H5999" t="s">
        <v>5078</v>
      </c>
      <c r="I5999">
        <v>0</v>
      </c>
      <c r="J5999" t="s">
        <v>1709</v>
      </c>
      <c r="K5999" t="s">
        <v>1856</v>
      </c>
      <c r="L5999" t="s">
        <v>285</v>
      </c>
      <c r="M5999" t="str">
        <f t="shared" si="432"/>
        <v>05</v>
      </c>
      <c r="N5999" t="s">
        <v>12</v>
      </c>
    </row>
    <row r="6000" spans="1:14" x14ac:dyDescent="0.25">
      <c r="A6000">
        <v>20160506</v>
      </c>
      <c r="B6000" t="str">
        <f>"063364"</f>
        <v>063364</v>
      </c>
      <c r="C6000" t="str">
        <f>"27900"</f>
        <v>27900</v>
      </c>
      <c r="D6000" t="s">
        <v>1596</v>
      </c>
      <c r="E6000" s="3">
        <v>4321.01</v>
      </c>
      <c r="F6000">
        <v>20160504</v>
      </c>
      <c r="G6000" t="s">
        <v>2035</v>
      </c>
      <c r="H6000" t="s">
        <v>5079</v>
      </c>
      <c r="I6000">
        <v>0</v>
      </c>
      <c r="J6000" t="s">
        <v>1709</v>
      </c>
      <c r="K6000" t="s">
        <v>1984</v>
      </c>
      <c r="L6000" t="s">
        <v>285</v>
      </c>
      <c r="M6000" t="str">
        <f t="shared" si="432"/>
        <v>05</v>
      </c>
      <c r="N6000" t="s">
        <v>12</v>
      </c>
    </row>
    <row r="6001" spans="1:14" x14ac:dyDescent="0.25">
      <c r="A6001">
        <v>20160506</v>
      </c>
      <c r="B6001" t="str">
        <f>"063364"</f>
        <v>063364</v>
      </c>
      <c r="C6001" t="str">
        <f>"27900"</f>
        <v>27900</v>
      </c>
      <c r="D6001" t="s">
        <v>1596</v>
      </c>
      <c r="E6001" s="3">
        <v>4321.0200000000004</v>
      </c>
      <c r="F6001">
        <v>20160504</v>
      </c>
      <c r="G6001" t="s">
        <v>2037</v>
      </c>
      <c r="H6001" t="s">
        <v>5079</v>
      </c>
      <c r="I6001">
        <v>0</v>
      </c>
      <c r="J6001" t="s">
        <v>1709</v>
      </c>
      <c r="K6001" t="s">
        <v>1984</v>
      </c>
      <c r="L6001" t="s">
        <v>285</v>
      </c>
      <c r="M6001" t="str">
        <f t="shared" si="432"/>
        <v>05</v>
      </c>
      <c r="N6001" t="s">
        <v>12</v>
      </c>
    </row>
    <row r="6002" spans="1:14" x14ac:dyDescent="0.25">
      <c r="A6002">
        <v>20160506</v>
      </c>
      <c r="B6002" t="str">
        <f>"063366"</f>
        <v>063366</v>
      </c>
      <c r="C6002" t="str">
        <f>"29548"</f>
        <v>29548</v>
      </c>
      <c r="D6002" t="s">
        <v>1862</v>
      </c>
      <c r="E6002" s="3">
        <v>261.8</v>
      </c>
      <c r="F6002">
        <v>20160504</v>
      </c>
      <c r="G6002" t="s">
        <v>1859</v>
      </c>
      <c r="H6002" t="s">
        <v>5014</v>
      </c>
      <c r="I6002">
        <v>0</v>
      </c>
      <c r="J6002" t="s">
        <v>1709</v>
      </c>
      <c r="K6002" t="s">
        <v>1861</v>
      </c>
      <c r="L6002" t="s">
        <v>285</v>
      </c>
      <c r="M6002" t="str">
        <f t="shared" si="432"/>
        <v>05</v>
      </c>
      <c r="N6002" t="s">
        <v>12</v>
      </c>
    </row>
    <row r="6003" spans="1:14" x14ac:dyDescent="0.25">
      <c r="A6003">
        <v>20160506</v>
      </c>
      <c r="B6003" t="str">
        <f>"063367"</f>
        <v>063367</v>
      </c>
      <c r="C6003" t="str">
        <f>"30130"</f>
        <v>30130</v>
      </c>
      <c r="D6003" t="s">
        <v>3082</v>
      </c>
      <c r="E6003" s="3">
        <v>67.08</v>
      </c>
      <c r="F6003">
        <v>20160504</v>
      </c>
      <c r="G6003" t="s">
        <v>1854</v>
      </c>
      <c r="H6003" t="s">
        <v>5080</v>
      </c>
      <c r="I6003">
        <v>0</v>
      </c>
      <c r="J6003" t="s">
        <v>1709</v>
      </c>
      <c r="K6003" t="s">
        <v>1856</v>
      </c>
      <c r="L6003" t="s">
        <v>285</v>
      </c>
      <c r="M6003" t="str">
        <f t="shared" si="432"/>
        <v>05</v>
      </c>
      <c r="N6003" t="s">
        <v>12</v>
      </c>
    </row>
    <row r="6004" spans="1:14" x14ac:dyDescent="0.25">
      <c r="A6004">
        <v>20160506</v>
      </c>
      <c r="B6004" t="str">
        <f>"063367"</f>
        <v>063367</v>
      </c>
      <c r="C6004" t="str">
        <f>"30130"</f>
        <v>30130</v>
      </c>
      <c r="D6004" t="s">
        <v>3082</v>
      </c>
      <c r="E6004" s="3">
        <v>544.21</v>
      </c>
      <c r="F6004">
        <v>20160504</v>
      </c>
      <c r="G6004" t="s">
        <v>1854</v>
      </c>
      <c r="H6004" t="s">
        <v>5081</v>
      </c>
      <c r="I6004">
        <v>0</v>
      </c>
      <c r="J6004" t="s">
        <v>1709</v>
      </c>
      <c r="K6004" t="s">
        <v>1856</v>
      </c>
      <c r="L6004" t="s">
        <v>285</v>
      </c>
      <c r="M6004" t="str">
        <f t="shared" si="432"/>
        <v>05</v>
      </c>
      <c r="N6004" t="s">
        <v>12</v>
      </c>
    </row>
    <row r="6005" spans="1:14" x14ac:dyDescent="0.25">
      <c r="A6005">
        <v>20160506</v>
      </c>
      <c r="B6005" t="str">
        <f>"063367"</f>
        <v>063367</v>
      </c>
      <c r="C6005" t="str">
        <f>"30130"</f>
        <v>30130</v>
      </c>
      <c r="D6005" t="s">
        <v>3082</v>
      </c>
      <c r="E6005" s="3">
        <v>565.63</v>
      </c>
      <c r="F6005">
        <v>20160504</v>
      </c>
      <c r="G6005" t="s">
        <v>1854</v>
      </c>
      <c r="H6005" t="s">
        <v>5082</v>
      </c>
      <c r="I6005">
        <v>0</v>
      </c>
      <c r="J6005" t="s">
        <v>1709</v>
      </c>
      <c r="K6005" t="s">
        <v>1856</v>
      </c>
      <c r="L6005" t="s">
        <v>285</v>
      </c>
      <c r="M6005" t="str">
        <f t="shared" si="432"/>
        <v>05</v>
      </c>
      <c r="N6005" t="s">
        <v>12</v>
      </c>
    </row>
    <row r="6006" spans="1:14" x14ac:dyDescent="0.25">
      <c r="A6006">
        <v>20160506</v>
      </c>
      <c r="B6006" t="str">
        <f>"063367"</f>
        <v>063367</v>
      </c>
      <c r="C6006" t="str">
        <f>"30130"</f>
        <v>30130</v>
      </c>
      <c r="D6006" t="s">
        <v>3082</v>
      </c>
      <c r="E6006" s="3">
        <v>1653.92</v>
      </c>
      <c r="F6006">
        <v>20160504</v>
      </c>
      <c r="G6006" t="s">
        <v>1854</v>
      </c>
      <c r="H6006" t="s">
        <v>5083</v>
      </c>
      <c r="I6006">
        <v>0</v>
      </c>
      <c r="J6006" t="s">
        <v>1709</v>
      </c>
      <c r="K6006" t="s">
        <v>1856</v>
      </c>
      <c r="L6006" t="s">
        <v>285</v>
      </c>
      <c r="M6006" t="str">
        <f t="shared" si="432"/>
        <v>05</v>
      </c>
      <c r="N6006" t="s">
        <v>12</v>
      </c>
    </row>
    <row r="6007" spans="1:14" x14ac:dyDescent="0.25">
      <c r="A6007">
        <v>20160506</v>
      </c>
      <c r="B6007" t="str">
        <f>"063367"</f>
        <v>063367</v>
      </c>
      <c r="C6007" t="str">
        <f>"30130"</f>
        <v>30130</v>
      </c>
      <c r="D6007" t="s">
        <v>3082</v>
      </c>
      <c r="E6007" s="3">
        <v>1585.23</v>
      </c>
      <c r="F6007">
        <v>20160504</v>
      </c>
      <c r="G6007" t="s">
        <v>1854</v>
      </c>
      <c r="H6007" t="s">
        <v>5084</v>
      </c>
      <c r="I6007">
        <v>0</v>
      </c>
      <c r="J6007" t="s">
        <v>1709</v>
      </c>
      <c r="K6007" t="s">
        <v>1856</v>
      </c>
      <c r="L6007" t="s">
        <v>285</v>
      </c>
      <c r="M6007" t="str">
        <f t="shared" si="432"/>
        <v>05</v>
      </c>
      <c r="N6007" t="s">
        <v>12</v>
      </c>
    </row>
    <row r="6008" spans="1:14" x14ac:dyDescent="0.25">
      <c r="A6008">
        <v>20160506</v>
      </c>
      <c r="B6008" t="str">
        <f>"063368"</f>
        <v>063368</v>
      </c>
      <c r="C6008" t="str">
        <f>"30132"</f>
        <v>30132</v>
      </c>
      <c r="D6008" t="s">
        <v>2878</v>
      </c>
      <c r="E6008" s="3">
        <v>565.65</v>
      </c>
      <c r="F6008">
        <v>20160504</v>
      </c>
      <c r="G6008" t="s">
        <v>2133</v>
      </c>
      <c r="H6008" t="s">
        <v>5085</v>
      </c>
      <c r="I6008">
        <v>0</v>
      </c>
      <c r="J6008" t="s">
        <v>1709</v>
      </c>
      <c r="K6008" t="s">
        <v>290</v>
      </c>
      <c r="L6008" t="s">
        <v>285</v>
      </c>
      <c r="M6008" t="str">
        <f t="shared" si="432"/>
        <v>05</v>
      </c>
      <c r="N6008" t="s">
        <v>12</v>
      </c>
    </row>
    <row r="6009" spans="1:14" x14ac:dyDescent="0.25">
      <c r="A6009">
        <v>20160506</v>
      </c>
      <c r="B6009" t="str">
        <f>"063368"</f>
        <v>063368</v>
      </c>
      <c r="C6009" t="str">
        <f>"30132"</f>
        <v>30132</v>
      </c>
      <c r="D6009" t="s">
        <v>2878</v>
      </c>
      <c r="E6009" s="3">
        <v>339.39</v>
      </c>
      <c r="F6009">
        <v>20160504</v>
      </c>
      <c r="G6009" t="s">
        <v>2789</v>
      </c>
      <c r="H6009" t="s">
        <v>5085</v>
      </c>
      <c r="I6009">
        <v>0</v>
      </c>
      <c r="J6009" t="s">
        <v>1709</v>
      </c>
      <c r="K6009" t="s">
        <v>290</v>
      </c>
      <c r="L6009" t="s">
        <v>285</v>
      </c>
      <c r="M6009" t="str">
        <f t="shared" si="432"/>
        <v>05</v>
      </c>
      <c r="N6009" t="s">
        <v>12</v>
      </c>
    </row>
    <row r="6010" spans="1:14" x14ac:dyDescent="0.25">
      <c r="A6010">
        <v>20160506</v>
      </c>
      <c r="B6010" t="str">
        <f>"063370"</f>
        <v>063370</v>
      </c>
      <c r="C6010" t="str">
        <f>"30479"</f>
        <v>30479</v>
      </c>
      <c r="D6010" t="s">
        <v>2663</v>
      </c>
      <c r="E6010" s="3">
        <v>1692.5</v>
      </c>
      <c r="F6010">
        <v>20160504</v>
      </c>
      <c r="G6010" t="s">
        <v>2664</v>
      </c>
      <c r="H6010" t="s">
        <v>4138</v>
      </c>
      <c r="I6010">
        <v>0</v>
      </c>
      <c r="J6010" t="s">
        <v>1709</v>
      </c>
      <c r="K6010" t="s">
        <v>1744</v>
      </c>
      <c r="L6010" t="s">
        <v>285</v>
      </c>
      <c r="M6010" t="str">
        <f t="shared" si="432"/>
        <v>05</v>
      </c>
      <c r="N6010" t="s">
        <v>12</v>
      </c>
    </row>
    <row r="6011" spans="1:14" x14ac:dyDescent="0.25">
      <c r="A6011">
        <v>20160506</v>
      </c>
      <c r="B6011" t="str">
        <f>"063370"</f>
        <v>063370</v>
      </c>
      <c r="C6011" t="str">
        <f>"30479"</f>
        <v>30479</v>
      </c>
      <c r="D6011" t="s">
        <v>2663</v>
      </c>
      <c r="E6011" s="3">
        <v>708</v>
      </c>
      <c r="F6011">
        <v>20160504</v>
      </c>
      <c r="G6011" t="s">
        <v>2850</v>
      </c>
      <c r="H6011" t="s">
        <v>4138</v>
      </c>
      <c r="I6011">
        <v>0</v>
      </c>
      <c r="J6011" t="s">
        <v>1709</v>
      </c>
      <c r="K6011" t="s">
        <v>1775</v>
      </c>
      <c r="L6011" t="s">
        <v>285</v>
      </c>
      <c r="M6011" t="str">
        <f t="shared" si="432"/>
        <v>05</v>
      </c>
      <c r="N6011" t="s">
        <v>12</v>
      </c>
    </row>
    <row r="6012" spans="1:14" x14ac:dyDescent="0.25">
      <c r="A6012">
        <v>20160506</v>
      </c>
      <c r="B6012" t="str">
        <f t="shared" ref="B6012:B6020" si="435">"063375"</f>
        <v>063375</v>
      </c>
      <c r="C6012" t="str">
        <f t="shared" ref="C6012:C6020" si="436">"37500"</f>
        <v>37500</v>
      </c>
      <c r="D6012" t="s">
        <v>1652</v>
      </c>
      <c r="E6012" s="3">
        <v>59.36</v>
      </c>
      <c r="F6012">
        <v>20160505</v>
      </c>
      <c r="G6012" t="s">
        <v>2978</v>
      </c>
      <c r="H6012" t="s">
        <v>2169</v>
      </c>
      <c r="I6012">
        <v>0</v>
      </c>
      <c r="J6012" t="s">
        <v>1709</v>
      </c>
      <c r="K6012" t="s">
        <v>290</v>
      </c>
      <c r="L6012" t="s">
        <v>285</v>
      </c>
      <c r="M6012" t="str">
        <f t="shared" si="432"/>
        <v>05</v>
      </c>
      <c r="N6012" t="s">
        <v>12</v>
      </c>
    </row>
    <row r="6013" spans="1:14" x14ac:dyDescent="0.25">
      <c r="A6013">
        <v>20160506</v>
      </c>
      <c r="B6013" t="str">
        <f t="shared" si="435"/>
        <v>063375</v>
      </c>
      <c r="C6013" t="str">
        <f t="shared" si="436"/>
        <v>37500</v>
      </c>
      <c r="D6013" t="s">
        <v>1652</v>
      </c>
      <c r="E6013" s="3">
        <v>1.75</v>
      </c>
      <c r="F6013">
        <v>20160505</v>
      </c>
      <c r="G6013" t="s">
        <v>2978</v>
      </c>
      <c r="H6013" t="s">
        <v>2169</v>
      </c>
      <c r="I6013">
        <v>0</v>
      </c>
      <c r="J6013" t="s">
        <v>1709</v>
      </c>
      <c r="K6013" t="s">
        <v>290</v>
      </c>
      <c r="L6013" t="s">
        <v>285</v>
      </c>
      <c r="M6013" t="str">
        <f t="shared" si="432"/>
        <v>05</v>
      </c>
      <c r="N6013" t="s">
        <v>12</v>
      </c>
    </row>
    <row r="6014" spans="1:14" x14ac:dyDescent="0.25">
      <c r="A6014">
        <v>20160506</v>
      </c>
      <c r="B6014" t="str">
        <f t="shared" si="435"/>
        <v>063375</v>
      </c>
      <c r="C6014" t="str">
        <f t="shared" si="436"/>
        <v>37500</v>
      </c>
      <c r="D6014" t="s">
        <v>1652</v>
      </c>
      <c r="E6014" s="3">
        <v>135.1</v>
      </c>
      <c r="F6014">
        <v>20160505</v>
      </c>
      <c r="G6014" t="s">
        <v>2791</v>
      </c>
      <c r="H6014" t="s">
        <v>2310</v>
      </c>
      <c r="I6014">
        <v>0</v>
      </c>
      <c r="J6014" t="s">
        <v>1709</v>
      </c>
      <c r="K6014" t="s">
        <v>290</v>
      </c>
      <c r="L6014" t="s">
        <v>285</v>
      </c>
      <c r="M6014" t="str">
        <f t="shared" si="432"/>
        <v>05</v>
      </c>
      <c r="N6014" t="s">
        <v>12</v>
      </c>
    </row>
    <row r="6015" spans="1:14" x14ac:dyDescent="0.25">
      <c r="A6015">
        <v>20160506</v>
      </c>
      <c r="B6015" t="str">
        <f t="shared" si="435"/>
        <v>063375</v>
      </c>
      <c r="C6015" t="str">
        <f t="shared" si="436"/>
        <v>37500</v>
      </c>
      <c r="D6015" t="s">
        <v>1652</v>
      </c>
      <c r="E6015" s="3">
        <v>29.06</v>
      </c>
      <c r="F6015">
        <v>20160505</v>
      </c>
      <c r="G6015" t="s">
        <v>5086</v>
      </c>
      <c r="H6015" t="s">
        <v>5087</v>
      </c>
      <c r="I6015">
        <v>0</v>
      </c>
      <c r="J6015" t="s">
        <v>1709</v>
      </c>
      <c r="K6015" t="s">
        <v>290</v>
      </c>
      <c r="L6015" t="s">
        <v>285</v>
      </c>
      <c r="M6015" t="str">
        <f t="shared" si="432"/>
        <v>05</v>
      </c>
      <c r="N6015" t="s">
        <v>12</v>
      </c>
    </row>
    <row r="6016" spans="1:14" x14ac:dyDescent="0.25">
      <c r="A6016">
        <v>20160506</v>
      </c>
      <c r="B6016" t="str">
        <f t="shared" si="435"/>
        <v>063375</v>
      </c>
      <c r="C6016" t="str">
        <f t="shared" si="436"/>
        <v>37500</v>
      </c>
      <c r="D6016" t="s">
        <v>1652</v>
      </c>
      <c r="E6016" s="3">
        <v>44.8</v>
      </c>
      <c r="F6016">
        <v>20160505</v>
      </c>
      <c r="G6016" t="s">
        <v>2792</v>
      </c>
      <c r="H6016" t="s">
        <v>5088</v>
      </c>
      <c r="I6016">
        <v>0</v>
      </c>
      <c r="J6016" t="s">
        <v>1709</v>
      </c>
      <c r="K6016" t="s">
        <v>33</v>
      </c>
      <c r="L6016" t="s">
        <v>285</v>
      </c>
      <c r="M6016" t="str">
        <f t="shared" si="432"/>
        <v>05</v>
      </c>
      <c r="N6016" t="s">
        <v>12</v>
      </c>
    </row>
    <row r="6017" spans="1:14" x14ac:dyDescent="0.25">
      <c r="A6017">
        <v>20160506</v>
      </c>
      <c r="B6017" t="str">
        <f t="shared" si="435"/>
        <v>063375</v>
      </c>
      <c r="C6017" t="str">
        <f t="shared" si="436"/>
        <v>37500</v>
      </c>
      <c r="D6017" t="s">
        <v>1652</v>
      </c>
      <c r="E6017" s="3">
        <v>53.98</v>
      </c>
      <c r="F6017">
        <v>20160505</v>
      </c>
      <c r="G6017" t="s">
        <v>3114</v>
      </c>
      <c r="H6017" t="s">
        <v>5089</v>
      </c>
      <c r="I6017">
        <v>0</v>
      </c>
      <c r="J6017" t="s">
        <v>1709</v>
      </c>
      <c r="K6017" t="s">
        <v>33</v>
      </c>
      <c r="L6017" t="s">
        <v>285</v>
      </c>
      <c r="M6017" t="str">
        <f t="shared" si="432"/>
        <v>05</v>
      </c>
      <c r="N6017" t="s">
        <v>12</v>
      </c>
    </row>
    <row r="6018" spans="1:14" x14ac:dyDescent="0.25">
      <c r="A6018">
        <v>20160506</v>
      </c>
      <c r="B6018" t="str">
        <f t="shared" si="435"/>
        <v>063375</v>
      </c>
      <c r="C6018" t="str">
        <f t="shared" si="436"/>
        <v>37500</v>
      </c>
      <c r="D6018" t="s">
        <v>1652</v>
      </c>
      <c r="E6018" s="3">
        <v>18.649999999999999</v>
      </c>
      <c r="F6018">
        <v>20160505</v>
      </c>
      <c r="G6018" t="s">
        <v>2172</v>
      </c>
      <c r="H6018" t="s">
        <v>5090</v>
      </c>
      <c r="I6018">
        <v>0</v>
      </c>
      <c r="J6018" t="s">
        <v>1709</v>
      </c>
      <c r="K6018" t="s">
        <v>95</v>
      </c>
      <c r="L6018" t="s">
        <v>285</v>
      </c>
      <c r="M6018" t="str">
        <f t="shared" si="432"/>
        <v>05</v>
      </c>
      <c r="N6018" t="s">
        <v>12</v>
      </c>
    </row>
    <row r="6019" spans="1:14" x14ac:dyDescent="0.25">
      <c r="A6019">
        <v>20160506</v>
      </c>
      <c r="B6019" t="str">
        <f t="shared" si="435"/>
        <v>063375</v>
      </c>
      <c r="C6019" t="str">
        <f t="shared" si="436"/>
        <v>37500</v>
      </c>
      <c r="D6019" t="s">
        <v>1652</v>
      </c>
      <c r="E6019" s="3">
        <v>70.88</v>
      </c>
      <c r="F6019">
        <v>20160505</v>
      </c>
      <c r="G6019" t="s">
        <v>4328</v>
      </c>
      <c r="H6019" t="s">
        <v>5091</v>
      </c>
      <c r="I6019">
        <v>0</v>
      </c>
      <c r="J6019" t="s">
        <v>1709</v>
      </c>
      <c r="K6019" t="s">
        <v>290</v>
      </c>
      <c r="L6019" t="s">
        <v>285</v>
      </c>
      <c r="M6019" t="str">
        <f t="shared" si="432"/>
        <v>05</v>
      </c>
      <c r="N6019" t="s">
        <v>12</v>
      </c>
    </row>
    <row r="6020" spans="1:14" x14ac:dyDescent="0.25">
      <c r="A6020">
        <v>20160506</v>
      </c>
      <c r="B6020" t="str">
        <f t="shared" si="435"/>
        <v>063375</v>
      </c>
      <c r="C6020" t="str">
        <f t="shared" si="436"/>
        <v>37500</v>
      </c>
      <c r="D6020" t="s">
        <v>1652</v>
      </c>
      <c r="E6020" s="3">
        <v>61.38</v>
      </c>
      <c r="F6020">
        <v>20160505</v>
      </c>
      <c r="G6020" t="s">
        <v>2673</v>
      </c>
      <c r="H6020" t="s">
        <v>5092</v>
      </c>
      <c r="I6020">
        <v>0</v>
      </c>
      <c r="J6020" t="s">
        <v>1709</v>
      </c>
      <c r="K6020" t="s">
        <v>2207</v>
      </c>
      <c r="L6020" t="s">
        <v>285</v>
      </c>
      <c r="M6020" t="str">
        <f t="shared" si="432"/>
        <v>05</v>
      </c>
      <c r="N6020" t="s">
        <v>12</v>
      </c>
    </row>
    <row r="6021" spans="1:14" x14ac:dyDescent="0.25">
      <c r="A6021">
        <v>20160506</v>
      </c>
      <c r="B6021" t="str">
        <f>"063377"</f>
        <v>063377</v>
      </c>
      <c r="C6021" t="str">
        <f>"40565"</f>
        <v>40565</v>
      </c>
      <c r="D6021" t="s">
        <v>3537</v>
      </c>
      <c r="E6021" s="3">
        <v>43.65</v>
      </c>
      <c r="F6021">
        <v>20160504</v>
      </c>
      <c r="G6021" t="s">
        <v>4705</v>
      </c>
      <c r="H6021" t="s">
        <v>5093</v>
      </c>
      <c r="I6021">
        <v>0</v>
      </c>
      <c r="J6021" t="s">
        <v>1709</v>
      </c>
      <c r="K6021" t="s">
        <v>290</v>
      </c>
      <c r="L6021" t="s">
        <v>285</v>
      </c>
      <c r="M6021" t="str">
        <f t="shared" si="432"/>
        <v>05</v>
      </c>
      <c r="N6021" t="s">
        <v>12</v>
      </c>
    </row>
    <row r="6022" spans="1:14" x14ac:dyDescent="0.25">
      <c r="A6022">
        <v>20160506</v>
      </c>
      <c r="B6022" t="str">
        <f>"063377"</f>
        <v>063377</v>
      </c>
      <c r="C6022" t="str">
        <f>"40565"</f>
        <v>40565</v>
      </c>
      <c r="D6022" t="s">
        <v>3537</v>
      </c>
      <c r="E6022" s="3">
        <v>74.61</v>
      </c>
      <c r="F6022">
        <v>20160504</v>
      </c>
      <c r="G6022" t="s">
        <v>4066</v>
      </c>
      <c r="H6022" t="s">
        <v>4572</v>
      </c>
      <c r="I6022">
        <v>0</v>
      </c>
      <c r="J6022" t="s">
        <v>1709</v>
      </c>
      <c r="K6022" t="s">
        <v>290</v>
      </c>
      <c r="L6022" t="s">
        <v>285</v>
      </c>
      <c r="M6022" t="str">
        <f t="shared" si="432"/>
        <v>05</v>
      </c>
      <c r="N6022" t="s">
        <v>12</v>
      </c>
    </row>
    <row r="6023" spans="1:14" x14ac:dyDescent="0.25">
      <c r="A6023">
        <v>20160506</v>
      </c>
      <c r="B6023" t="str">
        <f t="shared" ref="B6023:B6031" si="437">"063378"</f>
        <v>063378</v>
      </c>
      <c r="C6023" t="str">
        <f t="shared" ref="C6023:C6031" si="438">"41230"</f>
        <v>41230</v>
      </c>
      <c r="D6023" t="s">
        <v>604</v>
      </c>
      <c r="E6023" s="3">
        <v>39.92</v>
      </c>
      <c r="F6023">
        <v>20160505</v>
      </c>
      <c r="G6023" t="s">
        <v>2333</v>
      </c>
      <c r="H6023" t="s">
        <v>5094</v>
      </c>
      <c r="I6023">
        <v>0</v>
      </c>
      <c r="J6023" t="s">
        <v>1709</v>
      </c>
      <c r="K6023" t="s">
        <v>290</v>
      </c>
      <c r="L6023" t="s">
        <v>285</v>
      </c>
      <c r="M6023" t="str">
        <f t="shared" si="432"/>
        <v>05</v>
      </c>
      <c r="N6023" t="s">
        <v>12</v>
      </c>
    </row>
    <row r="6024" spans="1:14" x14ac:dyDescent="0.25">
      <c r="A6024">
        <v>20160506</v>
      </c>
      <c r="B6024" t="str">
        <f t="shared" si="437"/>
        <v>063378</v>
      </c>
      <c r="C6024" t="str">
        <f t="shared" si="438"/>
        <v>41230</v>
      </c>
      <c r="D6024" t="s">
        <v>604</v>
      </c>
      <c r="E6024" s="3">
        <v>19.440000000000001</v>
      </c>
      <c r="F6024">
        <v>20160505</v>
      </c>
      <c r="G6024" t="s">
        <v>2333</v>
      </c>
      <c r="H6024" t="s">
        <v>5094</v>
      </c>
      <c r="I6024">
        <v>0</v>
      </c>
      <c r="J6024" t="s">
        <v>1709</v>
      </c>
      <c r="K6024" t="s">
        <v>290</v>
      </c>
      <c r="L6024" t="s">
        <v>285</v>
      </c>
      <c r="M6024" t="str">
        <f t="shared" si="432"/>
        <v>05</v>
      </c>
      <c r="N6024" t="s">
        <v>12</v>
      </c>
    </row>
    <row r="6025" spans="1:14" x14ac:dyDescent="0.25">
      <c r="A6025">
        <v>20160506</v>
      </c>
      <c r="B6025" t="str">
        <f t="shared" si="437"/>
        <v>063378</v>
      </c>
      <c r="C6025" t="str">
        <f t="shared" si="438"/>
        <v>41230</v>
      </c>
      <c r="D6025" t="s">
        <v>604</v>
      </c>
      <c r="E6025" s="3">
        <v>117.93</v>
      </c>
      <c r="F6025">
        <v>20160505</v>
      </c>
      <c r="G6025" t="s">
        <v>1859</v>
      </c>
      <c r="H6025" t="s">
        <v>2295</v>
      </c>
      <c r="I6025">
        <v>0</v>
      </c>
      <c r="J6025" t="s">
        <v>1709</v>
      </c>
      <c r="K6025" t="s">
        <v>1861</v>
      </c>
      <c r="L6025" t="s">
        <v>285</v>
      </c>
      <c r="M6025" t="str">
        <f t="shared" si="432"/>
        <v>05</v>
      </c>
      <c r="N6025" t="s">
        <v>12</v>
      </c>
    </row>
    <row r="6026" spans="1:14" x14ac:dyDescent="0.25">
      <c r="A6026">
        <v>20160506</v>
      </c>
      <c r="B6026" t="str">
        <f t="shared" si="437"/>
        <v>063378</v>
      </c>
      <c r="C6026" t="str">
        <f t="shared" si="438"/>
        <v>41230</v>
      </c>
      <c r="D6026" t="s">
        <v>604</v>
      </c>
      <c r="E6026" s="3">
        <v>161.82</v>
      </c>
      <c r="F6026">
        <v>20160505</v>
      </c>
      <c r="G6026" t="s">
        <v>1859</v>
      </c>
      <c r="H6026" t="s">
        <v>5095</v>
      </c>
      <c r="I6026">
        <v>0</v>
      </c>
      <c r="J6026" t="s">
        <v>1709</v>
      </c>
      <c r="K6026" t="s">
        <v>1861</v>
      </c>
      <c r="L6026" t="s">
        <v>285</v>
      </c>
      <c r="M6026" t="str">
        <f t="shared" si="432"/>
        <v>05</v>
      </c>
      <c r="N6026" t="s">
        <v>12</v>
      </c>
    </row>
    <row r="6027" spans="1:14" x14ac:dyDescent="0.25">
      <c r="A6027">
        <v>20160506</v>
      </c>
      <c r="B6027" t="str">
        <f t="shared" si="437"/>
        <v>063378</v>
      </c>
      <c r="C6027" t="str">
        <f t="shared" si="438"/>
        <v>41230</v>
      </c>
      <c r="D6027" t="s">
        <v>604</v>
      </c>
      <c r="E6027" s="3">
        <v>1696</v>
      </c>
      <c r="F6027">
        <v>20160505</v>
      </c>
      <c r="G6027" t="s">
        <v>1859</v>
      </c>
      <c r="H6027" t="s">
        <v>5096</v>
      </c>
      <c r="I6027">
        <v>0</v>
      </c>
      <c r="J6027" t="s">
        <v>1709</v>
      </c>
      <c r="K6027" t="s">
        <v>1861</v>
      </c>
      <c r="L6027" t="s">
        <v>285</v>
      </c>
      <c r="M6027" t="str">
        <f t="shared" ref="M6027:M6090" si="439">"05"</f>
        <v>05</v>
      </c>
      <c r="N6027" t="s">
        <v>12</v>
      </c>
    </row>
    <row r="6028" spans="1:14" x14ac:dyDescent="0.25">
      <c r="A6028">
        <v>20160506</v>
      </c>
      <c r="B6028" t="str">
        <f t="shared" si="437"/>
        <v>063378</v>
      </c>
      <c r="C6028" t="str">
        <f t="shared" si="438"/>
        <v>41230</v>
      </c>
      <c r="D6028" t="s">
        <v>604</v>
      </c>
      <c r="E6028" s="3">
        <v>1803.94</v>
      </c>
      <c r="F6028">
        <v>20160505</v>
      </c>
      <c r="G6028" t="s">
        <v>1859</v>
      </c>
      <c r="H6028" t="s">
        <v>2295</v>
      </c>
      <c r="I6028">
        <v>0</v>
      </c>
      <c r="J6028" t="s">
        <v>1709</v>
      </c>
      <c r="K6028" t="s">
        <v>1861</v>
      </c>
      <c r="L6028" t="s">
        <v>285</v>
      </c>
      <c r="M6028" t="str">
        <f t="shared" si="439"/>
        <v>05</v>
      </c>
      <c r="N6028" t="s">
        <v>12</v>
      </c>
    </row>
    <row r="6029" spans="1:14" x14ac:dyDescent="0.25">
      <c r="A6029">
        <v>20160506</v>
      </c>
      <c r="B6029" t="str">
        <f t="shared" si="437"/>
        <v>063378</v>
      </c>
      <c r="C6029" t="str">
        <f t="shared" si="438"/>
        <v>41230</v>
      </c>
      <c r="D6029" t="s">
        <v>604</v>
      </c>
      <c r="E6029" s="3">
        <v>178.9</v>
      </c>
      <c r="F6029">
        <v>20160505</v>
      </c>
      <c r="G6029" t="s">
        <v>1859</v>
      </c>
      <c r="H6029" t="s">
        <v>2295</v>
      </c>
      <c r="I6029">
        <v>0</v>
      </c>
      <c r="J6029" t="s">
        <v>1709</v>
      </c>
      <c r="K6029" t="s">
        <v>1861</v>
      </c>
      <c r="L6029" t="s">
        <v>285</v>
      </c>
      <c r="M6029" t="str">
        <f t="shared" si="439"/>
        <v>05</v>
      </c>
      <c r="N6029" t="s">
        <v>12</v>
      </c>
    </row>
    <row r="6030" spans="1:14" x14ac:dyDescent="0.25">
      <c r="A6030">
        <v>20160506</v>
      </c>
      <c r="B6030" t="str">
        <f t="shared" si="437"/>
        <v>063378</v>
      </c>
      <c r="C6030" t="str">
        <f t="shared" si="438"/>
        <v>41230</v>
      </c>
      <c r="D6030" t="s">
        <v>604</v>
      </c>
      <c r="E6030" s="3">
        <v>225.61</v>
      </c>
      <c r="F6030">
        <v>20160505</v>
      </c>
      <c r="G6030" t="s">
        <v>1859</v>
      </c>
      <c r="H6030" t="s">
        <v>2295</v>
      </c>
      <c r="I6030">
        <v>0</v>
      </c>
      <c r="J6030" t="s">
        <v>1709</v>
      </c>
      <c r="K6030" t="s">
        <v>1861</v>
      </c>
      <c r="L6030" t="s">
        <v>285</v>
      </c>
      <c r="M6030" t="str">
        <f t="shared" si="439"/>
        <v>05</v>
      </c>
      <c r="N6030" t="s">
        <v>12</v>
      </c>
    </row>
    <row r="6031" spans="1:14" x14ac:dyDescent="0.25">
      <c r="A6031">
        <v>20160506</v>
      </c>
      <c r="B6031" t="str">
        <f t="shared" si="437"/>
        <v>063378</v>
      </c>
      <c r="C6031" t="str">
        <f t="shared" si="438"/>
        <v>41230</v>
      </c>
      <c r="D6031" t="s">
        <v>604</v>
      </c>
      <c r="E6031" s="3">
        <v>-97.4</v>
      </c>
      <c r="F6031">
        <v>20160419</v>
      </c>
      <c r="G6031" t="s">
        <v>1859</v>
      </c>
      <c r="H6031" t="s">
        <v>5097</v>
      </c>
      <c r="I6031">
        <v>0</v>
      </c>
      <c r="J6031" t="s">
        <v>1709</v>
      </c>
      <c r="K6031" t="s">
        <v>1861</v>
      </c>
      <c r="L6031" t="s">
        <v>1385</v>
      </c>
      <c r="M6031" t="str">
        <f t="shared" si="439"/>
        <v>05</v>
      </c>
      <c r="N6031" t="s">
        <v>12</v>
      </c>
    </row>
    <row r="6032" spans="1:14" x14ac:dyDescent="0.25">
      <c r="A6032">
        <v>20160506</v>
      </c>
      <c r="B6032" t="str">
        <f>"063380"</f>
        <v>063380</v>
      </c>
      <c r="C6032" t="str">
        <f>"42194"</f>
        <v>42194</v>
      </c>
      <c r="D6032" t="s">
        <v>1874</v>
      </c>
      <c r="E6032" s="3">
        <v>71676.98</v>
      </c>
      <c r="F6032">
        <v>20160504</v>
      </c>
      <c r="G6032" t="s">
        <v>2890</v>
      </c>
      <c r="H6032" t="s">
        <v>5098</v>
      </c>
      <c r="I6032">
        <v>0</v>
      </c>
      <c r="J6032" t="s">
        <v>1709</v>
      </c>
      <c r="K6032" t="s">
        <v>1861</v>
      </c>
      <c r="L6032" t="s">
        <v>285</v>
      </c>
      <c r="M6032" t="str">
        <f t="shared" si="439"/>
        <v>05</v>
      </c>
      <c r="N6032" t="s">
        <v>12</v>
      </c>
    </row>
    <row r="6033" spans="1:14" x14ac:dyDescent="0.25">
      <c r="A6033">
        <v>20160506</v>
      </c>
      <c r="B6033" t="str">
        <f>"063381"</f>
        <v>063381</v>
      </c>
      <c r="C6033" t="str">
        <f>"42212"</f>
        <v>42212</v>
      </c>
      <c r="D6033" t="s">
        <v>2513</v>
      </c>
      <c r="E6033" s="3">
        <v>46.25</v>
      </c>
      <c r="F6033">
        <v>20160504</v>
      </c>
      <c r="G6033" t="s">
        <v>4705</v>
      </c>
      <c r="H6033" t="s">
        <v>4706</v>
      </c>
      <c r="I6033">
        <v>0</v>
      </c>
      <c r="J6033" t="s">
        <v>1709</v>
      </c>
      <c r="K6033" t="s">
        <v>290</v>
      </c>
      <c r="L6033" t="s">
        <v>285</v>
      </c>
      <c r="M6033" t="str">
        <f t="shared" si="439"/>
        <v>05</v>
      </c>
      <c r="N6033" t="s">
        <v>12</v>
      </c>
    </row>
    <row r="6034" spans="1:14" x14ac:dyDescent="0.25">
      <c r="A6034">
        <v>20160506</v>
      </c>
      <c r="B6034" t="str">
        <f>"063382"</f>
        <v>063382</v>
      </c>
      <c r="C6034" t="str">
        <f>"45093"</f>
        <v>45093</v>
      </c>
      <c r="D6034" t="s">
        <v>538</v>
      </c>
      <c r="E6034" s="3">
        <v>121.6</v>
      </c>
      <c r="F6034">
        <v>20160504</v>
      </c>
      <c r="G6034" t="s">
        <v>2626</v>
      </c>
      <c r="H6034" t="s">
        <v>5099</v>
      </c>
      <c r="I6034">
        <v>0</v>
      </c>
      <c r="J6034" t="s">
        <v>1709</v>
      </c>
      <c r="K6034" t="s">
        <v>290</v>
      </c>
      <c r="L6034" t="s">
        <v>285</v>
      </c>
      <c r="M6034" t="str">
        <f t="shared" si="439"/>
        <v>05</v>
      </c>
      <c r="N6034" t="s">
        <v>12</v>
      </c>
    </row>
    <row r="6035" spans="1:14" x14ac:dyDescent="0.25">
      <c r="A6035">
        <v>20160506</v>
      </c>
      <c r="B6035" t="str">
        <f>"063382"</f>
        <v>063382</v>
      </c>
      <c r="C6035" t="str">
        <f>"45093"</f>
        <v>45093</v>
      </c>
      <c r="D6035" t="s">
        <v>538</v>
      </c>
      <c r="E6035" s="3">
        <v>98.1</v>
      </c>
      <c r="F6035">
        <v>20160504</v>
      </c>
      <c r="G6035" t="s">
        <v>2626</v>
      </c>
      <c r="H6035" t="s">
        <v>5100</v>
      </c>
      <c r="I6035">
        <v>0</v>
      </c>
      <c r="J6035" t="s">
        <v>1709</v>
      </c>
      <c r="K6035" t="s">
        <v>290</v>
      </c>
      <c r="L6035" t="s">
        <v>285</v>
      </c>
      <c r="M6035" t="str">
        <f t="shared" si="439"/>
        <v>05</v>
      </c>
      <c r="N6035" t="s">
        <v>12</v>
      </c>
    </row>
    <row r="6036" spans="1:14" x14ac:dyDescent="0.25">
      <c r="A6036">
        <v>20160506</v>
      </c>
      <c r="B6036" t="str">
        <f>"063382"</f>
        <v>063382</v>
      </c>
      <c r="C6036" t="str">
        <f>"45093"</f>
        <v>45093</v>
      </c>
      <c r="D6036" t="s">
        <v>538</v>
      </c>
      <c r="E6036" s="3">
        <v>229.42</v>
      </c>
      <c r="F6036">
        <v>20160504</v>
      </c>
      <c r="G6036" t="s">
        <v>4328</v>
      </c>
      <c r="H6036" t="s">
        <v>5101</v>
      </c>
      <c r="I6036">
        <v>0</v>
      </c>
      <c r="J6036" t="s">
        <v>1709</v>
      </c>
      <c r="K6036" t="s">
        <v>290</v>
      </c>
      <c r="L6036" t="s">
        <v>285</v>
      </c>
      <c r="M6036" t="str">
        <f t="shared" si="439"/>
        <v>05</v>
      </c>
      <c r="N6036" t="s">
        <v>12</v>
      </c>
    </row>
    <row r="6037" spans="1:14" x14ac:dyDescent="0.25">
      <c r="A6037">
        <v>20160506</v>
      </c>
      <c r="B6037" t="str">
        <f>"063384"</f>
        <v>063384</v>
      </c>
      <c r="C6037" t="str">
        <f>"45698"</f>
        <v>45698</v>
      </c>
      <c r="D6037" t="s">
        <v>2898</v>
      </c>
      <c r="E6037" s="3">
        <v>374.62</v>
      </c>
      <c r="F6037">
        <v>20160505</v>
      </c>
      <c r="G6037" t="s">
        <v>2899</v>
      </c>
      <c r="H6037" t="s">
        <v>5102</v>
      </c>
      <c r="I6037">
        <v>0</v>
      </c>
      <c r="J6037" t="s">
        <v>1709</v>
      </c>
      <c r="K6037" t="s">
        <v>1861</v>
      </c>
      <c r="L6037" t="s">
        <v>285</v>
      </c>
      <c r="M6037" t="str">
        <f t="shared" si="439"/>
        <v>05</v>
      </c>
      <c r="N6037" t="s">
        <v>12</v>
      </c>
    </row>
    <row r="6038" spans="1:14" x14ac:dyDescent="0.25">
      <c r="A6038">
        <v>20160506</v>
      </c>
      <c r="B6038" t="str">
        <f>"063385"</f>
        <v>063385</v>
      </c>
      <c r="C6038" t="str">
        <f>"46386"</f>
        <v>46386</v>
      </c>
      <c r="D6038" t="s">
        <v>5103</v>
      </c>
      <c r="E6038" s="3">
        <v>7.74</v>
      </c>
      <c r="F6038">
        <v>20160504</v>
      </c>
      <c r="G6038" t="s">
        <v>5104</v>
      </c>
      <c r="H6038" t="s">
        <v>5105</v>
      </c>
      <c r="I6038">
        <v>0</v>
      </c>
      <c r="J6038" t="s">
        <v>1709</v>
      </c>
      <c r="K6038" t="s">
        <v>1856</v>
      </c>
      <c r="L6038" t="s">
        <v>285</v>
      </c>
      <c r="M6038" t="str">
        <f t="shared" si="439"/>
        <v>05</v>
      </c>
      <c r="N6038" t="s">
        <v>12</v>
      </c>
    </row>
    <row r="6039" spans="1:14" x14ac:dyDescent="0.25">
      <c r="A6039">
        <v>20160506</v>
      </c>
      <c r="B6039" t="str">
        <f>"063386"</f>
        <v>063386</v>
      </c>
      <c r="C6039" t="str">
        <f>"47165"</f>
        <v>47165</v>
      </c>
      <c r="D6039" t="s">
        <v>5106</v>
      </c>
      <c r="E6039" s="3">
        <v>1255.68</v>
      </c>
      <c r="F6039">
        <v>20160504</v>
      </c>
      <c r="G6039" t="s">
        <v>4969</v>
      </c>
      <c r="H6039" t="s">
        <v>1358</v>
      </c>
      <c r="I6039">
        <v>0</v>
      </c>
      <c r="J6039" t="s">
        <v>1709</v>
      </c>
      <c r="K6039" t="s">
        <v>290</v>
      </c>
      <c r="L6039" t="s">
        <v>285</v>
      </c>
      <c r="M6039" t="str">
        <f t="shared" si="439"/>
        <v>05</v>
      </c>
      <c r="N6039" t="s">
        <v>12</v>
      </c>
    </row>
    <row r="6040" spans="1:14" x14ac:dyDescent="0.25">
      <c r="A6040">
        <v>20160506</v>
      </c>
      <c r="B6040" t="str">
        <f>"063388"</f>
        <v>063388</v>
      </c>
      <c r="C6040" t="str">
        <f>"49748"</f>
        <v>49748</v>
      </c>
      <c r="D6040" t="s">
        <v>1885</v>
      </c>
      <c r="E6040" s="3">
        <v>42.15</v>
      </c>
      <c r="F6040">
        <v>20160504</v>
      </c>
      <c r="G6040" t="s">
        <v>2981</v>
      </c>
      <c r="H6040" t="s">
        <v>5107</v>
      </c>
      <c r="I6040">
        <v>0</v>
      </c>
      <c r="J6040" t="s">
        <v>1709</v>
      </c>
      <c r="K6040" t="s">
        <v>290</v>
      </c>
      <c r="L6040" t="s">
        <v>285</v>
      </c>
      <c r="M6040" t="str">
        <f t="shared" si="439"/>
        <v>05</v>
      </c>
      <c r="N6040" t="s">
        <v>12</v>
      </c>
    </row>
    <row r="6041" spans="1:14" x14ac:dyDescent="0.25">
      <c r="A6041">
        <v>20160506</v>
      </c>
      <c r="B6041" t="str">
        <f>"063389"</f>
        <v>063389</v>
      </c>
      <c r="C6041" t="str">
        <f>"49959"</f>
        <v>49959</v>
      </c>
      <c r="D6041" t="s">
        <v>361</v>
      </c>
      <c r="E6041" s="3">
        <v>120</v>
      </c>
      <c r="F6041">
        <v>20160504</v>
      </c>
      <c r="G6041" t="s">
        <v>1788</v>
      </c>
      <c r="H6041" t="s">
        <v>5108</v>
      </c>
      <c r="I6041">
        <v>0</v>
      </c>
      <c r="J6041" t="s">
        <v>1709</v>
      </c>
      <c r="K6041" t="s">
        <v>1643</v>
      </c>
      <c r="L6041" t="s">
        <v>285</v>
      </c>
      <c r="M6041" t="str">
        <f t="shared" si="439"/>
        <v>05</v>
      </c>
      <c r="N6041" t="s">
        <v>12</v>
      </c>
    </row>
    <row r="6042" spans="1:14" x14ac:dyDescent="0.25">
      <c r="A6042">
        <v>20160506</v>
      </c>
      <c r="B6042" t="str">
        <f>"063390"</f>
        <v>063390</v>
      </c>
      <c r="C6042" t="str">
        <f>"49964"</f>
        <v>49964</v>
      </c>
      <c r="D6042" t="s">
        <v>2346</v>
      </c>
      <c r="E6042" s="3">
        <v>175</v>
      </c>
      <c r="F6042">
        <v>20160504</v>
      </c>
      <c r="G6042" t="s">
        <v>2347</v>
      </c>
      <c r="H6042" t="s">
        <v>5109</v>
      </c>
      <c r="I6042">
        <v>0</v>
      </c>
      <c r="J6042" t="s">
        <v>1709</v>
      </c>
      <c r="K6042" t="s">
        <v>2194</v>
      </c>
      <c r="L6042" t="s">
        <v>285</v>
      </c>
      <c r="M6042" t="str">
        <f t="shared" si="439"/>
        <v>05</v>
      </c>
      <c r="N6042" t="s">
        <v>12</v>
      </c>
    </row>
    <row r="6043" spans="1:14" x14ac:dyDescent="0.25">
      <c r="A6043">
        <v>20160506</v>
      </c>
      <c r="B6043" t="str">
        <f>"063391"</f>
        <v>063391</v>
      </c>
      <c r="C6043" t="str">
        <f>"50476"</f>
        <v>50476</v>
      </c>
      <c r="D6043" t="s">
        <v>4814</v>
      </c>
      <c r="E6043" s="3">
        <v>120</v>
      </c>
      <c r="F6043">
        <v>20160504</v>
      </c>
      <c r="G6043" t="s">
        <v>1788</v>
      </c>
      <c r="H6043" t="s">
        <v>5110</v>
      </c>
      <c r="I6043">
        <v>0</v>
      </c>
      <c r="J6043" t="s">
        <v>1709</v>
      </c>
      <c r="K6043" t="s">
        <v>1643</v>
      </c>
      <c r="L6043" t="s">
        <v>285</v>
      </c>
      <c r="M6043" t="str">
        <f t="shared" si="439"/>
        <v>05</v>
      </c>
      <c r="N6043" t="s">
        <v>12</v>
      </c>
    </row>
    <row r="6044" spans="1:14" x14ac:dyDescent="0.25">
      <c r="A6044">
        <v>20160506</v>
      </c>
      <c r="B6044" t="str">
        <f>"063392"</f>
        <v>063392</v>
      </c>
      <c r="C6044" t="str">
        <f>"51347"</f>
        <v>51347</v>
      </c>
      <c r="D6044" t="s">
        <v>1096</v>
      </c>
      <c r="E6044" s="3">
        <v>70</v>
      </c>
      <c r="F6044">
        <v>20160504</v>
      </c>
      <c r="G6044" t="s">
        <v>4992</v>
      </c>
      <c r="H6044" t="s">
        <v>5111</v>
      </c>
      <c r="I6044">
        <v>0</v>
      </c>
      <c r="J6044" t="s">
        <v>1709</v>
      </c>
      <c r="K6044" t="s">
        <v>290</v>
      </c>
      <c r="L6044" t="s">
        <v>285</v>
      </c>
      <c r="M6044" t="str">
        <f t="shared" si="439"/>
        <v>05</v>
      </c>
      <c r="N6044" t="s">
        <v>12</v>
      </c>
    </row>
    <row r="6045" spans="1:14" x14ac:dyDescent="0.25">
      <c r="A6045">
        <v>20160506</v>
      </c>
      <c r="B6045" t="str">
        <f>"063392"</f>
        <v>063392</v>
      </c>
      <c r="C6045" t="str">
        <f>"51347"</f>
        <v>51347</v>
      </c>
      <c r="D6045" t="s">
        <v>1096</v>
      </c>
      <c r="E6045" s="3">
        <v>280</v>
      </c>
      <c r="F6045">
        <v>20160504</v>
      </c>
      <c r="G6045" t="s">
        <v>4550</v>
      </c>
      <c r="H6045" t="s">
        <v>5112</v>
      </c>
      <c r="I6045">
        <v>0</v>
      </c>
      <c r="J6045" t="s">
        <v>1709</v>
      </c>
      <c r="K6045" t="s">
        <v>290</v>
      </c>
      <c r="L6045" t="s">
        <v>285</v>
      </c>
      <c r="M6045" t="str">
        <f t="shared" si="439"/>
        <v>05</v>
      </c>
      <c r="N6045" t="s">
        <v>12</v>
      </c>
    </row>
    <row r="6046" spans="1:14" x14ac:dyDescent="0.25">
      <c r="A6046">
        <v>20160506</v>
      </c>
      <c r="B6046" t="str">
        <f>"063392"</f>
        <v>063392</v>
      </c>
      <c r="C6046" t="str">
        <f>"51347"</f>
        <v>51347</v>
      </c>
      <c r="D6046" t="s">
        <v>1096</v>
      </c>
      <c r="E6046" s="3">
        <v>70</v>
      </c>
      <c r="F6046">
        <v>20160504</v>
      </c>
      <c r="G6046" t="s">
        <v>4550</v>
      </c>
      <c r="H6046" t="s">
        <v>5111</v>
      </c>
      <c r="I6046">
        <v>0</v>
      </c>
      <c r="J6046" t="s">
        <v>1709</v>
      </c>
      <c r="K6046" t="s">
        <v>290</v>
      </c>
      <c r="L6046" t="s">
        <v>285</v>
      </c>
      <c r="M6046" t="str">
        <f t="shared" si="439"/>
        <v>05</v>
      </c>
      <c r="N6046" t="s">
        <v>12</v>
      </c>
    </row>
    <row r="6047" spans="1:14" x14ac:dyDescent="0.25">
      <c r="A6047">
        <v>20160506</v>
      </c>
      <c r="B6047" t="str">
        <f>"063393"</f>
        <v>063393</v>
      </c>
      <c r="C6047" t="str">
        <f>"51475"</f>
        <v>51475</v>
      </c>
      <c r="D6047" t="s">
        <v>2352</v>
      </c>
      <c r="E6047" s="3">
        <v>1742.68</v>
      </c>
      <c r="F6047">
        <v>20160504</v>
      </c>
      <c r="G6047" t="s">
        <v>2525</v>
      </c>
      <c r="H6047" t="s">
        <v>5113</v>
      </c>
      <c r="I6047">
        <v>0</v>
      </c>
      <c r="J6047" t="s">
        <v>1709</v>
      </c>
      <c r="K6047" t="s">
        <v>2194</v>
      </c>
      <c r="L6047" t="s">
        <v>285</v>
      </c>
      <c r="M6047" t="str">
        <f t="shared" si="439"/>
        <v>05</v>
      </c>
      <c r="N6047" t="s">
        <v>12</v>
      </c>
    </row>
    <row r="6048" spans="1:14" x14ac:dyDescent="0.25">
      <c r="A6048">
        <v>20160506</v>
      </c>
      <c r="B6048" t="str">
        <f>"063394"</f>
        <v>063394</v>
      </c>
      <c r="C6048" t="str">
        <f>"53006"</f>
        <v>53006</v>
      </c>
      <c r="D6048" t="s">
        <v>2909</v>
      </c>
      <c r="E6048" s="3">
        <v>112.77</v>
      </c>
      <c r="F6048">
        <v>20160504</v>
      </c>
      <c r="G6048" t="s">
        <v>2910</v>
      </c>
      <c r="H6048" t="s">
        <v>5114</v>
      </c>
      <c r="I6048">
        <v>0</v>
      </c>
      <c r="J6048" t="s">
        <v>1709</v>
      </c>
      <c r="K6048" t="s">
        <v>33</v>
      </c>
      <c r="L6048" t="s">
        <v>285</v>
      </c>
      <c r="M6048" t="str">
        <f t="shared" si="439"/>
        <v>05</v>
      </c>
      <c r="N6048" t="s">
        <v>12</v>
      </c>
    </row>
    <row r="6049" spans="1:14" x14ac:dyDescent="0.25">
      <c r="A6049">
        <v>20160506</v>
      </c>
      <c r="B6049" t="str">
        <f>"063396"</f>
        <v>063396</v>
      </c>
      <c r="C6049" t="str">
        <f>"54145"</f>
        <v>54145</v>
      </c>
      <c r="D6049" t="s">
        <v>5115</v>
      </c>
      <c r="E6049" s="3">
        <v>95</v>
      </c>
      <c r="F6049">
        <v>20160504</v>
      </c>
      <c r="G6049" t="s">
        <v>1783</v>
      </c>
      <c r="H6049" t="s">
        <v>5116</v>
      </c>
      <c r="I6049">
        <v>0</v>
      </c>
      <c r="J6049" t="s">
        <v>1709</v>
      </c>
      <c r="K6049" t="s">
        <v>290</v>
      </c>
      <c r="L6049" t="s">
        <v>285</v>
      </c>
      <c r="M6049" t="str">
        <f t="shared" si="439"/>
        <v>05</v>
      </c>
      <c r="N6049" t="s">
        <v>12</v>
      </c>
    </row>
    <row r="6050" spans="1:14" x14ac:dyDescent="0.25">
      <c r="A6050">
        <v>20160506</v>
      </c>
      <c r="B6050" t="str">
        <f>"063397"</f>
        <v>063397</v>
      </c>
      <c r="C6050" t="str">
        <f>"55881"</f>
        <v>55881</v>
      </c>
      <c r="D6050" t="s">
        <v>4406</v>
      </c>
      <c r="E6050" s="3">
        <v>385</v>
      </c>
      <c r="F6050">
        <v>20160504</v>
      </c>
      <c r="G6050" t="s">
        <v>5117</v>
      </c>
      <c r="H6050" t="s">
        <v>5116</v>
      </c>
      <c r="I6050">
        <v>0</v>
      </c>
      <c r="J6050" t="s">
        <v>1709</v>
      </c>
      <c r="K6050" t="s">
        <v>290</v>
      </c>
      <c r="L6050" t="s">
        <v>285</v>
      </c>
      <c r="M6050" t="str">
        <f t="shared" si="439"/>
        <v>05</v>
      </c>
      <c r="N6050" t="s">
        <v>12</v>
      </c>
    </row>
    <row r="6051" spans="1:14" x14ac:dyDescent="0.25">
      <c r="A6051">
        <v>20160506</v>
      </c>
      <c r="B6051" t="str">
        <f>"063399"</f>
        <v>063399</v>
      </c>
      <c r="C6051" t="str">
        <f>"56570"</f>
        <v>56570</v>
      </c>
      <c r="D6051" t="s">
        <v>2687</v>
      </c>
      <c r="E6051" s="3">
        <v>62.6</v>
      </c>
      <c r="F6051">
        <v>20160504</v>
      </c>
      <c r="G6051" t="s">
        <v>2025</v>
      </c>
      <c r="H6051" t="s">
        <v>5118</v>
      </c>
      <c r="I6051">
        <v>0</v>
      </c>
      <c r="J6051" t="s">
        <v>1709</v>
      </c>
      <c r="K6051" t="s">
        <v>1984</v>
      </c>
      <c r="L6051" t="s">
        <v>285</v>
      </c>
      <c r="M6051" t="str">
        <f t="shared" si="439"/>
        <v>05</v>
      </c>
      <c r="N6051" t="s">
        <v>12</v>
      </c>
    </row>
    <row r="6052" spans="1:14" x14ac:dyDescent="0.25">
      <c r="A6052">
        <v>20160506</v>
      </c>
      <c r="B6052" t="str">
        <f t="shared" ref="B6052:B6057" si="440">"063402"</f>
        <v>063402</v>
      </c>
      <c r="C6052" t="str">
        <f t="shared" ref="C6052:C6057" si="441">"58202"</f>
        <v>58202</v>
      </c>
      <c r="D6052" t="s">
        <v>2695</v>
      </c>
      <c r="E6052" s="3">
        <v>50</v>
      </c>
      <c r="F6052">
        <v>20160504</v>
      </c>
      <c r="G6052" t="s">
        <v>4639</v>
      </c>
      <c r="H6052" t="s">
        <v>5119</v>
      </c>
      <c r="I6052">
        <v>0</v>
      </c>
      <c r="J6052" t="s">
        <v>1709</v>
      </c>
      <c r="K6052" t="s">
        <v>95</v>
      </c>
      <c r="L6052" t="s">
        <v>285</v>
      </c>
      <c r="M6052" t="str">
        <f t="shared" si="439"/>
        <v>05</v>
      </c>
      <c r="N6052" t="s">
        <v>12</v>
      </c>
    </row>
    <row r="6053" spans="1:14" x14ac:dyDescent="0.25">
      <c r="A6053">
        <v>20160506</v>
      </c>
      <c r="B6053" t="str">
        <f t="shared" si="440"/>
        <v>063402</v>
      </c>
      <c r="C6053" t="str">
        <f t="shared" si="441"/>
        <v>58202</v>
      </c>
      <c r="D6053" t="s">
        <v>2695</v>
      </c>
      <c r="E6053" s="3">
        <v>19</v>
      </c>
      <c r="F6053">
        <v>20160504</v>
      </c>
      <c r="G6053" t="s">
        <v>2275</v>
      </c>
      <c r="H6053" t="s">
        <v>5120</v>
      </c>
      <c r="I6053">
        <v>0</v>
      </c>
      <c r="J6053" t="s">
        <v>1709</v>
      </c>
      <c r="K6053" t="s">
        <v>95</v>
      </c>
      <c r="L6053" t="s">
        <v>285</v>
      </c>
      <c r="M6053" t="str">
        <f t="shared" si="439"/>
        <v>05</v>
      </c>
      <c r="N6053" t="s">
        <v>12</v>
      </c>
    </row>
    <row r="6054" spans="1:14" x14ac:dyDescent="0.25">
      <c r="A6054">
        <v>20160506</v>
      </c>
      <c r="B6054" t="str">
        <f t="shared" si="440"/>
        <v>063402</v>
      </c>
      <c r="C6054" t="str">
        <f t="shared" si="441"/>
        <v>58202</v>
      </c>
      <c r="D6054" t="s">
        <v>2695</v>
      </c>
      <c r="E6054" s="3">
        <v>25.85</v>
      </c>
      <c r="F6054">
        <v>20160504</v>
      </c>
      <c r="G6054" t="s">
        <v>3726</v>
      </c>
      <c r="H6054" t="s">
        <v>5121</v>
      </c>
      <c r="I6054">
        <v>0</v>
      </c>
      <c r="J6054" t="s">
        <v>1709</v>
      </c>
      <c r="K6054" t="s">
        <v>95</v>
      </c>
      <c r="L6054" t="s">
        <v>285</v>
      </c>
      <c r="M6054" t="str">
        <f t="shared" si="439"/>
        <v>05</v>
      </c>
      <c r="N6054" t="s">
        <v>12</v>
      </c>
    </row>
    <row r="6055" spans="1:14" x14ac:dyDescent="0.25">
      <c r="A6055">
        <v>20160506</v>
      </c>
      <c r="B6055" t="str">
        <f t="shared" si="440"/>
        <v>063402</v>
      </c>
      <c r="C6055" t="str">
        <f t="shared" si="441"/>
        <v>58202</v>
      </c>
      <c r="D6055" t="s">
        <v>2695</v>
      </c>
      <c r="E6055" s="3">
        <v>36</v>
      </c>
      <c r="F6055">
        <v>20160504</v>
      </c>
      <c r="G6055" t="s">
        <v>4539</v>
      </c>
      <c r="H6055" t="s">
        <v>5122</v>
      </c>
      <c r="I6055">
        <v>0</v>
      </c>
      <c r="J6055" t="s">
        <v>1709</v>
      </c>
      <c r="K6055" t="s">
        <v>95</v>
      </c>
      <c r="L6055" t="s">
        <v>285</v>
      </c>
      <c r="M6055" t="str">
        <f t="shared" si="439"/>
        <v>05</v>
      </c>
      <c r="N6055" t="s">
        <v>12</v>
      </c>
    </row>
    <row r="6056" spans="1:14" x14ac:dyDescent="0.25">
      <c r="A6056">
        <v>20160506</v>
      </c>
      <c r="B6056" t="str">
        <f t="shared" si="440"/>
        <v>063402</v>
      </c>
      <c r="C6056" t="str">
        <f t="shared" si="441"/>
        <v>58202</v>
      </c>
      <c r="D6056" t="s">
        <v>2695</v>
      </c>
      <c r="E6056" s="3">
        <v>60.15</v>
      </c>
      <c r="F6056">
        <v>20160504</v>
      </c>
      <c r="G6056" t="s">
        <v>2172</v>
      </c>
      <c r="H6056" t="s">
        <v>5123</v>
      </c>
      <c r="I6056">
        <v>0</v>
      </c>
      <c r="J6056" t="s">
        <v>1709</v>
      </c>
      <c r="K6056" t="s">
        <v>95</v>
      </c>
      <c r="L6056" t="s">
        <v>285</v>
      </c>
      <c r="M6056" t="str">
        <f t="shared" si="439"/>
        <v>05</v>
      </c>
      <c r="N6056" t="s">
        <v>12</v>
      </c>
    </row>
    <row r="6057" spans="1:14" x14ac:dyDescent="0.25">
      <c r="A6057">
        <v>20160506</v>
      </c>
      <c r="B6057" t="str">
        <f t="shared" si="440"/>
        <v>063402</v>
      </c>
      <c r="C6057" t="str">
        <f t="shared" si="441"/>
        <v>58202</v>
      </c>
      <c r="D6057" t="s">
        <v>2695</v>
      </c>
      <c r="E6057" s="3">
        <v>179.98</v>
      </c>
      <c r="F6057">
        <v>20160504</v>
      </c>
      <c r="G6057" t="s">
        <v>5124</v>
      </c>
      <c r="H6057" t="s">
        <v>5125</v>
      </c>
      <c r="I6057">
        <v>0</v>
      </c>
      <c r="J6057" t="s">
        <v>1709</v>
      </c>
      <c r="K6057" t="s">
        <v>95</v>
      </c>
      <c r="L6057" t="s">
        <v>285</v>
      </c>
      <c r="M6057" t="str">
        <f t="shared" si="439"/>
        <v>05</v>
      </c>
      <c r="N6057" t="s">
        <v>12</v>
      </c>
    </row>
    <row r="6058" spans="1:14" x14ac:dyDescent="0.25">
      <c r="A6058">
        <v>20160506</v>
      </c>
      <c r="B6058" t="str">
        <f>"063403"</f>
        <v>063403</v>
      </c>
      <c r="C6058" t="str">
        <f>"60139"</f>
        <v>60139</v>
      </c>
      <c r="D6058" t="s">
        <v>2139</v>
      </c>
      <c r="E6058" s="3">
        <v>135.25</v>
      </c>
      <c r="F6058">
        <v>20160504</v>
      </c>
      <c r="G6058" t="s">
        <v>2074</v>
      </c>
      <c r="H6058" t="s">
        <v>5126</v>
      </c>
      <c r="I6058">
        <v>0</v>
      </c>
      <c r="J6058" t="s">
        <v>1709</v>
      </c>
      <c r="K6058" t="s">
        <v>1861</v>
      </c>
      <c r="L6058" t="s">
        <v>285</v>
      </c>
      <c r="M6058" t="str">
        <f t="shared" si="439"/>
        <v>05</v>
      </c>
      <c r="N6058" t="s">
        <v>12</v>
      </c>
    </row>
    <row r="6059" spans="1:14" x14ac:dyDescent="0.25">
      <c r="A6059">
        <v>20160506</v>
      </c>
      <c r="B6059" t="str">
        <f>"063404"</f>
        <v>063404</v>
      </c>
      <c r="C6059" t="str">
        <f>"60599"</f>
        <v>60599</v>
      </c>
      <c r="D6059" t="s">
        <v>5127</v>
      </c>
      <c r="E6059" s="3">
        <v>70</v>
      </c>
      <c r="F6059">
        <v>20160504</v>
      </c>
      <c r="G6059" t="s">
        <v>5128</v>
      </c>
      <c r="H6059" t="s">
        <v>5129</v>
      </c>
      <c r="I6059">
        <v>0</v>
      </c>
      <c r="J6059" t="s">
        <v>1709</v>
      </c>
      <c r="K6059" t="s">
        <v>290</v>
      </c>
      <c r="L6059" t="s">
        <v>285</v>
      </c>
      <c r="M6059" t="str">
        <f t="shared" si="439"/>
        <v>05</v>
      </c>
      <c r="N6059" t="s">
        <v>12</v>
      </c>
    </row>
    <row r="6060" spans="1:14" x14ac:dyDescent="0.25">
      <c r="A6060">
        <v>20160506</v>
      </c>
      <c r="B6060" t="str">
        <f>"063406"</f>
        <v>063406</v>
      </c>
      <c r="C6060" t="str">
        <f>"61221"</f>
        <v>61221</v>
      </c>
      <c r="D6060" t="s">
        <v>1906</v>
      </c>
      <c r="E6060" s="3">
        <v>200</v>
      </c>
      <c r="F6060">
        <v>20160505</v>
      </c>
      <c r="G6060" t="s">
        <v>3772</v>
      </c>
      <c r="H6060" t="s">
        <v>5130</v>
      </c>
      <c r="I6060">
        <v>0</v>
      </c>
      <c r="J6060" t="s">
        <v>1709</v>
      </c>
      <c r="K6060" t="s">
        <v>95</v>
      </c>
      <c r="L6060" t="s">
        <v>285</v>
      </c>
      <c r="M6060" t="str">
        <f t="shared" si="439"/>
        <v>05</v>
      </c>
      <c r="N6060" t="s">
        <v>12</v>
      </c>
    </row>
    <row r="6061" spans="1:14" x14ac:dyDescent="0.25">
      <c r="A6061">
        <v>20160506</v>
      </c>
      <c r="B6061" t="str">
        <f>"063406"</f>
        <v>063406</v>
      </c>
      <c r="C6061" t="str">
        <f>"61221"</f>
        <v>61221</v>
      </c>
      <c r="D6061" t="s">
        <v>1906</v>
      </c>
      <c r="E6061" s="3">
        <v>480</v>
      </c>
      <c r="F6061">
        <v>20160505</v>
      </c>
      <c r="G6061" t="s">
        <v>3772</v>
      </c>
      <c r="H6061" t="s">
        <v>5131</v>
      </c>
      <c r="I6061">
        <v>0</v>
      </c>
      <c r="J6061" t="s">
        <v>1709</v>
      </c>
      <c r="K6061" t="s">
        <v>95</v>
      </c>
      <c r="L6061" t="s">
        <v>285</v>
      </c>
      <c r="M6061" t="str">
        <f t="shared" si="439"/>
        <v>05</v>
      </c>
      <c r="N6061" t="s">
        <v>12</v>
      </c>
    </row>
    <row r="6062" spans="1:14" x14ac:dyDescent="0.25">
      <c r="A6062">
        <v>20160506</v>
      </c>
      <c r="B6062" t="str">
        <f>"063407"</f>
        <v>063407</v>
      </c>
      <c r="C6062" t="str">
        <f>"60842"</f>
        <v>60842</v>
      </c>
      <c r="D6062" t="s">
        <v>2920</v>
      </c>
      <c r="E6062" s="3">
        <v>4414</v>
      </c>
      <c r="F6062">
        <v>20160505</v>
      </c>
      <c r="G6062" t="s">
        <v>5132</v>
      </c>
      <c r="H6062" t="s">
        <v>5133</v>
      </c>
      <c r="I6062">
        <v>0</v>
      </c>
      <c r="J6062" t="s">
        <v>1709</v>
      </c>
      <c r="K6062" t="s">
        <v>2923</v>
      </c>
      <c r="L6062" t="s">
        <v>285</v>
      </c>
      <c r="M6062" t="str">
        <f t="shared" si="439"/>
        <v>05</v>
      </c>
      <c r="N6062" t="s">
        <v>12</v>
      </c>
    </row>
    <row r="6063" spans="1:14" x14ac:dyDescent="0.25">
      <c r="A6063">
        <v>20160506</v>
      </c>
      <c r="B6063" t="str">
        <f>"063409"</f>
        <v>063409</v>
      </c>
      <c r="C6063" t="str">
        <f>"65212"</f>
        <v>65212</v>
      </c>
      <c r="D6063" t="s">
        <v>2017</v>
      </c>
      <c r="E6063" s="3">
        <v>9563.76</v>
      </c>
      <c r="F6063">
        <v>20160505</v>
      </c>
      <c r="G6063" t="s">
        <v>2018</v>
      </c>
      <c r="H6063" t="s">
        <v>5134</v>
      </c>
      <c r="I6063">
        <v>0</v>
      </c>
      <c r="J6063" t="s">
        <v>1709</v>
      </c>
      <c r="K6063" t="s">
        <v>1856</v>
      </c>
      <c r="L6063" t="s">
        <v>285</v>
      </c>
      <c r="M6063" t="str">
        <f t="shared" si="439"/>
        <v>05</v>
      </c>
      <c r="N6063" t="s">
        <v>12</v>
      </c>
    </row>
    <row r="6064" spans="1:14" x14ac:dyDescent="0.25">
      <c r="A6064">
        <v>20160506</v>
      </c>
      <c r="B6064" t="str">
        <f>"063413"</f>
        <v>063413</v>
      </c>
      <c r="C6064" t="str">
        <f>"71149"</f>
        <v>71149</v>
      </c>
      <c r="D6064" t="s">
        <v>5135</v>
      </c>
      <c r="E6064" s="3">
        <v>24.47</v>
      </c>
      <c r="F6064">
        <v>20160505</v>
      </c>
      <c r="G6064" t="s">
        <v>5104</v>
      </c>
      <c r="H6064" t="s">
        <v>5136</v>
      </c>
      <c r="I6064">
        <v>0</v>
      </c>
      <c r="J6064" t="s">
        <v>1709</v>
      </c>
      <c r="K6064" t="s">
        <v>1856</v>
      </c>
      <c r="L6064" t="s">
        <v>285</v>
      </c>
      <c r="M6064" t="str">
        <f t="shared" si="439"/>
        <v>05</v>
      </c>
      <c r="N6064" t="s">
        <v>12</v>
      </c>
    </row>
    <row r="6065" spans="1:14" x14ac:dyDescent="0.25">
      <c r="A6065">
        <v>20160506</v>
      </c>
      <c r="B6065" t="str">
        <f>"063414"</f>
        <v>063414</v>
      </c>
      <c r="C6065" t="str">
        <f>"71329"</f>
        <v>71329</v>
      </c>
      <c r="D6065" t="s">
        <v>5137</v>
      </c>
      <c r="E6065" s="3">
        <v>5503</v>
      </c>
      <c r="F6065">
        <v>20160505</v>
      </c>
      <c r="G6065" t="s">
        <v>2281</v>
      </c>
      <c r="H6065" t="s">
        <v>5138</v>
      </c>
      <c r="I6065">
        <v>0</v>
      </c>
      <c r="J6065" t="s">
        <v>1709</v>
      </c>
      <c r="K6065" t="s">
        <v>290</v>
      </c>
      <c r="L6065" t="s">
        <v>285</v>
      </c>
      <c r="M6065" t="str">
        <f t="shared" si="439"/>
        <v>05</v>
      </c>
      <c r="N6065" t="s">
        <v>12</v>
      </c>
    </row>
    <row r="6066" spans="1:14" x14ac:dyDescent="0.25">
      <c r="A6066">
        <v>20160506</v>
      </c>
      <c r="B6066" t="str">
        <f>"063415"</f>
        <v>063415</v>
      </c>
      <c r="C6066" t="str">
        <f>"72340"</f>
        <v>72340</v>
      </c>
      <c r="D6066" t="s">
        <v>1762</v>
      </c>
      <c r="E6066" s="3">
        <v>305.14999999999998</v>
      </c>
      <c r="F6066">
        <v>20160505</v>
      </c>
      <c r="G6066" t="s">
        <v>2768</v>
      </c>
      <c r="H6066" t="s">
        <v>5139</v>
      </c>
      <c r="I6066">
        <v>0</v>
      </c>
      <c r="J6066" t="s">
        <v>1709</v>
      </c>
      <c r="K6066" t="s">
        <v>1861</v>
      </c>
      <c r="L6066" t="s">
        <v>285</v>
      </c>
      <c r="M6066" t="str">
        <f t="shared" si="439"/>
        <v>05</v>
      </c>
      <c r="N6066" t="s">
        <v>12</v>
      </c>
    </row>
    <row r="6067" spans="1:14" x14ac:dyDescent="0.25">
      <c r="A6067">
        <v>20160506</v>
      </c>
      <c r="B6067" t="str">
        <f>"063416"</f>
        <v>063416</v>
      </c>
      <c r="C6067" t="str">
        <f>"75515"</f>
        <v>75515</v>
      </c>
      <c r="D6067" t="s">
        <v>2729</v>
      </c>
      <c r="E6067" s="3">
        <v>34.4</v>
      </c>
      <c r="F6067">
        <v>20160505</v>
      </c>
      <c r="G6067" t="s">
        <v>2320</v>
      </c>
      <c r="H6067" t="s">
        <v>4594</v>
      </c>
      <c r="I6067">
        <v>0</v>
      </c>
      <c r="J6067" t="s">
        <v>1709</v>
      </c>
      <c r="K6067" t="s">
        <v>290</v>
      </c>
      <c r="L6067" t="s">
        <v>285</v>
      </c>
      <c r="M6067" t="str">
        <f t="shared" si="439"/>
        <v>05</v>
      </c>
      <c r="N6067" t="s">
        <v>12</v>
      </c>
    </row>
    <row r="6068" spans="1:14" x14ac:dyDescent="0.25">
      <c r="A6068">
        <v>20160506</v>
      </c>
      <c r="B6068" t="str">
        <f>"063419"</f>
        <v>063419</v>
      </c>
      <c r="C6068" t="str">
        <f>"77208"</f>
        <v>77208</v>
      </c>
      <c r="D6068" t="s">
        <v>5140</v>
      </c>
      <c r="E6068" s="3">
        <v>100</v>
      </c>
      <c r="F6068">
        <v>20160505</v>
      </c>
      <c r="G6068" t="s">
        <v>1773</v>
      </c>
      <c r="H6068" t="s">
        <v>5141</v>
      </c>
      <c r="I6068">
        <v>0</v>
      </c>
      <c r="J6068" t="s">
        <v>1709</v>
      </c>
      <c r="K6068" t="s">
        <v>1775</v>
      </c>
      <c r="L6068" t="s">
        <v>285</v>
      </c>
      <c r="M6068" t="str">
        <f t="shared" si="439"/>
        <v>05</v>
      </c>
      <c r="N6068" t="s">
        <v>12</v>
      </c>
    </row>
    <row r="6069" spans="1:14" x14ac:dyDescent="0.25">
      <c r="A6069">
        <v>20160506</v>
      </c>
      <c r="B6069" t="str">
        <f>"063420"</f>
        <v>063420</v>
      </c>
      <c r="C6069" t="str">
        <f>"78280"</f>
        <v>78280</v>
      </c>
      <c r="D6069" t="s">
        <v>1932</v>
      </c>
      <c r="E6069" s="3">
        <v>215</v>
      </c>
      <c r="F6069">
        <v>20160505</v>
      </c>
      <c r="G6069" t="s">
        <v>1786</v>
      </c>
      <c r="H6069" t="s">
        <v>1934</v>
      </c>
      <c r="I6069">
        <v>0</v>
      </c>
      <c r="J6069" t="s">
        <v>1709</v>
      </c>
      <c r="K6069" t="s">
        <v>290</v>
      </c>
      <c r="L6069" t="s">
        <v>285</v>
      </c>
      <c r="M6069" t="str">
        <f t="shared" si="439"/>
        <v>05</v>
      </c>
      <c r="N6069" t="s">
        <v>12</v>
      </c>
    </row>
    <row r="6070" spans="1:14" x14ac:dyDescent="0.25">
      <c r="A6070">
        <v>20160506</v>
      </c>
      <c r="B6070" t="str">
        <f>"063422"</f>
        <v>063422</v>
      </c>
      <c r="C6070" t="str">
        <f>"79426"</f>
        <v>79426</v>
      </c>
      <c r="D6070" t="s">
        <v>5142</v>
      </c>
      <c r="E6070" s="3">
        <v>117</v>
      </c>
      <c r="F6070">
        <v>20160505</v>
      </c>
      <c r="G6070" t="s">
        <v>2978</v>
      </c>
      <c r="H6070" t="s">
        <v>5143</v>
      </c>
      <c r="I6070">
        <v>0</v>
      </c>
      <c r="J6070" t="s">
        <v>1709</v>
      </c>
      <c r="K6070" t="s">
        <v>290</v>
      </c>
      <c r="L6070" t="s">
        <v>285</v>
      </c>
      <c r="M6070" t="str">
        <f t="shared" si="439"/>
        <v>05</v>
      </c>
      <c r="N6070" t="s">
        <v>12</v>
      </c>
    </row>
    <row r="6071" spans="1:14" x14ac:dyDescent="0.25">
      <c r="A6071">
        <v>20160513</v>
      </c>
      <c r="B6071" t="str">
        <f>"063432"</f>
        <v>063432</v>
      </c>
      <c r="C6071" t="str">
        <f>"01530"</f>
        <v>01530</v>
      </c>
      <c r="D6071" t="s">
        <v>1943</v>
      </c>
      <c r="E6071" s="3">
        <v>53</v>
      </c>
      <c r="F6071">
        <v>20160511</v>
      </c>
      <c r="G6071" t="s">
        <v>2424</v>
      </c>
      <c r="H6071" t="s">
        <v>5144</v>
      </c>
      <c r="I6071">
        <v>0</v>
      </c>
      <c r="J6071" t="s">
        <v>1709</v>
      </c>
      <c r="K6071" t="s">
        <v>1775</v>
      </c>
      <c r="L6071" t="s">
        <v>285</v>
      </c>
      <c r="M6071" t="str">
        <f t="shared" si="439"/>
        <v>05</v>
      </c>
      <c r="N6071" t="s">
        <v>12</v>
      </c>
    </row>
    <row r="6072" spans="1:14" x14ac:dyDescent="0.25">
      <c r="A6072">
        <v>20160513</v>
      </c>
      <c r="B6072" t="str">
        <f>"063435"</f>
        <v>063435</v>
      </c>
      <c r="C6072" t="str">
        <f>"24208"</f>
        <v>24208</v>
      </c>
      <c r="D6072" t="s">
        <v>1541</v>
      </c>
      <c r="E6072" s="3">
        <v>120</v>
      </c>
      <c r="F6072">
        <v>20160511</v>
      </c>
      <c r="G6072" t="s">
        <v>1854</v>
      </c>
      <c r="H6072" t="s">
        <v>5145</v>
      </c>
      <c r="I6072">
        <v>0</v>
      </c>
      <c r="J6072" t="s">
        <v>1709</v>
      </c>
      <c r="K6072" t="s">
        <v>1856</v>
      </c>
      <c r="L6072" t="s">
        <v>285</v>
      </c>
      <c r="M6072" t="str">
        <f t="shared" si="439"/>
        <v>05</v>
      </c>
      <c r="N6072" t="s">
        <v>12</v>
      </c>
    </row>
    <row r="6073" spans="1:14" x14ac:dyDescent="0.25">
      <c r="A6073">
        <v>20160513</v>
      </c>
      <c r="B6073" t="str">
        <f>"063436"</f>
        <v>063436</v>
      </c>
      <c r="C6073" t="str">
        <f>"06490"</f>
        <v>06490</v>
      </c>
      <c r="D6073" t="s">
        <v>2815</v>
      </c>
      <c r="E6073" s="3">
        <v>1231.6300000000001</v>
      </c>
      <c r="F6073">
        <v>20160511</v>
      </c>
      <c r="G6073" t="s">
        <v>2718</v>
      </c>
      <c r="H6073" t="s">
        <v>2816</v>
      </c>
      <c r="I6073">
        <v>0</v>
      </c>
      <c r="J6073" t="s">
        <v>1709</v>
      </c>
      <c r="K6073" t="s">
        <v>290</v>
      </c>
      <c r="L6073" t="s">
        <v>285</v>
      </c>
      <c r="M6073" t="str">
        <f t="shared" si="439"/>
        <v>05</v>
      </c>
      <c r="N6073" t="s">
        <v>12</v>
      </c>
    </row>
    <row r="6074" spans="1:14" x14ac:dyDescent="0.25">
      <c r="A6074">
        <v>20160513</v>
      </c>
      <c r="B6074" t="str">
        <f>"063437"</f>
        <v>063437</v>
      </c>
      <c r="C6074" t="str">
        <f>"08196"</f>
        <v>08196</v>
      </c>
      <c r="D6074" t="s">
        <v>2438</v>
      </c>
      <c r="E6074" s="3">
        <v>134.97999999999999</v>
      </c>
      <c r="F6074">
        <v>20160511</v>
      </c>
      <c r="G6074" t="s">
        <v>2422</v>
      </c>
      <c r="H6074" t="s">
        <v>5146</v>
      </c>
      <c r="I6074">
        <v>0</v>
      </c>
      <c r="J6074" t="s">
        <v>1709</v>
      </c>
      <c r="K6074" t="s">
        <v>290</v>
      </c>
      <c r="L6074" t="s">
        <v>285</v>
      </c>
      <c r="M6074" t="str">
        <f t="shared" si="439"/>
        <v>05</v>
      </c>
      <c r="N6074" t="s">
        <v>12</v>
      </c>
    </row>
    <row r="6075" spans="1:14" x14ac:dyDescent="0.25">
      <c r="A6075">
        <v>20160513</v>
      </c>
      <c r="B6075" t="str">
        <f>"063437"</f>
        <v>063437</v>
      </c>
      <c r="C6075" t="str">
        <f>"08196"</f>
        <v>08196</v>
      </c>
      <c r="D6075" t="s">
        <v>2438</v>
      </c>
      <c r="E6075" s="3">
        <v>63.79</v>
      </c>
      <c r="F6075">
        <v>20160511</v>
      </c>
      <c r="G6075" t="s">
        <v>2422</v>
      </c>
      <c r="H6075" t="s">
        <v>5147</v>
      </c>
      <c r="I6075">
        <v>0</v>
      </c>
      <c r="J6075" t="s">
        <v>1709</v>
      </c>
      <c r="K6075" t="s">
        <v>290</v>
      </c>
      <c r="L6075" t="s">
        <v>285</v>
      </c>
      <c r="M6075" t="str">
        <f t="shared" si="439"/>
        <v>05</v>
      </c>
      <c r="N6075" t="s">
        <v>12</v>
      </c>
    </row>
    <row r="6076" spans="1:14" x14ac:dyDescent="0.25">
      <c r="A6076">
        <v>20160513</v>
      </c>
      <c r="B6076" t="str">
        <f>"063437"</f>
        <v>063437</v>
      </c>
      <c r="C6076" t="str">
        <f>"08196"</f>
        <v>08196</v>
      </c>
      <c r="D6076" t="s">
        <v>2438</v>
      </c>
      <c r="E6076" s="3">
        <v>17.54</v>
      </c>
      <c r="F6076">
        <v>20160511</v>
      </c>
      <c r="G6076" t="s">
        <v>2422</v>
      </c>
      <c r="H6076" t="s">
        <v>5148</v>
      </c>
      <c r="I6076">
        <v>0</v>
      </c>
      <c r="J6076" t="s">
        <v>1709</v>
      </c>
      <c r="K6076" t="s">
        <v>290</v>
      </c>
      <c r="L6076" t="s">
        <v>285</v>
      </c>
      <c r="M6076" t="str">
        <f t="shared" si="439"/>
        <v>05</v>
      </c>
      <c r="N6076" t="s">
        <v>12</v>
      </c>
    </row>
    <row r="6077" spans="1:14" x14ac:dyDescent="0.25">
      <c r="A6077">
        <v>20160513</v>
      </c>
      <c r="B6077" t="str">
        <f>"063438"</f>
        <v>063438</v>
      </c>
      <c r="C6077" t="str">
        <f>"11125"</f>
        <v>11125</v>
      </c>
      <c r="D6077" t="s">
        <v>3763</v>
      </c>
      <c r="E6077" s="3">
        <v>765.94</v>
      </c>
      <c r="F6077">
        <v>20160511</v>
      </c>
      <c r="G6077" t="s">
        <v>2153</v>
      </c>
      <c r="H6077" t="s">
        <v>5149</v>
      </c>
      <c r="I6077">
        <v>0</v>
      </c>
      <c r="J6077" t="s">
        <v>1709</v>
      </c>
      <c r="K6077" t="s">
        <v>290</v>
      </c>
      <c r="L6077" t="s">
        <v>285</v>
      </c>
      <c r="M6077" t="str">
        <f t="shared" si="439"/>
        <v>05</v>
      </c>
      <c r="N6077" t="s">
        <v>12</v>
      </c>
    </row>
    <row r="6078" spans="1:14" x14ac:dyDescent="0.25">
      <c r="A6078">
        <v>20160513</v>
      </c>
      <c r="B6078" t="str">
        <f>"063439"</f>
        <v>063439</v>
      </c>
      <c r="C6078" t="str">
        <f>"11210"</f>
        <v>11210</v>
      </c>
      <c r="D6078" t="s">
        <v>3030</v>
      </c>
      <c r="E6078" s="3">
        <v>586.63</v>
      </c>
      <c r="F6078">
        <v>20160511</v>
      </c>
      <c r="G6078" t="s">
        <v>3031</v>
      </c>
      <c r="H6078" t="s">
        <v>1618</v>
      </c>
      <c r="I6078">
        <v>0</v>
      </c>
      <c r="J6078" t="s">
        <v>1709</v>
      </c>
      <c r="K6078" t="s">
        <v>290</v>
      </c>
      <c r="L6078" t="s">
        <v>285</v>
      </c>
      <c r="M6078" t="str">
        <f t="shared" si="439"/>
        <v>05</v>
      </c>
      <c r="N6078" t="s">
        <v>12</v>
      </c>
    </row>
    <row r="6079" spans="1:14" x14ac:dyDescent="0.25">
      <c r="A6079">
        <v>20160513</v>
      </c>
      <c r="B6079" t="str">
        <f>"063439"</f>
        <v>063439</v>
      </c>
      <c r="C6079" t="str">
        <f>"11210"</f>
        <v>11210</v>
      </c>
      <c r="D6079" t="s">
        <v>3030</v>
      </c>
      <c r="E6079" s="3">
        <v>21.43</v>
      </c>
      <c r="F6079">
        <v>20160511</v>
      </c>
      <c r="G6079" t="s">
        <v>3031</v>
      </c>
      <c r="H6079" t="s">
        <v>5150</v>
      </c>
      <c r="I6079">
        <v>0</v>
      </c>
      <c r="J6079" t="s">
        <v>1709</v>
      </c>
      <c r="K6079" t="s">
        <v>290</v>
      </c>
      <c r="L6079" t="s">
        <v>285</v>
      </c>
      <c r="M6079" t="str">
        <f t="shared" si="439"/>
        <v>05</v>
      </c>
      <c r="N6079" t="s">
        <v>12</v>
      </c>
    </row>
    <row r="6080" spans="1:14" x14ac:dyDescent="0.25">
      <c r="A6080">
        <v>20160513</v>
      </c>
      <c r="B6080" t="str">
        <f>"063439"</f>
        <v>063439</v>
      </c>
      <c r="C6080" t="str">
        <f>"11210"</f>
        <v>11210</v>
      </c>
      <c r="D6080" t="s">
        <v>3030</v>
      </c>
      <c r="E6080" s="3">
        <v>21.43</v>
      </c>
      <c r="F6080">
        <v>20160511</v>
      </c>
      <c r="G6080" t="s">
        <v>3031</v>
      </c>
      <c r="H6080" t="s">
        <v>5150</v>
      </c>
      <c r="I6080">
        <v>0</v>
      </c>
      <c r="J6080" t="s">
        <v>1709</v>
      </c>
      <c r="K6080" t="s">
        <v>290</v>
      </c>
      <c r="L6080" t="s">
        <v>285</v>
      </c>
      <c r="M6080" t="str">
        <f t="shared" si="439"/>
        <v>05</v>
      </c>
      <c r="N6080" t="s">
        <v>12</v>
      </c>
    </row>
    <row r="6081" spans="1:14" x14ac:dyDescent="0.25">
      <c r="A6081">
        <v>20160513</v>
      </c>
      <c r="B6081" t="str">
        <f>"063440"</f>
        <v>063440</v>
      </c>
      <c r="C6081" t="str">
        <f>"12466"</f>
        <v>12466</v>
      </c>
      <c r="D6081" t="s">
        <v>5151</v>
      </c>
      <c r="E6081" s="3">
        <v>2221.7399999999998</v>
      </c>
      <c r="F6081">
        <v>20160511</v>
      </c>
      <c r="G6081" t="s">
        <v>2416</v>
      </c>
      <c r="H6081" t="s">
        <v>5152</v>
      </c>
      <c r="I6081">
        <v>0</v>
      </c>
      <c r="J6081" t="s">
        <v>1709</v>
      </c>
      <c r="K6081" t="s">
        <v>1744</v>
      </c>
      <c r="L6081" t="s">
        <v>285</v>
      </c>
      <c r="M6081" t="str">
        <f t="shared" si="439"/>
        <v>05</v>
      </c>
      <c r="N6081" t="s">
        <v>12</v>
      </c>
    </row>
    <row r="6082" spans="1:14" x14ac:dyDescent="0.25">
      <c r="A6082">
        <v>20160513</v>
      </c>
      <c r="B6082" t="str">
        <f>"063441"</f>
        <v>063441</v>
      </c>
      <c r="C6082" t="str">
        <f>"13045"</f>
        <v>13045</v>
      </c>
      <c r="D6082" t="s">
        <v>5153</v>
      </c>
      <c r="E6082" s="3">
        <v>242</v>
      </c>
      <c r="F6082">
        <v>20160511</v>
      </c>
      <c r="G6082" t="s">
        <v>5154</v>
      </c>
      <c r="H6082" t="s">
        <v>5155</v>
      </c>
      <c r="I6082">
        <v>0</v>
      </c>
      <c r="J6082" t="s">
        <v>1709</v>
      </c>
      <c r="K6082" t="s">
        <v>1775</v>
      </c>
      <c r="L6082" t="s">
        <v>285</v>
      </c>
      <c r="M6082" t="str">
        <f t="shared" si="439"/>
        <v>05</v>
      </c>
      <c r="N6082" t="s">
        <v>12</v>
      </c>
    </row>
    <row r="6083" spans="1:14" x14ac:dyDescent="0.25">
      <c r="A6083">
        <v>20160513</v>
      </c>
      <c r="B6083" t="str">
        <f>"063443"</f>
        <v>063443</v>
      </c>
      <c r="C6083" t="str">
        <f>"19043"</f>
        <v>19043</v>
      </c>
      <c r="D6083" t="s">
        <v>2629</v>
      </c>
      <c r="E6083" s="3">
        <v>150.11000000000001</v>
      </c>
      <c r="F6083">
        <v>20160511</v>
      </c>
      <c r="G6083" t="s">
        <v>1961</v>
      </c>
      <c r="H6083" t="s">
        <v>4780</v>
      </c>
      <c r="I6083">
        <v>0</v>
      </c>
      <c r="J6083" t="s">
        <v>1709</v>
      </c>
      <c r="K6083" t="s">
        <v>290</v>
      </c>
      <c r="L6083" t="s">
        <v>285</v>
      </c>
      <c r="M6083" t="str">
        <f t="shared" si="439"/>
        <v>05</v>
      </c>
      <c r="N6083" t="s">
        <v>12</v>
      </c>
    </row>
    <row r="6084" spans="1:14" x14ac:dyDescent="0.25">
      <c r="A6084">
        <v>20160513</v>
      </c>
      <c r="B6084" t="str">
        <f>"063443"</f>
        <v>063443</v>
      </c>
      <c r="C6084" t="str">
        <f>"19043"</f>
        <v>19043</v>
      </c>
      <c r="D6084" t="s">
        <v>2629</v>
      </c>
      <c r="E6084" s="3">
        <v>68</v>
      </c>
      <c r="F6084">
        <v>20160511</v>
      </c>
      <c r="G6084" t="s">
        <v>1961</v>
      </c>
      <c r="H6084" t="s">
        <v>5156</v>
      </c>
      <c r="I6084">
        <v>0</v>
      </c>
      <c r="J6084" t="s">
        <v>1709</v>
      </c>
      <c r="K6084" t="s">
        <v>290</v>
      </c>
      <c r="L6084" t="s">
        <v>285</v>
      </c>
      <c r="M6084" t="str">
        <f t="shared" si="439"/>
        <v>05</v>
      </c>
      <c r="N6084" t="s">
        <v>12</v>
      </c>
    </row>
    <row r="6085" spans="1:14" x14ac:dyDescent="0.25">
      <c r="A6085">
        <v>20160513</v>
      </c>
      <c r="B6085" t="str">
        <f>"063445"</f>
        <v>063445</v>
      </c>
      <c r="C6085" t="str">
        <f>"19160"</f>
        <v>19160</v>
      </c>
      <c r="D6085" t="s">
        <v>4006</v>
      </c>
      <c r="E6085" s="3">
        <v>970.65</v>
      </c>
      <c r="F6085">
        <v>20160511</v>
      </c>
      <c r="G6085" t="s">
        <v>4007</v>
      </c>
      <c r="H6085" t="s">
        <v>4008</v>
      </c>
      <c r="I6085">
        <v>0</v>
      </c>
      <c r="J6085" t="s">
        <v>1709</v>
      </c>
      <c r="K6085" t="s">
        <v>290</v>
      </c>
      <c r="L6085" t="s">
        <v>285</v>
      </c>
      <c r="M6085" t="str">
        <f t="shared" si="439"/>
        <v>05</v>
      </c>
      <c r="N6085" t="s">
        <v>12</v>
      </c>
    </row>
    <row r="6086" spans="1:14" x14ac:dyDescent="0.25">
      <c r="A6086">
        <v>20160513</v>
      </c>
      <c r="B6086" t="str">
        <f>"063445"</f>
        <v>063445</v>
      </c>
      <c r="C6086" t="str">
        <f>"19160"</f>
        <v>19160</v>
      </c>
      <c r="D6086" t="s">
        <v>4006</v>
      </c>
      <c r="E6086" s="3">
        <v>67.400000000000006</v>
      </c>
      <c r="F6086">
        <v>20160511</v>
      </c>
      <c r="G6086" t="s">
        <v>4007</v>
      </c>
      <c r="H6086" t="s">
        <v>5157</v>
      </c>
      <c r="I6086">
        <v>0</v>
      </c>
      <c r="J6086" t="s">
        <v>1709</v>
      </c>
      <c r="K6086" t="s">
        <v>290</v>
      </c>
      <c r="L6086" t="s">
        <v>285</v>
      </c>
      <c r="M6086" t="str">
        <f t="shared" si="439"/>
        <v>05</v>
      </c>
      <c r="N6086" t="s">
        <v>12</v>
      </c>
    </row>
    <row r="6087" spans="1:14" x14ac:dyDescent="0.25">
      <c r="A6087">
        <v>20160513</v>
      </c>
      <c r="B6087" t="str">
        <f>"063445"</f>
        <v>063445</v>
      </c>
      <c r="C6087" t="str">
        <f>"19160"</f>
        <v>19160</v>
      </c>
      <c r="D6087" t="s">
        <v>4006</v>
      </c>
      <c r="E6087" s="3">
        <v>227.5</v>
      </c>
      <c r="F6087">
        <v>20160511</v>
      </c>
      <c r="G6087" t="s">
        <v>2153</v>
      </c>
      <c r="H6087" t="s">
        <v>5158</v>
      </c>
      <c r="I6087">
        <v>0</v>
      </c>
      <c r="J6087" t="s">
        <v>1709</v>
      </c>
      <c r="K6087" t="s">
        <v>290</v>
      </c>
      <c r="L6087" t="s">
        <v>285</v>
      </c>
      <c r="M6087" t="str">
        <f t="shared" si="439"/>
        <v>05</v>
      </c>
      <c r="N6087" t="s">
        <v>12</v>
      </c>
    </row>
    <row r="6088" spans="1:14" x14ac:dyDescent="0.25">
      <c r="A6088">
        <v>20160513</v>
      </c>
      <c r="B6088" t="str">
        <f>"063446"</f>
        <v>063446</v>
      </c>
      <c r="C6088" t="str">
        <f>"19291"</f>
        <v>19291</v>
      </c>
      <c r="D6088" t="s">
        <v>598</v>
      </c>
      <c r="E6088" s="3">
        <v>50</v>
      </c>
      <c r="F6088">
        <v>20160511</v>
      </c>
      <c r="G6088" t="s">
        <v>4969</v>
      </c>
      <c r="H6088" t="s">
        <v>1345</v>
      </c>
      <c r="I6088">
        <v>0</v>
      </c>
      <c r="J6088" t="s">
        <v>1709</v>
      </c>
      <c r="K6088" t="s">
        <v>290</v>
      </c>
      <c r="L6088" t="s">
        <v>285</v>
      </c>
      <c r="M6088" t="str">
        <f t="shared" si="439"/>
        <v>05</v>
      </c>
      <c r="N6088" t="s">
        <v>12</v>
      </c>
    </row>
    <row r="6089" spans="1:14" x14ac:dyDescent="0.25">
      <c r="A6089">
        <v>20160513</v>
      </c>
      <c r="B6089" t="str">
        <f>"063447"</f>
        <v>063447</v>
      </c>
      <c r="C6089" t="str">
        <f>"16807"</f>
        <v>16807</v>
      </c>
      <c r="D6089" t="s">
        <v>1560</v>
      </c>
      <c r="E6089" s="3">
        <v>974.85</v>
      </c>
      <c r="F6089">
        <v>20160511</v>
      </c>
      <c r="G6089" t="s">
        <v>2228</v>
      </c>
      <c r="H6089" t="s">
        <v>5159</v>
      </c>
      <c r="I6089">
        <v>0</v>
      </c>
      <c r="J6089" t="s">
        <v>1709</v>
      </c>
      <c r="K6089" t="s">
        <v>290</v>
      </c>
      <c r="L6089" t="s">
        <v>285</v>
      </c>
      <c r="M6089" t="str">
        <f t="shared" si="439"/>
        <v>05</v>
      </c>
      <c r="N6089" t="s">
        <v>12</v>
      </c>
    </row>
    <row r="6090" spans="1:14" x14ac:dyDescent="0.25">
      <c r="A6090">
        <v>20160513</v>
      </c>
      <c r="B6090" t="str">
        <f>"063449"</f>
        <v>063449</v>
      </c>
      <c r="C6090" t="str">
        <f>"51349"</f>
        <v>51349</v>
      </c>
      <c r="D6090" t="s">
        <v>640</v>
      </c>
      <c r="E6090" s="3">
        <v>41.22</v>
      </c>
      <c r="F6090">
        <v>20160511</v>
      </c>
      <c r="G6090" t="s">
        <v>2980</v>
      </c>
      <c r="H6090" t="s">
        <v>5160</v>
      </c>
      <c r="I6090">
        <v>0</v>
      </c>
      <c r="J6090" t="s">
        <v>1709</v>
      </c>
      <c r="K6090" t="s">
        <v>95</v>
      </c>
      <c r="L6090" t="s">
        <v>285</v>
      </c>
      <c r="M6090" t="str">
        <f t="shared" si="439"/>
        <v>05</v>
      </c>
      <c r="N6090" t="s">
        <v>12</v>
      </c>
    </row>
    <row r="6091" spans="1:14" x14ac:dyDescent="0.25">
      <c r="A6091">
        <v>20160513</v>
      </c>
      <c r="B6091" t="str">
        <f>"063449"</f>
        <v>063449</v>
      </c>
      <c r="C6091" t="str">
        <f>"51349"</f>
        <v>51349</v>
      </c>
      <c r="D6091" t="s">
        <v>640</v>
      </c>
      <c r="E6091" s="3">
        <v>64.62</v>
      </c>
      <c r="F6091">
        <v>20160511</v>
      </c>
      <c r="G6091" t="s">
        <v>2547</v>
      </c>
      <c r="H6091" t="s">
        <v>5160</v>
      </c>
      <c r="I6091">
        <v>0</v>
      </c>
      <c r="J6091" t="s">
        <v>1709</v>
      </c>
      <c r="K6091" t="s">
        <v>1643</v>
      </c>
      <c r="L6091" t="s">
        <v>285</v>
      </c>
      <c r="M6091" t="str">
        <f t="shared" ref="M6091:M6154" si="442">"05"</f>
        <v>05</v>
      </c>
      <c r="N6091" t="s">
        <v>12</v>
      </c>
    </row>
    <row r="6092" spans="1:14" x14ac:dyDescent="0.25">
      <c r="A6092">
        <v>20160513</v>
      </c>
      <c r="B6092" t="str">
        <f t="shared" ref="B6092:B6099" si="443">"063450"</f>
        <v>063450</v>
      </c>
      <c r="C6092" t="str">
        <f t="shared" ref="C6092:C6099" si="444">"20683"</f>
        <v>20683</v>
      </c>
      <c r="D6092" t="s">
        <v>1818</v>
      </c>
      <c r="E6092" s="3">
        <v>47.54</v>
      </c>
      <c r="F6092">
        <v>20160511</v>
      </c>
      <c r="G6092" t="s">
        <v>2469</v>
      </c>
      <c r="H6092" t="s">
        <v>5161</v>
      </c>
      <c r="I6092">
        <v>0</v>
      </c>
      <c r="J6092" t="s">
        <v>1709</v>
      </c>
      <c r="K6092" t="s">
        <v>290</v>
      </c>
      <c r="L6092" t="s">
        <v>285</v>
      </c>
      <c r="M6092" t="str">
        <f t="shared" si="442"/>
        <v>05</v>
      </c>
      <c r="N6092" t="s">
        <v>12</v>
      </c>
    </row>
    <row r="6093" spans="1:14" x14ac:dyDescent="0.25">
      <c r="A6093">
        <v>20160513</v>
      </c>
      <c r="B6093" t="str">
        <f t="shared" si="443"/>
        <v>063450</v>
      </c>
      <c r="C6093" t="str">
        <f t="shared" si="444"/>
        <v>20683</v>
      </c>
      <c r="D6093" t="s">
        <v>1818</v>
      </c>
      <c r="E6093" s="3">
        <v>47.54</v>
      </c>
      <c r="F6093">
        <v>20160511</v>
      </c>
      <c r="G6093" t="s">
        <v>2469</v>
      </c>
      <c r="H6093" t="s">
        <v>5162</v>
      </c>
      <c r="I6093">
        <v>0</v>
      </c>
      <c r="J6093" t="s">
        <v>1709</v>
      </c>
      <c r="K6093" t="s">
        <v>290</v>
      </c>
      <c r="L6093" t="s">
        <v>285</v>
      </c>
      <c r="M6093" t="str">
        <f t="shared" si="442"/>
        <v>05</v>
      </c>
      <c r="N6093" t="s">
        <v>12</v>
      </c>
    </row>
    <row r="6094" spans="1:14" x14ac:dyDescent="0.25">
      <c r="A6094">
        <v>20160513</v>
      </c>
      <c r="B6094" t="str">
        <f t="shared" si="443"/>
        <v>063450</v>
      </c>
      <c r="C6094" t="str">
        <f t="shared" si="444"/>
        <v>20683</v>
      </c>
      <c r="D6094" t="s">
        <v>1818</v>
      </c>
      <c r="E6094" s="3">
        <v>91.14</v>
      </c>
      <c r="F6094">
        <v>20160511</v>
      </c>
      <c r="G6094" t="s">
        <v>2469</v>
      </c>
      <c r="H6094" t="s">
        <v>5163</v>
      </c>
      <c r="I6094">
        <v>0</v>
      </c>
      <c r="J6094" t="s">
        <v>1709</v>
      </c>
      <c r="K6094" t="s">
        <v>290</v>
      </c>
      <c r="L6094" t="s">
        <v>285</v>
      </c>
      <c r="M6094" t="str">
        <f t="shared" si="442"/>
        <v>05</v>
      </c>
      <c r="N6094" t="s">
        <v>12</v>
      </c>
    </row>
    <row r="6095" spans="1:14" x14ac:dyDescent="0.25">
      <c r="A6095">
        <v>20160513</v>
      </c>
      <c r="B6095" t="str">
        <f t="shared" si="443"/>
        <v>063450</v>
      </c>
      <c r="C6095" t="str">
        <f t="shared" si="444"/>
        <v>20683</v>
      </c>
      <c r="D6095" t="s">
        <v>1818</v>
      </c>
      <c r="E6095" s="3">
        <v>47.54</v>
      </c>
      <c r="F6095">
        <v>20160511</v>
      </c>
      <c r="G6095" t="s">
        <v>2469</v>
      </c>
      <c r="H6095" t="s">
        <v>5164</v>
      </c>
      <c r="I6095">
        <v>0</v>
      </c>
      <c r="J6095" t="s">
        <v>1709</v>
      </c>
      <c r="K6095" t="s">
        <v>290</v>
      </c>
      <c r="L6095" t="s">
        <v>285</v>
      </c>
      <c r="M6095" t="str">
        <f t="shared" si="442"/>
        <v>05</v>
      </c>
      <c r="N6095" t="s">
        <v>12</v>
      </c>
    </row>
    <row r="6096" spans="1:14" x14ac:dyDescent="0.25">
      <c r="A6096">
        <v>20160513</v>
      </c>
      <c r="B6096" t="str">
        <f t="shared" si="443"/>
        <v>063450</v>
      </c>
      <c r="C6096" t="str">
        <f t="shared" si="444"/>
        <v>20683</v>
      </c>
      <c r="D6096" t="s">
        <v>1818</v>
      </c>
      <c r="E6096" s="3">
        <v>12.45</v>
      </c>
      <c r="F6096">
        <v>20160511</v>
      </c>
      <c r="G6096" t="s">
        <v>2333</v>
      </c>
      <c r="H6096" t="s">
        <v>5161</v>
      </c>
      <c r="I6096">
        <v>0</v>
      </c>
      <c r="J6096" t="s">
        <v>1709</v>
      </c>
      <c r="K6096" t="s">
        <v>290</v>
      </c>
      <c r="L6096" t="s">
        <v>285</v>
      </c>
      <c r="M6096" t="str">
        <f t="shared" si="442"/>
        <v>05</v>
      </c>
      <c r="N6096" t="s">
        <v>12</v>
      </c>
    </row>
    <row r="6097" spans="1:14" x14ac:dyDescent="0.25">
      <c r="A6097">
        <v>20160513</v>
      </c>
      <c r="B6097" t="str">
        <f t="shared" si="443"/>
        <v>063450</v>
      </c>
      <c r="C6097" t="str">
        <f t="shared" si="444"/>
        <v>20683</v>
      </c>
      <c r="D6097" t="s">
        <v>1818</v>
      </c>
      <c r="E6097" s="3">
        <v>12.45</v>
      </c>
      <c r="F6097">
        <v>20160511</v>
      </c>
      <c r="G6097" t="s">
        <v>2333</v>
      </c>
      <c r="H6097" t="s">
        <v>5162</v>
      </c>
      <c r="I6097">
        <v>0</v>
      </c>
      <c r="J6097" t="s">
        <v>1709</v>
      </c>
      <c r="K6097" t="s">
        <v>290</v>
      </c>
      <c r="L6097" t="s">
        <v>285</v>
      </c>
      <c r="M6097" t="str">
        <f t="shared" si="442"/>
        <v>05</v>
      </c>
      <c r="N6097" t="s">
        <v>12</v>
      </c>
    </row>
    <row r="6098" spans="1:14" x14ac:dyDescent="0.25">
      <c r="A6098">
        <v>20160513</v>
      </c>
      <c r="B6098" t="str">
        <f t="shared" si="443"/>
        <v>063450</v>
      </c>
      <c r="C6098" t="str">
        <f t="shared" si="444"/>
        <v>20683</v>
      </c>
      <c r="D6098" t="s">
        <v>1818</v>
      </c>
      <c r="E6098" s="3">
        <v>12.45</v>
      </c>
      <c r="F6098">
        <v>20160511</v>
      </c>
      <c r="G6098" t="s">
        <v>2333</v>
      </c>
      <c r="H6098" t="s">
        <v>5163</v>
      </c>
      <c r="I6098">
        <v>0</v>
      </c>
      <c r="J6098" t="s">
        <v>1709</v>
      </c>
      <c r="K6098" t="s">
        <v>290</v>
      </c>
      <c r="L6098" t="s">
        <v>285</v>
      </c>
      <c r="M6098" t="str">
        <f t="shared" si="442"/>
        <v>05</v>
      </c>
      <c r="N6098" t="s">
        <v>12</v>
      </c>
    </row>
    <row r="6099" spans="1:14" x14ac:dyDescent="0.25">
      <c r="A6099">
        <v>20160513</v>
      </c>
      <c r="B6099" t="str">
        <f t="shared" si="443"/>
        <v>063450</v>
      </c>
      <c r="C6099" t="str">
        <f t="shared" si="444"/>
        <v>20683</v>
      </c>
      <c r="D6099" t="s">
        <v>1818</v>
      </c>
      <c r="E6099" s="3">
        <v>12.45</v>
      </c>
      <c r="F6099">
        <v>20160511</v>
      </c>
      <c r="G6099" t="s">
        <v>2333</v>
      </c>
      <c r="H6099" t="s">
        <v>5164</v>
      </c>
      <c r="I6099">
        <v>0</v>
      </c>
      <c r="J6099" t="s">
        <v>1709</v>
      </c>
      <c r="K6099" t="s">
        <v>290</v>
      </c>
      <c r="L6099" t="s">
        <v>285</v>
      </c>
      <c r="M6099" t="str">
        <f t="shared" si="442"/>
        <v>05</v>
      </c>
      <c r="N6099" t="s">
        <v>12</v>
      </c>
    </row>
    <row r="6100" spans="1:14" x14ac:dyDescent="0.25">
      <c r="A6100">
        <v>20160513</v>
      </c>
      <c r="B6100" t="str">
        <f>"063451"</f>
        <v>063451</v>
      </c>
      <c r="C6100" t="str">
        <f>"21514"</f>
        <v>21514</v>
      </c>
      <c r="D6100" t="s">
        <v>3434</v>
      </c>
      <c r="E6100" s="3">
        <v>650</v>
      </c>
      <c r="F6100">
        <v>20160511</v>
      </c>
      <c r="G6100" t="s">
        <v>2172</v>
      </c>
      <c r="H6100" t="s">
        <v>5165</v>
      </c>
      <c r="I6100">
        <v>0</v>
      </c>
      <c r="J6100" t="s">
        <v>1709</v>
      </c>
      <c r="K6100" t="s">
        <v>95</v>
      </c>
      <c r="L6100" t="s">
        <v>285</v>
      </c>
      <c r="M6100" t="str">
        <f t="shared" si="442"/>
        <v>05</v>
      </c>
      <c r="N6100" t="s">
        <v>12</v>
      </c>
    </row>
    <row r="6101" spans="1:14" x14ac:dyDescent="0.25">
      <c r="A6101">
        <v>20160513</v>
      </c>
      <c r="B6101" t="str">
        <f>"063452"</f>
        <v>063452</v>
      </c>
      <c r="C6101" t="str">
        <f>"21860"</f>
        <v>21860</v>
      </c>
      <c r="D6101" t="s">
        <v>1838</v>
      </c>
      <c r="E6101" s="3">
        <v>60.45</v>
      </c>
      <c r="F6101">
        <v>20160511</v>
      </c>
      <c r="G6101" t="s">
        <v>4177</v>
      </c>
      <c r="H6101" t="s">
        <v>5166</v>
      </c>
      <c r="I6101">
        <v>0</v>
      </c>
      <c r="J6101" t="s">
        <v>1709</v>
      </c>
      <c r="K6101" t="s">
        <v>2764</v>
      </c>
      <c r="L6101" t="s">
        <v>285</v>
      </c>
      <c r="M6101" t="str">
        <f t="shared" si="442"/>
        <v>05</v>
      </c>
      <c r="N6101" t="s">
        <v>12</v>
      </c>
    </row>
    <row r="6102" spans="1:14" x14ac:dyDescent="0.25">
      <c r="A6102">
        <v>20160513</v>
      </c>
      <c r="B6102" t="str">
        <f>"063452"</f>
        <v>063452</v>
      </c>
      <c r="C6102" t="str">
        <f>"21860"</f>
        <v>21860</v>
      </c>
      <c r="D6102" t="s">
        <v>1838</v>
      </c>
      <c r="E6102" s="3">
        <v>306.89999999999998</v>
      </c>
      <c r="F6102">
        <v>20160511</v>
      </c>
      <c r="G6102" t="s">
        <v>4895</v>
      </c>
      <c r="H6102" t="s">
        <v>5167</v>
      </c>
      <c r="I6102">
        <v>0</v>
      </c>
      <c r="J6102" t="s">
        <v>1709</v>
      </c>
      <c r="K6102" t="s">
        <v>1893</v>
      </c>
      <c r="L6102" t="s">
        <v>285</v>
      </c>
      <c r="M6102" t="str">
        <f t="shared" si="442"/>
        <v>05</v>
      </c>
      <c r="N6102" t="s">
        <v>12</v>
      </c>
    </row>
    <row r="6103" spans="1:14" x14ac:dyDescent="0.25">
      <c r="A6103">
        <v>20160513</v>
      </c>
      <c r="B6103" t="str">
        <f>"063453"</f>
        <v>063453</v>
      </c>
      <c r="C6103" t="str">
        <f>"23974"</f>
        <v>23974</v>
      </c>
      <c r="D6103" t="s">
        <v>1581</v>
      </c>
      <c r="E6103" s="3">
        <v>40.99</v>
      </c>
      <c r="F6103">
        <v>20160511</v>
      </c>
      <c r="G6103" t="s">
        <v>2226</v>
      </c>
      <c r="H6103" t="s">
        <v>5168</v>
      </c>
      <c r="I6103">
        <v>0</v>
      </c>
      <c r="J6103" t="s">
        <v>1709</v>
      </c>
      <c r="K6103" t="s">
        <v>33</v>
      </c>
      <c r="L6103" t="s">
        <v>285</v>
      </c>
      <c r="M6103" t="str">
        <f t="shared" si="442"/>
        <v>05</v>
      </c>
      <c r="N6103" t="s">
        <v>12</v>
      </c>
    </row>
    <row r="6104" spans="1:14" x14ac:dyDescent="0.25">
      <c r="A6104">
        <v>20160513</v>
      </c>
      <c r="B6104" t="str">
        <f>"063453"</f>
        <v>063453</v>
      </c>
      <c r="C6104" t="str">
        <f>"23974"</f>
        <v>23974</v>
      </c>
      <c r="D6104" t="s">
        <v>1581</v>
      </c>
      <c r="E6104" s="3">
        <v>502.88</v>
      </c>
      <c r="F6104">
        <v>20160511</v>
      </c>
      <c r="G6104" t="s">
        <v>2226</v>
      </c>
      <c r="H6104" t="s">
        <v>5169</v>
      </c>
      <c r="I6104">
        <v>0</v>
      </c>
      <c r="J6104" t="s">
        <v>1709</v>
      </c>
      <c r="K6104" t="s">
        <v>33</v>
      </c>
      <c r="L6104" t="s">
        <v>285</v>
      </c>
      <c r="M6104" t="str">
        <f t="shared" si="442"/>
        <v>05</v>
      </c>
      <c r="N6104" t="s">
        <v>12</v>
      </c>
    </row>
    <row r="6105" spans="1:14" x14ac:dyDescent="0.25">
      <c r="A6105">
        <v>20160513</v>
      </c>
      <c r="B6105" t="str">
        <f>"063454"</f>
        <v>063454</v>
      </c>
      <c r="C6105" t="str">
        <f>"24708"</f>
        <v>24708</v>
      </c>
      <c r="D6105" t="s">
        <v>5170</v>
      </c>
      <c r="E6105" s="3">
        <v>1551.47</v>
      </c>
      <c r="F6105">
        <v>20160511</v>
      </c>
      <c r="G6105" t="s">
        <v>4886</v>
      </c>
      <c r="H6105" t="s">
        <v>5171</v>
      </c>
      <c r="I6105">
        <v>0</v>
      </c>
      <c r="J6105" t="s">
        <v>1709</v>
      </c>
      <c r="K6105" t="s">
        <v>290</v>
      </c>
      <c r="L6105" t="s">
        <v>285</v>
      </c>
      <c r="M6105" t="str">
        <f t="shared" si="442"/>
        <v>05</v>
      </c>
      <c r="N6105" t="s">
        <v>12</v>
      </c>
    </row>
    <row r="6106" spans="1:14" x14ac:dyDescent="0.25">
      <c r="A6106">
        <v>20160513</v>
      </c>
      <c r="B6106" t="str">
        <f>"063455"</f>
        <v>063455</v>
      </c>
      <c r="C6106" t="str">
        <f>"24960"</f>
        <v>24960</v>
      </c>
      <c r="D6106" t="s">
        <v>39</v>
      </c>
      <c r="E6106" s="3">
        <v>532.35</v>
      </c>
      <c r="F6106">
        <v>20160511</v>
      </c>
      <c r="G6106" t="s">
        <v>1841</v>
      </c>
      <c r="H6106" t="s">
        <v>5172</v>
      </c>
      <c r="I6106">
        <v>0</v>
      </c>
      <c r="J6106" t="s">
        <v>1709</v>
      </c>
      <c r="K6106" t="s">
        <v>1775</v>
      </c>
      <c r="L6106" t="s">
        <v>285</v>
      </c>
      <c r="M6106" t="str">
        <f t="shared" si="442"/>
        <v>05</v>
      </c>
      <c r="N6106" t="s">
        <v>12</v>
      </c>
    </row>
    <row r="6107" spans="1:14" x14ac:dyDescent="0.25">
      <c r="A6107">
        <v>20160513</v>
      </c>
      <c r="B6107" t="str">
        <f>"063456"</f>
        <v>063456</v>
      </c>
      <c r="C6107" t="str">
        <f>"25165"</f>
        <v>25165</v>
      </c>
      <c r="D6107" t="s">
        <v>1563</v>
      </c>
      <c r="E6107" s="3">
        <v>629.97</v>
      </c>
      <c r="F6107">
        <v>20160511</v>
      </c>
      <c r="G6107" t="s">
        <v>2133</v>
      </c>
      <c r="H6107" t="s">
        <v>5173</v>
      </c>
      <c r="I6107">
        <v>0</v>
      </c>
      <c r="J6107" t="s">
        <v>1709</v>
      </c>
      <c r="K6107" t="s">
        <v>290</v>
      </c>
      <c r="L6107" t="s">
        <v>285</v>
      </c>
      <c r="M6107" t="str">
        <f t="shared" si="442"/>
        <v>05</v>
      </c>
      <c r="N6107" t="s">
        <v>12</v>
      </c>
    </row>
    <row r="6108" spans="1:14" x14ac:dyDescent="0.25">
      <c r="A6108">
        <v>20160513</v>
      </c>
      <c r="B6108" t="str">
        <f>"063457"</f>
        <v>063457</v>
      </c>
      <c r="C6108" t="str">
        <f>"77113"</f>
        <v>77113</v>
      </c>
      <c r="D6108" t="s">
        <v>3679</v>
      </c>
      <c r="E6108" s="3">
        <v>115.95</v>
      </c>
      <c r="F6108">
        <v>20160511</v>
      </c>
      <c r="G6108" t="s">
        <v>3680</v>
      </c>
      <c r="H6108" t="s">
        <v>4138</v>
      </c>
      <c r="I6108">
        <v>0</v>
      </c>
      <c r="J6108" t="s">
        <v>1709</v>
      </c>
      <c r="K6108" t="s">
        <v>1984</v>
      </c>
      <c r="L6108" t="s">
        <v>285</v>
      </c>
      <c r="M6108" t="str">
        <f t="shared" si="442"/>
        <v>05</v>
      </c>
      <c r="N6108" t="s">
        <v>12</v>
      </c>
    </row>
    <row r="6109" spans="1:14" x14ac:dyDescent="0.25">
      <c r="A6109">
        <v>20160513</v>
      </c>
      <c r="B6109" t="str">
        <f>"063458"</f>
        <v>063458</v>
      </c>
      <c r="C6109" t="str">
        <f>"28417"</f>
        <v>28417</v>
      </c>
      <c r="D6109" t="s">
        <v>1849</v>
      </c>
      <c r="E6109" s="3">
        <v>102</v>
      </c>
      <c r="F6109">
        <v>20160511</v>
      </c>
      <c r="G6109" t="s">
        <v>2317</v>
      </c>
      <c r="H6109" t="s">
        <v>5174</v>
      </c>
      <c r="I6109">
        <v>0</v>
      </c>
      <c r="J6109" t="s">
        <v>1709</v>
      </c>
      <c r="K6109" t="s">
        <v>290</v>
      </c>
      <c r="L6109" t="s">
        <v>285</v>
      </c>
      <c r="M6109" t="str">
        <f t="shared" si="442"/>
        <v>05</v>
      </c>
      <c r="N6109" t="s">
        <v>12</v>
      </c>
    </row>
    <row r="6110" spans="1:14" x14ac:dyDescent="0.25">
      <c r="A6110">
        <v>20160513</v>
      </c>
      <c r="B6110" t="str">
        <f>"063459"</f>
        <v>063459</v>
      </c>
      <c r="C6110" t="str">
        <f>"28718"</f>
        <v>28718</v>
      </c>
      <c r="D6110" t="s">
        <v>5175</v>
      </c>
      <c r="E6110" s="3">
        <v>9646</v>
      </c>
      <c r="F6110">
        <v>20160511</v>
      </c>
      <c r="G6110" t="s">
        <v>5176</v>
      </c>
      <c r="H6110" t="s">
        <v>5177</v>
      </c>
      <c r="I6110">
        <v>0</v>
      </c>
      <c r="J6110" t="s">
        <v>1709</v>
      </c>
      <c r="K6110" t="s">
        <v>2194</v>
      </c>
      <c r="L6110" t="s">
        <v>285</v>
      </c>
      <c r="M6110" t="str">
        <f t="shared" si="442"/>
        <v>05</v>
      </c>
      <c r="N6110" t="s">
        <v>12</v>
      </c>
    </row>
    <row r="6111" spans="1:14" x14ac:dyDescent="0.25">
      <c r="A6111">
        <v>20160513</v>
      </c>
      <c r="B6111" t="str">
        <f>"063460"</f>
        <v>063460</v>
      </c>
      <c r="C6111" t="str">
        <f>"28820"</f>
        <v>28820</v>
      </c>
      <c r="D6111" t="s">
        <v>2647</v>
      </c>
      <c r="E6111" s="3">
        <v>14.7</v>
      </c>
      <c r="F6111">
        <v>20160511</v>
      </c>
      <c r="G6111" t="s">
        <v>2648</v>
      </c>
      <c r="H6111" t="s">
        <v>4051</v>
      </c>
      <c r="I6111">
        <v>0</v>
      </c>
      <c r="J6111" t="s">
        <v>1709</v>
      </c>
      <c r="K6111" t="s">
        <v>2377</v>
      </c>
      <c r="L6111" t="s">
        <v>285</v>
      </c>
      <c r="M6111" t="str">
        <f t="shared" si="442"/>
        <v>05</v>
      </c>
      <c r="N6111" t="s">
        <v>12</v>
      </c>
    </row>
    <row r="6112" spans="1:14" x14ac:dyDescent="0.25">
      <c r="A6112">
        <v>20160513</v>
      </c>
      <c r="B6112" t="str">
        <f>"063460"</f>
        <v>063460</v>
      </c>
      <c r="C6112" t="str">
        <f>"28820"</f>
        <v>28820</v>
      </c>
      <c r="D6112" t="s">
        <v>2647</v>
      </c>
      <c r="E6112" s="3">
        <v>22.05</v>
      </c>
      <c r="F6112">
        <v>20160511</v>
      </c>
      <c r="G6112" t="s">
        <v>2648</v>
      </c>
      <c r="H6112" t="s">
        <v>4051</v>
      </c>
      <c r="I6112">
        <v>0</v>
      </c>
      <c r="J6112" t="s">
        <v>1709</v>
      </c>
      <c r="K6112" t="s">
        <v>2377</v>
      </c>
      <c r="L6112" t="s">
        <v>285</v>
      </c>
      <c r="M6112" t="str">
        <f t="shared" si="442"/>
        <v>05</v>
      </c>
      <c r="N6112" t="s">
        <v>12</v>
      </c>
    </row>
    <row r="6113" spans="1:14" x14ac:dyDescent="0.25">
      <c r="A6113">
        <v>20160513</v>
      </c>
      <c r="B6113" t="str">
        <f>"063461"</f>
        <v>063461</v>
      </c>
      <c r="C6113" t="str">
        <f>"29610"</f>
        <v>29610</v>
      </c>
      <c r="D6113" t="s">
        <v>1867</v>
      </c>
      <c r="E6113" s="3">
        <v>1877.52</v>
      </c>
      <c r="F6113">
        <v>20160511</v>
      </c>
      <c r="G6113" t="s">
        <v>2495</v>
      </c>
      <c r="H6113" t="s">
        <v>4246</v>
      </c>
      <c r="I6113">
        <v>0</v>
      </c>
      <c r="J6113" t="s">
        <v>1709</v>
      </c>
      <c r="K6113" t="s">
        <v>235</v>
      </c>
      <c r="L6113" t="s">
        <v>285</v>
      </c>
      <c r="M6113" t="str">
        <f t="shared" si="442"/>
        <v>05</v>
      </c>
      <c r="N6113" t="s">
        <v>12</v>
      </c>
    </row>
    <row r="6114" spans="1:14" x14ac:dyDescent="0.25">
      <c r="A6114">
        <v>20160513</v>
      </c>
      <c r="B6114" t="str">
        <f>"063464"</f>
        <v>063464</v>
      </c>
      <c r="C6114" t="str">
        <f>"33696"</f>
        <v>33696</v>
      </c>
      <c r="D6114" t="s">
        <v>5178</v>
      </c>
      <c r="E6114" s="3">
        <v>128.85</v>
      </c>
      <c r="F6114">
        <v>20160511</v>
      </c>
      <c r="G6114" t="s">
        <v>2659</v>
      </c>
      <c r="H6114" t="s">
        <v>5179</v>
      </c>
      <c r="I6114">
        <v>0</v>
      </c>
      <c r="J6114" t="s">
        <v>1709</v>
      </c>
      <c r="K6114" t="s">
        <v>95</v>
      </c>
      <c r="L6114" t="s">
        <v>285</v>
      </c>
      <c r="M6114" t="str">
        <f t="shared" si="442"/>
        <v>05</v>
      </c>
      <c r="N6114" t="s">
        <v>12</v>
      </c>
    </row>
    <row r="6115" spans="1:14" x14ac:dyDescent="0.25">
      <c r="A6115">
        <v>20160513</v>
      </c>
      <c r="B6115" t="str">
        <f>"063465"</f>
        <v>063465</v>
      </c>
      <c r="C6115" t="str">
        <f>"37597"</f>
        <v>37597</v>
      </c>
      <c r="D6115" t="s">
        <v>5180</v>
      </c>
      <c r="E6115" s="3">
        <v>3593.52</v>
      </c>
      <c r="F6115">
        <v>20160511</v>
      </c>
      <c r="G6115" t="s">
        <v>5181</v>
      </c>
      <c r="H6115" t="s">
        <v>5182</v>
      </c>
      <c r="I6115">
        <v>0</v>
      </c>
      <c r="J6115" t="s">
        <v>1709</v>
      </c>
      <c r="K6115" t="s">
        <v>290</v>
      </c>
      <c r="L6115" t="s">
        <v>285</v>
      </c>
      <c r="M6115" t="str">
        <f t="shared" si="442"/>
        <v>05</v>
      </c>
      <c r="N6115" t="s">
        <v>12</v>
      </c>
    </row>
    <row r="6116" spans="1:14" x14ac:dyDescent="0.25">
      <c r="A6116">
        <v>20160513</v>
      </c>
      <c r="B6116" t="str">
        <f>"063466"</f>
        <v>063466</v>
      </c>
      <c r="C6116" t="str">
        <f>"37597"</f>
        <v>37597</v>
      </c>
      <c r="D6116" t="s">
        <v>5180</v>
      </c>
      <c r="E6116" s="3">
        <v>634.79999999999995</v>
      </c>
      <c r="F6116">
        <v>20160511</v>
      </c>
      <c r="G6116" t="s">
        <v>5181</v>
      </c>
      <c r="H6116" t="s">
        <v>5182</v>
      </c>
      <c r="I6116">
        <v>0</v>
      </c>
      <c r="J6116" t="s">
        <v>1709</v>
      </c>
      <c r="K6116" t="s">
        <v>290</v>
      </c>
      <c r="L6116" t="s">
        <v>285</v>
      </c>
      <c r="M6116" t="str">
        <f t="shared" si="442"/>
        <v>05</v>
      </c>
      <c r="N6116" t="s">
        <v>12</v>
      </c>
    </row>
    <row r="6117" spans="1:14" x14ac:dyDescent="0.25">
      <c r="A6117">
        <v>20160513</v>
      </c>
      <c r="B6117" t="str">
        <f>"063467"</f>
        <v>063467</v>
      </c>
      <c r="C6117" t="str">
        <f>"37597"</f>
        <v>37597</v>
      </c>
      <c r="D6117" t="s">
        <v>5180</v>
      </c>
      <c r="E6117" s="3">
        <v>195.11</v>
      </c>
      <c r="F6117">
        <v>20160511</v>
      </c>
      <c r="G6117" t="s">
        <v>2105</v>
      </c>
      <c r="H6117" t="s">
        <v>5182</v>
      </c>
      <c r="I6117">
        <v>0</v>
      </c>
      <c r="J6117" t="s">
        <v>1709</v>
      </c>
      <c r="K6117" t="s">
        <v>1782</v>
      </c>
      <c r="L6117" t="s">
        <v>285</v>
      </c>
      <c r="M6117" t="str">
        <f t="shared" si="442"/>
        <v>05</v>
      </c>
      <c r="N6117" t="s">
        <v>12</v>
      </c>
    </row>
    <row r="6118" spans="1:14" x14ac:dyDescent="0.25">
      <c r="A6118">
        <v>20160513</v>
      </c>
      <c r="B6118" t="str">
        <f>"063468"</f>
        <v>063468</v>
      </c>
      <c r="C6118" t="str">
        <f>"37597"</f>
        <v>37597</v>
      </c>
      <c r="D6118" t="s">
        <v>5180</v>
      </c>
      <c r="E6118" s="3">
        <v>189.66</v>
      </c>
      <c r="F6118">
        <v>20160511</v>
      </c>
      <c r="G6118" t="s">
        <v>3139</v>
      </c>
      <c r="H6118" t="s">
        <v>5182</v>
      </c>
      <c r="I6118">
        <v>0</v>
      </c>
      <c r="J6118" t="s">
        <v>1709</v>
      </c>
      <c r="K6118" t="s">
        <v>1779</v>
      </c>
      <c r="L6118" t="s">
        <v>285</v>
      </c>
      <c r="M6118" t="str">
        <f t="shared" si="442"/>
        <v>05</v>
      </c>
      <c r="N6118" t="s">
        <v>12</v>
      </c>
    </row>
    <row r="6119" spans="1:14" x14ac:dyDescent="0.25">
      <c r="A6119">
        <v>20160513</v>
      </c>
      <c r="B6119" t="str">
        <f>"063468"</f>
        <v>063468</v>
      </c>
      <c r="C6119" t="str">
        <f>"37597"</f>
        <v>37597</v>
      </c>
      <c r="D6119" t="s">
        <v>5180</v>
      </c>
      <c r="E6119" s="3">
        <v>-189.66</v>
      </c>
      <c r="F6119">
        <v>20160601</v>
      </c>
      <c r="G6119" t="s">
        <v>3139</v>
      </c>
      <c r="H6119" t="s">
        <v>1746</v>
      </c>
      <c r="I6119">
        <v>0</v>
      </c>
      <c r="J6119" t="s">
        <v>1709</v>
      </c>
      <c r="K6119" t="s">
        <v>1779</v>
      </c>
      <c r="L6119" t="s">
        <v>17</v>
      </c>
      <c r="M6119" t="str">
        <f t="shared" si="442"/>
        <v>05</v>
      </c>
      <c r="N6119" t="s">
        <v>12</v>
      </c>
    </row>
    <row r="6120" spans="1:14" x14ac:dyDescent="0.25">
      <c r="A6120">
        <v>20160513</v>
      </c>
      <c r="B6120" t="str">
        <f>"063469"</f>
        <v>063469</v>
      </c>
      <c r="C6120" t="str">
        <f>"39572"</f>
        <v>39572</v>
      </c>
      <c r="D6120" t="s">
        <v>2112</v>
      </c>
      <c r="E6120" s="3">
        <v>80</v>
      </c>
      <c r="F6120">
        <v>20160511</v>
      </c>
      <c r="G6120" t="s">
        <v>2113</v>
      </c>
      <c r="H6120" t="s">
        <v>5183</v>
      </c>
      <c r="I6120">
        <v>0</v>
      </c>
      <c r="J6120" t="s">
        <v>1709</v>
      </c>
      <c r="K6120" t="s">
        <v>290</v>
      </c>
      <c r="L6120" t="s">
        <v>285</v>
      </c>
      <c r="M6120" t="str">
        <f t="shared" si="442"/>
        <v>05</v>
      </c>
      <c r="N6120" t="s">
        <v>12</v>
      </c>
    </row>
    <row r="6121" spans="1:14" x14ac:dyDescent="0.25">
      <c r="A6121">
        <v>20160513</v>
      </c>
      <c r="B6121" t="str">
        <f>"063469"</f>
        <v>063469</v>
      </c>
      <c r="C6121" t="str">
        <f>"39572"</f>
        <v>39572</v>
      </c>
      <c r="D6121" t="s">
        <v>2112</v>
      </c>
      <c r="E6121" s="3">
        <v>120</v>
      </c>
      <c r="F6121">
        <v>20160511</v>
      </c>
      <c r="G6121" t="s">
        <v>2113</v>
      </c>
      <c r="H6121" t="s">
        <v>5184</v>
      </c>
      <c r="I6121">
        <v>0</v>
      </c>
      <c r="J6121" t="s">
        <v>1709</v>
      </c>
      <c r="K6121" t="s">
        <v>290</v>
      </c>
      <c r="L6121" t="s">
        <v>285</v>
      </c>
      <c r="M6121" t="str">
        <f t="shared" si="442"/>
        <v>05</v>
      </c>
      <c r="N6121" t="s">
        <v>12</v>
      </c>
    </row>
    <row r="6122" spans="1:14" x14ac:dyDescent="0.25">
      <c r="A6122">
        <v>20160513</v>
      </c>
      <c r="B6122" t="str">
        <f>"063469"</f>
        <v>063469</v>
      </c>
      <c r="C6122" t="str">
        <f>"39572"</f>
        <v>39572</v>
      </c>
      <c r="D6122" t="s">
        <v>2112</v>
      </c>
      <c r="E6122" s="3">
        <v>50</v>
      </c>
      <c r="F6122">
        <v>20160511</v>
      </c>
      <c r="G6122" t="s">
        <v>2113</v>
      </c>
      <c r="H6122" t="s">
        <v>5185</v>
      </c>
      <c r="I6122">
        <v>0</v>
      </c>
      <c r="J6122" t="s">
        <v>1709</v>
      </c>
      <c r="K6122" t="s">
        <v>290</v>
      </c>
      <c r="L6122" t="s">
        <v>285</v>
      </c>
      <c r="M6122" t="str">
        <f t="shared" si="442"/>
        <v>05</v>
      </c>
      <c r="N6122" t="s">
        <v>12</v>
      </c>
    </row>
    <row r="6123" spans="1:14" x14ac:dyDescent="0.25">
      <c r="A6123">
        <v>20160513</v>
      </c>
      <c r="B6123" t="str">
        <f>"063470"</f>
        <v>063470</v>
      </c>
      <c r="C6123" t="str">
        <f>"42194"</f>
        <v>42194</v>
      </c>
      <c r="D6123" t="s">
        <v>1874</v>
      </c>
      <c r="E6123" s="3">
        <v>73818.7</v>
      </c>
      <c r="F6123">
        <v>20160511</v>
      </c>
      <c r="G6123" t="s">
        <v>2890</v>
      </c>
      <c r="H6123" t="s">
        <v>5186</v>
      </c>
      <c r="I6123">
        <v>0</v>
      </c>
      <c r="J6123" t="s">
        <v>1709</v>
      </c>
      <c r="K6123" t="s">
        <v>1861</v>
      </c>
      <c r="L6123" t="s">
        <v>285</v>
      </c>
      <c r="M6123" t="str">
        <f t="shared" si="442"/>
        <v>05</v>
      </c>
      <c r="N6123" t="s">
        <v>12</v>
      </c>
    </row>
    <row r="6124" spans="1:14" x14ac:dyDescent="0.25">
      <c r="A6124">
        <v>20160513</v>
      </c>
      <c r="B6124" t="str">
        <f>"063471"</f>
        <v>063471</v>
      </c>
      <c r="C6124" t="str">
        <f>"44450"</f>
        <v>44450</v>
      </c>
      <c r="D6124" t="s">
        <v>1989</v>
      </c>
      <c r="E6124" s="3">
        <v>225</v>
      </c>
      <c r="F6124">
        <v>20160511</v>
      </c>
      <c r="G6124" t="s">
        <v>2894</v>
      </c>
      <c r="H6124" t="s">
        <v>5187</v>
      </c>
      <c r="I6124">
        <v>0</v>
      </c>
      <c r="J6124" t="s">
        <v>1709</v>
      </c>
      <c r="K6124" t="s">
        <v>290</v>
      </c>
      <c r="L6124" t="s">
        <v>285</v>
      </c>
      <c r="M6124" t="str">
        <f t="shared" si="442"/>
        <v>05</v>
      </c>
      <c r="N6124" t="s">
        <v>12</v>
      </c>
    </row>
    <row r="6125" spans="1:14" x14ac:dyDescent="0.25">
      <c r="A6125">
        <v>20160513</v>
      </c>
      <c r="B6125" t="str">
        <f>"063471"</f>
        <v>063471</v>
      </c>
      <c r="C6125" t="str">
        <f>"44450"</f>
        <v>44450</v>
      </c>
      <c r="D6125" t="s">
        <v>1989</v>
      </c>
      <c r="E6125" s="3">
        <v>112.5</v>
      </c>
      <c r="F6125">
        <v>20160511</v>
      </c>
      <c r="G6125" t="s">
        <v>2894</v>
      </c>
      <c r="H6125" t="s">
        <v>5188</v>
      </c>
      <c r="I6125">
        <v>0</v>
      </c>
      <c r="J6125" t="s">
        <v>1709</v>
      </c>
      <c r="K6125" t="s">
        <v>290</v>
      </c>
      <c r="L6125" t="s">
        <v>285</v>
      </c>
      <c r="M6125" t="str">
        <f t="shared" si="442"/>
        <v>05</v>
      </c>
      <c r="N6125" t="s">
        <v>12</v>
      </c>
    </row>
    <row r="6126" spans="1:14" x14ac:dyDescent="0.25">
      <c r="A6126">
        <v>20160513</v>
      </c>
      <c r="B6126" t="str">
        <f>"063471"</f>
        <v>063471</v>
      </c>
      <c r="C6126" t="str">
        <f>"44450"</f>
        <v>44450</v>
      </c>
      <c r="D6126" t="s">
        <v>1989</v>
      </c>
      <c r="E6126" s="3">
        <v>225</v>
      </c>
      <c r="F6126">
        <v>20160511</v>
      </c>
      <c r="G6126" t="s">
        <v>5189</v>
      </c>
      <c r="H6126" t="s">
        <v>5190</v>
      </c>
      <c r="I6126">
        <v>0</v>
      </c>
      <c r="J6126" t="s">
        <v>1709</v>
      </c>
      <c r="K6126" t="s">
        <v>1558</v>
      </c>
      <c r="L6126" t="s">
        <v>285</v>
      </c>
      <c r="M6126" t="str">
        <f t="shared" si="442"/>
        <v>05</v>
      </c>
      <c r="N6126" t="s">
        <v>12</v>
      </c>
    </row>
    <row r="6127" spans="1:14" x14ac:dyDescent="0.25">
      <c r="A6127">
        <v>20160513</v>
      </c>
      <c r="B6127" t="str">
        <f>"063471"</f>
        <v>063471</v>
      </c>
      <c r="C6127" t="str">
        <f>"44450"</f>
        <v>44450</v>
      </c>
      <c r="D6127" t="s">
        <v>1989</v>
      </c>
      <c r="E6127" s="3">
        <v>225</v>
      </c>
      <c r="F6127">
        <v>20160511</v>
      </c>
      <c r="G6127" t="s">
        <v>2896</v>
      </c>
      <c r="H6127" t="s">
        <v>5191</v>
      </c>
      <c r="I6127">
        <v>0</v>
      </c>
      <c r="J6127" t="s">
        <v>1709</v>
      </c>
      <c r="K6127" t="s">
        <v>95</v>
      </c>
      <c r="L6127" t="s">
        <v>285</v>
      </c>
      <c r="M6127" t="str">
        <f t="shared" si="442"/>
        <v>05</v>
      </c>
      <c r="N6127" t="s">
        <v>12</v>
      </c>
    </row>
    <row r="6128" spans="1:14" x14ac:dyDescent="0.25">
      <c r="A6128">
        <v>20160513</v>
      </c>
      <c r="B6128" t="str">
        <f>"063471"</f>
        <v>063471</v>
      </c>
      <c r="C6128" t="str">
        <f>"44450"</f>
        <v>44450</v>
      </c>
      <c r="D6128" t="s">
        <v>1989</v>
      </c>
      <c r="E6128" s="3">
        <v>112.5</v>
      </c>
      <c r="F6128">
        <v>20160511</v>
      </c>
      <c r="G6128" t="s">
        <v>2896</v>
      </c>
      <c r="H6128" t="s">
        <v>5192</v>
      </c>
      <c r="I6128">
        <v>0</v>
      </c>
      <c r="J6128" t="s">
        <v>1709</v>
      </c>
      <c r="K6128" t="s">
        <v>95</v>
      </c>
      <c r="L6128" t="s">
        <v>285</v>
      </c>
      <c r="M6128" t="str">
        <f t="shared" si="442"/>
        <v>05</v>
      </c>
      <c r="N6128" t="s">
        <v>12</v>
      </c>
    </row>
    <row r="6129" spans="1:14" x14ac:dyDescent="0.25">
      <c r="A6129">
        <v>20160513</v>
      </c>
      <c r="B6129" t="str">
        <f>"063472"</f>
        <v>063472</v>
      </c>
      <c r="C6129" t="str">
        <f>"45492"</f>
        <v>45492</v>
      </c>
      <c r="D6129" t="s">
        <v>3241</v>
      </c>
      <c r="E6129" s="3">
        <v>50.6</v>
      </c>
      <c r="F6129">
        <v>20160511</v>
      </c>
      <c r="G6129" t="s">
        <v>1859</v>
      </c>
      <c r="H6129" t="s">
        <v>5193</v>
      </c>
      <c r="I6129">
        <v>0</v>
      </c>
      <c r="J6129" t="s">
        <v>1709</v>
      </c>
      <c r="K6129" t="s">
        <v>1861</v>
      </c>
      <c r="L6129" t="s">
        <v>285</v>
      </c>
      <c r="M6129" t="str">
        <f t="shared" si="442"/>
        <v>05</v>
      </c>
      <c r="N6129" t="s">
        <v>12</v>
      </c>
    </row>
    <row r="6130" spans="1:14" x14ac:dyDescent="0.25">
      <c r="A6130">
        <v>20160513</v>
      </c>
      <c r="B6130" t="str">
        <f t="shared" ref="B6130:B6135" si="445">"063473"</f>
        <v>063473</v>
      </c>
      <c r="C6130" t="str">
        <f t="shared" ref="C6130:C6135" si="446">"45496"</f>
        <v>45496</v>
      </c>
      <c r="D6130" t="s">
        <v>2327</v>
      </c>
      <c r="E6130" s="3">
        <v>129.04</v>
      </c>
      <c r="F6130">
        <v>20160511</v>
      </c>
      <c r="G6130" t="s">
        <v>2232</v>
      </c>
      <c r="H6130" t="s">
        <v>2169</v>
      </c>
      <c r="I6130">
        <v>0</v>
      </c>
      <c r="J6130" t="s">
        <v>1709</v>
      </c>
      <c r="K6130" t="s">
        <v>290</v>
      </c>
      <c r="L6130" t="s">
        <v>285</v>
      </c>
      <c r="M6130" t="str">
        <f t="shared" si="442"/>
        <v>05</v>
      </c>
      <c r="N6130" t="s">
        <v>12</v>
      </c>
    </row>
    <row r="6131" spans="1:14" x14ac:dyDescent="0.25">
      <c r="A6131">
        <v>20160513</v>
      </c>
      <c r="B6131" t="str">
        <f t="shared" si="445"/>
        <v>063473</v>
      </c>
      <c r="C6131" t="str">
        <f t="shared" si="446"/>
        <v>45496</v>
      </c>
      <c r="D6131" t="s">
        <v>2327</v>
      </c>
      <c r="E6131" s="3">
        <v>7.55</v>
      </c>
      <c r="F6131">
        <v>20160511</v>
      </c>
      <c r="G6131" t="s">
        <v>2232</v>
      </c>
      <c r="H6131" t="s">
        <v>5194</v>
      </c>
      <c r="I6131">
        <v>0</v>
      </c>
      <c r="J6131" t="s">
        <v>1709</v>
      </c>
      <c r="K6131" t="s">
        <v>290</v>
      </c>
      <c r="L6131" t="s">
        <v>285</v>
      </c>
      <c r="M6131" t="str">
        <f t="shared" si="442"/>
        <v>05</v>
      </c>
      <c r="N6131" t="s">
        <v>12</v>
      </c>
    </row>
    <row r="6132" spans="1:14" x14ac:dyDescent="0.25">
      <c r="A6132">
        <v>20160513</v>
      </c>
      <c r="B6132" t="str">
        <f t="shared" si="445"/>
        <v>063473</v>
      </c>
      <c r="C6132" t="str">
        <f t="shared" si="446"/>
        <v>45496</v>
      </c>
      <c r="D6132" t="s">
        <v>2327</v>
      </c>
      <c r="E6132" s="3">
        <v>21.19</v>
      </c>
      <c r="F6132">
        <v>20160511</v>
      </c>
      <c r="G6132" t="s">
        <v>2648</v>
      </c>
      <c r="H6132" t="s">
        <v>5195</v>
      </c>
      <c r="I6132">
        <v>0</v>
      </c>
      <c r="J6132" t="s">
        <v>1709</v>
      </c>
      <c r="K6132" t="s">
        <v>2377</v>
      </c>
      <c r="L6132" t="s">
        <v>285</v>
      </c>
      <c r="M6132" t="str">
        <f t="shared" si="442"/>
        <v>05</v>
      </c>
      <c r="N6132" t="s">
        <v>12</v>
      </c>
    </row>
    <row r="6133" spans="1:14" x14ac:dyDescent="0.25">
      <c r="A6133">
        <v>20160513</v>
      </c>
      <c r="B6133" t="str">
        <f t="shared" si="445"/>
        <v>063473</v>
      </c>
      <c r="C6133" t="str">
        <f t="shared" si="446"/>
        <v>45496</v>
      </c>
      <c r="D6133" t="s">
        <v>2327</v>
      </c>
      <c r="E6133" s="3">
        <v>17.829999999999998</v>
      </c>
      <c r="F6133">
        <v>20160511</v>
      </c>
      <c r="G6133" t="s">
        <v>2648</v>
      </c>
      <c r="H6133" t="s">
        <v>5196</v>
      </c>
      <c r="I6133">
        <v>0</v>
      </c>
      <c r="J6133" t="s">
        <v>1709</v>
      </c>
      <c r="K6133" t="s">
        <v>2377</v>
      </c>
      <c r="L6133" t="s">
        <v>285</v>
      </c>
      <c r="M6133" t="str">
        <f t="shared" si="442"/>
        <v>05</v>
      </c>
      <c r="N6133" t="s">
        <v>12</v>
      </c>
    </row>
    <row r="6134" spans="1:14" x14ac:dyDescent="0.25">
      <c r="A6134">
        <v>20160513</v>
      </c>
      <c r="B6134" t="str">
        <f t="shared" si="445"/>
        <v>063473</v>
      </c>
      <c r="C6134" t="str">
        <f t="shared" si="446"/>
        <v>45496</v>
      </c>
      <c r="D6134" t="s">
        <v>2327</v>
      </c>
      <c r="E6134" s="3">
        <v>26.19</v>
      </c>
      <c r="F6134">
        <v>20160511</v>
      </c>
      <c r="G6134" t="s">
        <v>2047</v>
      </c>
      <c r="H6134" t="s">
        <v>5197</v>
      </c>
      <c r="I6134">
        <v>0</v>
      </c>
      <c r="J6134" t="s">
        <v>1709</v>
      </c>
      <c r="K6134" t="s">
        <v>1882</v>
      </c>
      <c r="L6134" t="s">
        <v>285</v>
      </c>
      <c r="M6134" t="str">
        <f t="shared" si="442"/>
        <v>05</v>
      </c>
      <c r="N6134" t="s">
        <v>12</v>
      </c>
    </row>
    <row r="6135" spans="1:14" x14ac:dyDescent="0.25">
      <c r="A6135">
        <v>20160513</v>
      </c>
      <c r="B6135" t="str">
        <f t="shared" si="445"/>
        <v>063473</v>
      </c>
      <c r="C6135" t="str">
        <f t="shared" si="446"/>
        <v>45496</v>
      </c>
      <c r="D6135" t="s">
        <v>2327</v>
      </c>
      <c r="E6135" s="3">
        <v>33.869999999999997</v>
      </c>
      <c r="F6135">
        <v>20160511</v>
      </c>
      <c r="G6135" t="s">
        <v>2047</v>
      </c>
      <c r="H6135" t="s">
        <v>5198</v>
      </c>
      <c r="I6135">
        <v>0</v>
      </c>
      <c r="J6135" t="s">
        <v>1709</v>
      </c>
      <c r="K6135" t="s">
        <v>1882</v>
      </c>
      <c r="L6135" t="s">
        <v>285</v>
      </c>
      <c r="M6135" t="str">
        <f t="shared" si="442"/>
        <v>05</v>
      </c>
      <c r="N6135" t="s">
        <v>12</v>
      </c>
    </row>
    <row r="6136" spans="1:14" x14ac:dyDescent="0.25">
      <c r="A6136">
        <v>20160513</v>
      </c>
      <c r="B6136" t="str">
        <f>"063474"</f>
        <v>063474</v>
      </c>
      <c r="C6136" t="str">
        <f>"45850"</f>
        <v>45850</v>
      </c>
      <c r="D6136" t="s">
        <v>5199</v>
      </c>
      <c r="E6136" s="3">
        <v>129.75</v>
      </c>
      <c r="F6136">
        <v>20160511</v>
      </c>
      <c r="G6136" t="s">
        <v>2226</v>
      </c>
      <c r="H6136" t="s">
        <v>5200</v>
      </c>
      <c r="I6136">
        <v>0</v>
      </c>
      <c r="J6136" t="s">
        <v>1709</v>
      </c>
      <c r="K6136" t="s">
        <v>33</v>
      </c>
      <c r="L6136" t="s">
        <v>285</v>
      </c>
      <c r="M6136" t="str">
        <f t="shared" si="442"/>
        <v>05</v>
      </c>
      <c r="N6136" t="s">
        <v>12</v>
      </c>
    </row>
    <row r="6137" spans="1:14" x14ac:dyDescent="0.25">
      <c r="A6137">
        <v>20160513</v>
      </c>
      <c r="B6137" t="str">
        <f>"063474"</f>
        <v>063474</v>
      </c>
      <c r="C6137" t="str">
        <f>"45850"</f>
        <v>45850</v>
      </c>
      <c r="D6137" t="s">
        <v>5199</v>
      </c>
      <c r="E6137" s="3">
        <v>311.39999999999998</v>
      </c>
      <c r="F6137">
        <v>20160511</v>
      </c>
      <c r="G6137" t="s">
        <v>2100</v>
      </c>
      <c r="H6137" t="s">
        <v>5200</v>
      </c>
      <c r="I6137">
        <v>0</v>
      </c>
      <c r="J6137" t="s">
        <v>1709</v>
      </c>
      <c r="K6137" t="s">
        <v>33</v>
      </c>
      <c r="L6137" t="s">
        <v>285</v>
      </c>
      <c r="M6137" t="str">
        <f t="shared" si="442"/>
        <v>05</v>
      </c>
      <c r="N6137" t="s">
        <v>12</v>
      </c>
    </row>
    <row r="6138" spans="1:14" x14ac:dyDescent="0.25">
      <c r="A6138">
        <v>20160513</v>
      </c>
      <c r="B6138" t="str">
        <f>"063475"</f>
        <v>063475</v>
      </c>
      <c r="C6138" t="str">
        <f>"45855"</f>
        <v>45855</v>
      </c>
      <c r="D6138" t="s">
        <v>2546</v>
      </c>
      <c r="E6138" s="3">
        <v>53.76</v>
      </c>
      <c r="F6138">
        <v>20160511</v>
      </c>
      <c r="G6138" t="s">
        <v>2995</v>
      </c>
      <c r="H6138" t="s">
        <v>5201</v>
      </c>
      <c r="I6138">
        <v>0</v>
      </c>
      <c r="J6138" t="s">
        <v>1709</v>
      </c>
      <c r="K6138" t="s">
        <v>2194</v>
      </c>
      <c r="L6138" t="s">
        <v>285</v>
      </c>
      <c r="M6138" t="str">
        <f t="shared" si="442"/>
        <v>05</v>
      </c>
      <c r="N6138" t="s">
        <v>12</v>
      </c>
    </row>
    <row r="6139" spans="1:14" x14ac:dyDescent="0.25">
      <c r="A6139">
        <v>20160513</v>
      </c>
      <c r="B6139" t="str">
        <f>"063476"</f>
        <v>063476</v>
      </c>
      <c r="C6139" t="str">
        <f>"46025"</f>
        <v>46025</v>
      </c>
      <c r="D6139" t="s">
        <v>2676</v>
      </c>
      <c r="E6139" s="3">
        <v>432.5</v>
      </c>
      <c r="F6139">
        <v>20160511</v>
      </c>
      <c r="G6139" t="s">
        <v>3695</v>
      </c>
      <c r="H6139" s="1">
        <v>42370</v>
      </c>
      <c r="I6139">
        <v>0</v>
      </c>
      <c r="J6139" t="s">
        <v>1709</v>
      </c>
      <c r="K6139" t="s">
        <v>1775</v>
      </c>
      <c r="L6139" t="s">
        <v>285</v>
      </c>
      <c r="M6139" t="str">
        <f t="shared" si="442"/>
        <v>05</v>
      </c>
      <c r="N6139" t="s">
        <v>12</v>
      </c>
    </row>
    <row r="6140" spans="1:14" x14ac:dyDescent="0.25">
      <c r="A6140">
        <v>20160513</v>
      </c>
      <c r="B6140" t="str">
        <f>"063476"</f>
        <v>063476</v>
      </c>
      <c r="C6140" t="str">
        <f>"46025"</f>
        <v>46025</v>
      </c>
      <c r="D6140" t="s">
        <v>2676</v>
      </c>
      <c r="E6140" s="3">
        <v>531.25</v>
      </c>
      <c r="F6140">
        <v>20160511</v>
      </c>
      <c r="G6140" t="s">
        <v>3695</v>
      </c>
      <c r="H6140" s="1">
        <v>42401</v>
      </c>
      <c r="I6140">
        <v>0</v>
      </c>
      <c r="J6140" t="s">
        <v>1709</v>
      </c>
      <c r="K6140" t="s">
        <v>1775</v>
      </c>
      <c r="L6140" t="s">
        <v>285</v>
      </c>
      <c r="M6140" t="str">
        <f t="shared" si="442"/>
        <v>05</v>
      </c>
      <c r="N6140" t="s">
        <v>12</v>
      </c>
    </row>
    <row r="6141" spans="1:14" x14ac:dyDescent="0.25">
      <c r="A6141">
        <v>20160513</v>
      </c>
      <c r="B6141" t="str">
        <f>"063476"</f>
        <v>063476</v>
      </c>
      <c r="C6141" t="str">
        <f>"46025"</f>
        <v>46025</v>
      </c>
      <c r="D6141" t="s">
        <v>2676</v>
      </c>
      <c r="E6141" s="3">
        <v>757.5</v>
      </c>
      <c r="F6141">
        <v>20160511</v>
      </c>
      <c r="G6141" t="s">
        <v>3695</v>
      </c>
      <c r="H6141" s="1">
        <v>42430</v>
      </c>
      <c r="I6141">
        <v>0</v>
      </c>
      <c r="J6141" t="s">
        <v>1709</v>
      </c>
      <c r="K6141" t="s">
        <v>1775</v>
      </c>
      <c r="L6141" t="s">
        <v>285</v>
      </c>
      <c r="M6141" t="str">
        <f t="shared" si="442"/>
        <v>05</v>
      </c>
      <c r="N6141" t="s">
        <v>12</v>
      </c>
    </row>
    <row r="6142" spans="1:14" x14ac:dyDescent="0.25">
      <c r="A6142">
        <v>20160513</v>
      </c>
      <c r="B6142" t="str">
        <f>"063477"</f>
        <v>063477</v>
      </c>
      <c r="C6142" t="str">
        <f>"46398"</f>
        <v>46398</v>
      </c>
      <c r="D6142" t="s">
        <v>1994</v>
      </c>
      <c r="E6142" s="3">
        <v>9690.4</v>
      </c>
      <c r="F6142">
        <v>20160511</v>
      </c>
      <c r="G6142" t="s">
        <v>1995</v>
      </c>
      <c r="H6142" t="s">
        <v>5202</v>
      </c>
      <c r="I6142">
        <v>0</v>
      </c>
      <c r="J6142" t="s">
        <v>1709</v>
      </c>
      <c r="K6142" t="s">
        <v>235</v>
      </c>
      <c r="L6142" t="s">
        <v>285</v>
      </c>
      <c r="M6142" t="str">
        <f t="shared" si="442"/>
        <v>05</v>
      </c>
      <c r="N6142" t="s">
        <v>12</v>
      </c>
    </row>
    <row r="6143" spans="1:14" x14ac:dyDescent="0.25">
      <c r="A6143">
        <v>20160513</v>
      </c>
      <c r="B6143" t="str">
        <f>"063477"</f>
        <v>063477</v>
      </c>
      <c r="C6143" t="str">
        <f>"46398"</f>
        <v>46398</v>
      </c>
      <c r="D6143" t="s">
        <v>1994</v>
      </c>
      <c r="E6143" s="3">
        <v>1820</v>
      </c>
      <c r="F6143">
        <v>20160511</v>
      </c>
      <c r="G6143" t="s">
        <v>1995</v>
      </c>
      <c r="H6143" t="s">
        <v>5203</v>
      </c>
      <c r="I6143">
        <v>0</v>
      </c>
      <c r="J6143" t="s">
        <v>1709</v>
      </c>
      <c r="K6143" t="s">
        <v>235</v>
      </c>
      <c r="L6143" t="s">
        <v>285</v>
      </c>
      <c r="M6143" t="str">
        <f t="shared" si="442"/>
        <v>05</v>
      </c>
      <c r="N6143" t="s">
        <v>12</v>
      </c>
    </row>
    <row r="6144" spans="1:14" x14ac:dyDescent="0.25">
      <c r="A6144">
        <v>20160513</v>
      </c>
      <c r="B6144" t="str">
        <f>"063477"</f>
        <v>063477</v>
      </c>
      <c r="C6144" t="str">
        <f>"46398"</f>
        <v>46398</v>
      </c>
      <c r="D6144" t="s">
        <v>1994</v>
      </c>
      <c r="E6144" s="3">
        <v>435.62</v>
      </c>
      <c r="F6144">
        <v>20160511</v>
      </c>
      <c r="G6144" t="s">
        <v>1998</v>
      </c>
      <c r="H6144" t="s">
        <v>5202</v>
      </c>
      <c r="I6144">
        <v>0</v>
      </c>
      <c r="J6144" t="s">
        <v>1709</v>
      </c>
      <c r="K6144" t="s">
        <v>1942</v>
      </c>
      <c r="L6144" t="s">
        <v>285</v>
      </c>
      <c r="M6144" t="str">
        <f t="shared" si="442"/>
        <v>05</v>
      </c>
      <c r="N6144" t="s">
        <v>12</v>
      </c>
    </row>
    <row r="6145" spans="1:14" x14ac:dyDescent="0.25">
      <c r="A6145">
        <v>20160513</v>
      </c>
      <c r="B6145" t="str">
        <f>"063478"</f>
        <v>063478</v>
      </c>
      <c r="C6145" t="str">
        <f>"46351"</f>
        <v>46351</v>
      </c>
      <c r="D6145" t="s">
        <v>2518</v>
      </c>
      <c r="E6145" s="3">
        <v>10363.57</v>
      </c>
      <c r="F6145">
        <v>20160511</v>
      </c>
      <c r="G6145" t="s">
        <v>1995</v>
      </c>
      <c r="H6145" t="s">
        <v>5204</v>
      </c>
      <c r="I6145">
        <v>0</v>
      </c>
      <c r="J6145" t="s">
        <v>1709</v>
      </c>
      <c r="K6145" t="s">
        <v>235</v>
      </c>
      <c r="L6145" t="s">
        <v>285</v>
      </c>
      <c r="M6145" t="str">
        <f t="shared" si="442"/>
        <v>05</v>
      </c>
      <c r="N6145" t="s">
        <v>12</v>
      </c>
    </row>
    <row r="6146" spans="1:14" x14ac:dyDescent="0.25">
      <c r="A6146">
        <v>20160513</v>
      </c>
      <c r="B6146" t="str">
        <f>"063478"</f>
        <v>063478</v>
      </c>
      <c r="C6146" t="str">
        <f>"46351"</f>
        <v>46351</v>
      </c>
      <c r="D6146" t="s">
        <v>2518</v>
      </c>
      <c r="E6146" s="3">
        <v>4248.04</v>
      </c>
      <c r="F6146">
        <v>20160511</v>
      </c>
      <c r="G6146" t="s">
        <v>2523</v>
      </c>
      <c r="H6146" t="s">
        <v>5204</v>
      </c>
      <c r="I6146">
        <v>0</v>
      </c>
      <c r="J6146" t="s">
        <v>1709</v>
      </c>
      <c r="K6146" t="s">
        <v>1942</v>
      </c>
      <c r="L6146" t="s">
        <v>285</v>
      </c>
      <c r="M6146" t="str">
        <f t="shared" si="442"/>
        <v>05</v>
      </c>
      <c r="N6146" t="s">
        <v>12</v>
      </c>
    </row>
    <row r="6147" spans="1:14" x14ac:dyDescent="0.25">
      <c r="A6147">
        <v>20160513</v>
      </c>
      <c r="B6147" t="str">
        <f>"063479"</f>
        <v>063479</v>
      </c>
      <c r="C6147" t="str">
        <f>"27100"</f>
        <v>27100</v>
      </c>
      <c r="D6147" t="s">
        <v>5205</v>
      </c>
      <c r="E6147" s="3">
        <v>32.5</v>
      </c>
      <c r="F6147">
        <v>20160511</v>
      </c>
      <c r="G6147" t="s">
        <v>2714</v>
      </c>
      <c r="H6147" t="s">
        <v>5206</v>
      </c>
      <c r="I6147">
        <v>0</v>
      </c>
      <c r="J6147" t="s">
        <v>1709</v>
      </c>
      <c r="K6147" t="s">
        <v>33</v>
      </c>
      <c r="L6147" t="s">
        <v>285</v>
      </c>
      <c r="M6147" t="str">
        <f t="shared" si="442"/>
        <v>05</v>
      </c>
      <c r="N6147" t="s">
        <v>12</v>
      </c>
    </row>
    <row r="6148" spans="1:14" x14ac:dyDescent="0.25">
      <c r="A6148">
        <v>20160513</v>
      </c>
      <c r="B6148" t="str">
        <f>"063480"</f>
        <v>063480</v>
      </c>
      <c r="C6148" t="str">
        <f>"49898"</f>
        <v>49898</v>
      </c>
      <c r="D6148" t="s">
        <v>2342</v>
      </c>
      <c r="E6148" s="3">
        <v>274.22000000000003</v>
      </c>
      <c r="F6148">
        <v>20160511</v>
      </c>
      <c r="G6148" t="s">
        <v>1859</v>
      </c>
      <c r="H6148" t="s">
        <v>5207</v>
      </c>
      <c r="I6148">
        <v>0</v>
      </c>
      <c r="J6148" t="s">
        <v>1709</v>
      </c>
      <c r="K6148" t="s">
        <v>1861</v>
      </c>
      <c r="L6148" t="s">
        <v>285</v>
      </c>
      <c r="M6148" t="str">
        <f t="shared" si="442"/>
        <v>05</v>
      </c>
      <c r="N6148" t="s">
        <v>12</v>
      </c>
    </row>
    <row r="6149" spans="1:14" x14ac:dyDescent="0.25">
      <c r="A6149">
        <v>20160513</v>
      </c>
      <c r="B6149" t="str">
        <f>"063481"</f>
        <v>063481</v>
      </c>
      <c r="C6149" t="str">
        <f>"50453"</f>
        <v>50453</v>
      </c>
      <c r="D6149" t="s">
        <v>1577</v>
      </c>
      <c r="E6149" s="3">
        <v>19.920000000000002</v>
      </c>
      <c r="F6149">
        <v>20160511</v>
      </c>
      <c r="G6149" t="s">
        <v>1933</v>
      </c>
      <c r="H6149" t="s">
        <v>5208</v>
      </c>
      <c r="I6149">
        <v>0</v>
      </c>
      <c r="J6149" t="s">
        <v>1709</v>
      </c>
      <c r="K6149" t="s">
        <v>1558</v>
      </c>
      <c r="L6149" t="s">
        <v>285</v>
      </c>
      <c r="M6149" t="str">
        <f t="shared" si="442"/>
        <v>05</v>
      </c>
      <c r="N6149" t="s">
        <v>12</v>
      </c>
    </row>
    <row r="6150" spans="1:14" x14ac:dyDescent="0.25">
      <c r="A6150">
        <v>20160513</v>
      </c>
      <c r="B6150" t="str">
        <f>"063482"</f>
        <v>063482</v>
      </c>
      <c r="C6150" t="str">
        <f>"50476"</f>
        <v>50476</v>
      </c>
      <c r="D6150" t="s">
        <v>4814</v>
      </c>
      <c r="E6150" s="3">
        <v>300</v>
      </c>
      <c r="F6150">
        <v>20160511</v>
      </c>
      <c r="G6150" t="s">
        <v>1788</v>
      </c>
      <c r="H6150" t="s">
        <v>5209</v>
      </c>
      <c r="I6150">
        <v>0</v>
      </c>
      <c r="J6150" t="s">
        <v>1709</v>
      </c>
      <c r="K6150" t="s">
        <v>1643</v>
      </c>
      <c r="L6150" t="s">
        <v>285</v>
      </c>
      <c r="M6150" t="str">
        <f t="shared" si="442"/>
        <v>05</v>
      </c>
      <c r="N6150" t="s">
        <v>12</v>
      </c>
    </row>
    <row r="6151" spans="1:14" x14ac:dyDescent="0.25">
      <c r="A6151">
        <v>20160513</v>
      </c>
      <c r="B6151" t="str">
        <f>"063483"</f>
        <v>063483</v>
      </c>
      <c r="C6151" t="str">
        <f>"56013"</f>
        <v>56013</v>
      </c>
      <c r="D6151" t="s">
        <v>2355</v>
      </c>
      <c r="E6151" s="3">
        <v>297</v>
      </c>
      <c r="F6151">
        <v>20160511</v>
      </c>
      <c r="G6151" t="s">
        <v>2279</v>
      </c>
      <c r="H6151" t="s">
        <v>5210</v>
      </c>
      <c r="I6151">
        <v>0</v>
      </c>
      <c r="J6151" t="s">
        <v>1709</v>
      </c>
      <c r="K6151" t="s">
        <v>1861</v>
      </c>
      <c r="L6151" t="s">
        <v>285</v>
      </c>
      <c r="M6151" t="str">
        <f t="shared" si="442"/>
        <v>05</v>
      </c>
      <c r="N6151" t="s">
        <v>12</v>
      </c>
    </row>
    <row r="6152" spans="1:14" x14ac:dyDescent="0.25">
      <c r="A6152">
        <v>20160513</v>
      </c>
      <c r="B6152" t="str">
        <f>"063483"</f>
        <v>063483</v>
      </c>
      <c r="C6152" t="str">
        <f>"56013"</f>
        <v>56013</v>
      </c>
      <c r="D6152" t="s">
        <v>2355</v>
      </c>
      <c r="E6152" s="3">
        <v>320</v>
      </c>
      <c r="F6152">
        <v>20160511</v>
      </c>
      <c r="G6152" t="s">
        <v>2356</v>
      </c>
      <c r="H6152" t="s">
        <v>5211</v>
      </c>
      <c r="I6152">
        <v>0</v>
      </c>
      <c r="J6152" t="s">
        <v>1709</v>
      </c>
      <c r="K6152" t="s">
        <v>1861</v>
      </c>
      <c r="L6152" t="s">
        <v>285</v>
      </c>
      <c r="M6152" t="str">
        <f t="shared" si="442"/>
        <v>05</v>
      </c>
      <c r="N6152" t="s">
        <v>12</v>
      </c>
    </row>
    <row r="6153" spans="1:14" x14ac:dyDescent="0.25">
      <c r="A6153">
        <v>20160513</v>
      </c>
      <c r="B6153" t="str">
        <f>"063484"</f>
        <v>063484</v>
      </c>
      <c r="C6153" t="str">
        <f>"58204"</f>
        <v>58204</v>
      </c>
      <c r="D6153" t="s">
        <v>1816</v>
      </c>
      <c r="E6153" s="3">
        <v>38.950000000000003</v>
      </c>
      <c r="F6153">
        <v>20160512</v>
      </c>
      <c r="G6153" t="s">
        <v>2124</v>
      </c>
      <c r="H6153" t="s">
        <v>5212</v>
      </c>
      <c r="I6153">
        <v>0</v>
      </c>
      <c r="J6153" t="s">
        <v>1709</v>
      </c>
      <c r="K6153" t="s">
        <v>290</v>
      </c>
      <c r="L6153" t="s">
        <v>285</v>
      </c>
      <c r="M6153" t="str">
        <f t="shared" si="442"/>
        <v>05</v>
      </c>
      <c r="N6153" t="s">
        <v>12</v>
      </c>
    </row>
    <row r="6154" spans="1:14" x14ac:dyDescent="0.25">
      <c r="A6154">
        <v>20160513</v>
      </c>
      <c r="B6154" t="str">
        <f>"063484"</f>
        <v>063484</v>
      </c>
      <c r="C6154" t="str">
        <f>"58204"</f>
        <v>58204</v>
      </c>
      <c r="D6154" t="s">
        <v>1816</v>
      </c>
      <c r="E6154" s="3">
        <v>37.83</v>
      </c>
      <c r="F6154">
        <v>20160512</v>
      </c>
      <c r="G6154" t="s">
        <v>2317</v>
      </c>
      <c r="H6154" t="s">
        <v>5213</v>
      </c>
      <c r="I6154">
        <v>0</v>
      </c>
      <c r="J6154" t="s">
        <v>1709</v>
      </c>
      <c r="K6154" t="s">
        <v>290</v>
      </c>
      <c r="L6154" t="s">
        <v>285</v>
      </c>
      <c r="M6154" t="str">
        <f t="shared" si="442"/>
        <v>05</v>
      </c>
      <c r="N6154" t="s">
        <v>12</v>
      </c>
    </row>
    <row r="6155" spans="1:14" x14ac:dyDescent="0.25">
      <c r="A6155">
        <v>20160513</v>
      </c>
      <c r="B6155" t="str">
        <f>"063484"</f>
        <v>063484</v>
      </c>
      <c r="C6155" t="str">
        <f>"58204"</f>
        <v>58204</v>
      </c>
      <c r="D6155" t="s">
        <v>1816</v>
      </c>
      <c r="E6155" s="3">
        <v>154.38999999999999</v>
      </c>
      <c r="F6155">
        <v>20160512</v>
      </c>
      <c r="G6155" t="s">
        <v>2317</v>
      </c>
      <c r="H6155" t="s">
        <v>2563</v>
      </c>
      <c r="I6155">
        <v>0</v>
      </c>
      <c r="J6155" t="s">
        <v>1709</v>
      </c>
      <c r="K6155" t="s">
        <v>290</v>
      </c>
      <c r="L6155" t="s">
        <v>285</v>
      </c>
      <c r="M6155" t="str">
        <f t="shared" ref="M6155:M6218" si="447">"05"</f>
        <v>05</v>
      </c>
      <c r="N6155" t="s">
        <v>12</v>
      </c>
    </row>
    <row r="6156" spans="1:14" x14ac:dyDescent="0.25">
      <c r="A6156">
        <v>20160513</v>
      </c>
      <c r="B6156" t="str">
        <f>"063484"</f>
        <v>063484</v>
      </c>
      <c r="C6156" t="str">
        <f>"58204"</f>
        <v>58204</v>
      </c>
      <c r="D6156" t="s">
        <v>1816</v>
      </c>
      <c r="E6156" s="3">
        <v>22.61</v>
      </c>
      <c r="F6156">
        <v>20160512</v>
      </c>
      <c r="G6156" t="s">
        <v>2133</v>
      </c>
      <c r="H6156" t="s">
        <v>5214</v>
      </c>
      <c r="I6156">
        <v>0</v>
      </c>
      <c r="J6156" t="s">
        <v>1709</v>
      </c>
      <c r="K6156" t="s">
        <v>290</v>
      </c>
      <c r="L6156" t="s">
        <v>285</v>
      </c>
      <c r="M6156" t="str">
        <f t="shared" si="447"/>
        <v>05</v>
      </c>
      <c r="N6156" t="s">
        <v>12</v>
      </c>
    </row>
    <row r="6157" spans="1:14" x14ac:dyDescent="0.25">
      <c r="A6157">
        <v>20160513</v>
      </c>
      <c r="B6157" t="str">
        <f>"063485"</f>
        <v>063485</v>
      </c>
      <c r="C6157" t="str">
        <f>"58927"</f>
        <v>58927</v>
      </c>
      <c r="D6157" t="s">
        <v>1899</v>
      </c>
      <c r="E6157" s="3">
        <v>150</v>
      </c>
      <c r="F6157">
        <v>20160512</v>
      </c>
      <c r="G6157" t="s">
        <v>2699</v>
      </c>
      <c r="H6157" t="s">
        <v>1901</v>
      </c>
      <c r="I6157">
        <v>0</v>
      </c>
      <c r="J6157" t="s">
        <v>1709</v>
      </c>
      <c r="K6157" t="s">
        <v>1856</v>
      </c>
      <c r="L6157" t="s">
        <v>285</v>
      </c>
      <c r="M6157" t="str">
        <f t="shared" si="447"/>
        <v>05</v>
      </c>
      <c r="N6157" t="s">
        <v>12</v>
      </c>
    </row>
    <row r="6158" spans="1:14" x14ac:dyDescent="0.25">
      <c r="A6158">
        <v>20160513</v>
      </c>
      <c r="B6158" t="str">
        <f>"063486"</f>
        <v>063486</v>
      </c>
      <c r="C6158" t="str">
        <f>"57311"</f>
        <v>57311</v>
      </c>
      <c r="D6158" t="s">
        <v>2700</v>
      </c>
      <c r="E6158" s="3">
        <v>373</v>
      </c>
      <c r="F6158">
        <v>20160512</v>
      </c>
      <c r="G6158" t="s">
        <v>2762</v>
      </c>
      <c r="H6158" t="s">
        <v>5215</v>
      </c>
      <c r="I6158">
        <v>0</v>
      </c>
      <c r="J6158" t="s">
        <v>1709</v>
      </c>
      <c r="K6158" t="s">
        <v>2764</v>
      </c>
      <c r="L6158" t="s">
        <v>285</v>
      </c>
      <c r="M6158" t="str">
        <f t="shared" si="447"/>
        <v>05</v>
      </c>
      <c r="N6158" t="s">
        <v>12</v>
      </c>
    </row>
    <row r="6159" spans="1:14" x14ac:dyDescent="0.25">
      <c r="A6159">
        <v>20160513</v>
      </c>
      <c r="B6159" t="str">
        <f>"063487"</f>
        <v>063487</v>
      </c>
      <c r="C6159" t="str">
        <f>"57311"</f>
        <v>57311</v>
      </c>
      <c r="D6159" t="s">
        <v>2700</v>
      </c>
      <c r="E6159" s="3">
        <v>237</v>
      </c>
      <c r="F6159">
        <v>20160512</v>
      </c>
      <c r="G6159" t="s">
        <v>2565</v>
      </c>
      <c r="H6159" t="s">
        <v>5165</v>
      </c>
      <c r="I6159">
        <v>0</v>
      </c>
      <c r="J6159" t="s">
        <v>1709</v>
      </c>
      <c r="K6159" t="s">
        <v>1558</v>
      </c>
      <c r="L6159" t="s">
        <v>285</v>
      </c>
      <c r="M6159" t="str">
        <f t="shared" si="447"/>
        <v>05</v>
      </c>
      <c r="N6159" t="s">
        <v>12</v>
      </c>
    </row>
    <row r="6160" spans="1:14" x14ac:dyDescent="0.25">
      <c r="A6160">
        <v>20160513</v>
      </c>
      <c r="B6160" t="str">
        <f>"063488"</f>
        <v>063488</v>
      </c>
      <c r="C6160" t="str">
        <f>"59097"</f>
        <v>59097</v>
      </c>
      <c r="D6160" t="s">
        <v>1755</v>
      </c>
      <c r="E6160" s="3">
        <v>1380</v>
      </c>
      <c r="F6160">
        <v>20160512</v>
      </c>
      <c r="G6160" t="s">
        <v>5181</v>
      </c>
      <c r="H6160" t="s">
        <v>5182</v>
      </c>
      <c r="I6160">
        <v>0</v>
      </c>
      <c r="J6160" t="s">
        <v>1709</v>
      </c>
      <c r="K6160" t="s">
        <v>290</v>
      </c>
      <c r="L6160" t="s">
        <v>285</v>
      </c>
      <c r="M6160" t="str">
        <f t="shared" si="447"/>
        <v>05</v>
      </c>
      <c r="N6160" t="s">
        <v>12</v>
      </c>
    </row>
    <row r="6161" spans="1:14" x14ac:dyDescent="0.25">
      <c r="A6161">
        <v>20160513</v>
      </c>
      <c r="B6161" t="str">
        <f>"063489"</f>
        <v>063489</v>
      </c>
      <c r="C6161" t="str">
        <f>"60070"</f>
        <v>60070</v>
      </c>
      <c r="D6161" t="s">
        <v>5216</v>
      </c>
      <c r="E6161" s="3">
        <v>24.99</v>
      </c>
      <c r="F6161">
        <v>20160512</v>
      </c>
      <c r="G6161" t="s">
        <v>2133</v>
      </c>
      <c r="H6161" t="s">
        <v>5217</v>
      </c>
      <c r="I6161">
        <v>0</v>
      </c>
      <c r="J6161" t="s">
        <v>1709</v>
      </c>
      <c r="K6161" t="s">
        <v>290</v>
      </c>
      <c r="L6161" t="s">
        <v>285</v>
      </c>
      <c r="M6161" t="str">
        <f t="shared" si="447"/>
        <v>05</v>
      </c>
      <c r="N6161" t="s">
        <v>12</v>
      </c>
    </row>
    <row r="6162" spans="1:14" x14ac:dyDescent="0.25">
      <c r="A6162">
        <v>20160513</v>
      </c>
      <c r="B6162" t="str">
        <f>"063490"</f>
        <v>063490</v>
      </c>
      <c r="C6162" t="str">
        <f>"60849"</f>
        <v>60849</v>
      </c>
      <c r="D6162" t="s">
        <v>3723</v>
      </c>
      <c r="E6162" s="3">
        <v>259.98</v>
      </c>
      <c r="F6162">
        <v>20160512</v>
      </c>
      <c r="G6162" t="s">
        <v>2115</v>
      </c>
      <c r="H6162" t="s">
        <v>3724</v>
      </c>
      <c r="I6162">
        <v>0</v>
      </c>
      <c r="J6162" t="s">
        <v>1709</v>
      </c>
      <c r="K6162" t="s">
        <v>290</v>
      </c>
      <c r="L6162" t="s">
        <v>285</v>
      </c>
      <c r="M6162" t="str">
        <f t="shared" si="447"/>
        <v>05</v>
      </c>
      <c r="N6162" t="s">
        <v>12</v>
      </c>
    </row>
    <row r="6163" spans="1:14" x14ac:dyDescent="0.25">
      <c r="A6163">
        <v>20160513</v>
      </c>
      <c r="B6163" t="str">
        <f>"063490"</f>
        <v>063490</v>
      </c>
      <c r="C6163" t="str">
        <f>"60849"</f>
        <v>60849</v>
      </c>
      <c r="D6163" t="s">
        <v>3723</v>
      </c>
      <c r="E6163" s="3">
        <v>58.23</v>
      </c>
      <c r="F6163">
        <v>20160512</v>
      </c>
      <c r="G6163" t="s">
        <v>2115</v>
      </c>
      <c r="H6163" t="s">
        <v>5218</v>
      </c>
      <c r="I6163">
        <v>0</v>
      </c>
      <c r="J6163" t="s">
        <v>1709</v>
      </c>
      <c r="K6163" t="s">
        <v>290</v>
      </c>
      <c r="L6163" t="s">
        <v>285</v>
      </c>
      <c r="M6163" t="str">
        <f t="shared" si="447"/>
        <v>05</v>
      </c>
      <c r="N6163" t="s">
        <v>12</v>
      </c>
    </row>
    <row r="6164" spans="1:14" x14ac:dyDescent="0.25">
      <c r="A6164">
        <v>20160513</v>
      </c>
      <c r="B6164" t="str">
        <f>"063491"</f>
        <v>063491</v>
      </c>
      <c r="C6164" t="str">
        <f>"63608"</f>
        <v>63608</v>
      </c>
      <c r="D6164" t="s">
        <v>5219</v>
      </c>
      <c r="E6164" s="3">
        <v>165.74</v>
      </c>
      <c r="F6164">
        <v>20160512</v>
      </c>
      <c r="G6164" t="s">
        <v>2074</v>
      </c>
      <c r="H6164" t="s">
        <v>4102</v>
      </c>
      <c r="I6164">
        <v>0</v>
      </c>
      <c r="J6164" t="s">
        <v>1709</v>
      </c>
      <c r="K6164" t="s">
        <v>1861</v>
      </c>
      <c r="L6164" t="s">
        <v>285</v>
      </c>
      <c r="M6164" t="str">
        <f t="shared" si="447"/>
        <v>05</v>
      </c>
      <c r="N6164" t="s">
        <v>12</v>
      </c>
    </row>
    <row r="6165" spans="1:14" x14ac:dyDescent="0.25">
      <c r="A6165">
        <v>20160513</v>
      </c>
      <c r="B6165" t="str">
        <f>"063491"</f>
        <v>063491</v>
      </c>
      <c r="C6165" t="str">
        <f>"63608"</f>
        <v>63608</v>
      </c>
      <c r="D6165" t="s">
        <v>5219</v>
      </c>
      <c r="E6165" s="3">
        <v>327.51</v>
      </c>
      <c r="F6165">
        <v>20160512</v>
      </c>
      <c r="G6165" t="s">
        <v>2074</v>
      </c>
      <c r="H6165" t="s">
        <v>5220</v>
      </c>
      <c r="I6165">
        <v>0</v>
      </c>
      <c r="J6165" t="s">
        <v>1709</v>
      </c>
      <c r="K6165" t="s">
        <v>1861</v>
      </c>
      <c r="L6165" t="s">
        <v>285</v>
      </c>
      <c r="M6165" t="str">
        <f t="shared" si="447"/>
        <v>05</v>
      </c>
      <c r="N6165" t="s">
        <v>12</v>
      </c>
    </row>
    <row r="6166" spans="1:14" x14ac:dyDescent="0.25">
      <c r="A6166">
        <v>20160513</v>
      </c>
      <c r="B6166" t="str">
        <f>"063493"</f>
        <v>063493</v>
      </c>
      <c r="C6166" t="str">
        <f>"64630"</f>
        <v>64630</v>
      </c>
      <c r="D6166" t="s">
        <v>5221</v>
      </c>
      <c r="E6166" s="3">
        <v>249</v>
      </c>
      <c r="F6166">
        <v>20160512</v>
      </c>
      <c r="G6166" t="s">
        <v>2422</v>
      </c>
      <c r="H6166" t="s">
        <v>5222</v>
      </c>
      <c r="I6166">
        <v>0</v>
      </c>
      <c r="J6166" t="s">
        <v>1709</v>
      </c>
      <c r="K6166" t="s">
        <v>290</v>
      </c>
      <c r="L6166" t="s">
        <v>285</v>
      </c>
      <c r="M6166" t="str">
        <f t="shared" si="447"/>
        <v>05</v>
      </c>
      <c r="N6166" t="s">
        <v>12</v>
      </c>
    </row>
    <row r="6167" spans="1:14" x14ac:dyDescent="0.25">
      <c r="A6167">
        <v>20160513</v>
      </c>
      <c r="B6167" t="str">
        <f t="shared" ref="B6167:B6175" si="448">"063494"</f>
        <v>063494</v>
      </c>
      <c r="C6167" t="str">
        <f t="shared" ref="C6167:C6175" si="449">"65106"</f>
        <v>65106</v>
      </c>
      <c r="D6167" t="s">
        <v>1568</v>
      </c>
      <c r="E6167" s="3">
        <v>536.98</v>
      </c>
      <c r="F6167">
        <v>20160512</v>
      </c>
      <c r="G6167" t="s">
        <v>2317</v>
      </c>
      <c r="H6167" t="s">
        <v>5223</v>
      </c>
      <c r="I6167">
        <v>0</v>
      </c>
      <c r="J6167" t="s">
        <v>1709</v>
      </c>
      <c r="K6167" t="s">
        <v>290</v>
      </c>
      <c r="L6167" t="s">
        <v>285</v>
      </c>
      <c r="M6167" t="str">
        <f t="shared" si="447"/>
        <v>05</v>
      </c>
      <c r="N6167" t="s">
        <v>12</v>
      </c>
    </row>
    <row r="6168" spans="1:14" x14ac:dyDescent="0.25">
      <c r="A6168">
        <v>20160513</v>
      </c>
      <c r="B6168" t="str">
        <f t="shared" si="448"/>
        <v>063494</v>
      </c>
      <c r="C6168" t="str">
        <f t="shared" si="449"/>
        <v>65106</v>
      </c>
      <c r="D6168" t="s">
        <v>1568</v>
      </c>
      <c r="E6168" s="3">
        <v>239.84</v>
      </c>
      <c r="F6168">
        <v>20160512</v>
      </c>
      <c r="G6168" t="s">
        <v>2317</v>
      </c>
      <c r="H6168" t="s">
        <v>2563</v>
      </c>
      <c r="I6168">
        <v>0</v>
      </c>
      <c r="J6168" t="s">
        <v>1709</v>
      </c>
      <c r="K6168" t="s">
        <v>290</v>
      </c>
      <c r="L6168" t="s">
        <v>285</v>
      </c>
      <c r="M6168" t="str">
        <f t="shared" si="447"/>
        <v>05</v>
      </c>
      <c r="N6168" t="s">
        <v>12</v>
      </c>
    </row>
    <row r="6169" spans="1:14" x14ac:dyDescent="0.25">
      <c r="A6169">
        <v>20160513</v>
      </c>
      <c r="B6169" t="str">
        <f t="shared" si="448"/>
        <v>063494</v>
      </c>
      <c r="C6169" t="str">
        <f t="shared" si="449"/>
        <v>65106</v>
      </c>
      <c r="D6169" t="s">
        <v>1568</v>
      </c>
      <c r="E6169" s="3">
        <v>818</v>
      </c>
      <c r="F6169">
        <v>20160512</v>
      </c>
      <c r="G6169" t="s">
        <v>4007</v>
      </c>
      <c r="H6169" t="s">
        <v>5224</v>
      </c>
      <c r="I6169">
        <v>0</v>
      </c>
      <c r="J6169" t="s">
        <v>1709</v>
      </c>
      <c r="K6169" t="s">
        <v>290</v>
      </c>
      <c r="L6169" t="s">
        <v>285</v>
      </c>
      <c r="M6169" t="str">
        <f t="shared" si="447"/>
        <v>05</v>
      </c>
      <c r="N6169" t="s">
        <v>12</v>
      </c>
    </row>
    <row r="6170" spans="1:14" x14ac:dyDescent="0.25">
      <c r="A6170">
        <v>20160513</v>
      </c>
      <c r="B6170" t="str">
        <f t="shared" si="448"/>
        <v>063494</v>
      </c>
      <c r="C6170" t="str">
        <f t="shared" si="449"/>
        <v>65106</v>
      </c>
      <c r="D6170" t="s">
        <v>1568</v>
      </c>
      <c r="E6170" s="3">
        <v>186.63</v>
      </c>
      <c r="F6170">
        <v>20160512</v>
      </c>
      <c r="G6170" t="s">
        <v>4007</v>
      </c>
      <c r="H6170" t="s">
        <v>4008</v>
      </c>
      <c r="I6170">
        <v>0</v>
      </c>
      <c r="J6170" t="s">
        <v>1709</v>
      </c>
      <c r="K6170" t="s">
        <v>290</v>
      </c>
      <c r="L6170" t="s">
        <v>285</v>
      </c>
      <c r="M6170" t="str">
        <f t="shared" si="447"/>
        <v>05</v>
      </c>
      <c r="N6170" t="s">
        <v>12</v>
      </c>
    </row>
    <row r="6171" spans="1:14" x14ac:dyDescent="0.25">
      <c r="A6171">
        <v>20160513</v>
      </c>
      <c r="B6171" t="str">
        <f t="shared" si="448"/>
        <v>063494</v>
      </c>
      <c r="C6171" t="str">
        <f t="shared" si="449"/>
        <v>65106</v>
      </c>
      <c r="D6171" t="s">
        <v>1568</v>
      </c>
      <c r="E6171" s="3">
        <v>730.75</v>
      </c>
      <c r="F6171">
        <v>20160512</v>
      </c>
      <c r="G6171" t="s">
        <v>2153</v>
      </c>
      <c r="H6171" t="s">
        <v>5158</v>
      </c>
      <c r="I6171">
        <v>0</v>
      </c>
      <c r="J6171" t="s">
        <v>1709</v>
      </c>
      <c r="K6171" t="s">
        <v>290</v>
      </c>
      <c r="L6171" t="s">
        <v>285</v>
      </c>
      <c r="M6171" t="str">
        <f t="shared" si="447"/>
        <v>05</v>
      </c>
      <c r="N6171" t="s">
        <v>12</v>
      </c>
    </row>
    <row r="6172" spans="1:14" x14ac:dyDescent="0.25">
      <c r="A6172">
        <v>20160513</v>
      </c>
      <c r="B6172" t="str">
        <f t="shared" si="448"/>
        <v>063494</v>
      </c>
      <c r="C6172" t="str">
        <f t="shared" si="449"/>
        <v>65106</v>
      </c>
      <c r="D6172" t="s">
        <v>1568</v>
      </c>
      <c r="E6172" s="3">
        <v>142.82</v>
      </c>
      <c r="F6172">
        <v>20160512</v>
      </c>
      <c r="G6172" t="s">
        <v>5086</v>
      </c>
      <c r="H6172" t="s">
        <v>5087</v>
      </c>
      <c r="I6172">
        <v>0</v>
      </c>
      <c r="J6172" t="s">
        <v>1709</v>
      </c>
      <c r="K6172" t="s">
        <v>290</v>
      </c>
      <c r="L6172" t="s">
        <v>285</v>
      </c>
      <c r="M6172" t="str">
        <f t="shared" si="447"/>
        <v>05</v>
      </c>
      <c r="N6172" t="s">
        <v>12</v>
      </c>
    </row>
    <row r="6173" spans="1:14" x14ac:dyDescent="0.25">
      <c r="A6173">
        <v>20160513</v>
      </c>
      <c r="B6173" t="str">
        <f t="shared" si="448"/>
        <v>063494</v>
      </c>
      <c r="C6173" t="str">
        <f t="shared" si="449"/>
        <v>65106</v>
      </c>
      <c r="D6173" t="s">
        <v>1568</v>
      </c>
      <c r="E6173" s="3">
        <v>237.84</v>
      </c>
      <c r="F6173">
        <v>20160512</v>
      </c>
      <c r="G6173" t="s">
        <v>1933</v>
      </c>
      <c r="H6173" t="s">
        <v>595</v>
      </c>
      <c r="I6173">
        <v>0</v>
      </c>
      <c r="J6173" t="s">
        <v>1709</v>
      </c>
      <c r="K6173" t="s">
        <v>1558</v>
      </c>
      <c r="L6173" t="s">
        <v>285</v>
      </c>
      <c r="M6173" t="str">
        <f t="shared" si="447"/>
        <v>05</v>
      </c>
      <c r="N6173" t="s">
        <v>12</v>
      </c>
    </row>
    <row r="6174" spans="1:14" x14ac:dyDescent="0.25">
      <c r="A6174">
        <v>20160513</v>
      </c>
      <c r="B6174" t="str">
        <f t="shared" si="448"/>
        <v>063494</v>
      </c>
      <c r="C6174" t="str">
        <f t="shared" si="449"/>
        <v>65106</v>
      </c>
      <c r="D6174" t="s">
        <v>1568</v>
      </c>
      <c r="E6174" s="3">
        <v>121.71</v>
      </c>
      <c r="F6174">
        <v>20160512</v>
      </c>
      <c r="G6174" t="s">
        <v>2626</v>
      </c>
      <c r="H6174" t="s">
        <v>2173</v>
      </c>
      <c r="I6174">
        <v>0</v>
      </c>
      <c r="J6174" t="s">
        <v>1709</v>
      </c>
      <c r="K6174" t="s">
        <v>290</v>
      </c>
      <c r="L6174" t="s">
        <v>285</v>
      </c>
      <c r="M6174" t="str">
        <f t="shared" si="447"/>
        <v>05</v>
      </c>
      <c r="N6174" t="s">
        <v>12</v>
      </c>
    </row>
    <row r="6175" spans="1:14" x14ac:dyDescent="0.25">
      <c r="A6175">
        <v>20160513</v>
      </c>
      <c r="B6175" t="str">
        <f t="shared" si="448"/>
        <v>063494</v>
      </c>
      <c r="C6175" t="str">
        <f t="shared" si="449"/>
        <v>65106</v>
      </c>
      <c r="D6175" t="s">
        <v>1568</v>
      </c>
      <c r="E6175" s="3">
        <v>124.56</v>
      </c>
      <c r="F6175">
        <v>20160512</v>
      </c>
      <c r="G6175" t="s">
        <v>4328</v>
      </c>
      <c r="H6175" t="s">
        <v>5225</v>
      </c>
      <c r="I6175">
        <v>0</v>
      </c>
      <c r="J6175" t="s">
        <v>1709</v>
      </c>
      <c r="K6175" t="s">
        <v>290</v>
      </c>
      <c r="L6175" t="s">
        <v>285</v>
      </c>
      <c r="M6175" t="str">
        <f t="shared" si="447"/>
        <v>05</v>
      </c>
      <c r="N6175" t="s">
        <v>12</v>
      </c>
    </row>
    <row r="6176" spans="1:14" x14ac:dyDescent="0.25">
      <c r="A6176">
        <v>20160513</v>
      </c>
      <c r="B6176" t="str">
        <f>"063497"</f>
        <v>063497</v>
      </c>
      <c r="C6176" t="str">
        <f>"65817"</f>
        <v>65817</v>
      </c>
      <c r="D6176" t="s">
        <v>2021</v>
      </c>
      <c r="E6176" s="3">
        <v>708.69</v>
      </c>
      <c r="F6176">
        <v>20160512</v>
      </c>
      <c r="G6176" t="s">
        <v>2798</v>
      </c>
      <c r="H6176" t="s">
        <v>2023</v>
      </c>
      <c r="I6176">
        <v>0</v>
      </c>
      <c r="J6176" t="s">
        <v>1709</v>
      </c>
      <c r="K6176" t="s">
        <v>33</v>
      </c>
      <c r="L6176" t="s">
        <v>285</v>
      </c>
      <c r="M6176" t="str">
        <f t="shared" si="447"/>
        <v>05</v>
      </c>
      <c r="N6176" t="s">
        <v>12</v>
      </c>
    </row>
    <row r="6177" spans="1:14" x14ac:dyDescent="0.25">
      <c r="A6177">
        <v>20160513</v>
      </c>
      <c r="B6177" t="str">
        <f>"063498"</f>
        <v>063498</v>
      </c>
      <c r="C6177" t="str">
        <f>"67572"</f>
        <v>67572</v>
      </c>
      <c r="D6177" t="s">
        <v>5226</v>
      </c>
      <c r="E6177" s="3">
        <v>959.32</v>
      </c>
      <c r="F6177">
        <v>20160512</v>
      </c>
      <c r="G6177" t="s">
        <v>1969</v>
      </c>
      <c r="H6177" t="s">
        <v>4982</v>
      </c>
      <c r="I6177">
        <v>0</v>
      </c>
      <c r="J6177" t="s">
        <v>1709</v>
      </c>
      <c r="K6177" t="s">
        <v>290</v>
      </c>
      <c r="L6177" t="s">
        <v>285</v>
      </c>
      <c r="M6177" t="str">
        <f t="shared" si="447"/>
        <v>05</v>
      </c>
      <c r="N6177" t="s">
        <v>12</v>
      </c>
    </row>
    <row r="6178" spans="1:14" x14ac:dyDescent="0.25">
      <c r="A6178">
        <v>20160513</v>
      </c>
      <c r="B6178" t="str">
        <f>"063499"</f>
        <v>063499</v>
      </c>
      <c r="C6178" t="str">
        <f>"67744"</f>
        <v>67744</v>
      </c>
      <c r="D6178" t="s">
        <v>2924</v>
      </c>
      <c r="E6178" s="3">
        <v>84.21</v>
      </c>
      <c r="F6178">
        <v>20160512</v>
      </c>
      <c r="G6178" t="s">
        <v>2925</v>
      </c>
      <c r="H6178" t="s">
        <v>5227</v>
      </c>
      <c r="I6178">
        <v>0</v>
      </c>
      <c r="J6178" t="s">
        <v>1709</v>
      </c>
      <c r="K6178" t="s">
        <v>33</v>
      </c>
      <c r="L6178" t="s">
        <v>285</v>
      </c>
      <c r="M6178" t="str">
        <f t="shared" si="447"/>
        <v>05</v>
      </c>
      <c r="N6178" t="s">
        <v>12</v>
      </c>
    </row>
    <row r="6179" spans="1:14" x14ac:dyDescent="0.25">
      <c r="A6179">
        <v>20160513</v>
      </c>
      <c r="B6179" t="str">
        <f>"063501"</f>
        <v>063501</v>
      </c>
      <c r="C6179" t="str">
        <f>"77120"</f>
        <v>77120</v>
      </c>
      <c r="D6179" t="s">
        <v>4613</v>
      </c>
      <c r="E6179" s="3">
        <v>210</v>
      </c>
      <c r="F6179">
        <v>20160512</v>
      </c>
      <c r="G6179" t="s">
        <v>2279</v>
      </c>
      <c r="H6179" t="s">
        <v>5228</v>
      </c>
      <c r="I6179">
        <v>0</v>
      </c>
      <c r="J6179" t="s">
        <v>1709</v>
      </c>
      <c r="K6179" t="s">
        <v>1861</v>
      </c>
      <c r="L6179" t="s">
        <v>285</v>
      </c>
      <c r="M6179" t="str">
        <f t="shared" si="447"/>
        <v>05</v>
      </c>
      <c r="N6179" t="s">
        <v>12</v>
      </c>
    </row>
    <row r="6180" spans="1:14" x14ac:dyDescent="0.25">
      <c r="A6180">
        <v>20160513</v>
      </c>
      <c r="B6180" t="str">
        <f>"063502"</f>
        <v>063502</v>
      </c>
      <c r="C6180" t="str">
        <f>"79680"</f>
        <v>79680</v>
      </c>
      <c r="D6180" t="s">
        <v>781</v>
      </c>
      <c r="E6180" s="3">
        <v>162</v>
      </c>
      <c r="F6180">
        <v>20160512</v>
      </c>
      <c r="G6180" t="s">
        <v>3908</v>
      </c>
      <c r="H6180" t="s">
        <v>5229</v>
      </c>
      <c r="I6180">
        <v>0</v>
      </c>
      <c r="J6180" t="s">
        <v>1709</v>
      </c>
      <c r="K6180" t="s">
        <v>1861</v>
      </c>
      <c r="L6180" t="s">
        <v>285</v>
      </c>
      <c r="M6180" t="str">
        <f t="shared" si="447"/>
        <v>05</v>
      </c>
      <c r="N6180" t="s">
        <v>12</v>
      </c>
    </row>
    <row r="6181" spans="1:14" x14ac:dyDescent="0.25">
      <c r="A6181">
        <v>20160513</v>
      </c>
      <c r="B6181" t="str">
        <f>"063505"</f>
        <v>063505</v>
      </c>
      <c r="C6181" t="str">
        <f>"80611"</f>
        <v>80611</v>
      </c>
      <c r="D6181" t="s">
        <v>1796</v>
      </c>
      <c r="E6181" s="3">
        <v>2208.33</v>
      </c>
      <c r="F6181">
        <v>20160512</v>
      </c>
      <c r="G6181" t="s">
        <v>2414</v>
      </c>
      <c r="H6181" t="s">
        <v>4709</v>
      </c>
      <c r="I6181">
        <v>0</v>
      </c>
      <c r="J6181" t="s">
        <v>1709</v>
      </c>
      <c r="K6181" t="s">
        <v>133</v>
      </c>
      <c r="L6181" t="s">
        <v>285</v>
      </c>
      <c r="M6181" t="str">
        <f t="shared" si="447"/>
        <v>05</v>
      </c>
      <c r="N6181" t="s">
        <v>12</v>
      </c>
    </row>
    <row r="6182" spans="1:14" x14ac:dyDescent="0.25">
      <c r="A6182">
        <v>20160513</v>
      </c>
      <c r="B6182" t="str">
        <f>"063506"</f>
        <v>063506</v>
      </c>
      <c r="C6182" t="str">
        <f>"80755"</f>
        <v>80755</v>
      </c>
      <c r="D6182" t="s">
        <v>723</v>
      </c>
      <c r="E6182" s="3">
        <v>1404</v>
      </c>
      <c r="F6182">
        <v>20160512</v>
      </c>
      <c r="G6182" t="s">
        <v>5230</v>
      </c>
      <c r="H6182" t="s">
        <v>5231</v>
      </c>
      <c r="I6182">
        <v>0</v>
      </c>
      <c r="J6182" t="s">
        <v>1709</v>
      </c>
      <c r="K6182" t="s">
        <v>290</v>
      </c>
      <c r="L6182" t="s">
        <v>285</v>
      </c>
      <c r="M6182" t="str">
        <f t="shared" si="447"/>
        <v>05</v>
      </c>
      <c r="N6182" t="s">
        <v>12</v>
      </c>
    </row>
    <row r="6183" spans="1:14" x14ac:dyDescent="0.25">
      <c r="A6183">
        <v>20160513</v>
      </c>
      <c r="B6183" t="str">
        <f>"063508"</f>
        <v>063508</v>
      </c>
      <c r="C6183" t="str">
        <f>"81707"</f>
        <v>81707</v>
      </c>
      <c r="D6183" t="s">
        <v>5232</v>
      </c>
      <c r="E6183" s="3">
        <v>1740</v>
      </c>
      <c r="F6183">
        <v>20160512</v>
      </c>
      <c r="G6183" t="s">
        <v>5233</v>
      </c>
      <c r="H6183" t="s">
        <v>5234</v>
      </c>
      <c r="I6183">
        <v>0</v>
      </c>
      <c r="J6183" t="s">
        <v>1709</v>
      </c>
      <c r="K6183" t="s">
        <v>290</v>
      </c>
      <c r="L6183" t="s">
        <v>285</v>
      </c>
      <c r="M6183" t="str">
        <f t="shared" si="447"/>
        <v>05</v>
      </c>
      <c r="N6183" t="s">
        <v>12</v>
      </c>
    </row>
    <row r="6184" spans="1:14" x14ac:dyDescent="0.25">
      <c r="A6184">
        <v>20160513</v>
      </c>
      <c r="B6184" t="str">
        <f>"063509"</f>
        <v>063509</v>
      </c>
      <c r="C6184" t="str">
        <f>"82176"</f>
        <v>82176</v>
      </c>
      <c r="D6184" t="s">
        <v>1166</v>
      </c>
      <c r="E6184" s="3">
        <v>95</v>
      </c>
      <c r="F6184">
        <v>20160512</v>
      </c>
      <c r="G6184" t="s">
        <v>4874</v>
      </c>
      <c r="H6184" t="s">
        <v>4875</v>
      </c>
      <c r="I6184">
        <v>0</v>
      </c>
      <c r="J6184" t="s">
        <v>1709</v>
      </c>
      <c r="K6184" t="s">
        <v>290</v>
      </c>
      <c r="L6184" t="s">
        <v>285</v>
      </c>
      <c r="M6184" t="str">
        <f t="shared" si="447"/>
        <v>05</v>
      </c>
      <c r="N6184" t="s">
        <v>12</v>
      </c>
    </row>
    <row r="6185" spans="1:14" x14ac:dyDescent="0.25">
      <c r="A6185">
        <v>20160513</v>
      </c>
      <c r="B6185" t="str">
        <f>"063509"</f>
        <v>063509</v>
      </c>
      <c r="C6185" t="str">
        <f>"82176"</f>
        <v>82176</v>
      </c>
      <c r="D6185" t="s">
        <v>1166</v>
      </c>
      <c r="E6185" s="3">
        <v>70</v>
      </c>
      <c r="F6185">
        <v>20160512</v>
      </c>
      <c r="G6185" t="s">
        <v>3540</v>
      </c>
      <c r="H6185" t="s">
        <v>4875</v>
      </c>
      <c r="I6185">
        <v>0</v>
      </c>
      <c r="J6185" t="s">
        <v>1709</v>
      </c>
      <c r="K6185" t="s">
        <v>2724</v>
      </c>
      <c r="L6185" t="s">
        <v>285</v>
      </c>
      <c r="M6185" t="str">
        <f t="shared" si="447"/>
        <v>05</v>
      </c>
      <c r="N6185" t="s">
        <v>12</v>
      </c>
    </row>
    <row r="6186" spans="1:14" x14ac:dyDescent="0.25">
      <c r="A6186">
        <v>20160513</v>
      </c>
      <c r="B6186" t="str">
        <f>"063510"</f>
        <v>063510</v>
      </c>
      <c r="C6186" t="str">
        <f>"81920"</f>
        <v>81920</v>
      </c>
      <c r="D6186" t="s">
        <v>5235</v>
      </c>
      <c r="E6186" s="3">
        <v>887</v>
      </c>
      <c r="F6186">
        <v>20160512</v>
      </c>
      <c r="G6186" t="s">
        <v>5236</v>
      </c>
      <c r="H6186" t="s">
        <v>5237</v>
      </c>
      <c r="I6186">
        <v>0</v>
      </c>
      <c r="J6186" t="s">
        <v>1709</v>
      </c>
      <c r="K6186" t="s">
        <v>290</v>
      </c>
      <c r="L6186" t="s">
        <v>285</v>
      </c>
      <c r="M6186" t="str">
        <f t="shared" si="447"/>
        <v>05</v>
      </c>
      <c r="N6186" t="s">
        <v>12</v>
      </c>
    </row>
    <row r="6187" spans="1:14" x14ac:dyDescent="0.25">
      <c r="A6187">
        <v>20160520</v>
      </c>
      <c r="B6187" t="str">
        <f>"063512"</f>
        <v>063512</v>
      </c>
      <c r="C6187" t="str">
        <f>"02230"</f>
        <v>02230</v>
      </c>
      <c r="D6187" t="s">
        <v>1945</v>
      </c>
      <c r="E6187" s="3">
        <v>61.37</v>
      </c>
      <c r="F6187">
        <v>20160518</v>
      </c>
      <c r="G6187" t="s">
        <v>2333</v>
      </c>
      <c r="H6187" t="s">
        <v>4709</v>
      </c>
      <c r="I6187">
        <v>0</v>
      </c>
      <c r="J6187" t="s">
        <v>1709</v>
      </c>
      <c r="K6187" t="s">
        <v>290</v>
      </c>
      <c r="L6187" t="s">
        <v>285</v>
      </c>
      <c r="M6187" t="str">
        <f t="shared" si="447"/>
        <v>05</v>
      </c>
      <c r="N6187" t="s">
        <v>12</v>
      </c>
    </row>
    <row r="6188" spans="1:14" x14ac:dyDescent="0.25">
      <c r="A6188">
        <v>20160520</v>
      </c>
      <c r="B6188" t="str">
        <f>"063513"</f>
        <v>063513</v>
      </c>
      <c r="C6188" t="str">
        <f>"04240"</f>
        <v>04240</v>
      </c>
      <c r="D6188" t="s">
        <v>2432</v>
      </c>
      <c r="E6188" s="3">
        <v>900.75</v>
      </c>
      <c r="F6188">
        <v>20160518</v>
      </c>
      <c r="G6188" t="s">
        <v>2228</v>
      </c>
      <c r="H6188" t="s">
        <v>5159</v>
      </c>
      <c r="I6188">
        <v>0</v>
      </c>
      <c r="J6188" t="s">
        <v>1709</v>
      </c>
      <c r="K6188" t="s">
        <v>290</v>
      </c>
      <c r="L6188" t="s">
        <v>285</v>
      </c>
      <c r="M6188" t="str">
        <f t="shared" si="447"/>
        <v>05</v>
      </c>
      <c r="N6188" t="s">
        <v>12</v>
      </c>
    </row>
    <row r="6189" spans="1:14" x14ac:dyDescent="0.25">
      <c r="A6189">
        <v>20160520</v>
      </c>
      <c r="B6189" t="str">
        <f>"063513"</f>
        <v>063513</v>
      </c>
      <c r="C6189" t="str">
        <f>"04240"</f>
        <v>04240</v>
      </c>
      <c r="D6189" t="s">
        <v>2432</v>
      </c>
      <c r="E6189" s="3">
        <v>149.85</v>
      </c>
      <c r="F6189">
        <v>20160518</v>
      </c>
      <c r="G6189" t="s">
        <v>2228</v>
      </c>
      <c r="H6189" t="s">
        <v>5238</v>
      </c>
      <c r="I6189">
        <v>0</v>
      </c>
      <c r="J6189" t="s">
        <v>1709</v>
      </c>
      <c r="K6189" t="s">
        <v>290</v>
      </c>
      <c r="L6189" t="s">
        <v>285</v>
      </c>
      <c r="M6189" t="str">
        <f t="shared" si="447"/>
        <v>05</v>
      </c>
      <c r="N6189" t="s">
        <v>12</v>
      </c>
    </row>
    <row r="6190" spans="1:14" x14ac:dyDescent="0.25">
      <c r="A6190">
        <v>20160520</v>
      </c>
      <c r="B6190" t="str">
        <f>"063515"</f>
        <v>063515</v>
      </c>
      <c r="C6190" t="str">
        <f>"22359"</f>
        <v>22359</v>
      </c>
      <c r="D6190" t="s">
        <v>5239</v>
      </c>
      <c r="E6190" s="3">
        <v>87.89</v>
      </c>
      <c r="F6190">
        <v>20160518</v>
      </c>
      <c r="G6190" t="s">
        <v>3899</v>
      </c>
      <c r="H6190" t="s">
        <v>5240</v>
      </c>
      <c r="I6190">
        <v>0</v>
      </c>
      <c r="J6190" t="s">
        <v>1709</v>
      </c>
      <c r="K6190" t="s">
        <v>1643</v>
      </c>
      <c r="L6190" t="s">
        <v>285</v>
      </c>
      <c r="M6190" t="str">
        <f t="shared" si="447"/>
        <v>05</v>
      </c>
      <c r="N6190" t="s">
        <v>12</v>
      </c>
    </row>
    <row r="6191" spans="1:14" x14ac:dyDescent="0.25">
      <c r="A6191">
        <v>20160520</v>
      </c>
      <c r="B6191" t="str">
        <f>"063518"</f>
        <v>063518</v>
      </c>
      <c r="C6191" t="str">
        <f>"13271"</f>
        <v>13271</v>
      </c>
      <c r="D6191" t="s">
        <v>5241</v>
      </c>
      <c r="E6191" s="3">
        <v>1404.05</v>
      </c>
      <c r="F6191">
        <v>20160518</v>
      </c>
      <c r="G6191" t="s">
        <v>5242</v>
      </c>
      <c r="H6191" t="s">
        <v>5243</v>
      </c>
      <c r="I6191">
        <v>0</v>
      </c>
      <c r="J6191" t="s">
        <v>1709</v>
      </c>
      <c r="K6191" t="s">
        <v>133</v>
      </c>
      <c r="L6191" t="s">
        <v>285</v>
      </c>
      <c r="M6191" t="str">
        <f t="shared" si="447"/>
        <v>05</v>
      </c>
      <c r="N6191" t="s">
        <v>12</v>
      </c>
    </row>
    <row r="6192" spans="1:14" x14ac:dyDescent="0.25">
      <c r="A6192">
        <v>20160520</v>
      </c>
      <c r="B6192" t="str">
        <f t="shared" ref="B6192:B6207" si="450">"063520"</f>
        <v>063520</v>
      </c>
      <c r="C6192" t="str">
        <f t="shared" ref="C6192:C6207" si="451">"14821"</f>
        <v>14821</v>
      </c>
      <c r="D6192" t="s">
        <v>2461</v>
      </c>
      <c r="E6192" s="3">
        <v>540</v>
      </c>
      <c r="F6192">
        <v>20160518</v>
      </c>
      <c r="G6192" t="s">
        <v>2303</v>
      </c>
      <c r="H6192" t="s">
        <v>5244</v>
      </c>
      <c r="I6192">
        <v>0</v>
      </c>
      <c r="J6192" t="s">
        <v>1709</v>
      </c>
      <c r="K6192" t="s">
        <v>235</v>
      </c>
      <c r="L6192" t="s">
        <v>285</v>
      </c>
      <c r="M6192" t="str">
        <f t="shared" si="447"/>
        <v>05</v>
      </c>
      <c r="N6192" t="s">
        <v>12</v>
      </c>
    </row>
    <row r="6193" spans="1:14" x14ac:dyDescent="0.25">
      <c r="A6193">
        <v>20160520</v>
      </c>
      <c r="B6193" t="str">
        <f t="shared" si="450"/>
        <v>063520</v>
      </c>
      <c r="C6193" t="str">
        <f t="shared" si="451"/>
        <v>14821</v>
      </c>
      <c r="D6193" t="s">
        <v>2461</v>
      </c>
      <c r="E6193" s="3">
        <v>912.18</v>
      </c>
      <c r="F6193">
        <v>20160518</v>
      </c>
      <c r="G6193" t="s">
        <v>2303</v>
      </c>
      <c r="H6193" t="s">
        <v>5245</v>
      </c>
      <c r="I6193">
        <v>0</v>
      </c>
      <c r="J6193" t="s">
        <v>1709</v>
      </c>
      <c r="K6193" t="s">
        <v>235</v>
      </c>
      <c r="L6193" t="s">
        <v>285</v>
      </c>
      <c r="M6193" t="str">
        <f t="shared" si="447"/>
        <v>05</v>
      </c>
      <c r="N6193" t="s">
        <v>12</v>
      </c>
    </row>
    <row r="6194" spans="1:14" x14ac:dyDescent="0.25">
      <c r="A6194">
        <v>20160520</v>
      </c>
      <c r="B6194" t="str">
        <f t="shared" si="450"/>
        <v>063520</v>
      </c>
      <c r="C6194" t="str">
        <f t="shared" si="451"/>
        <v>14821</v>
      </c>
      <c r="D6194" t="s">
        <v>2461</v>
      </c>
      <c r="E6194" s="3">
        <v>8906.01</v>
      </c>
      <c r="F6194">
        <v>20160518</v>
      </c>
      <c r="G6194" t="s">
        <v>2303</v>
      </c>
      <c r="H6194" t="s">
        <v>3420</v>
      </c>
      <c r="I6194">
        <v>0</v>
      </c>
      <c r="J6194" t="s">
        <v>1709</v>
      </c>
      <c r="K6194" t="s">
        <v>235</v>
      </c>
      <c r="L6194" t="s">
        <v>285</v>
      </c>
      <c r="M6194" t="str">
        <f t="shared" si="447"/>
        <v>05</v>
      </c>
      <c r="N6194" t="s">
        <v>12</v>
      </c>
    </row>
    <row r="6195" spans="1:14" x14ac:dyDescent="0.25">
      <c r="A6195">
        <v>20160520</v>
      </c>
      <c r="B6195" t="str">
        <f t="shared" si="450"/>
        <v>063520</v>
      </c>
      <c r="C6195" t="str">
        <f t="shared" si="451"/>
        <v>14821</v>
      </c>
      <c r="D6195" t="s">
        <v>2461</v>
      </c>
      <c r="E6195" s="3">
        <v>6.63</v>
      </c>
      <c r="F6195">
        <v>20160518</v>
      </c>
      <c r="G6195" t="s">
        <v>2303</v>
      </c>
      <c r="H6195" t="s">
        <v>5246</v>
      </c>
      <c r="I6195">
        <v>0</v>
      </c>
      <c r="J6195" t="s">
        <v>1709</v>
      </c>
      <c r="K6195" t="s">
        <v>235</v>
      </c>
      <c r="L6195" t="s">
        <v>285</v>
      </c>
      <c r="M6195" t="str">
        <f t="shared" si="447"/>
        <v>05</v>
      </c>
      <c r="N6195" t="s">
        <v>12</v>
      </c>
    </row>
    <row r="6196" spans="1:14" x14ac:dyDescent="0.25">
      <c r="A6196">
        <v>20160520</v>
      </c>
      <c r="B6196" t="str">
        <f t="shared" si="450"/>
        <v>063520</v>
      </c>
      <c r="C6196" t="str">
        <f t="shared" si="451"/>
        <v>14821</v>
      </c>
      <c r="D6196" t="s">
        <v>2461</v>
      </c>
      <c r="E6196" s="3">
        <v>273.26</v>
      </c>
      <c r="F6196">
        <v>20160518</v>
      </c>
      <c r="G6196" t="s">
        <v>2303</v>
      </c>
      <c r="H6196" t="s">
        <v>3420</v>
      </c>
      <c r="I6196">
        <v>0</v>
      </c>
      <c r="J6196" t="s">
        <v>1709</v>
      </c>
      <c r="K6196" t="s">
        <v>235</v>
      </c>
      <c r="L6196" t="s">
        <v>285</v>
      </c>
      <c r="M6196" t="str">
        <f t="shared" si="447"/>
        <v>05</v>
      </c>
      <c r="N6196" t="s">
        <v>12</v>
      </c>
    </row>
    <row r="6197" spans="1:14" x14ac:dyDescent="0.25">
      <c r="A6197">
        <v>20160520</v>
      </c>
      <c r="B6197" t="str">
        <f t="shared" si="450"/>
        <v>063520</v>
      </c>
      <c r="C6197" t="str">
        <f t="shared" si="451"/>
        <v>14821</v>
      </c>
      <c r="D6197" t="s">
        <v>2461</v>
      </c>
      <c r="E6197" s="3">
        <v>197.04</v>
      </c>
      <c r="F6197">
        <v>20160518</v>
      </c>
      <c r="G6197" t="s">
        <v>2303</v>
      </c>
      <c r="H6197" t="s">
        <v>5247</v>
      </c>
      <c r="I6197">
        <v>0</v>
      </c>
      <c r="J6197" t="s">
        <v>1709</v>
      </c>
      <c r="K6197" t="s">
        <v>235</v>
      </c>
      <c r="L6197" t="s">
        <v>285</v>
      </c>
      <c r="M6197" t="str">
        <f t="shared" si="447"/>
        <v>05</v>
      </c>
      <c r="N6197" t="s">
        <v>12</v>
      </c>
    </row>
    <row r="6198" spans="1:14" x14ac:dyDescent="0.25">
      <c r="A6198">
        <v>20160520</v>
      </c>
      <c r="B6198" t="str">
        <f t="shared" si="450"/>
        <v>063520</v>
      </c>
      <c r="C6198" t="str">
        <f t="shared" si="451"/>
        <v>14821</v>
      </c>
      <c r="D6198" t="s">
        <v>2461</v>
      </c>
      <c r="E6198" s="3">
        <v>522.5</v>
      </c>
      <c r="F6198">
        <v>20160518</v>
      </c>
      <c r="G6198" t="s">
        <v>2303</v>
      </c>
      <c r="H6198" t="s">
        <v>5248</v>
      </c>
      <c r="I6198">
        <v>0</v>
      </c>
      <c r="J6198" t="s">
        <v>1709</v>
      </c>
      <c r="K6198" t="s">
        <v>235</v>
      </c>
      <c r="L6198" t="s">
        <v>285</v>
      </c>
      <c r="M6198" t="str">
        <f t="shared" si="447"/>
        <v>05</v>
      </c>
      <c r="N6198" t="s">
        <v>12</v>
      </c>
    </row>
    <row r="6199" spans="1:14" x14ac:dyDescent="0.25">
      <c r="A6199">
        <v>20160520</v>
      </c>
      <c r="B6199" t="str">
        <f t="shared" si="450"/>
        <v>063520</v>
      </c>
      <c r="C6199" t="str">
        <f t="shared" si="451"/>
        <v>14821</v>
      </c>
      <c r="D6199" t="s">
        <v>2461</v>
      </c>
      <c r="E6199" s="3">
        <v>486.48</v>
      </c>
      <c r="F6199">
        <v>20160518</v>
      </c>
      <c r="G6199" t="s">
        <v>2303</v>
      </c>
      <c r="H6199" t="s">
        <v>5245</v>
      </c>
      <c r="I6199">
        <v>0</v>
      </c>
      <c r="J6199" t="s">
        <v>1709</v>
      </c>
      <c r="K6199" t="s">
        <v>235</v>
      </c>
      <c r="L6199" t="s">
        <v>285</v>
      </c>
      <c r="M6199" t="str">
        <f t="shared" si="447"/>
        <v>05</v>
      </c>
      <c r="N6199" t="s">
        <v>12</v>
      </c>
    </row>
    <row r="6200" spans="1:14" x14ac:dyDescent="0.25">
      <c r="A6200">
        <v>20160520</v>
      </c>
      <c r="B6200" t="str">
        <f t="shared" si="450"/>
        <v>063520</v>
      </c>
      <c r="C6200" t="str">
        <f t="shared" si="451"/>
        <v>14821</v>
      </c>
      <c r="D6200" t="s">
        <v>2461</v>
      </c>
      <c r="E6200" s="3">
        <v>591.61</v>
      </c>
      <c r="F6200">
        <v>20160518</v>
      </c>
      <c r="G6200" t="s">
        <v>2303</v>
      </c>
      <c r="H6200" t="s">
        <v>3420</v>
      </c>
      <c r="I6200">
        <v>0</v>
      </c>
      <c r="J6200" t="s">
        <v>1709</v>
      </c>
      <c r="K6200" t="s">
        <v>235</v>
      </c>
      <c r="L6200" t="s">
        <v>285</v>
      </c>
      <c r="M6200" t="str">
        <f t="shared" si="447"/>
        <v>05</v>
      </c>
      <c r="N6200" t="s">
        <v>12</v>
      </c>
    </row>
    <row r="6201" spans="1:14" x14ac:dyDescent="0.25">
      <c r="A6201">
        <v>20160520</v>
      </c>
      <c r="B6201" t="str">
        <f t="shared" si="450"/>
        <v>063520</v>
      </c>
      <c r="C6201" t="str">
        <f t="shared" si="451"/>
        <v>14821</v>
      </c>
      <c r="D6201" t="s">
        <v>2461</v>
      </c>
      <c r="E6201" s="3">
        <v>488.16</v>
      </c>
      <c r="F6201">
        <v>20160518</v>
      </c>
      <c r="G6201" t="s">
        <v>2303</v>
      </c>
      <c r="H6201" t="s">
        <v>5249</v>
      </c>
      <c r="I6201">
        <v>0</v>
      </c>
      <c r="J6201" t="s">
        <v>1709</v>
      </c>
      <c r="K6201" t="s">
        <v>235</v>
      </c>
      <c r="L6201" t="s">
        <v>285</v>
      </c>
      <c r="M6201" t="str">
        <f t="shared" si="447"/>
        <v>05</v>
      </c>
      <c r="N6201" t="s">
        <v>12</v>
      </c>
    </row>
    <row r="6202" spans="1:14" x14ac:dyDescent="0.25">
      <c r="A6202">
        <v>20160520</v>
      </c>
      <c r="B6202" t="str">
        <f t="shared" si="450"/>
        <v>063520</v>
      </c>
      <c r="C6202" t="str">
        <f t="shared" si="451"/>
        <v>14821</v>
      </c>
      <c r="D6202" t="s">
        <v>2461</v>
      </c>
      <c r="E6202" s="3">
        <v>46.67</v>
      </c>
      <c r="F6202">
        <v>20160518</v>
      </c>
      <c r="G6202" t="s">
        <v>2303</v>
      </c>
      <c r="H6202" t="s">
        <v>5250</v>
      </c>
      <c r="I6202">
        <v>0</v>
      </c>
      <c r="J6202" t="s">
        <v>1709</v>
      </c>
      <c r="K6202" t="s">
        <v>235</v>
      </c>
      <c r="L6202" t="s">
        <v>285</v>
      </c>
      <c r="M6202" t="str">
        <f t="shared" si="447"/>
        <v>05</v>
      </c>
      <c r="N6202" t="s">
        <v>12</v>
      </c>
    </row>
    <row r="6203" spans="1:14" x14ac:dyDescent="0.25">
      <c r="A6203">
        <v>20160520</v>
      </c>
      <c r="B6203" t="str">
        <f t="shared" si="450"/>
        <v>063520</v>
      </c>
      <c r="C6203" t="str">
        <f t="shared" si="451"/>
        <v>14821</v>
      </c>
      <c r="D6203" t="s">
        <v>2461</v>
      </c>
      <c r="E6203" s="3">
        <v>21046.17</v>
      </c>
      <c r="F6203">
        <v>20160518</v>
      </c>
      <c r="G6203" t="s">
        <v>2303</v>
      </c>
      <c r="H6203" t="s">
        <v>3420</v>
      </c>
      <c r="I6203">
        <v>0</v>
      </c>
      <c r="J6203" t="s">
        <v>1709</v>
      </c>
      <c r="K6203" t="s">
        <v>235</v>
      </c>
      <c r="L6203" t="s">
        <v>285</v>
      </c>
      <c r="M6203" t="str">
        <f t="shared" si="447"/>
        <v>05</v>
      </c>
      <c r="N6203" t="s">
        <v>12</v>
      </c>
    </row>
    <row r="6204" spans="1:14" x14ac:dyDescent="0.25">
      <c r="A6204">
        <v>20160520</v>
      </c>
      <c r="B6204" t="str">
        <f t="shared" si="450"/>
        <v>063520</v>
      </c>
      <c r="C6204" t="str">
        <f t="shared" si="451"/>
        <v>14821</v>
      </c>
      <c r="D6204" t="s">
        <v>2461</v>
      </c>
      <c r="E6204" s="3">
        <v>218.89</v>
      </c>
      <c r="F6204">
        <v>20160518</v>
      </c>
      <c r="G6204" t="s">
        <v>1859</v>
      </c>
      <c r="H6204" t="s">
        <v>5251</v>
      </c>
      <c r="I6204">
        <v>0</v>
      </c>
      <c r="J6204" t="s">
        <v>1709</v>
      </c>
      <c r="K6204" t="s">
        <v>1861</v>
      </c>
      <c r="L6204" t="s">
        <v>285</v>
      </c>
      <c r="M6204" t="str">
        <f t="shared" si="447"/>
        <v>05</v>
      </c>
      <c r="N6204" t="s">
        <v>12</v>
      </c>
    </row>
    <row r="6205" spans="1:14" x14ac:dyDescent="0.25">
      <c r="A6205">
        <v>20160520</v>
      </c>
      <c r="B6205" t="str">
        <f t="shared" si="450"/>
        <v>063520</v>
      </c>
      <c r="C6205" t="str">
        <f t="shared" si="451"/>
        <v>14821</v>
      </c>
      <c r="D6205" t="s">
        <v>2461</v>
      </c>
      <c r="E6205" s="3">
        <v>723.04</v>
      </c>
      <c r="F6205">
        <v>20160518</v>
      </c>
      <c r="G6205" t="s">
        <v>1859</v>
      </c>
      <c r="H6205" t="s">
        <v>5252</v>
      </c>
      <c r="I6205">
        <v>0</v>
      </c>
      <c r="J6205" t="s">
        <v>1709</v>
      </c>
      <c r="K6205" t="s">
        <v>1861</v>
      </c>
      <c r="L6205" t="s">
        <v>285</v>
      </c>
      <c r="M6205" t="str">
        <f t="shared" si="447"/>
        <v>05</v>
      </c>
      <c r="N6205" t="s">
        <v>12</v>
      </c>
    </row>
    <row r="6206" spans="1:14" x14ac:dyDescent="0.25">
      <c r="A6206">
        <v>20160520</v>
      </c>
      <c r="B6206" t="str">
        <f t="shared" si="450"/>
        <v>063520</v>
      </c>
      <c r="C6206" t="str">
        <f t="shared" si="451"/>
        <v>14821</v>
      </c>
      <c r="D6206" t="s">
        <v>2461</v>
      </c>
      <c r="E6206" s="3">
        <v>457.92</v>
      </c>
      <c r="F6206">
        <v>20160518</v>
      </c>
      <c r="G6206" t="s">
        <v>1859</v>
      </c>
      <c r="H6206" t="s">
        <v>5253</v>
      </c>
      <c r="I6206">
        <v>0</v>
      </c>
      <c r="J6206" t="s">
        <v>1709</v>
      </c>
      <c r="K6206" t="s">
        <v>1861</v>
      </c>
      <c r="L6206" t="s">
        <v>285</v>
      </c>
      <c r="M6206" t="str">
        <f t="shared" si="447"/>
        <v>05</v>
      </c>
      <c r="N6206" t="s">
        <v>12</v>
      </c>
    </row>
    <row r="6207" spans="1:14" x14ac:dyDescent="0.25">
      <c r="A6207">
        <v>20160520</v>
      </c>
      <c r="B6207" t="str">
        <f t="shared" si="450"/>
        <v>063520</v>
      </c>
      <c r="C6207" t="str">
        <f t="shared" si="451"/>
        <v>14821</v>
      </c>
      <c r="D6207" t="s">
        <v>2461</v>
      </c>
      <c r="E6207" s="3">
        <v>30.72</v>
      </c>
      <c r="F6207">
        <v>20160518</v>
      </c>
      <c r="G6207" t="s">
        <v>4483</v>
      </c>
      <c r="H6207" t="s">
        <v>5254</v>
      </c>
      <c r="I6207">
        <v>0</v>
      </c>
      <c r="J6207" t="s">
        <v>1709</v>
      </c>
      <c r="K6207" t="s">
        <v>1754</v>
      </c>
      <c r="L6207" t="s">
        <v>285</v>
      </c>
      <c r="M6207" t="str">
        <f t="shared" si="447"/>
        <v>05</v>
      </c>
      <c r="N6207" t="s">
        <v>12</v>
      </c>
    </row>
    <row r="6208" spans="1:14" x14ac:dyDescent="0.25">
      <c r="A6208">
        <v>20160520</v>
      </c>
      <c r="B6208" t="str">
        <f>"063521"</f>
        <v>063521</v>
      </c>
      <c r="C6208" t="str">
        <f>"74150"</f>
        <v>74150</v>
      </c>
      <c r="D6208" t="s">
        <v>3047</v>
      </c>
      <c r="E6208" s="3">
        <v>2000</v>
      </c>
      <c r="F6208">
        <v>20160518</v>
      </c>
      <c r="G6208" t="s">
        <v>2192</v>
      </c>
      <c r="H6208" t="s">
        <v>5255</v>
      </c>
      <c r="I6208">
        <v>0</v>
      </c>
      <c r="J6208" t="s">
        <v>1709</v>
      </c>
      <c r="K6208" t="s">
        <v>2194</v>
      </c>
      <c r="L6208" t="s">
        <v>285</v>
      </c>
      <c r="M6208" t="str">
        <f t="shared" si="447"/>
        <v>05</v>
      </c>
      <c r="N6208" t="s">
        <v>12</v>
      </c>
    </row>
    <row r="6209" spans="1:14" x14ac:dyDescent="0.25">
      <c r="A6209">
        <v>20160520</v>
      </c>
      <c r="B6209" t="str">
        <f>"063522"</f>
        <v>063522</v>
      </c>
      <c r="C6209" t="str">
        <f>"20416"</f>
        <v>20416</v>
      </c>
      <c r="D6209" t="s">
        <v>1727</v>
      </c>
      <c r="E6209" s="3">
        <v>75</v>
      </c>
      <c r="F6209">
        <v>20160518</v>
      </c>
      <c r="G6209" t="s">
        <v>4531</v>
      </c>
      <c r="H6209" t="s">
        <v>5256</v>
      </c>
      <c r="I6209">
        <v>0</v>
      </c>
      <c r="J6209" t="s">
        <v>1709</v>
      </c>
      <c r="K6209" t="s">
        <v>290</v>
      </c>
      <c r="L6209" t="s">
        <v>285</v>
      </c>
      <c r="M6209" t="str">
        <f t="shared" si="447"/>
        <v>05</v>
      </c>
      <c r="N6209" t="s">
        <v>12</v>
      </c>
    </row>
    <row r="6210" spans="1:14" x14ac:dyDescent="0.25">
      <c r="A6210">
        <v>20160520</v>
      </c>
      <c r="B6210" t="str">
        <f>"063522"</f>
        <v>063522</v>
      </c>
      <c r="C6210" t="str">
        <f>"20416"</f>
        <v>20416</v>
      </c>
      <c r="D6210" t="s">
        <v>1727</v>
      </c>
      <c r="E6210" s="3">
        <v>350</v>
      </c>
      <c r="F6210">
        <v>20160518</v>
      </c>
      <c r="G6210" t="s">
        <v>1728</v>
      </c>
      <c r="H6210" t="s">
        <v>5256</v>
      </c>
      <c r="I6210">
        <v>0</v>
      </c>
      <c r="J6210" t="s">
        <v>1709</v>
      </c>
      <c r="K6210" t="s">
        <v>290</v>
      </c>
      <c r="L6210" t="s">
        <v>285</v>
      </c>
      <c r="M6210" t="str">
        <f t="shared" si="447"/>
        <v>05</v>
      </c>
      <c r="N6210" t="s">
        <v>12</v>
      </c>
    </row>
    <row r="6211" spans="1:14" x14ac:dyDescent="0.25">
      <c r="A6211">
        <v>20160520</v>
      </c>
      <c r="B6211" t="str">
        <f>"063524"</f>
        <v>063524</v>
      </c>
      <c r="C6211" t="str">
        <f>"51346"</f>
        <v>51346</v>
      </c>
      <c r="D6211" t="s">
        <v>379</v>
      </c>
      <c r="E6211" s="3">
        <v>208</v>
      </c>
      <c r="F6211">
        <v>20160518</v>
      </c>
      <c r="G6211" t="s">
        <v>2172</v>
      </c>
      <c r="H6211" t="s">
        <v>5257</v>
      </c>
      <c r="I6211">
        <v>0</v>
      </c>
      <c r="J6211" t="s">
        <v>1709</v>
      </c>
      <c r="K6211" t="s">
        <v>95</v>
      </c>
      <c r="L6211" t="s">
        <v>285</v>
      </c>
      <c r="M6211" t="str">
        <f t="shared" si="447"/>
        <v>05</v>
      </c>
      <c r="N6211" t="s">
        <v>12</v>
      </c>
    </row>
    <row r="6212" spans="1:14" x14ac:dyDescent="0.25">
      <c r="A6212">
        <v>20160520</v>
      </c>
      <c r="B6212" t="str">
        <f>"063527"</f>
        <v>063527</v>
      </c>
      <c r="C6212" t="str">
        <f>"21769"</f>
        <v>21769</v>
      </c>
      <c r="D6212" t="s">
        <v>1836</v>
      </c>
      <c r="E6212" s="3">
        <v>2436</v>
      </c>
      <c r="F6212">
        <v>20160518</v>
      </c>
      <c r="G6212" t="s">
        <v>2192</v>
      </c>
      <c r="H6212" t="s">
        <v>5258</v>
      </c>
      <c r="I6212">
        <v>0</v>
      </c>
      <c r="J6212" t="s">
        <v>1709</v>
      </c>
      <c r="K6212" t="s">
        <v>2194</v>
      </c>
      <c r="L6212" t="s">
        <v>285</v>
      </c>
      <c r="M6212" t="str">
        <f t="shared" si="447"/>
        <v>05</v>
      </c>
      <c r="N6212" t="s">
        <v>12</v>
      </c>
    </row>
    <row r="6213" spans="1:14" x14ac:dyDescent="0.25">
      <c r="A6213">
        <v>20160520</v>
      </c>
      <c r="B6213" t="str">
        <f>"063532"</f>
        <v>063532</v>
      </c>
      <c r="C6213" t="str">
        <f>"29500"</f>
        <v>29500</v>
      </c>
      <c r="D6213" t="s">
        <v>1698</v>
      </c>
      <c r="E6213" s="3">
        <v>45</v>
      </c>
      <c r="F6213">
        <v>20160518</v>
      </c>
      <c r="G6213" t="s">
        <v>1859</v>
      </c>
      <c r="H6213" t="s">
        <v>5259</v>
      </c>
      <c r="I6213">
        <v>0</v>
      </c>
      <c r="J6213" t="s">
        <v>1709</v>
      </c>
      <c r="K6213" t="s">
        <v>1861</v>
      </c>
      <c r="L6213" t="s">
        <v>285</v>
      </c>
      <c r="M6213" t="str">
        <f t="shared" si="447"/>
        <v>05</v>
      </c>
      <c r="N6213" t="s">
        <v>12</v>
      </c>
    </row>
    <row r="6214" spans="1:14" x14ac:dyDescent="0.25">
      <c r="A6214">
        <v>20160520</v>
      </c>
      <c r="B6214" t="str">
        <f>"063532"</f>
        <v>063532</v>
      </c>
      <c r="C6214" t="str">
        <f>"29500"</f>
        <v>29500</v>
      </c>
      <c r="D6214" t="s">
        <v>1698</v>
      </c>
      <c r="E6214" s="3">
        <v>769.96</v>
      </c>
      <c r="F6214">
        <v>20160518</v>
      </c>
      <c r="G6214" t="s">
        <v>1859</v>
      </c>
      <c r="H6214" t="s">
        <v>2295</v>
      </c>
      <c r="I6214">
        <v>0</v>
      </c>
      <c r="J6214" t="s">
        <v>1709</v>
      </c>
      <c r="K6214" t="s">
        <v>1861</v>
      </c>
      <c r="L6214" t="s">
        <v>285</v>
      </c>
      <c r="M6214" t="str">
        <f t="shared" si="447"/>
        <v>05</v>
      </c>
      <c r="N6214" t="s">
        <v>12</v>
      </c>
    </row>
    <row r="6215" spans="1:14" x14ac:dyDescent="0.25">
      <c r="A6215">
        <v>20160520</v>
      </c>
      <c r="B6215" t="str">
        <f>"063532"</f>
        <v>063532</v>
      </c>
      <c r="C6215" t="str">
        <f>"29500"</f>
        <v>29500</v>
      </c>
      <c r="D6215" t="s">
        <v>1698</v>
      </c>
      <c r="E6215" s="3">
        <v>39</v>
      </c>
      <c r="F6215">
        <v>20160518</v>
      </c>
      <c r="G6215" t="s">
        <v>1859</v>
      </c>
      <c r="H6215" t="s">
        <v>5260</v>
      </c>
      <c r="I6215">
        <v>0</v>
      </c>
      <c r="J6215" t="s">
        <v>1709</v>
      </c>
      <c r="K6215" t="s">
        <v>1861</v>
      </c>
      <c r="L6215" t="s">
        <v>285</v>
      </c>
      <c r="M6215" t="str">
        <f t="shared" si="447"/>
        <v>05</v>
      </c>
      <c r="N6215" t="s">
        <v>12</v>
      </c>
    </row>
    <row r="6216" spans="1:14" x14ac:dyDescent="0.25">
      <c r="A6216">
        <v>20160520</v>
      </c>
      <c r="B6216" t="str">
        <f>"063532"</f>
        <v>063532</v>
      </c>
      <c r="C6216" t="str">
        <f>"29500"</f>
        <v>29500</v>
      </c>
      <c r="D6216" t="s">
        <v>1698</v>
      </c>
      <c r="E6216" s="3">
        <v>67.599999999999994</v>
      </c>
      <c r="F6216">
        <v>20160518</v>
      </c>
      <c r="G6216" t="s">
        <v>1859</v>
      </c>
      <c r="H6216" t="s">
        <v>5261</v>
      </c>
      <c r="I6216">
        <v>0</v>
      </c>
      <c r="J6216" t="s">
        <v>1709</v>
      </c>
      <c r="K6216" t="s">
        <v>1861</v>
      </c>
      <c r="L6216" t="s">
        <v>285</v>
      </c>
      <c r="M6216" t="str">
        <f t="shared" si="447"/>
        <v>05</v>
      </c>
      <c r="N6216" t="s">
        <v>12</v>
      </c>
    </row>
    <row r="6217" spans="1:14" x14ac:dyDescent="0.25">
      <c r="A6217">
        <v>20160520</v>
      </c>
      <c r="B6217" t="str">
        <f>"063532"</f>
        <v>063532</v>
      </c>
      <c r="C6217" t="str">
        <f>"29500"</f>
        <v>29500</v>
      </c>
      <c r="D6217" t="s">
        <v>1698</v>
      </c>
      <c r="E6217" s="3">
        <v>456</v>
      </c>
      <c r="F6217">
        <v>20160518</v>
      </c>
      <c r="G6217" t="s">
        <v>1859</v>
      </c>
      <c r="H6217" t="s">
        <v>5262</v>
      </c>
      <c r="I6217">
        <v>0</v>
      </c>
      <c r="J6217" t="s">
        <v>1709</v>
      </c>
      <c r="K6217" t="s">
        <v>1861</v>
      </c>
      <c r="L6217" t="s">
        <v>285</v>
      </c>
      <c r="M6217" t="str">
        <f t="shared" si="447"/>
        <v>05</v>
      </c>
      <c r="N6217" t="s">
        <v>12</v>
      </c>
    </row>
    <row r="6218" spans="1:14" x14ac:dyDescent="0.25">
      <c r="A6218">
        <v>20160520</v>
      </c>
      <c r="B6218" t="str">
        <f>"063533"</f>
        <v>063533</v>
      </c>
      <c r="C6218" t="str">
        <f>"29610"</f>
        <v>29610</v>
      </c>
      <c r="D6218" t="s">
        <v>1867</v>
      </c>
      <c r="E6218" s="3">
        <v>1831.96</v>
      </c>
      <c r="F6218">
        <v>20160518</v>
      </c>
      <c r="G6218" t="s">
        <v>2495</v>
      </c>
      <c r="H6218" t="s">
        <v>5263</v>
      </c>
      <c r="I6218">
        <v>0</v>
      </c>
      <c r="J6218" t="s">
        <v>1709</v>
      </c>
      <c r="K6218" t="s">
        <v>235</v>
      </c>
      <c r="L6218" t="s">
        <v>285</v>
      </c>
      <c r="M6218" t="str">
        <f t="shared" si="447"/>
        <v>05</v>
      </c>
      <c r="N6218" t="s">
        <v>12</v>
      </c>
    </row>
    <row r="6219" spans="1:14" x14ac:dyDescent="0.25">
      <c r="A6219">
        <v>20160520</v>
      </c>
      <c r="B6219" t="str">
        <f>"063534"</f>
        <v>063534</v>
      </c>
      <c r="C6219" t="str">
        <f>"29572"</f>
        <v>29572</v>
      </c>
      <c r="D6219" t="s">
        <v>85</v>
      </c>
      <c r="E6219" s="3">
        <v>300</v>
      </c>
      <c r="F6219">
        <v>20160518</v>
      </c>
      <c r="G6219" t="s">
        <v>4980</v>
      </c>
      <c r="H6219" t="s">
        <v>5264</v>
      </c>
      <c r="I6219">
        <v>0</v>
      </c>
      <c r="J6219" t="s">
        <v>1709</v>
      </c>
      <c r="K6219" t="s">
        <v>290</v>
      </c>
      <c r="L6219" t="s">
        <v>285</v>
      </c>
      <c r="M6219" t="str">
        <f t="shared" ref="M6219:M6282" si="452">"05"</f>
        <v>05</v>
      </c>
      <c r="N6219" t="s">
        <v>12</v>
      </c>
    </row>
    <row r="6220" spans="1:14" x14ac:dyDescent="0.25">
      <c r="A6220">
        <v>20160520</v>
      </c>
      <c r="B6220" t="str">
        <f>"063535"</f>
        <v>063535</v>
      </c>
      <c r="C6220" t="str">
        <f>"31803"</f>
        <v>31803</v>
      </c>
      <c r="D6220" t="s">
        <v>4146</v>
      </c>
      <c r="E6220" s="3">
        <v>38.1</v>
      </c>
      <c r="F6220">
        <v>20160518</v>
      </c>
      <c r="G6220" t="s">
        <v>2025</v>
      </c>
      <c r="H6220" t="s">
        <v>5265</v>
      </c>
      <c r="I6220">
        <v>0</v>
      </c>
      <c r="J6220" t="s">
        <v>1709</v>
      </c>
      <c r="K6220" t="s">
        <v>1984</v>
      </c>
      <c r="L6220" t="s">
        <v>285</v>
      </c>
      <c r="M6220" t="str">
        <f t="shared" si="452"/>
        <v>05</v>
      </c>
      <c r="N6220" t="s">
        <v>12</v>
      </c>
    </row>
    <row r="6221" spans="1:14" x14ac:dyDescent="0.25">
      <c r="A6221">
        <v>20160520</v>
      </c>
      <c r="B6221" t="str">
        <f>"063538"</f>
        <v>063538</v>
      </c>
      <c r="C6221" t="str">
        <f>"39409"</f>
        <v>39409</v>
      </c>
      <c r="D6221" t="s">
        <v>5266</v>
      </c>
      <c r="E6221" s="3">
        <v>120</v>
      </c>
      <c r="F6221">
        <v>20160518</v>
      </c>
      <c r="G6221" t="s">
        <v>4639</v>
      </c>
      <c r="H6221" t="s">
        <v>5267</v>
      </c>
      <c r="I6221">
        <v>0</v>
      </c>
      <c r="J6221" t="s">
        <v>1709</v>
      </c>
      <c r="K6221" t="s">
        <v>95</v>
      </c>
      <c r="L6221" t="s">
        <v>285</v>
      </c>
      <c r="M6221" t="str">
        <f t="shared" si="452"/>
        <v>05</v>
      </c>
      <c r="N6221" t="s">
        <v>12</v>
      </c>
    </row>
    <row r="6222" spans="1:14" x14ac:dyDescent="0.25">
      <c r="A6222">
        <v>20160520</v>
      </c>
      <c r="B6222" t="str">
        <f>"063539"</f>
        <v>063539</v>
      </c>
      <c r="C6222" t="str">
        <f>"39572"</f>
        <v>39572</v>
      </c>
      <c r="D6222" t="s">
        <v>2112</v>
      </c>
      <c r="E6222" s="3">
        <v>94</v>
      </c>
      <c r="F6222">
        <v>20160518</v>
      </c>
      <c r="G6222" t="s">
        <v>2115</v>
      </c>
      <c r="H6222" t="s">
        <v>5268</v>
      </c>
      <c r="I6222">
        <v>0</v>
      </c>
      <c r="J6222" t="s">
        <v>1709</v>
      </c>
      <c r="K6222" t="s">
        <v>290</v>
      </c>
      <c r="L6222" t="s">
        <v>285</v>
      </c>
      <c r="M6222" t="str">
        <f t="shared" si="452"/>
        <v>05</v>
      </c>
      <c r="N6222" t="s">
        <v>12</v>
      </c>
    </row>
    <row r="6223" spans="1:14" x14ac:dyDescent="0.25">
      <c r="A6223">
        <v>20160520</v>
      </c>
      <c r="B6223" t="str">
        <f>"063539"</f>
        <v>063539</v>
      </c>
      <c r="C6223" t="str">
        <f>"39572"</f>
        <v>39572</v>
      </c>
      <c r="D6223" t="s">
        <v>2112</v>
      </c>
      <c r="E6223" s="3">
        <v>18.989999999999998</v>
      </c>
      <c r="F6223">
        <v>20160518</v>
      </c>
      <c r="G6223" t="s">
        <v>2115</v>
      </c>
      <c r="H6223" t="s">
        <v>5269</v>
      </c>
      <c r="I6223">
        <v>0</v>
      </c>
      <c r="J6223" t="s">
        <v>1709</v>
      </c>
      <c r="K6223" t="s">
        <v>290</v>
      </c>
      <c r="L6223" t="s">
        <v>285</v>
      </c>
      <c r="M6223" t="str">
        <f t="shared" si="452"/>
        <v>05</v>
      </c>
      <c r="N6223" t="s">
        <v>12</v>
      </c>
    </row>
    <row r="6224" spans="1:14" x14ac:dyDescent="0.25">
      <c r="A6224">
        <v>20160520</v>
      </c>
      <c r="B6224" t="str">
        <f>"063539"</f>
        <v>063539</v>
      </c>
      <c r="C6224" t="str">
        <f>"39572"</f>
        <v>39572</v>
      </c>
      <c r="D6224" t="s">
        <v>2112</v>
      </c>
      <c r="E6224" s="3">
        <v>485.1</v>
      </c>
      <c r="F6224">
        <v>20160518</v>
      </c>
      <c r="G6224" t="s">
        <v>2115</v>
      </c>
      <c r="H6224" t="s">
        <v>5270</v>
      </c>
      <c r="I6224">
        <v>0</v>
      </c>
      <c r="J6224" t="s">
        <v>1709</v>
      </c>
      <c r="K6224" t="s">
        <v>290</v>
      </c>
      <c r="L6224" t="s">
        <v>285</v>
      </c>
      <c r="M6224" t="str">
        <f t="shared" si="452"/>
        <v>05</v>
      </c>
      <c r="N6224" t="s">
        <v>12</v>
      </c>
    </row>
    <row r="6225" spans="1:14" x14ac:dyDescent="0.25">
      <c r="A6225">
        <v>20160520</v>
      </c>
      <c r="B6225" t="str">
        <f>"063540"</f>
        <v>063540</v>
      </c>
      <c r="C6225" t="str">
        <f>"42264"</f>
        <v>42264</v>
      </c>
      <c r="D6225" t="s">
        <v>5271</v>
      </c>
      <c r="E6225" s="3">
        <v>2354.4</v>
      </c>
      <c r="F6225">
        <v>20160518</v>
      </c>
      <c r="G6225" t="s">
        <v>4713</v>
      </c>
      <c r="H6225" t="s">
        <v>4714</v>
      </c>
      <c r="I6225">
        <v>0</v>
      </c>
      <c r="J6225" t="s">
        <v>1709</v>
      </c>
      <c r="K6225" t="s">
        <v>290</v>
      </c>
      <c r="L6225" t="s">
        <v>285</v>
      </c>
      <c r="M6225" t="str">
        <f t="shared" si="452"/>
        <v>05</v>
      </c>
      <c r="N6225" t="s">
        <v>12</v>
      </c>
    </row>
    <row r="6226" spans="1:14" x14ac:dyDescent="0.25">
      <c r="A6226">
        <v>20160520</v>
      </c>
      <c r="B6226" t="str">
        <f>"063541"</f>
        <v>063541</v>
      </c>
      <c r="C6226" t="str">
        <f>"42264"</f>
        <v>42264</v>
      </c>
      <c r="D6226" t="s">
        <v>5271</v>
      </c>
      <c r="E6226" s="3">
        <v>310.5</v>
      </c>
      <c r="F6226">
        <v>20160519</v>
      </c>
      <c r="G6226" t="s">
        <v>4713</v>
      </c>
      <c r="H6226" t="s">
        <v>4714</v>
      </c>
      <c r="I6226">
        <v>0</v>
      </c>
      <c r="J6226" t="s">
        <v>1709</v>
      </c>
      <c r="K6226" t="s">
        <v>290</v>
      </c>
      <c r="L6226" t="s">
        <v>285</v>
      </c>
      <c r="M6226" t="str">
        <f t="shared" si="452"/>
        <v>05</v>
      </c>
      <c r="N6226" t="s">
        <v>12</v>
      </c>
    </row>
    <row r="6227" spans="1:14" x14ac:dyDescent="0.25">
      <c r="A6227">
        <v>20160520</v>
      </c>
      <c r="B6227" t="str">
        <f>"063543"</f>
        <v>063543</v>
      </c>
      <c r="C6227" t="str">
        <f>"45855"</f>
        <v>45855</v>
      </c>
      <c r="D6227" t="s">
        <v>2546</v>
      </c>
      <c r="E6227" s="3">
        <v>38.97</v>
      </c>
      <c r="F6227">
        <v>20160518</v>
      </c>
      <c r="G6227" t="s">
        <v>5272</v>
      </c>
      <c r="H6227" t="s">
        <v>5273</v>
      </c>
      <c r="I6227">
        <v>0</v>
      </c>
      <c r="J6227" t="s">
        <v>1709</v>
      </c>
      <c r="K6227" t="s">
        <v>2194</v>
      </c>
      <c r="L6227" t="s">
        <v>285</v>
      </c>
      <c r="M6227" t="str">
        <f t="shared" si="452"/>
        <v>05</v>
      </c>
      <c r="N6227" t="s">
        <v>12</v>
      </c>
    </row>
    <row r="6228" spans="1:14" x14ac:dyDescent="0.25">
      <c r="A6228">
        <v>20160520</v>
      </c>
      <c r="B6228" t="str">
        <f>"063543"</f>
        <v>063543</v>
      </c>
      <c r="C6228" t="str">
        <f>"45855"</f>
        <v>45855</v>
      </c>
      <c r="D6228" t="s">
        <v>2546</v>
      </c>
      <c r="E6228" s="3">
        <v>19.98</v>
      </c>
      <c r="F6228">
        <v>20160518</v>
      </c>
      <c r="G6228" t="s">
        <v>5272</v>
      </c>
      <c r="H6228" t="s">
        <v>5274</v>
      </c>
      <c r="I6228">
        <v>0</v>
      </c>
      <c r="J6228" t="s">
        <v>1709</v>
      </c>
      <c r="K6228" t="s">
        <v>2194</v>
      </c>
      <c r="L6228" t="s">
        <v>285</v>
      </c>
      <c r="M6228" t="str">
        <f t="shared" si="452"/>
        <v>05</v>
      </c>
      <c r="N6228" t="s">
        <v>12</v>
      </c>
    </row>
    <row r="6229" spans="1:14" x14ac:dyDescent="0.25">
      <c r="A6229">
        <v>20160520</v>
      </c>
      <c r="B6229" t="str">
        <f>"063544"</f>
        <v>063544</v>
      </c>
      <c r="C6229" t="str">
        <f>"47725"</f>
        <v>47725</v>
      </c>
      <c r="D6229" t="s">
        <v>1883</v>
      </c>
      <c r="E6229" s="3">
        <v>201</v>
      </c>
      <c r="F6229">
        <v>20160518</v>
      </c>
      <c r="G6229" t="s">
        <v>1859</v>
      </c>
      <c r="H6229" t="s">
        <v>5275</v>
      </c>
      <c r="I6229">
        <v>0</v>
      </c>
      <c r="J6229" t="s">
        <v>1709</v>
      </c>
      <c r="K6229" t="s">
        <v>1861</v>
      </c>
      <c r="L6229" t="s">
        <v>285</v>
      </c>
      <c r="M6229" t="str">
        <f t="shared" si="452"/>
        <v>05</v>
      </c>
      <c r="N6229" t="s">
        <v>12</v>
      </c>
    </row>
    <row r="6230" spans="1:14" x14ac:dyDescent="0.25">
      <c r="A6230">
        <v>20160520</v>
      </c>
      <c r="B6230" t="str">
        <f>"063544"</f>
        <v>063544</v>
      </c>
      <c r="C6230" t="str">
        <f>"47725"</f>
        <v>47725</v>
      </c>
      <c r="D6230" t="s">
        <v>1883</v>
      </c>
      <c r="E6230" s="3">
        <v>456</v>
      </c>
      <c r="F6230">
        <v>20160518</v>
      </c>
      <c r="G6230" t="s">
        <v>1859</v>
      </c>
      <c r="H6230" t="s">
        <v>5276</v>
      </c>
      <c r="I6230">
        <v>0</v>
      </c>
      <c r="J6230" t="s">
        <v>1709</v>
      </c>
      <c r="K6230" t="s">
        <v>1861</v>
      </c>
      <c r="L6230" t="s">
        <v>285</v>
      </c>
      <c r="M6230" t="str">
        <f t="shared" si="452"/>
        <v>05</v>
      </c>
      <c r="N6230" t="s">
        <v>12</v>
      </c>
    </row>
    <row r="6231" spans="1:14" x14ac:dyDescent="0.25">
      <c r="A6231">
        <v>20160520</v>
      </c>
      <c r="B6231" t="str">
        <f>"063545"</f>
        <v>063545</v>
      </c>
      <c r="C6231" t="str">
        <f>"49748"</f>
        <v>49748</v>
      </c>
      <c r="D6231" t="s">
        <v>1885</v>
      </c>
      <c r="E6231" s="3">
        <v>29.11</v>
      </c>
      <c r="F6231">
        <v>20160519</v>
      </c>
      <c r="G6231" t="s">
        <v>2124</v>
      </c>
      <c r="H6231" t="s">
        <v>5277</v>
      </c>
      <c r="I6231">
        <v>0</v>
      </c>
      <c r="J6231" t="s">
        <v>1709</v>
      </c>
      <c r="K6231" t="s">
        <v>290</v>
      </c>
      <c r="L6231" t="s">
        <v>285</v>
      </c>
      <c r="M6231" t="str">
        <f t="shared" si="452"/>
        <v>05</v>
      </c>
      <c r="N6231" t="s">
        <v>12</v>
      </c>
    </row>
    <row r="6232" spans="1:14" x14ac:dyDescent="0.25">
      <c r="A6232">
        <v>20160520</v>
      </c>
      <c r="B6232" t="str">
        <f>"063546"</f>
        <v>063546</v>
      </c>
      <c r="C6232" t="str">
        <f>"50476"</f>
        <v>50476</v>
      </c>
      <c r="D6232" t="s">
        <v>4814</v>
      </c>
      <c r="E6232" s="3">
        <v>300</v>
      </c>
      <c r="F6232">
        <v>20160519</v>
      </c>
      <c r="G6232" t="s">
        <v>1788</v>
      </c>
      <c r="H6232" t="s">
        <v>5278</v>
      </c>
      <c r="I6232">
        <v>0</v>
      </c>
      <c r="J6232" t="s">
        <v>1709</v>
      </c>
      <c r="K6232" t="s">
        <v>1643</v>
      </c>
      <c r="L6232" t="s">
        <v>285</v>
      </c>
      <c r="M6232" t="str">
        <f t="shared" si="452"/>
        <v>05</v>
      </c>
      <c r="N6232" t="s">
        <v>12</v>
      </c>
    </row>
    <row r="6233" spans="1:14" x14ac:dyDescent="0.25">
      <c r="A6233">
        <v>20160520</v>
      </c>
      <c r="B6233" t="str">
        <f>"063547"</f>
        <v>063547</v>
      </c>
      <c r="C6233" t="str">
        <f>"50793"</f>
        <v>50793</v>
      </c>
      <c r="D6233" t="s">
        <v>5279</v>
      </c>
      <c r="E6233" s="3">
        <v>307.14999999999998</v>
      </c>
      <c r="F6233">
        <v>20160519</v>
      </c>
      <c r="G6233" t="s">
        <v>3064</v>
      </c>
      <c r="H6233" t="s">
        <v>5240</v>
      </c>
      <c r="I6233">
        <v>0</v>
      </c>
      <c r="J6233" t="s">
        <v>1709</v>
      </c>
      <c r="K6233" t="s">
        <v>33</v>
      </c>
      <c r="L6233" t="s">
        <v>285</v>
      </c>
      <c r="M6233" t="str">
        <f t="shared" si="452"/>
        <v>05</v>
      </c>
      <c r="N6233" t="s">
        <v>12</v>
      </c>
    </row>
    <row r="6234" spans="1:14" x14ac:dyDescent="0.25">
      <c r="A6234">
        <v>20160520</v>
      </c>
      <c r="B6234" t="str">
        <f>"063548"</f>
        <v>063548</v>
      </c>
      <c r="C6234" t="str">
        <f>"51475"</f>
        <v>51475</v>
      </c>
      <c r="D6234" t="s">
        <v>2352</v>
      </c>
      <c r="E6234" s="3">
        <v>57.21</v>
      </c>
      <c r="F6234">
        <v>20160519</v>
      </c>
      <c r="G6234" t="s">
        <v>2525</v>
      </c>
      <c r="H6234" t="s">
        <v>5280</v>
      </c>
      <c r="I6234">
        <v>0</v>
      </c>
      <c r="J6234" t="s">
        <v>1709</v>
      </c>
      <c r="K6234" t="s">
        <v>2194</v>
      </c>
      <c r="L6234" t="s">
        <v>285</v>
      </c>
      <c r="M6234" t="str">
        <f t="shared" si="452"/>
        <v>05</v>
      </c>
      <c r="N6234" t="s">
        <v>12</v>
      </c>
    </row>
    <row r="6235" spans="1:14" x14ac:dyDescent="0.25">
      <c r="A6235">
        <v>20160520</v>
      </c>
      <c r="B6235" t="str">
        <f>"063549"</f>
        <v>063549</v>
      </c>
      <c r="C6235" t="str">
        <f>"53006"</f>
        <v>53006</v>
      </c>
      <c r="D6235" t="s">
        <v>2909</v>
      </c>
      <c r="E6235" s="3">
        <v>112.77</v>
      </c>
      <c r="F6235">
        <v>20160519</v>
      </c>
      <c r="G6235" t="s">
        <v>2910</v>
      </c>
      <c r="H6235" t="s">
        <v>5281</v>
      </c>
      <c r="I6235">
        <v>0</v>
      </c>
      <c r="J6235" t="s">
        <v>1709</v>
      </c>
      <c r="K6235" t="s">
        <v>33</v>
      </c>
      <c r="L6235" t="s">
        <v>285</v>
      </c>
      <c r="M6235" t="str">
        <f t="shared" si="452"/>
        <v>05</v>
      </c>
      <c r="N6235" t="s">
        <v>12</v>
      </c>
    </row>
    <row r="6236" spans="1:14" x14ac:dyDescent="0.25">
      <c r="A6236">
        <v>20160520</v>
      </c>
      <c r="B6236" t="str">
        <f>"063550"</f>
        <v>063550</v>
      </c>
      <c r="C6236" t="str">
        <f>"53444"</f>
        <v>53444</v>
      </c>
      <c r="D6236" t="s">
        <v>5282</v>
      </c>
      <c r="E6236" s="3">
        <v>240</v>
      </c>
      <c r="F6236">
        <v>20160519</v>
      </c>
      <c r="G6236" t="s">
        <v>4639</v>
      </c>
      <c r="H6236" t="s">
        <v>5267</v>
      </c>
      <c r="I6236">
        <v>0</v>
      </c>
      <c r="J6236" t="s">
        <v>1709</v>
      </c>
      <c r="K6236" t="s">
        <v>95</v>
      </c>
      <c r="L6236" t="s">
        <v>285</v>
      </c>
      <c r="M6236" t="str">
        <f t="shared" si="452"/>
        <v>05</v>
      </c>
      <c r="N6236" t="s">
        <v>12</v>
      </c>
    </row>
    <row r="6237" spans="1:14" x14ac:dyDescent="0.25">
      <c r="A6237">
        <v>20160520</v>
      </c>
      <c r="B6237" t="str">
        <f>"063551"</f>
        <v>063551</v>
      </c>
      <c r="C6237" t="str">
        <f>"53447"</f>
        <v>53447</v>
      </c>
      <c r="D6237" t="s">
        <v>5283</v>
      </c>
      <c r="E6237" s="3">
        <v>240</v>
      </c>
      <c r="F6237">
        <v>20160519</v>
      </c>
      <c r="G6237" t="s">
        <v>4639</v>
      </c>
      <c r="H6237" t="s">
        <v>5267</v>
      </c>
      <c r="I6237">
        <v>0</v>
      </c>
      <c r="J6237" t="s">
        <v>1709</v>
      </c>
      <c r="K6237" t="s">
        <v>95</v>
      </c>
      <c r="L6237" t="s">
        <v>285</v>
      </c>
      <c r="M6237" t="str">
        <f t="shared" si="452"/>
        <v>05</v>
      </c>
      <c r="N6237" t="s">
        <v>12</v>
      </c>
    </row>
    <row r="6238" spans="1:14" x14ac:dyDescent="0.25">
      <c r="A6238">
        <v>20160520</v>
      </c>
      <c r="B6238" t="str">
        <f>"063552"</f>
        <v>063552</v>
      </c>
      <c r="C6238" t="str">
        <f>"53995"</f>
        <v>53995</v>
      </c>
      <c r="D6238" t="s">
        <v>1999</v>
      </c>
      <c r="E6238" s="3">
        <v>414</v>
      </c>
      <c r="F6238">
        <v>20160519</v>
      </c>
      <c r="G6238" t="s">
        <v>5284</v>
      </c>
      <c r="H6238" t="s">
        <v>5285</v>
      </c>
      <c r="I6238">
        <v>0</v>
      </c>
      <c r="J6238" t="s">
        <v>1709</v>
      </c>
      <c r="K6238" t="s">
        <v>33</v>
      </c>
      <c r="L6238" t="s">
        <v>285</v>
      </c>
      <c r="M6238" t="str">
        <f t="shared" si="452"/>
        <v>05</v>
      </c>
      <c r="N6238" t="s">
        <v>12</v>
      </c>
    </row>
    <row r="6239" spans="1:14" x14ac:dyDescent="0.25">
      <c r="A6239">
        <v>20160520</v>
      </c>
      <c r="B6239" t="str">
        <f>"063553"</f>
        <v>063553</v>
      </c>
      <c r="C6239" t="str">
        <f>"54149"</f>
        <v>54149</v>
      </c>
      <c r="D6239" t="s">
        <v>1617</v>
      </c>
      <c r="E6239" s="3">
        <v>236.16</v>
      </c>
      <c r="F6239">
        <v>20160519</v>
      </c>
      <c r="G6239" t="s">
        <v>3485</v>
      </c>
      <c r="H6239" t="s">
        <v>1618</v>
      </c>
      <c r="I6239">
        <v>0</v>
      </c>
      <c r="J6239" t="s">
        <v>1709</v>
      </c>
      <c r="K6239" t="s">
        <v>1558</v>
      </c>
      <c r="L6239" t="s">
        <v>285</v>
      </c>
      <c r="M6239" t="str">
        <f t="shared" si="452"/>
        <v>05</v>
      </c>
      <c r="N6239" t="s">
        <v>12</v>
      </c>
    </row>
    <row r="6240" spans="1:14" x14ac:dyDescent="0.25">
      <c r="A6240">
        <v>20160520</v>
      </c>
      <c r="B6240" t="str">
        <f>"063557"</f>
        <v>063557</v>
      </c>
      <c r="C6240" t="str">
        <f>"61166"</f>
        <v>61166</v>
      </c>
      <c r="D6240" t="s">
        <v>3269</v>
      </c>
      <c r="E6240" s="3">
        <v>129.19999999999999</v>
      </c>
      <c r="F6240">
        <v>20160519</v>
      </c>
      <c r="G6240" t="s">
        <v>3270</v>
      </c>
      <c r="H6240" t="s">
        <v>3271</v>
      </c>
      <c r="I6240">
        <v>0</v>
      </c>
      <c r="J6240" t="s">
        <v>1709</v>
      </c>
      <c r="K6240" t="s">
        <v>1750</v>
      </c>
      <c r="L6240" t="s">
        <v>285</v>
      </c>
      <c r="M6240" t="str">
        <f t="shared" si="452"/>
        <v>05</v>
      </c>
      <c r="N6240" t="s">
        <v>12</v>
      </c>
    </row>
    <row r="6241" spans="1:14" x14ac:dyDescent="0.25">
      <c r="A6241">
        <v>20160520</v>
      </c>
      <c r="B6241" t="str">
        <f>"063558"</f>
        <v>063558</v>
      </c>
      <c r="C6241" t="str">
        <f>"58201"</f>
        <v>58201</v>
      </c>
      <c r="D6241" t="s">
        <v>1690</v>
      </c>
      <c r="E6241" s="3">
        <v>129</v>
      </c>
      <c r="F6241">
        <v>20160519</v>
      </c>
      <c r="G6241" t="s">
        <v>3114</v>
      </c>
      <c r="H6241" t="s">
        <v>5286</v>
      </c>
      <c r="I6241">
        <v>0</v>
      </c>
      <c r="J6241" t="s">
        <v>1709</v>
      </c>
      <c r="K6241" t="s">
        <v>33</v>
      </c>
      <c r="L6241" t="s">
        <v>285</v>
      </c>
      <c r="M6241" t="str">
        <f t="shared" si="452"/>
        <v>05</v>
      </c>
      <c r="N6241" t="s">
        <v>12</v>
      </c>
    </row>
    <row r="6242" spans="1:14" x14ac:dyDescent="0.25">
      <c r="A6242">
        <v>20160520</v>
      </c>
      <c r="B6242" t="str">
        <f>"063559"</f>
        <v>063559</v>
      </c>
      <c r="C6242" t="str">
        <f>"58203"</f>
        <v>58203</v>
      </c>
      <c r="D6242" t="s">
        <v>2371</v>
      </c>
      <c r="E6242" s="3">
        <v>4</v>
      </c>
      <c r="F6242">
        <v>20160519</v>
      </c>
      <c r="G6242" t="s">
        <v>2262</v>
      </c>
      <c r="H6242" t="s">
        <v>5287</v>
      </c>
      <c r="I6242">
        <v>0</v>
      </c>
      <c r="J6242" t="s">
        <v>1709</v>
      </c>
      <c r="K6242" t="s">
        <v>1643</v>
      </c>
      <c r="L6242" t="s">
        <v>285</v>
      </c>
      <c r="M6242" t="str">
        <f t="shared" si="452"/>
        <v>05</v>
      </c>
      <c r="N6242" t="s">
        <v>12</v>
      </c>
    </row>
    <row r="6243" spans="1:14" x14ac:dyDescent="0.25">
      <c r="A6243">
        <v>20160520</v>
      </c>
      <c r="B6243" t="str">
        <f>"063560"</f>
        <v>063560</v>
      </c>
      <c r="C6243" t="str">
        <f>"59097"</f>
        <v>59097</v>
      </c>
      <c r="D6243" t="s">
        <v>1755</v>
      </c>
      <c r="E6243" s="3">
        <v>35.39</v>
      </c>
      <c r="F6243">
        <v>20160519</v>
      </c>
      <c r="G6243" t="s">
        <v>4705</v>
      </c>
      <c r="H6243" t="s">
        <v>4822</v>
      </c>
      <c r="I6243">
        <v>0</v>
      </c>
      <c r="J6243" t="s">
        <v>1709</v>
      </c>
      <c r="K6243" t="s">
        <v>290</v>
      </c>
      <c r="L6243" t="s">
        <v>285</v>
      </c>
      <c r="M6243" t="str">
        <f t="shared" si="452"/>
        <v>05</v>
      </c>
      <c r="N6243" t="s">
        <v>12</v>
      </c>
    </row>
    <row r="6244" spans="1:14" x14ac:dyDescent="0.25">
      <c r="A6244">
        <v>20160520</v>
      </c>
      <c r="B6244" t="str">
        <f>"063560"</f>
        <v>063560</v>
      </c>
      <c r="C6244" t="str">
        <f>"59097"</f>
        <v>59097</v>
      </c>
      <c r="D6244" t="s">
        <v>1755</v>
      </c>
      <c r="E6244" s="3">
        <v>93.21</v>
      </c>
      <c r="F6244">
        <v>20160519</v>
      </c>
      <c r="G6244" t="s">
        <v>3534</v>
      </c>
      <c r="H6244" t="s">
        <v>4822</v>
      </c>
      <c r="I6244">
        <v>0</v>
      </c>
      <c r="J6244" t="s">
        <v>1709</v>
      </c>
      <c r="K6244" t="s">
        <v>290</v>
      </c>
      <c r="L6244" t="s">
        <v>285</v>
      </c>
      <c r="M6244" t="str">
        <f t="shared" si="452"/>
        <v>05</v>
      </c>
      <c r="N6244" t="s">
        <v>12</v>
      </c>
    </row>
    <row r="6245" spans="1:14" x14ac:dyDescent="0.25">
      <c r="A6245">
        <v>20160520</v>
      </c>
      <c r="B6245" t="str">
        <f t="shared" ref="B6245:B6260" si="453">"063561"</f>
        <v>063561</v>
      </c>
      <c r="C6245" t="str">
        <f t="shared" ref="C6245:C6260" si="454">"60603"</f>
        <v>60603</v>
      </c>
      <c r="D6245" t="s">
        <v>2702</v>
      </c>
      <c r="E6245" s="3">
        <v>28.88</v>
      </c>
      <c r="F6245">
        <v>20160519</v>
      </c>
      <c r="G6245" t="s">
        <v>2226</v>
      </c>
      <c r="H6245" t="s">
        <v>5198</v>
      </c>
      <c r="I6245">
        <v>0</v>
      </c>
      <c r="J6245" t="s">
        <v>1709</v>
      </c>
      <c r="K6245" t="s">
        <v>33</v>
      </c>
      <c r="L6245" t="s">
        <v>285</v>
      </c>
      <c r="M6245" t="str">
        <f t="shared" si="452"/>
        <v>05</v>
      </c>
      <c r="N6245" t="s">
        <v>12</v>
      </c>
    </row>
    <row r="6246" spans="1:14" x14ac:dyDescent="0.25">
      <c r="A6246">
        <v>20160520</v>
      </c>
      <c r="B6246" t="str">
        <f t="shared" si="453"/>
        <v>063561</v>
      </c>
      <c r="C6246" t="str">
        <f t="shared" si="454"/>
        <v>60603</v>
      </c>
      <c r="D6246" t="s">
        <v>2702</v>
      </c>
      <c r="E6246" s="3">
        <v>493</v>
      </c>
      <c r="F6246">
        <v>20160519</v>
      </c>
      <c r="G6246" t="s">
        <v>2226</v>
      </c>
      <c r="H6246" t="s">
        <v>3291</v>
      </c>
      <c r="I6246">
        <v>0</v>
      </c>
      <c r="J6246" t="s">
        <v>1709</v>
      </c>
      <c r="K6246" t="s">
        <v>33</v>
      </c>
      <c r="L6246" t="s">
        <v>285</v>
      </c>
      <c r="M6246" t="str">
        <f t="shared" si="452"/>
        <v>05</v>
      </c>
      <c r="N6246" t="s">
        <v>12</v>
      </c>
    </row>
    <row r="6247" spans="1:14" x14ac:dyDescent="0.25">
      <c r="A6247">
        <v>20160520</v>
      </c>
      <c r="B6247" t="str">
        <f t="shared" si="453"/>
        <v>063561</v>
      </c>
      <c r="C6247" t="str">
        <f t="shared" si="454"/>
        <v>60603</v>
      </c>
      <c r="D6247" t="s">
        <v>2702</v>
      </c>
      <c r="E6247" s="3">
        <v>11.28</v>
      </c>
      <c r="F6247">
        <v>20160519</v>
      </c>
      <c r="G6247" t="s">
        <v>2226</v>
      </c>
      <c r="H6247" t="s">
        <v>4173</v>
      </c>
      <c r="I6247">
        <v>0</v>
      </c>
      <c r="J6247" t="s">
        <v>1709</v>
      </c>
      <c r="K6247" t="s">
        <v>33</v>
      </c>
      <c r="L6247" t="s">
        <v>285</v>
      </c>
      <c r="M6247" t="str">
        <f t="shared" si="452"/>
        <v>05</v>
      </c>
      <c r="N6247" t="s">
        <v>12</v>
      </c>
    </row>
    <row r="6248" spans="1:14" x14ac:dyDescent="0.25">
      <c r="A6248">
        <v>20160520</v>
      </c>
      <c r="B6248" t="str">
        <f t="shared" si="453"/>
        <v>063561</v>
      </c>
      <c r="C6248" t="str">
        <f t="shared" si="454"/>
        <v>60603</v>
      </c>
      <c r="D6248" t="s">
        <v>2702</v>
      </c>
      <c r="E6248" s="3">
        <v>132.63</v>
      </c>
      <c r="F6248">
        <v>20160519</v>
      </c>
      <c r="G6248" t="s">
        <v>2226</v>
      </c>
      <c r="H6248" t="s">
        <v>3291</v>
      </c>
      <c r="I6248">
        <v>0</v>
      </c>
      <c r="J6248" t="s">
        <v>1709</v>
      </c>
      <c r="K6248" t="s">
        <v>33</v>
      </c>
      <c r="L6248" t="s">
        <v>285</v>
      </c>
      <c r="M6248" t="str">
        <f t="shared" si="452"/>
        <v>05</v>
      </c>
      <c r="N6248" t="s">
        <v>12</v>
      </c>
    </row>
    <row r="6249" spans="1:14" x14ac:dyDescent="0.25">
      <c r="A6249">
        <v>20160520</v>
      </c>
      <c r="B6249" t="str">
        <f t="shared" si="453"/>
        <v>063561</v>
      </c>
      <c r="C6249" t="str">
        <f t="shared" si="454"/>
        <v>60603</v>
      </c>
      <c r="D6249" t="s">
        <v>2702</v>
      </c>
      <c r="E6249" s="3">
        <v>21.24</v>
      </c>
      <c r="F6249">
        <v>20160519</v>
      </c>
      <c r="G6249" t="s">
        <v>2226</v>
      </c>
      <c r="H6249" t="s">
        <v>5288</v>
      </c>
      <c r="I6249">
        <v>0</v>
      </c>
      <c r="J6249" t="s">
        <v>1709</v>
      </c>
      <c r="K6249" t="s">
        <v>33</v>
      </c>
      <c r="L6249" t="s">
        <v>285</v>
      </c>
      <c r="M6249" t="str">
        <f t="shared" si="452"/>
        <v>05</v>
      </c>
      <c r="N6249" t="s">
        <v>12</v>
      </c>
    </row>
    <row r="6250" spans="1:14" x14ac:dyDescent="0.25">
      <c r="A6250">
        <v>20160520</v>
      </c>
      <c r="B6250" t="str">
        <f t="shared" si="453"/>
        <v>063561</v>
      </c>
      <c r="C6250" t="str">
        <f t="shared" si="454"/>
        <v>60603</v>
      </c>
      <c r="D6250" t="s">
        <v>2702</v>
      </c>
      <c r="E6250" s="3">
        <v>10.19</v>
      </c>
      <c r="F6250">
        <v>20160519</v>
      </c>
      <c r="G6250" t="s">
        <v>2226</v>
      </c>
      <c r="H6250" t="s">
        <v>5289</v>
      </c>
      <c r="I6250">
        <v>0</v>
      </c>
      <c r="J6250" t="s">
        <v>1709</v>
      </c>
      <c r="K6250" t="s">
        <v>33</v>
      </c>
      <c r="L6250" t="s">
        <v>285</v>
      </c>
      <c r="M6250" t="str">
        <f t="shared" si="452"/>
        <v>05</v>
      </c>
      <c r="N6250" t="s">
        <v>12</v>
      </c>
    </row>
    <row r="6251" spans="1:14" x14ac:dyDescent="0.25">
      <c r="A6251">
        <v>20160520</v>
      </c>
      <c r="B6251" t="str">
        <f t="shared" si="453"/>
        <v>063561</v>
      </c>
      <c r="C6251" t="str">
        <f t="shared" si="454"/>
        <v>60603</v>
      </c>
      <c r="D6251" t="s">
        <v>2702</v>
      </c>
      <c r="E6251" s="3">
        <v>373.26</v>
      </c>
      <c r="F6251">
        <v>20160519</v>
      </c>
      <c r="G6251" t="s">
        <v>2226</v>
      </c>
      <c r="H6251" t="s">
        <v>3291</v>
      </c>
      <c r="I6251">
        <v>0</v>
      </c>
      <c r="J6251" t="s">
        <v>1709</v>
      </c>
      <c r="K6251" t="s">
        <v>33</v>
      </c>
      <c r="L6251" t="s">
        <v>285</v>
      </c>
      <c r="M6251" t="str">
        <f t="shared" si="452"/>
        <v>05</v>
      </c>
      <c r="N6251" t="s">
        <v>12</v>
      </c>
    </row>
    <row r="6252" spans="1:14" x14ac:dyDescent="0.25">
      <c r="A6252">
        <v>20160520</v>
      </c>
      <c r="B6252" t="str">
        <f t="shared" si="453"/>
        <v>063561</v>
      </c>
      <c r="C6252" t="str">
        <f t="shared" si="454"/>
        <v>60603</v>
      </c>
      <c r="D6252" t="s">
        <v>2702</v>
      </c>
      <c r="E6252" s="3">
        <v>6.79</v>
      </c>
      <c r="F6252">
        <v>20160519</v>
      </c>
      <c r="G6252" t="s">
        <v>2226</v>
      </c>
      <c r="H6252" t="s">
        <v>3359</v>
      </c>
      <c r="I6252">
        <v>0</v>
      </c>
      <c r="J6252" t="s">
        <v>1709</v>
      </c>
      <c r="K6252" t="s">
        <v>33</v>
      </c>
      <c r="L6252" t="s">
        <v>285</v>
      </c>
      <c r="M6252" t="str">
        <f t="shared" si="452"/>
        <v>05</v>
      </c>
      <c r="N6252" t="s">
        <v>12</v>
      </c>
    </row>
    <row r="6253" spans="1:14" x14ac:dyDescent="0.25">
      <c r="A6253">
        <v>20160520</v>
      </c>
      <c r="B6253" t="str">
        <f t="shared" si="453"/>
        <v>063561</v>
      </c>
      <c r="C6253" t="str">
        <f t="shared" si="454"/>
        <v>60603</v>
      </c>
      <c r="D6253" t="s">
        <v>2702</v>
      </c>
      <c r="E6253" s="3">
        <v>26.34</v>
      </c>
      <c r="F6253">
        <v>20160519</v>
      </c>
      <c r="G6253" t="s">
        <v>2226</v>
      </c>
      <c r="H6253" t="s">
        <v>4857</v>
      </c>
      <c r="I6253">
        <v>0</v>
      </c>
      <c r="J6253" t="s">
        <v>1709</v>
      </c>
      <c r="K6253" t="s">
        <v>33</v>
      </c>
      <c r="L6253" t="s">
        <v>285</v>
      </c>
      <c r="M6253" t="str">
        <f t="shared" si="452"/>
        <v>05</v>
      </c>
      <c r="N6253" t="s">
        <v>12</v>
      </c>
    </row>
    <row r="6254" spans="1:14" x14ac:dyDescent="0.25">
      <c r="A6254">
        <v>20160520</v>
      </c>
      <c r="B6254" t="str">
        <f t="shared" si="453"/>
        <v>063561</v>
      </c>
      <c r="C6254" t="str">
        <f t="shared" si="454"/>
        <v>60603</v>
      </c>
      <c r="D6254" t="s">
        <v>2702</v>
      </c>
      <c r="E6254" s="3">
        <v>130.4</v>
      </c>
      <c r="F6254">
        <v>20160519</v>
      </c>
      <c r="G6254" t="s">
        <v>2226</v>
      </c>
      <c r="H6254" t="s">
        <v>5290</v>
      </c>
      <c r="I6254">
        <v>0</v>
      </c>
      <c r="J6254" t="s">
        <v>1709</v>
      </c>
      <c r="K6254" t="s">
        <v>33</v>
      </c>
      <c r="L6254" t="s">
        <v>285</v>
      </c>
      <c r="M6254" t="str">
        <f t="shared" si="452"/>
        <v>05</v>
      </c>
      <c r="N6254" t="s">
        <v>12</v>
      </c>
    </row>
    <row r="6255" spans="1:14" x14ac:dyDescent="0.25">
      <c r="A6255">
        <v>20160520</v>
      </c>
      <c r="B6255" t="str">
        <f t="shared" si="453"/>
        <v>063561</v>
      </c>
      <c r="C6255" t="str">
        <f t="shared" si="454"/>
        <v>60603</v>
      </c>
      <c r="D6255" t="s">
        <v>2702</v>
      </c>
      <c r="E6255" s="3">
        <v>39.72</v>
      </c>
      <c r="F6255">
        <v>20160519</v>
      </c>
      <c r="G6255" t="s">
        <v>2226</v>
      </c>
      <c r="H6255" t="s">
        <v>3291</v>
      </c>
      <c r="I6255">
        <v>0</v>
      </c>
      <c r="J6255" t="s">
        <v>1709</v>
      </c>
      <c r="K6255" t="s">
        <v>33</v>
      </c>
      <c r="L6255" t="s">
        <v>285</v>
      </c>
      <c r="M6255" t="str">
        <f t="shared" si="452"/>
        <v>05</v>
      </c>
      <c r="N6255" t="s">
        <v>12</v>
      </c>
    </row>
    <row r="6256" spans="1:14" x14ac:dyDescent="0.25">
      <c r="A6256">
        <v>20160520</v>
      </c>
      <c r="B6256" t="str">
        <f t="shared" si="453"/>
        <v>063561</v>
      </c>
      <c r="C6256" t="str">
        <f t="shared" si="454"/>
        <v>60603</v>
      </c>
      <c r="D6256" t="s">
        <v>2702</v>
      </c>
      <c r="E6256" s="3">
        <v>156.44</v>
      </c>
      <c r="F6256">
        <v>20160519</v>
      </c>
      <c r="G6256" t="s">
        <v>2706</v>
      </c>
      <c r="H6256" t="s">
        <v>4172</v>
      </c>
      <c r="I6256">
        <v>0</v>
      </c>
      <c r="J6256" t="s">
        <v>1709</v>
      </c>
      <c r="K6256" t="s">
        <v>33</v>
      </c>
      <c r="L6256" t="s">
        <v>285</v>
      </c>
      <c r="M6256" t="str">
        <f t="shared" si="452"/>
        <v>05</v>
      </c>
      <c r="N6256" t="s">
        <v>12</v>
      </c>
    </row>
    <row r="6257" spans="1:14" x14ac:dyDescent="0.25">
      <c r="A6257">
        <v>20160520</v>
      </c>
      <c r="B6257" t="str">
        <f t="shared" si="453"/>
        <v>063561</v>
      </c>
      <c r="C6257" t="str">
        <f t="shared" si="454"/>
        <v>60603</v>
      </c>
      <c r="D6257" t="s">
        <v>2702</v>
      </c>
      <c r="E6257" s="3">
        <v>57.78</v>
      </c>
      <c r="F6257">
        <v>20160519</v>
      </c>
      <c r="G6257" t="s">
        <v>2706</v>
      </c>
      <c r="H6257" t="s">
        <v>5291</v>
      </c>
      <c r="I6257">
        <v>0</v>
      </c>
      <c r="J6257" t="s">
        <v>1709</v>
      </c>
      <c r="K6257" t="s">
        <v>33</v>
      </c>
      <c r="L6257" t="s">
        <v>285</v>
      </c>
      <c r="M6257" t="str">
        <f t="shared" si="452"/>
        <v>05</v>
      </c>
      <c r="N6257" t="s">
        <v>12</v>
      </c>
    </row>
    <row r="6258" spans="1:14" x14ac:dyDescent="0.25">
      <c r="A6258">
        <v>20160520</v>
      </c>
      <c r="B6258" t="str">
        <f t="shared" si="453"/>
        <v>063561</v>
      </c>
      <c r="C6258" t="str">
        <f t="shared" si="454"/>
        <v>60603</v>
      </c>
      <c r="D6258" t="s">
        <v>2702</v>
      </c>
      <c r="E6258" s="3">
        <v>7.64</v>
      </c>
      <c r="F6258">
        <v>20160519</v>
      </c>
      <c r="G6258" t="s">
        <v>2706</v>
      </c>
      <c r="H6258" t="s">
        <v>5292</v>
      </c>
      <c r="I6258">
        <v>0</v>
      </c>
      <c r="J6258" t="s">
        <v>1709</v>
      </c>
      <c r="K6258" t="s">
        <v>33</v>
      </c>
      <c r="L6258" t="s">
        <v>285</v>
      </c>
      <c r="M6258" t="str">
        <f t="shared" si="452"/>
        <v>05</v>
      </c>
      <c r="N6258" t="s">
        <v>12</v>
      </c>
    </row>
    <row r="6259" spans="1:14" x14ac:dyDescent="0.25">
      <c r="A6259">
        <v>20160520</v>
      </c>
      <c r="B6259" t="str">
        <f t="shared" si="453"/>
        <v>063561</v>
      </c>
      <c r="C6259" t="str">
        <f t="shared" si="454"/>
        <v>60603</v>
      </c>
      <c r="D6259" t="s">
        <v>2702</v>
      </c>
      <c r="E6259" s="3">
        <v>68.900000000000006</v>
      </c>
      <c r="F6259">
        <v>20160519</v>
      </c>
      <c r="G6259" t="s">
        <v>2706</v>
      </c>
      <c r="H6259" t="s">
        <v>5293</v>
      </c>
      <c r="I6259">
        <v>0</v>
      </c>
      <c r="J6259" t="s">
        <v>1709</v>
      </c>
      <c r="K6259" t="s">
        <v>33</v>
      </c>
      <c r="L6259" t="s">
        <v>285</v>
      </c>
      <c r="M6259" t="str">
        <f t="shared" si="452"/>
        <v>05</v>
      </c>
      <c r="N6259" t="s">
        <v>12</v>
      </c>
    </row>
    <row r="6260" spans="1:14" x14ac:dyDescent="0.25">
      <c r="A6260">
        <v>20160520</v>
      </c>
      <c r="B6260" t="str">
        <f t="shared" si="453"/>
        <v>063561</v>
      </c>
      <c r="C6260" t="str">
        <f t="shared" si="454"/>
        <v>60603</v>
      </c>
      <c r="D6260" t="s">
        <v>2702</v>
      </c>
      <c r="E6260" s="3">
        <v>50.97</v>
      </c>
      <c r="F6260">
        <v>20160519</v>
      </c>
      <c r="G6260" t="s">
        <v>2706</v>
      </c>
      <c r="H6260" t="s">
        <v>5294</v>
      </c>
      <c r="I6260">
        <v>0</v>
      </c>
      <c r="J6260" t="s">
        <v>1709</v>
      </c>
      <c r="K6260" t="s">
        <v>33</v>
      </c>
      <c r="L6260" t="s">
        <v>285</v>
      </c>
      <c r="M6260" t="str">
        <f t="shared" si="452"/>
        <v>05</v>
      </c>
      <c r="N6260" t="s">
        <v>12</v>
      </c>
    </row>
    <row r="6261" spans="1:14" x14ac:dyDescent="0.25">
      <c r="A6261">
        <v>20160520</v>
      </c>
      <c r="B6261" t="str">
        <f>"063562"</f>
        <v>063562</v>
      </c>
      <c r="C6261" t="str">
        <f>"62340"</f>
        <v>62340</v>
      </c>
      <c r="D6261" t="s">
        <v>1911</v>
      </c>
      <c r="E6261" s="3">
        <v>4135.32</v>
      </c>
      <c r="F6261">
        <v>20160519</v>
      </c>
      <c r="G6261" t="s">
        <v>1912</v>
      </c>
      <c r="H6261" t="s">
        <v>4772</v>
      </c>
      <c r="I6261">
        <v>0</v>
      </c>
      <c r="J6261" t="s">
        <v>1709</v>
      </c>
      <c r="K6261" t="s">
        <v>1861</v>
      </c>
      <c r="L6261" t="s">
        <v>285</v>
      </c>
      <c r="M6261" t="str">
        <f t="shared" si="452"/>
        <v>05</v>
      </c>
      <c r="N6261" t="s">
        <v>12</v>
      </c>
    </row>
    <row r="6262" spans="1:14" x14ac:dyDescent="0.25">
      <c r="A6262">
        <v>20160520</v>
      </c>
      <c r="B6262" t="str">
        <f>"063564"</f>
        <v>063564</v>
      </c>
      <c r="C6262" t="str">
        <f>"63053"</f>
        <v>63053</v>
      </c>
      <c r="D6262" t="s">
        <v>2012</v>
      </c>
      <c r="E6262" s="3">
        <v>600</v>
      </c>
      <c r="F6262">
        <v>20160519</v>
      </c>
      <c r="G6262" t="s">
        <v>4713</v>
      </c>
      <c r="H6262" t="s">
        <v>4714</v>
      </c>
      <c r="I6262">
        <v>0</v>
      </c>
      <c r="J6262" t="s">
        <v>1709</v>
      </c>
      <c r="K6262" t="s">
        <v>290</v>
      </c>
      <c r="L6262" t="s">
        <v>285</v>
      </c>
      <c r="M6262" t="str">
        <f t="shared" si="452"/>
        <v>05</v>
      </c>
      <c r="N6262" t="s">
        <v>12</v>
      </c>
    </row>
    <row r="6263" spans="1:14" x14ac:dyDescent="0.25">
      <c r="A6263">
        <v>20160520</v>
      </c>
      <c r="B6263" t="str">
        <f>"063566"</f>
        <v>063566</v>
      </c>
      <c r="C6263" t="str">
        <f>"65428"</f>
        <v>65428</v>
      </c>
      <c r="D6263" t="s">
        <v>5295</v>
      </c>
      <c r="E6263" s="3">
        <v>450</v>
      </c>
      <c r="F6263">
        <v>20160519</v>
      </c>
      <c r="G6263" t="s">
        <v>4992</v>
      </c>
      <c r="H6263" t="s">
        <v>5296</v>
      </c>
      <c r="I6263">
        <v>0</v>
      </c>
      <c r="J6263" t="s">
        <v>1709</v>
      </c>
      <c r="K6263" t="s">
        <v>290</v>
      </c>
      <c r="L6263" t="s">
        <v>285</v>
      </c>
      <c r="M6263" t="str">
        <f t="shared" si="452"/>
        <v>05</v>
      </c>
      <c r="N6263" t="s">
        <v>12</v>
      </c>
    </row>
    <row r="6264" spans="1:14" x14ac:dyDescent="0.25">
      <c r="A6264">
        <v>20160520</v>
      </c>
      <c r="B6264" t="str">
        <f>"063569"</f>
        <v>063569</v>
      </c>
      <c r="C6264" t="str">
        <f>"71775"</f>
        <v>71775</v>
      </c>
      <c r="D6264" t="s">
        <v>5297</v>
      </c>
      <c r="E6264" s="3">
        <v>277.5</v>
      </c>
      <c r="F6264">
        <v>20160519</v>
      </c>
      <c r="G6264" t="s">
        <v>4550</v>
      </c>
      <c r="H6264" t="s">
        <v>4551</v>
      </c>
      <c r="I6264">
        <v>0</v>
      </c>
      <c r="J6264" t="s">
        <v>1709</v>
      </c>
      <c r="K6264" t="s">
        <v>290</v>
      </c>
      <c r="L6264" t="s">
        <v>285</v>
      </c>
      <c r="M6264" t="str">
        <f t="shared" si="452"/>
        <v>05</v>
      </c>
      <c r="N6264" t="s">
        <v>12</v>
      </c>
    </row>
    <row r="6265" spans="1:14" x14ac:dyDescent="0.25">
      <c r="A6265">
        <v>20160520</v>
      </c>
      <c r="B6265" t="str">
        <f>"063570"</f>
        <v>063570</v>
      </c>
      <c r="C6265" t="str">
        <f>"73550"</f>
        <v>73550</v>
      </c>
      <c r="D6265" t="s">
        <v>4099</v>
      </c>
      <c r="E6265" s="3">
        <v>100</v>
      </c>
      <c r="F6265">
        <v>20160519</v>
      </c>
      <c r="G6265" t="s">
        <v>3898</v>
      </c>
      <c r="H6265" t="s">
        <v>5240</v>
      </c>
      <c r="I6265">
        <v>0</v>
      </c>
      <c r="J6265" t="s">
        <v>1709</v>
      </c>
      <c r="K6265" t="s">
        <v>95</v>
      </c>
      <c r="L6265" t="s">
        <v>285</v>
      </c>
      <c r="M6265" t="str">
        <f t="shared" si="452"/>
        <v>05</v>
      </c>
      <c r="N6265" t="s">
        <v>12</v>
      </c>
    </row>
    <row r="6266" spans="1:14" x14ac:dyDescent="0.25">
      <c r="A6266">
        <v>20160520</v>
      </c>
      <c r="B6266" t="str">
        <f>"063572"</f>
        <v>063572</v>
      </c>
      <c r="C6266" t="str">
        <f>"74385"</f>
        <v>74385</v>
      </c>
      <c r="D6266" t="s">
        <v>1767</v>
      </c>
      <c r="E6266" s="3">
        <v>375</v>
      </c>
      <c r="F6266">
        <v>20160519</v>
      </c>
      <c r="G6266" t="s">
        <v>1765</v>
      </c>
      <c r="H6266" t="s">
        <v>4893</v>
      </c>
      <c r="I6266">
        <v>0</v>
      </c>
      <c r="J6266" t="s">
        <v>1709</v>
      </c>
      <c r="K6266" t="s">
        <v>1744</v>
      </c>
      <c r="L6266" t="s">
        <v>285</v>
      </c>
      <c r="M6266" t="str">
        <f t="shared" si="452"/>
        <v>05</v>
      </c>
      <c r="N6266" t="s">
        <v>12</v>
      </c>
    </row>
    <row r="6267" spans="1:14" x14ac:dyDescent="0.25">
      <c r="A6267">
        <v>20160520</v>
      </c>
      <c r="B6267" t="str">
        <f>"063572"</f>
        <v>063572</v>
      </c>
      <c r="C6267" t="str">
        <f>"74385"</f>
        <v>74385</v>
      </c>
      <c r="D6267" t="s">
        <v>1767</v>
      </c>
      <c r="E6267" s="3">
        <v>375</v>
      </c>
      <c r="F6267">
        <v>20160519</v>
      </c>
      <c r="G6267" t="s">
        <v>1765</v>
      </c>
      <c r="H6267" t="s">
        <v>4893</v>
      </c>
      <c r="I6267">
        <v>0</v>
      </c>
      <c r="J6267" t="s">
        <v>1709</v>
      </c>
      <c r="K6267" t="s">
        <v>1744</v>
      </c>
      <c r="L6267" t="s">
        <v>285</v>
      </c>
      <c r="M6267" t="str">
        <f t="shared" si="452"/>
        <v>05</v>
      </c>
      <c r="N6267" t="s">
        <v>12</v>
      </c>
    </row>
    <row r="6268" spans="1:14" x14ac:dyDescent="0.25">
      <c r="A6268">
        <v>20160520</v>
      </c>
      <c r="B6268" t="str">
        <f>"063572"</f>
        <v>063572</v>
      </c>
      <c r="C6268" t="str">
        <f>"74385"</f>
        <v>74385</v>
      </c>
      <c r="D6268" t="s">
        <v>1767</v>
      </c>
      <c r="E6268" s="3">
        <v>375</v>
      </c>
      <c r="F6268">
        <v>20160519</v>
      </c>
      <c r="G6268" t="s">
        <v>1765</v>
      </c>
      <c r="H6268" t="s">
        <v>4893</v>
      </c>
      <c r="I6268">
        <v>0</v>
      </c>
      <c r="J6268" t="s">
        <v>1709</v>
      </c>
      <c r="K6268" t="s">
        <v>1744</v>
      </c>
      <c r="L6268" t="s">
        <v>285</v>
      </c>
      <c r="M6268" t="str">
        <f t="shared" si="452"/>
        <v>05</v>
      </c>
      <c r="N6268" t="s">
        <v>12</v>
      </c>
    </row>
    <row r="6269" spans="1:14" x14ac:dyDescent="0.25">
      <c r="A6269">
        <v>20160520</v>
      </c>
      <c r="B6269" t="str">
        <f>"063573"</f>
        <v>063573</v>
      </c>
      <c r="C6269" t="str">
        <f>"76476"</f>
        <v>76476</v>
      </c>
      <c r="D6269" t="s">
        <v>373</v>
      </c>
      <c r="E6269" s="3">
        <v>355</v>
      </c>
      <c r="F6269">
        <v>20160519</v>
      </c>
      <c r="G6269" t="s">
        <v>4776</v>
      </c>
      <c r="H6269" t="s">
        <v>4901</v>
      </c>
      <c r="I6269">
        <v>0</v>
      </c>
      <c r="J6269" t="s">
        <v>1709</v>
      </c>
      <c r="K6269" t="s">
        <v>1775</v>
      </c>
      <c r="L6269" t="s">
        <v>285</v>
      </c>
      <c r="M6269" t="str">
        <f t="shared" si="452"/>
        <v>05</v>
      </c>
      <c r="N6269" t="s">
        <v>12</v>
      </c>
    </row>
    <row r="6270" spans="1:14" x14ac:dyDescent="0.25">
      <c r="A6270">
        <v>20160520</v>
      </c>
      <c r="B6270" t="str">
        <f>"063575"</f>
        <v>063575</v>
      </c>
      <c r="C6270" t="str">
        <f>"80389"</f>
        <v>80389</v>
      </c>
      <c r="D6270" t="s">
        <v>2032</v>
      </c>
      <c r="E6270" s="3">
        <v>84.58</v>
      </c>
      <c r="F6270">
        <v>20160519</v>
      </c>
      <c r="G6270" t="s">
        <v>2033</v>
      </c>
      <c r="H6270" t="s">
        <v>5298</v>
      </c>
      <c r="I6270">
        <v>0</v>
      </c>
      <c r="J6270" t="s">
        <v>1709</v>
      </c>
      <c r="K6270" t="s">
        <v>1984</v>
      </c>
      <c r="L6270" t="s">
        <v>285</v>
      </c>
      <c r="M6270" t="str">
        <f t="shared" si="452"/>
        <v>05</v>
      </c>
      <c r="N6270" t="s">
        <v>12</v>
      </c>
    </row>
    <row r="6271" spans="1:14" x14ac:dyDescent="0.25">
      <c r="A6271">
        <v>20160520</v>
      </c>
      <c r="B6271" t="str">
        <f>"063575"</f>
        <v>063575</v>
      </c>
      <c r="C6271" t="str">
        <f>"80389"</f>
        <v>80389</v>
      </c>
      <c r="D6271" t="s">
        <v>2032</v>
      </c>
      <c r="E6271" s="3">
        <v>894.61</v>
      </c>
      <c r="F6271">
        <v>20160519</v>
      </c>
      <c r="G6271" t="s">
        <v>2035</v>
      </c>
      <c r="H6271" t="s">
        <v>5299</v>
      </c>
      <c r="I6271">
        <v>0</v>
      </c>
      <c r="J6271" t="s">
        <v>1709</v>
      </c>
      <c r="K6271" t="s">
        <v>1984</v>
      </c>
      <c r="L6271" t="s">
        <v>285</v>
      </c>
      <c r="M6271" t="str">
        <f t="shared" si="452"/>
        <v>05</v>
      </c>
      <c r="N6271" t="s">
        <v>12</v>
      </c>
    </row>
    <row r="6272" spans="1:14" x14ac:dyDescent="0.25">
      <c r="A6272">
        <v>20160520</v>
      </c>
      <c r="B6272" t="str">
        <f>"063575"</f>
        <v>063575</v>
      </c>
      <c r="C6272" t="str">
        <f>"80389"</f>
        <v>80389</v>
      </c>
      <c r="D6272" t="s">
        <v>2032</v>
      </c>
      <c r="E6272" s="3">
        <v>1445.11</v>
      </c>
      <c r="F6272">
        <v>20160519</v>
      </c>
      <c r="G6272" t="s">
        <v>2037</v>
      </c>
      <c r="H6272" t="s">
        <v>5300</v>
      </c>
      <c r="I6272">
        <v>0</v>
      </c>
      <c r="J6272" t="s">
        <v>1709</v>
      </c>
      <c r="K6272" t="s">
        <v>1984</v>
      </c>
      <c r="L6272" t="s">
        <v>285</v>
      </c>
      <c r="M6272" t="str">
        <f t="shared" si="452"/>
        <v>05</v>
      </c>
      <c r="N6272" t="s">
        <v>12</v>
      </c>
    </row>
    <row r="6273" spans="1:14" x14ac:dyDescent="0.25">
      <c r="A6273">
        <v>20160520</v>
      </c>
      <c r="B6273" t="str">
        <f t="shared" ref="B6273:B6278" si="455">"063577"</f>
        <v>063577</v>
      </c>
      <c r="C6273" t="str">
        <f t="shared" ref="C6273:C6278" si="456">"80481"</f>
        <v>80481</v>
      </c>
      <c r="D6273" t="s">
        <v>1935</v>
      </c>
      <c r="E6273" s="3">
        <v>74</v>
      </c>
      <c r="F6273">
        <v>20160519</v>
      </c>
      <c r="G6273" t="s">
        <v>1938</v>
      </c>
      <c r="H6273" t="s">
        <v>4772</v>
      </c>
      <c r="I6273">
        <v>0</v>
      </c>
      <c r="J6273" t="s">
        <v>1709</v>
      </c>
      <c r="K6273" t="s">
        <v>1643</v>
      </c>
      <c r="L6273" t="s">
        <v>285</v>
      </c>
      <c r="M6273" t="str">
        <f t="shared" si="452"/>
        <v>05</v>
      </c>
      <c r="N6273" t="s">
        <v>12</v>
      </c>
    </row>
    <row r="6274" spans="1:14" x14ac:dyDescent="0.25">
      <c r="A6274">
        <v>20160520</v>
      </c>
      <c r="B6274" t="str">
        <f t="shared" si="455"/>
        <v>063577</v>
      </c>
      <c r="C6274" t="str">
        <f t="shared" si="456"/>
        <v>80481</v>
      </c>
      <c r="D6274" t="s">
        <v>1935</v>
      </c>
      <c r="E6274" s="3">
        <v>74</v>
      </c>
      <c r="F6274">
        <v>20160519</v>
      </c>
      <c r="G6274" t="s">
        <v>1939</v>
      </c>
      <c r="H6274" t="s">
        <v>4772</v>
      </c>
      <c r="I6274">
        <v>0</v>
      </c>
      <c r="J6274" t="s">
        <v>1709</v>
      </c>
      <c r="K6274" t="s">
        <v>33</v>
      </c>
      <c r="L6274" t="s">
        <v>285</v>
      </c>
      <c r="M6274" t="str">
        <f t="shared" si="452"/>
        <v>05</v>
      </c>
      <c r="N6274" t="s">
        <v>12</v>
      </c>
    </row>
    <row r="6275" spans="1:14" x14ac:dyDescent="0.25">
      <c r="A6275">
        <v>20160520</v>
      </c>
      <c r="B6275" t="str">
        <f t="shared" si="455"/>
        <v>063577</v>
      </c>
      <c r="C6275" t="str">
        <f t="shared" si="456"/>
        <v>80481</v>
      </c>
      <c r="D6275" t="s">
        <v>1935</v>
      </c>
      <c r="E6275" s="3">
        <v>74</v>
      </c>
      <c r="F6275">
        <v>20160519</v>
      </c>
      <c r="G6275" t="s">
        <v>1940</v>
      </c>
      <c r="H6275" t="s">
        <v>4772</v>
      </c>
      <c r="I6275">
        <v>0</v>
      </c>
      <c r="J6275" t="s">
        <v>1709</v>
      </c>
      <c r="K6275" t="s">
        <v>290</v>
      </c>
      <c r="L6275" t="s">
        <v>285</v>
      </c>
      <c r="M6275" t="str">
        <f t="shared" si="452"/>
        <v>05</v>
      </c>
      <c r="N6275" t="s">
        <v>12</v>
      </c>
    </row>
    <row r="6276" spans="1:14" x14ac:dyDescent="0.25">
      <c r="A6276">
        <v>20160520</v>
      </c>
      <c r="B6276" t="str">
        <f t="shared" si="455"/>
        <v>063577</v>
      </c>
      <c r="C6276" t="str">
        <f t="shared" si="456"/>
        <v>80481</v>
      </c>
      <c r="D6276" t="s">
        <v>1935</v>
      </c>
      <c r="E6276" s="3">
        <v>74</v>
      </c>
      <c r="F6276">
        <v>20160519</v>
      </c>
      <c r="G6276" t="s">
        <v>1940</v>
      </c>
      <c r="H6276" t="s">
        <v>4772</v>
      </c>
      <c r="I6276">
        <v>0</v>
      </c>
      <c r="J6276" t="s">
        <v>1709</v>
      </c>
      <c r="K6276" t="s">
        <v>290</v>
      </c>
      <c r="L6276" t="s">
        <v>285</v>
      </c>
      <c r="M6276" t="str">
        <f t="shared" si="452"/>
        <v>05</v>
      </c>
      <c r="N6276" t="s">
        <v>12</v>
      </c>
    </row>
    <row r="6277" spans="1:14" x14ac:dyDescent="0.25">
      <c r="A6277">
        <v>20160520</v>
      </c>
      <c r="B6277" t="str">
        <f t="shared" si="455"/>
        <v>063577</v>
      </c>
      <c r="C6277" t="str">
        <f t="shared" si="456"/>
        <v>80481</v>
      </c>
      <c r="D6277" t="s">
        <v>1935</v>
      </c>
      <c r="E6277" s="3">
        <v>6.89</v>
      </c>
      <c r="F6277">
        <v>20160519</v>
      </c>
      <c r="G6277" t="s">
        <v>1941</v>
      </c>
      <c r="H6277" t="s">
        <v>5301</v>
      </c>
      <c r="I6277">
        <v>0</v>
      </c>
      <c r="J6277" t="s">
        <v>1709</v>
      </c>
      <c r="K6277" t="s">
        <v>1942</v>
      </c>
      <c r="L6277" t="s">
        <v>285</v>
      </c>
      <c r="M6277" t="str">
        <f t="shared" si="452"/>
        <v>05</v>
      </c>
      <c r="N6277" t="s">
        <v>12</v>
      </c>
    </row>
    <row r="6278" spans="1:14" x14ac:dyDescent="0.25">
      <c r="A6278">
        <v>20160520</v>
      </c>
      <c r="B6278" t="str">
        <f t="shared" si="455"/>
        <v>063577</v>
      </c>
      <c r="C6278" t="str">
        <f t="shared" si="456"/>
        <v>80481</v>
      </c>
      <c r="D6278" t="s">
        <v>1935</v>
      </c>
      <c r="E6278" s="3">
        <v>43.78</v>
      </c>
      <c r="F6278">
        <v>20160519</v>
      </c>
      <c r="G6278" t="s">
        <v>1941</v>
      </c>
      <c r="H6278" t="s">
        <v>4772</v>
      </c>
      <c r="I6278">
        <v>0</v>
      </c>
      <c r="J6278" t="s">
        <v>1709</v>
      </c>
      <c r="K6278" t="s">
        <v>1942</v>
      </c>
      <c r="L6278" t="s">
        <v>285</v>
      </c>
      <c r="M6278" t="str">
        <f t="shared" si="452"/>
        <v>05</v>
      </c>
      <c r="N6278" t="s">
        <v>12</v>
      </c>
    </row>
    <row r="6279" spans="1:14" x14ac:dyDescent="0.25">
      <c r="A6279">
        <v>20160520</v>
      </c>
      <c r="B6279" t="str">
        <f>"063579"</f>
        <v>063579</v>
      </c>
      <c r="C6279" t="str">
        <f>"80612"</f>
        <v>80612</v>
      </c>
      <c r="D6279" t="s">
        <v>2937</v>
      </c>
      <c r="E6279" s="3">
        <v>736.7</v>
      </c>
      <c r="F6279">
        <v>20160519</v>
      </c>
      <c r="G6279" t="s">
        <v>2938</v>
      </c>
      <c r="H6279" t="s">
        <v>5302</v>
      </c>
      <c r="I6279">
        <v>0</v>
      </c>
      <c r="J6279" t="s">
        <v>1709</v>
      </c>
      <c r="K6279" t="s">
        <v>133</v>
      </c>
      <c r="L6279" t="s">
        <v>285</v>
      </c>
      <c r="M6279" t="str">
        <f t="shared" si="452"/>
        <v>05</v>
      </c>
      <c r="N6279" t="s">
        <v>12</v>
      </c>
    </row>
    <row r="6280" spans="1:14" x14ac:dyDescent="0.25">
      <c r="A6280">
        <v>20160520</v>
      </c>
      <c r="B6280" t="str">
        <f>"063581"</f>
        <v>063581</v>
      </c>
      <c r="C6280" t="str">
        <f>"81299"</f>
        <v>81299</v>
      </c>
      <c r="D6280" t="s">
        <v>2415</v>
      </c>
      <c r="E6280" s="3">
        <v>1500</v>
      </c>
      <c r="F6280">
        <v>20160519</v>
      </c>
      <c r="G6280" t="s">
        <v>4328</v>
      </c>
      <c r="H6280" t="s">
        <v>5303</v>
      </c>
      <c r="I6280">
        <v>0</v>
      </c>
      <c r="J6280" t="s">
        <v>1709</v>
      </c>
      <c r="K6280" t="s">
        <v>290</v>
      </c>
      <c r="L6280" t="s">
        <v>285</v>
      </c>
      <c r="M6280" t="str">
        <f t="shared" si="452"/>
        <v>05</v>
      </c>
      <c r="N6280" t="s">
        <v>12</v>
      </c>
    </row>
    <row r="6281" spans="1:14" x14ac:dyDescent="0.25">
      <c r="A6281">
        <v>20160520</v>
      </c>
      <c r="B6281" t="str">
        <f>"063581"</f>
        <v>063581</v>
      </c>
      <c r="C6281" t="str">
        <f>"81299"</f>
        <v>81299</v>
      </c>
      <c r="D6281" t="s">
        <v>2415</v>
      </c>
      <c r="E6281" s="3">
        <v>175</v>
      </c>
      <c r="F6281">
        <v>20160519</v>
      </c>
      <c r="G6281" t="s">
        <v>4328</v>
      </c>
      <c r="H6281" t="s">
        <v>5304</v>
      </c>
      <c r="I6281">
        <v>0</v>
      </c>
      <c r="J6281" t="s">
        <v>1709</v>
      </c>
      <c r="K6281" t="s">
        <v>290</v>
      </c>
      <c r="L6281" t="s">
        <v>285</v>
      </c>
      <c r="M6281" t="str">
        <f t="shared" si="452"/>
        <v>05</v>
      </c>
      <c r="N6281" t="s">
        <v>12</v>
      </c>
    </row>
    <row r="6282" spans="1:14" x14ac:dyDescent="0.25">
      <c r="A6282">
        <v>20160520</v>
      </c>
      <c r="B6282" t="str">
        <f>"063581"</f>
        <v>063581</v>
      </c>
      <c r="C6282" t="str">
        <f>"81299"</f>
        <v>81299</v>
      </c>
      <c r="D6282" t="s">
        <v>2415</v>
      </c>
      <c r="E6282" s="3">
        <v>560</v>
      </c>
      <c r="F6282">
        <v>20160519</v>
      </c>
      <c r="G6282" t="s">
        <v>4313</v>
      </c>
      <c r="H6282" t="s">
        <v>5305</v>
      </c>
      <c r="I6282">
        <v>0</v>
      </c>
      <c r="J6282" t="s">
        <v>1709</v>
      </c>
      <c r="K6282" t="s">
        <v>290</v>
      </c>
      <c r="L6282" t="s">
        <v>285</v>
      </c>
      <c r="M6282" t="str">
        <f t="shared" si="452"/>
        <v>05</v>
      </c>
      <c r="N6282" t="s">
        <v>12</v>
      </c>
    </row>
    <row r="6283" spans="1:14" x14ac:dyDescent="0.25">
      <c r="A6283">
        <v>20160520</v>
      </c>
      <c r="B6283" t="str">
        <f>"063581"</f>
        <v>063581</v>
      </c>
      <c r="C6283" t="str">
        <f>"81299"</f>
        <v>81299</v>
      </c>
      <c r="D6283" t="s">
        <v>2415</v>
      </c>
      <c r="E6283" s="3">
        <v>780.75</v>
      </c>
      <c r="F6283">
        <v>20160519</v>
      </c>
      <c r="G6283" t="s">
        <v>2049</v>
      </c>
      <c r="H6283" t="s">
        <v>5165</v>
      </c>
      <c r="I6283">
        <v>0</v>
      </c>
      <c r="J6283" t="s">
        <v>1709</v>
      </c>
      <c r="K6283" t="s">
        <v>1775</v>
      </c>
      <c r="L6283" t="s">
        <v>285</v>
      </c>
      <c r="M6283" t="str">
        <f t="shared" ref="M6283:M6346" si="457">"05"</f>
        <v>05</v>
      </c>
      <c r="N6283" t="s">
        <v>12</v>
      </c>
    </row>
    <row r="6284" spans="1:14" x14ac:dyDescent="0.25">
      <c r="A6284">
        <v>20160520</v>
      </c>
      <c r="B6284" t="str">
        <f>"063582"</f>
        <v>063582</v>
      </c>
      <c r="C6284" t="str">
        <f>"82370"</f>
        <v>82370</v>
      </c>
      <c r="D6284" t="s">
        <v>4452</v>
      </c>
      <c r="E6284" s="3">
        <v>84.1</v>
      </c>
      <c r="F6284">
        <v>20160519</v>
      </c>
      <c r="G6284" t="s">
        <v>3476</v>
      </c>
      <c r="H6284" t="s">
        <v>2091</v>
      </c>
      <c r="I6284">
        <v>0</v>
      </c>
      <c r="J6284" t="s">
        <v>1709</v>
      </c>
      <c r="K6284" t="s">
        <v>290</v>
      </c>
      <c r="L6284" t="s">
        <v>285</v>
      </c>
      <c r="M6284" t="str">
        <f t="shared" si="457"/>
        <v>05</v>
      </c>
      <c r="N6284" t="s">
        <v>12</v>
      </c>
    </row>
    <row r="6285" spans="1:14" x14ac:dyDescent="0.25">
      <c r="A6285">
        <v>20160520</v>
      </c>
      <c r="B6285" t="str">
        <f>"063584"</f>
        <v>063584</v>
      </c>
      <c r="C6285" t="str">
        <f>"84370"</f>
        <v>84370</v>
      </c>
      <c r="D6285" t="s">
        <v>329</v>
      </c>
      <c r="E6285" s="3">
        <v>82.17</v>
      </c>
      <c r="F6285">
        <v>20160519</v>
      </c>
      <c r="G6285" t="s">
        <v>5019</v>
      </c>
      <c r="H6285" t="s">
        <v>5306</v>
      </c>
      <c r="I6285">
        <v>0</v>
      </c>
      <c r="J6285" t="s">
        <v>1709</v>
      </c>
      <c r="K6285" t="s">
        <v>290</v>
      </c>
      <c r="L6285" t="s">
        <v>285</v>
      </c>
      <c r="M6285" t="str">
        <f t="shared" si="457"/>
        <v>05</v>
      </c>
      <c r="N6285" t="s">
        <v>12</v>
      </c>
    </row>
    <row r="6286" spans="1:14" x14ac:dyDescent="0.25">
      <c r="A6286">
        <v>20160523</v>
      </c>
      <c r="B6286" t="str">
        <f>"063585"</f>
        <v>063585</v>
      </c>
      <c r="C6286" t="str">
        <f>"54555"</f>
        <v>54555</v>
      </c>
      <c r="D6286" t="s">
        <v>2104</v>
      </c>
      <c r="E6286" s="3">
        <v>646.94000000000005</v>
      </c>
      <c r="F6286">
        <v>20160523</v>
      </c>
      <c r="G6286" t="s">
        <v>5181</v>
      </c>
      <c r="H6286" t="s">
        <v>4822</v>
      </c>
      <c r="I6286">
        <v>0</v>
      </c>
      <c r="J6286" t="s">
        <v>1709</v>
      </c>
      <c r="K6286" t="s">
        <v>290</v>
      </c>
      <c r="L6286" t="s">
        <v>17</v>
      </c>
      <c r="M6286" t="str">
        <f t="shared" si="457"/>
        <v>05</v>
      </c>
      <c r="N6286" t="s">
        <v>12</v>
      </c>
    </row>
    <row r="6287" spans="1:14" x14ac:dyDescent="0.25">
      <c r="A6287">
        <v>20160527</v>
      </c>
      <c r="B6287" t="str">
        <f>"063586"</f>
        <v>063586</v>
      </c>
      <c r="C6287" t="str">
        <f>"03710"</f>
        <v>03710</v>
      </c>
      <c r="D6287" t="s">
        <v>1553</v>
      </c>
      <c r="E6287" s="3">
        <v>96.78</v>
      </c>
      <c r="F6287">
        <v>20160525</v>
      </c>
      <c r="G6287" t="s">
        <v>2303</v>
      </c>
      <c r="H6287" t="s">
        <v>595</v>
      </c>
      <c r="I6287">
        <v>0</v>
      </c>
      <c r="J6287" t="s">
        <v>1709</v>
      </c>
      <c r="K6287" t="s">
        <v>235</v>
      </c>
      <c r="L6287" t="s">
        <v>285</v>
      </c>
      <c r="M6287" t="str">
        <f t="shared" si="457"/>
        <v>05</v>
      </c>
      <c r="N6287" t="s">
        <v>12</v>
      </c>
    </row>
    <row r="6288" spans="1:14" x14ac:dyDescent="0.25">
      <c r="A6288">
        <v>20160527</v>
      </c>
      <c r="B6288" t="str">
        <f>"063586"</f>
        <v>063586</v>
      </c>
      <c r="C6288" t="str">
        <f>"03710"</f>
        <v>03710</v>
      </c>
      <c r="D6288" t="s">
        <v>1553</v>
      </c>
      <c r="E6288" s="3">
        <v>211.12</v>
      </c>
      <c r="F6288">
        <v>20160525</v>
      </c>
      <c r="G6288" t="s">
        <v>2762</v>
      </c>
      <c r="H6288" t="s">
        <v>595</v>
      </c>
      <c r="I6288">
        <v>0</v>
      </c>
      <c r="J6288" t="s">
        <v>1709</v>
      </c>
      <c r="K6288" t="s">
        <v>2764</v>
      </c>
      <c r="L6288" t="s">
        <v>285</v>
      </c>
      <c r="M6288" t="str">
        <f t="shared" si="457"/>
        <v>05</v>
      </c>
      <c r="N6288" t="s">
        <v>12</v>
      </c>
    </row>
    <row r="6289" spans="1:14" x14ac:dyDescent="0.25">
      <c r="A6289">
        <v>20160527</v>
      </c>
      <c r="B6289" t="str">
        <f>"063586"</f>
        <v>063586</v>
      </c>
      <c r="C6289" t="str">
        <f>"03710"</f>
        <v>03710</v>
      </c>
      <c r="D6289" t="s">
        <v>1553</v>
      </c>
      <c r="E6289" s="3">
        <v>409.5</v>
      </c>
      <c r="F6289">
        <v>20160525</v>
      </c>
      <c r="G6289" t="s">
        <v>2762</v>
      </c>
      <c r="H6289" t="s">
        <v>595</v>
      </c>
      <c r="I6289">
        <v>0</v>
      </c>
      <c r="J6289" t="s">
        <v>1709</v>
      </c>
      <c r="K6289" t="s">
        <v>2764</v>
      </c>
      <c r="L6289" t="s">
        <v>285</v>
      </c>
      <c r="M6289" t="str">
        <f t="shared" si="457"/>
        <v>05</v>
      </c>
      <c r="N6289" t="s">
        <v>12</v>
      </c>
    </row>
    <row r="6290" spans="1:14" x14ac:dyDescent="0.25">
      <c r="A6290">
        <v>20160527</v>
      </c>
      <c r="B6290" t="str">
        <f>"063586"</f>
        <v>063586</v>
      </c>
      <c r="C6290" t="str">
        <f>"03710"</f>
        <v>03710</v>
      </c>
      <c r="D6290" t="s">
        <v>1553</v>
      </c>
      <c r="E6290" s="3">
        <v>848.11</v>
      </c>
      <c r="F6290">
        <v>20160525</v>
      </c>
      <c r="G6290" t="s">
        <v>2049</v>
      </c>
      <c r="H6290" t="s">
        <v>595</v>
      </c>
      <c r="I6290">
        <v>0</v>
      </c>
      <c r="J6290" t="s">
        <v>1709</v>
      </c>
      <c r="K6290" t="s">
        <v>1775</v>
      </c>
      <c r="L6290" t="s">
        <v>285</v>
      </c>
      <c r="M6290" t="str">
        <f t="shared" si="457"/>
        <v>05</v>
      </c>
      <c r="N6290" t="s">
        <v>12</v>
      </c>
    </row>
    <row r="6291" spans="1:14" x14ac:dyDescent="0.25">
      <c r="A6291">
        <v>20160527</v>
      </c>
      <c r="B6291" t="str">
        <f>"063588"</f>
        <v>063588</v>
      </c>
      <c r="C6291" t="str">
        <f>"05530"</f>
        <v>05530</v>
      </c>
      <c r="D6291" t="s">
        <v>631</v>
      </c>
      <c r="E6291" s="3">
        <v>1900</v>
      </c>
      <c r="F6291">
        <v>20160526</v>
      </c>
      <c r="G6291" t="s">
        <v>5307</v>
      </c>
      <c r="H6291" t="s">
        <v>5308</v>
      </c>
      <c r="I6291">
        <v>0</v>
      </c>
      <c r="J6291" t="s">
        <v>1709</v>
      </c>
      <c r="K6291" t="s">
        <v>290</v>
      </c>
      <c r="L6291" t="s">
        <v>285</v>
      </c>
      <c r="M6291" t="str">
        <f t="shared" si="457"/>
        <v>05</v>
      </c>
      <c r="N6291" t="s">
        <v>12</v>
      </c>
    </row>
    <row r="6292" spans="1:14" x14ac:dyDescent="0.25">
      <c r="A6292">
        <v>20160527</v>
      </c>
      <c r="B6292" t="str">
        <f>"063589"</f>
        <v>063589</v>
      </c>
      <c r="C6292" t="str">
        <f>"00390"</f>
        <v>00390</v>
      </c>
      <c r="D6292" t="s">
        <v>1717</v>
      </c>
      <c r="E6292" s="3">
        <v>6265.67</v>
      </c>
      <c r="F6292">
        <v>20160526</v>
      </c>
      <c r="G6292" t="s">
        <v>2217</v>
      </c>
      <c r="H6292" t="s">
        <v>5309</v>
      </c>
      <c r="I6292">
        <v>0</v>
      </c>
      <c r="J6292" t="s">
        <v>1709</v>
      </c>
      <c r="K6292" t="s">
        <v>1984</v>
      </c>
      <c r="L6292" t="s">
        <v>285</v>
      </c>
      <c r="M6292" t="str">
        <f t="shared" si="457"/>
        <v>05</v>
      </c>
      <c r="N6292" t="s">
        <v>12</v>
      </c>
    </row>
    <row r="6293" spans="1:14" x14ac:dyDescent="0.25">
      <c r="A6293">
        <v>20160527</v>
      </c>
      <c r="B6293" t="str">
        <f>"063590"</f>
        <v>063590</v>
      </c>
      <c r="C6293" t="str">
        <f>"00392"</f>
        <v>00392</v>
      </c>
      <c r="D6293" t="s">
        <v>1717</v>
      </c>
      <c r="E6293" s="3">
        <v>461.74</v>
      </c>
      <c r="F6293">
        <v>20160526</v>
      </c>
      <c r="G6293" t="s">
        <v>2219</v>
      </c>
      <c r="H6293" t="s">
        <v>5309</v>
      </c>
      <c r="I6293">
        <v>0</v>
      </c>
      <c r="J6293" t="s">
        <v>1709</v>
      </c>
      <c r="K6293" t="s">
        <v>1984</v>
      </c>
      <c r="L6293" t="s">
        <v>285</v>
      </c>
      <c r="M6293" t="str">
        <f t="shared" si="457"/>
        <v>05</v>
      </c>
      <c r="N6293" t="s">
        <v>12</v>
      </c>
    </row>
    <row r="6294" spans="1:14" x14ac:dyDescent="0.25">
      <c r="A6294">
        <v>20160527</v>
      </c>
      <c r="B6294" t="str">
        <f>"063591"</f>
        <v>063591</v>
      </c>
      <c r="C6294" t="str">
        <f>"21466"</f>
        <v>21466</v>
      </c>
      <c r="D6294" t="s">
        <v>5310</v>
      </c>
      <c r="E6294" s="3">
        <v>773.8</v>
      </c>
      <c r="F6294">
        <v>20160526</v>
      </c>
      <c r="G6294" t="s">
        <v>2049</v>
      </c>
      <c r="H6294" t="s">
        <v>5311</v>
      </c>
      <c r="I6294">
        <v>0</v>
      </c>
      <c r="J6294" t="s">
        <v>1709</v>
      </c>
      <c r="K6294" t="s">
        <v>1775</v>
      </c>
      <c r="L6294" t="s">
        <v>285</v>
      </c>
      <c r="M6294" t="str">
        <f t="shared" si="457"/>
        <v>05</v>
      </c>
      <c r="N6294" t="s">
        <v>12</v>
      </c>
    </row>
    <row r="6295" spans="1:14" x14ac:dyDescent="0.25">
      <c r="A6295">
        <v>20160527</v>
      </c>
      <c r="B6295" t="str">
        <f>"063592"</f>
        <v>063592</v>
      </c>
      <c r="C6295" t="str">
        <f>"08123"</f>
        <v>08123</v>
      </c>
      <c r="D6295" t="s">
        <v>4973</v>
      </c>
      <c r="E6295" s="3">
        <v>500</v>
      </c>
      <c r="F6295">
        <v>20160526</v>
      </c>
      <c r="G6295" t="s">
        <v>4413</v>
      </c>
      <c r="H6295" t="s">
        <v>4974</v>
      </c>
      <c r="I6295">
        <v>0</v>
      </c>
      <c r="J6295" t="s">
        <v>1709</v>
      </c>
      <c r="K6295" t="s">
        <v>290</v>
      </c>
      <c r="L6295" t="s">
        <v>285</v>
      </c>
      <c r="M6295" t="str">
        <f t="shared" si="457"/>
        <v>05</v>
      </c>
      <c r="N6295" t="s">
        <v>12</v>
      </c>
    </row>
    <row r="6296" spans="1:14" x14ac:dyDescent="0.25">
      <c r="A6296">
        <v>20160527</v>
      </c>
      <c r="B6296" t="str">
        <f>"063593"</f>
        <v>063593</v>
      </c>
      <c r="C6296" t="str">
        <f>"09009"</f>
        <v>09009</v>
      </c>
      <c r="D6296" t="s">
        <v>4341</v>
      </c>
      <c r="E6296" s="3">
        <v>68.2</v>
      </c>
      <c r="F6296">
        <v>20160526</v>
      </c>
      <c r="G6296" t="s">
        <v>4342</v>
      </c>
      <c r="H6296" t="s">
        <v>4343</v>
      </c>
      <c r="I6296">
        <v>0</v>
      </c>
      <c r="J6296" t="s">
        <v>1709</v>
      </c>
      <c r="K6296" t="s">
        <v>290</v>
      </c>
      <c r="L6296" t="s">
        <v>285</v>
      </c>
      <c r="M6296" t="str">
        <f t="shared" si="457"/>
        <v>05</v>
      </c>
      <c r="N6296" t="s">
        <v>12</v>
      </c>
    </row>
    <row r="6297" spans="1:14" x14ac:dyDescent="0.25">
      <c r="A6297">
        <v>20160527</v>
      </c>
      <c r="B6297" t="str">
        <f>"063594"</f>
        <v>063594</v>
      </c>
      <c r="C6297" t="str">
        <f>"09015"</f>
        <v>09015</v>
      </c>
      <c r="D6297" t="s">
        <v>4731</v>
      </c>
      <c r="E6297" s="3">
        <v>440</v>
      </c>
      <c r="F6297">
        <v>20160526</v>
      </c>
      <c r="G6297" t="s">
        <v>5312</v>
      </c>
      <c r="H6297" t="s">
        <v>5313</v>
      </c>
      <c r="I6297">
        <v>0</v>
      </c>
      <c r="J6297" t="s">
        <v>1709</v>
      </c>
      <c r="K6297" t="s">
        <v>33</v>
      </c>
      <c r="L6297" t="s">
        <v>285</v>
      </c>
      <c r="M6297" t="str">
        <f t="shared" si="457"/>
        <v>05</v>
      </c>
      <c r="N6297" t="s">
        <v>12</v>
      </c>
    </row>
    <row r="6298" spans="1:14" x14ac:dyDescent="0.25">
      <c r="A6298">
        <v>20160527</v>
      </c>
      <c r="B6298" t="str">
        <f>"063597"</f>
        <v>063597</v>
      </c>
      <c r="C6298" t="str">
        <f>"13268"</f>
        <v>13268</v>
      </c>
      <c r="D6298" t="s">
        <v>2450</v>
      </c>
      <c r="E6298" s="3">
        <v>9068.7900000000009</v>
      </c>
      <c r="F6298">
        <v>20160526</v>
      </c>
      <c r="G6298" t="s">
        <v>2303</v>
      </c>
      <c r="H6298" t="s">
        <v>3420</v>
      </c>
      <c r="I6298">
        <v>0</v>
      </c>
      <c r="J6298" t="s">
        <v>1709</v>
      </c>
      <c r="K6298" t="s">
        <v>235</v>
      </c>
      <c r="L6298" t="s">
        <v>285</v>
      </c>
      <c r="M6298" t="str">
        <f t="shared" si="457"/>
        <v>05</v>
      </c>
      <c r="N6298" t="s">
        <v>12</v>
      </c>
    </row>
    <row r="6299" spans="1:14" x14ac:dyDescent="0.25">
      <c r="A6299">
        <v>20160527</v>
      </c>
      <c r="B6299" t="str">
        <f>"063597"</f>
        <v>063597</v>
      </c>
      <c r="C6299" t="str">
        <f>"13268"</f>
        <v>13268</v>
      </c>
      <c r="D6299" t="s">
        <v>2450</v>
      </c>
      <c r="E6299" s="3">
        <v>24.02</v>
      </c>
      <c r="F6299">
        <v>20160526</v>
      </c>
      <c r="G6299" t="s">
        <v>2303</v>
      </c>
      <c r="H6299" t="s">
        <v>5314</v>
      </c>
      <c r="I6299">
        <v>0</v>
      </c>
      <c r="J6299" t="s">
        <v>1709</v>
      </c>
      <c r="K6299" t="s">
        <v>235</v>
      </c>
      <c r="L6299" t="s">
        <v>285</v>
      </c>
      <c r="M6299" t="str">
        <f t="shared" si="457"/>
        <v>05</v>
      </c>
      <c r="N6299" t="s">
        <v>12</v>
      </c>
    </row>
    <row r="6300" spans="1:14" x14ac:dyDescent="0.25">
      <c r="A6300">
        <v>20160527</v>
      </c>
      <c r="B6300" t="str">
        <f>"063597"</f>
        <v>063597</v>
      </c>
      <c r="C6300" t="str">
        <f>"13268"</f>
        <v>13268</v>
      </c>
      <c r="D6300" t="s">
        <v>2450</v>
      </c>
      <c r="E6300" s="3">
        <v>48.06</v>
      </c>
      <c r="F6300">
        <v>20160526</v>
      </c>
      <c r="G6300" t="s">
        <v>2303</v>
      </c>
      <c r="H6300" t="s">
        <v>5315</v>
      </c>
      <c r="I6300">
        <v>0</v>
      </c>
      <c r="J6300" t="s">
        <v>1709</v>
      </c>
      <c r="K6300" t="s">
        <v>235</v>
      </c>
      <c r="L6300" t="s">
        <v>285</v>
      </c>
      <c r="M6300" t="str">
        <f t="shared" si="457"/>
        <v>05</v>
      </c>
      <c r="N6300" t="s">
        <v>12</v>
      </c>
    </row>
    <row r="6301" spans="1:14" x14ac:dyDescent="0.25">
      <c r="A6301">
        <v>20160527</v>
      </c>
      <c r="B6301" t="str">
        <f>"063597"</f>
        <v>063597</v>
      </c>
      <c r="C6301" t="str">
        <f>"13268"</f>
        <v>13268</v>
      </c>
      <c r="D6301" t="s">
        <v>2450</v>
      </c>
      <c r="E6301" s="3">
        <v>10.4</v>
      </c>
      <c r="F6301">
        <v>20160526</v>
      </c>
      <c r="G6301" t="s">
        <v>2303</v>
      </c>
      <c r="H6301" t="s">
        <v>3420</v>
      </c>
      <c r="I6301">
        <v>0</v>
      </c>
      <c r="J6301" t="s">
        <v>1709</v>
      </c>
      <c r="K6301" t="s">
        <v>235</v>
      </c>
      <c r="L6301" t="s">
        <v>285</v>
      </c>
      <c r="M6301" t="str">
        <f t="shared" si="457"/>
        <v>05</v>
      </c>
      <c r="N6301" t="s">
        <v>12</v>
      </c>
    </row>
    <row r="6302" spans="1:14" x14ac:dyDescent="0.25">
      <c r="A6302">
        <v>20160527</v>
      </c>
      <c r="B6302" t="str">
        <f>"063598"</f>
        <v>063598</v>
      </c>
      <c r="C6302" t="str">
        <f>"21842"</f>
        <v>21842</v>
      </c>
      <c r="D6302" t="s">
        <v>2455</v>
      </c>
      <c r="E6302" s="3">
        <v>278.85000000000002</v>
      </c>
      <c r="F6302">
        <v>20160526</v>
      </c>
      <c r="G6302" t="s">
        <v>2080</v>
      </c>
      <c r="H6302" t="s">
        <v>4011</v>
      </c>
      <c r="I6302">
        <v>0</v>
      </c>
      <c r="J6302" t="s">
        <v>1709</v>
      </c>
      <c r="K6302" t="s">
        <v>1861</v>
      </c>
      <c r="L6302" t="s">
        <v>285</v>
      </c>
      <c r="M6302" t="str">
        <f t="shared" si="457"/>
        <v>05</v>
      </c>
      <c r="N6302" t="s">
        <v>12</v>
      </c>
    </row>
    <row r="6303" spans="1:14" x14ac:dyDescent="0.25">
      <c r="A6303">
        <v>20160527</v>
      </c>
      <c r="B6303" t="str">
        <f>"063599"</f>
        <v>063599</v>
      </c>
      <c r="C6303" t="str">
        <f>"22284"</f>
        <v>22284</v>
      </c>
      <c r="D6303" t="s">
        <v>2231</v>
      </c>
      <c r="E6303" s="3">
        <v>2194.5</v>
      </c>
      <c r="F6303">
        <v>20160526</v>
      </c>
      <c r="G6303" t="s">
        <v>5316</v>
      </c>
      <c r="H6303" t="s">
        <v>5317</v>
      </c>
      <c r="I6303">
        <v>0</v>
      </c>
      <c r="J6303" t="s">
        <v>1709</v>
      </c>
      <c r="K6303" t="s">
        <v>290</v>
      </c>
      <c r="L6303" t="s">
        <v>285</v>
      </c>
      <c r="M6303" t="str">
        <f t="shared" si="457"/>
        <v>05</v>
      </c>
      <c r="N6303" t="s">
        <v>12</v>
      </c>
    </row>
    <row r="6304" spans="1:14" x14ac:dyDescent="0.25">
      <c r="A6304">
        <v>20160527</v>
      </c>
      <c r="B6304" t="str">
        <f>"063600"</f>
        <v>063600</v>
      </c>
      <c r="C6304" t="str">
        <f>"60225"</f>
        <v>60225</v>
      </c>
      <c r="D6304" t="s">
        <v>5318</v>
      </c>
      <c r="E6304" s="3">
        <v>65.95</v>
      </c>
      <c r="F6304">
        <v>20160526</v>
      </c>
      <c r="G6304" t="s">
        <v>1974</v>
      </c>
      <c r="H6304" t="s">
        <v>5319</v>
      </c>
      <c r="I6304">
        <v>0</v>
      </c>
      <c r="J6304" t="s">
        <v>1709</v>
      </c>
      <c r="K6304" t="s">
        <v>290</v>
      </c>
      <c r="L6304" t="s">
        <v>285</v>
      </c>
      <c r="M6304" t="str">
        <f t="shared" si="457"/>
        <v>05</v>
      </c>
      <c r="N6304" t="s">
        <v>12</v>
      </c>
    </row>
    <row r="6305" spans="1:14" x14ac:dyDescent="0.25">
      <c r="A6305">
        <v>20160527</v>
      </c>
      <c r="B6305" t="str">
        <f>"063600"</f>
        <v>063600</v>
      </c>
      <c r="C6305" t="str">
        <f>"60225"</f>
        <v>60225</v>
      </c>
      <c r="D6305" t="s">
        <v>5318</v>
      </c>
      <c r="E6305" s="3">
        <v>69</v>
      </c>
      <c r="F6305">
        <v>20160526</v>
      </c>
      <c r="G6305" t="s">
        <v>1786</v>
      </c>
      <c r="H6305" t="s">
        <v>5319</v>
      </c>
      <c r="I6305">
        <v>0</v>
      </c>
      <c r="J6305" t="s">
        <v>1709</v>
      </c>
      <c r="K6305" t="s">
        <v>290</v>
      </c>
      <c r="L6305" t="s">
        <v>285</v>
      </c>
      <c r="M6305" t="str">
        <f t="shared" si="457"/>
        <v>05</v>
      </c>
      <c r="N6305" t="s">
        <v>12</v>
      </c>
    </row>
    <row r="6306" spans="1:14" x14ac:dyDescent="0.25">
      <c r="A6306">
        <v>20160527</v>
      </c>
      <c r="B6306" t="str">
        <f>"063604"</f>
        <v>063604</v>
      </c>
      <c r="C6306" t="str">
        <f>"21049"</f>
        <v>21049</v>
      </c>
      <c r="D6306" t="s">
        <v>2094</v>
      </c>
      <c r="E6306" s="3">
        <v>500</v>
      </c>
      <c r="F6306">
        <v>20160526</v>
      </c>
      <c r="G6306" t="s">
        <v>1712</v>
      </c>
      <c r="H6306" t="s">
        <v>5320</v>
      </c>
      <c r="I6306">
        <v>0</v>
      </c>
      <c r="J6306" t="s">
        <v>1709</v>
      </c>
      <c r="K6306" t="s">
        <v>290</v>
      </c>
      <c r="L6306" t="s">
        <v>285</v>
      </c>
      <c r="M6306" t="str">
        <f t="shared" si="457"/>
        <v>05</v>
      </c>
      <c r="N6306" t="s">
        <v>12</v>
      </c>
    </row>
    <row r="6307" spans="1:14" x14ac:dyDescent="0.25">
      <c r="A6307">
        <v>20160527</v>
      </c>
      <c r="B6307" t="str">
        <f>"063604"</f>
        <v>063604</v>
      </c>
      <c r="C6307" t="str">
        <f>"21049"</f>
        <v>21049</v>
      </c>
      <c r="D6307" t="s">
        <v>2094</v>
      </c>
      <c r="E6307" s="3">
        <v>20</v>
      </c>
      <c r="F6307">
        <v>20160526</v>
      </c>
      <c r="G6307" t="s">
        <v>4159</v>
      </c>
      <c r="H6307" t="s">
        <v>5321</v>
      </c>
      <c r="I6307">
        <v>0</v>
      </c>
      <c r="J6307" t="s">
        <v>1709</v>
      </c>
      <c r="K6307" t="s">
        <v>290</v>
      </c>
      <c r="L6307" t="s">
        <v>285</v>
      </c>
      <c r="M6307" t="str">
        <f t="shared" si="457"/>
        <v>05</v>
      </c>
      <c r="N6307" t="s">
        <v>12</v>
      </c>
    </row>
    <row r="6308" spans="1:14" x14ac:dyDescent="0.25">
      <c r="A6308">
        <v>20160527</v>
      </c>
      <c r="B6308" t="str">
        <f>"063606"</f>
        <v>063606</v>
      </c>
      <c r="C6308" t="str">
        <f>"21516"</f>
        <v>21516</v>
      </c>
      <c r="D6308" t="s">
        <v>5322</v>
      </c>
      <c r="E6308" s="3">
        <v>120.33</v>
      </c>
      <c r="F6308">
        <v>20160526</v>
      </c>
      <c r="G6308" t="s">
        <v>5019</v>
      </c>
      <c r="H6308" t="s">
        <v>5020</v>
      </c>
      <c r="I6308">
        <v>0</v>
      </c>
      <c r="J6308" t="s">
        <v>1709</v>
      </c>
      <c r="K6308" t="s">
        <v>290</v>
      </c>
      <c r="L6308" t="s">
        <v>285</v>
      </c>
      <c r="M6308" t="str">
        <f t="shared" si="457"/>
        <v>05</v>
      </c>
      <c r="N6308" t="s">
        <v>12</v>
      </c>
    </row>
    <row r="6309" spans="1:14" x14ac:dyDescent="0.25">
      <c r="A6309">
        <v>20160527</v>
      </c>
      <c r="B6309" t="str">
        <f t="shared" ref="B6309:B6315" si="458">"063611"</f>
        <v>063611</v>
      </c>
      <c r="C6309" t="str">
        <f t="shared" ref="C6309:C6315" si="459">"25165"</f>
        <v>25165</v>
      </c>
      <c r="D6309" t="s">
        <v>1563</v>
      </c>
      <c r="E6309" s="3">
        <v>217.49</v>
      </c>
      <c r="F6309">
        <v>20160526</v>
      </c>
      <c r="G6309" t="s">
        <v>2720</v>
      </c>
      <c r="H6309" t="s">
        <v>5323</v>
      </c>
      <c r="I6309">
        <v>0</v>
      </c>
      <c r="J6309" t="s">
        <v>1709</v>
      </c>
      <c r="K6309" t="s">
        <v>2194</v>
      </c>
      <c r="L6309" t="s">
        <v>285</v>
      </c>
      <c r="M6309" t="str">
        <f t="shared" si="457"/>
        <v>05</v>
      </c>
      <c r="N6309" t="s">
        <v>12</v>
      </c>
    </row>
    <row r="6310" spans="1:14" x14ac:dyDescent="0.25">
      <c r="A6310">
        <v>20160527</v>
      </c>
      <c r="B6310" t="str">
        <f t="shared" si="458"/>
        <v>063611</v>
      </c>
      <c r="C6310" t="str">
        <f t="shared" si="459"/>
        <v>25165</v>
      </c>
      <c r="D6310" t="s">
        <v>1563</v>
      </c>
      <c r="E6310" s="3">
        <v>1220.4000000000001</v>
      </c>
      <c r="F6310">
        <v>20160526</v>
      </c>
      <c r="G6310" t="s">
        <v>5324</v>
      </c>
      <c r="H6310" t="s">
        <v>5323</v>
      </c>
      <c r="I6310">
        <v>0</v>
      </c>
      <c r="J6310" t="s">
        <v>1709</v>
      </c>
      <c r="K6310" t="s">
        <v>2194</v>
      </c>
      <c r="L6310" t="s">
        <v>285</v>
      </c>
      <c r="M6310" t="str">
        <f t="shared" si="457"/>
        <v>05</v>
      </c>
      <c r="N6310" t="s">
        <v>12</v>
      </c>
    </row>
    <row r="6311" spans="1:14" x14ac:dyDescent="0.25">
      <c r="A6311">
        <v>20160527</v>
      </c>
      <c r="B6311" t="str">
        <f t="shared" si="458"/>
        <v>063611</v>
      </c>
      <c r="C6311" t="str">
        <f t="shared" si="459"/>
        <v>25165</v>
      </c>
      <c r="D6311" t="s">
        <v>1563</v>
      </c>
      <c r="E6311" s="3">
        <v>1160.3399999999999</v>
      </c>
      <c r="F6311">
        <v>20160526</v>
      </c>
      <c r="G6311" t="s">
        <v>2747</v>
      </c>
      <c r="H6311" t="s">
        <v>5323</v>
      </c>
      <c r="I6311">
        <v>0</v>
      </c>
      <c r="J6311" t="s">
        <v>1709</v>
      </c>
      <c r="K6311" t="s">
        <v>1856</v>
      </c>
      <c r="L6311" t="s">
        <v>285</v>
      </c>
      <c r="M6311" t="str">
        <f t="shared" si="457"/>
        <v>05</v>
      </c>
      <c r="N6311" t="s">
        <v>12</v>
      </c>
    </row>
    <row r="6312" spans="1:14" x14ac:dyDescent="0.25">
      <c r="A6312">
        <v>20160527</v>
      </c>
      <c r="B6312" t="str">
        <f t="shared" si="458"/>
        <v>063611</v>
      </c>
      <c r="C6312" t="str">
        <f t="shared" si="459"/>
        <v>25165</v>
      </c>
      <c r="D6312" t="s">
        <v>1563</v>
      </c>
      <c r="E6312" s="3">
        <v>997.95</v>
      </c>
      <c r="F6312">
        <v>20160526</v>
      </c>
      <c r="G6312" t="s">
        <v>2747</v>
      </c>
      <c r="H6312" t="s">
        <v>5323</v>
      </c>
      <c r="I6312">
        <v>0</v>
      </c>
      <c r="J6312" t="s">
        <v>1709</v>
      </c>
      <c r="K6312" t="s">
        <v>1856</v>
      </c>
      <c r="L6312" t="s">
        <v>285</v>
      </c>
      <c r="M6312" t="str">
        <f t="shared" si="457"/>
        <v>05</v>
      </c>
      <c r="N6312" t="s">
        <v>12</v>
      </c>
    </row>
    <row r="6313" spans="1:14" x14ac:dyDescent="0.25">
      <c r="A6313">
        <v>20160527</v>
      </c>
      <c r="B6313" t="str">
        <f t="shared" si="458"/>
        <v>063611</v>
      </c>
      <c r="C6313" t="str">
        <f t="shared" si="459"/>
        <v>25165</v>
      </c>
      <c r="D6313" t="s">
        <v>1563</v>
      </c>
      <c r="E6313" s="3">
        <v>1160.3399999999999</v>
      </c>
      <c r="F6313">
        <v>20160526</v>
      </c>
      <c r="G6313" t="s">
        <v>2747</v>
      </c>
      <c r="H6313" t="s">
        <v>5323</v>
      </c>
      <c r="I6313">
        <v>0</v>
      </c>
      <c r="J6313" t="s">
        <v>1709</v>
      </c>
      <c r="K6313" t="s">
        <v>1856</v>
      </c>
      <c r="L6313" t="s">
        <v>285</v>
      </c>
      <c r="M6313" t="str">
        <f t="shared" si="457"/>
        <v>05</v>
      </c>
      <c r="N6313" t="s">
        <v>12</v>
      </c>
    </row>
    <row r="6314" spans="1:14" x14ac:dyDescent="0.25">
      <c r="A6314">
        <v>20160527</v>
      </c>
      <c r="B6314" t="str">
        <f t="shared" si="458"/>
        <v>063611</v>
      </c>
      <c r="C6314" t="str">
        <f t="shared" si="459"/>
        <v>25165</v>
      </c>
      <c r="D6314" t="s">
        <v>1563</v>
      </c>
      <c r="E6314" s="3">
        <v>1077.47</v>
      </c>
      <c r="F6314">
        <v>20160526</v>
      </c>
      <c r="G6314" t="s">
        <v>3478</v>
      </c>
      <c r="H6314" t="s">
        <v>1682</v>
      </c>
      <c r="I6314">
        <v>0</v>
      </c>
      <c r="J6314" t="s">
        <v>1709</v>
      </c>
      <c r="K6314" t="s">
        <v>290</v>
      </c>
      <c r="L6314" t="s">
        <v>285</v>
      </c>
      <c r="M6314" t="str">
        <f t="shared" si="457"/>
        <v>05</v>
      </c>
      <c r="N6314" t="s">
        <v>12</v>
      </c>
    </row>
    <row r="6315" spans="1:14" x14ac:dyDescent="0.25">
      <c r="A6315">
        <v>20160527</v>
      </c>
      <c r="B6315" t="str">
        <f t="shared" si="458"/>
        <v>063611</v>
      </c>
      <c r="C6315" t="str">
        <f t="shared" si="459"/>
        <v>25165</v>
      </c>
      <c r="D6315" t="s">
        <v>1563</v>
      </c>
      <c r="E6315" s="3">
        <v>1077.47</v>
      </c>
      <c r="F6315">
        <v>20160526</v>
      </c>
      <c r="G6315" t="s">
        <v>5236</v>
      </c>
      <c r="H6315" t="s">
        <v>1682</v>
      </c>
      <c r="I6315">
        <v>0</v>
      </c>
      <c r="J6315" t="s">
        <v>1709</v>
      </c>
      <c r="K6315" t="s">
        <v>290</v>
      </c>
      <c r="L6315" t="s">
        <v>285</v>
      </c>
      <c r="M6315" t="str">
        <f t="shared" si="457"/>
        <v>05</v>
      </c>
      <c r="N6315" t="s">
        <v>12</v>
      </c>
    </row>
    <row r="6316" spans="1:14" x14ac:dyDescent="0.25">
      <c r="A6316">
        <v>20160527</v>
      </c>
      <c r="B6316" t="str">
        <f>"063612"</f>
        <v>063612</v>
      </c>
      <c r="C6316" t="str">
        <f>"77113"</f>
        <v>77113</v>
      </c>
      <c r="D6316" t="s">
        <v>3679</v>
      </c>
      <c r="E6316" s="3">
        <v>98.44</v>
      </c>
      <c r="F6316">
        <v>20160526</v>
      </c>
      <c r="G6316" t="s">
        <v>3680</v>
      </c>
      <c r="H6316" t="s">
        <v>4709</v>
      </c>
      <c r="I6316">
        <v>0</v>
      </c>
      <c r="J6316" t="s">
        <v>1709</v>
      </c>
      <c r="K6316" t="s">
        <v>1984</v>
      </c>
      <c r="L6316" t="s">
        <v>285</v>
      </c>
      <c r="M6316" t="str">
        <f t="shared" si="457"/>
        <v>05</v>
      </c>
      <c r="N6316" t="s">
        <v>12</v>
      </c>
    </row>
    <row r="6317" spans="1:14" x14ac:dyDescent="0.25">
      <c r="A6317">
        <v>20160527</v>
      </c>
      <c r="B6317" t="str">
        <f>"063613"</f>
        <v>063613</v>
      </c>
      <c r="C6317" t="str">
        <f>"25282"</f>
        <v>25282</v>
      </c>
      <c r="D6317" t="s">
        <v>1844</v>
      </c>
      <c r="E6317" s="3">
        <v>438.71</v>
      </c>
      <c r="F6317">
        <v>20160526</v>
      </c>
      <c r="G6317" t="s">
        <v>1974</v>
      </c>
      <c r="H6317" t="s">
        <v>1846</v>
      </c>
      <c r="I6317">
        <v>0</v>
      </c>
      <c r="J6317" t="s">
        <v>1709</v>
      </c>
      <c r="K6317" t="s">
        <v>290</v>
      </c>
      <c r="L6317" t="s">
        <v>285</v>
      </c>
      <c r="M6317" t="str">
        <f t="shared" si="457"/>
        <v>05</v>
      </c>
      <c r="N6317" t="s">
        <v>12</v>
      </c>
    </row>
    <row r="6318" spans="1:14" x14ac:dyDescent="0.25">
      <c r="A6318">
        <v>20160527</v>
      </c>
      <c r="B6318" t="str">
        <f>"063614"</f>
        <v>063614</v>
      </c>
      <c r="C6318" t="str">
        <f>"27900"</f>
        <v>27900</v>
      </c>
      <c r="D6318" t="s">
        <v>1596</v>
      </c>
      <c r="E6318" s="3">
        <v>100</v>
      </c>
      <c r="F6318">
        <v>20160526</v>
      </c>
      <c r="G6318" t="s">
        <v>2490</v>
      </c>
      <c r="H6318" t="s">
        <v>5325</v>
      </c>
      <c r="I6318">
        <v>0</v>
      </c>
      <c r="J6318" t="s">
        <v>1709</v>
      </c>
      <c r="K6318" t="s">
        <v>1856</v>
      </c>
      <c r="L6318" t="s">
        <v>285</v>
      </c>
      <c r="M6318" t="str">
        <f t="shared" si="457"/>
        <v>05</v>
      </c>
      <c r="N6318" t="s">
        <v>12</v>
      </c>
    </row>
    <row r="6319" spans="1:14" x14ac:dyDescent="0.25">
      <c r="A6319">
        <v>20160527</v>
      </c>
      <c r="B6319" t="str">
        <f>"063614"</f>
        <v>063614</v>
      </c>
      <c r="C6319" t="str">
        <f>"27900"</f>
        <v>27900</v>
      </c>
      <c r="D6319" t="s">
        <v>1596</v>
      </c>
      <c r="E6319" s="3">
        <v>200</v>
      </c>
      <c r="F6319">
        <v>20160526</v>
      </c>
      <c r="G6319" t="s">
        <v>1780</v>
      </c>
      <c r="H6319" t="s">
        <v>5326</v>
      </c>
      <c r="I6319">
        <v>0</v>
      </c>
      <c r="J6319" t="s">
        <v>1709</v>
      </c>
      <c r="K6319" t="s">
        <v>1782</v>
      </c>
      <c r="L6319" t="s">
        <v>285</v>
      </c>
      <c r="M6319" t="str">
        <f t="shared" si="457"/>
        <v>05</v>
      </c>
      <c r="N6319" t="s">
        <v>12</v>
      </c>
    </row>
    <row r="6320" spans="1:14" x14ac:dyDescent="0.25">
      <c r="A6320">
        <v>20160527</v>
      </c>
      <c r="B6320" t="str">
        <f>"063615"</f>
        <v>063615</v>
      </c>
      <c r="C6320" t="str">
        <f>"27906"</f>
        <v>27906</v>
      </c>
      <c r="D6320" t="s">
        <v>1596</v>
      </c>
      <c r="E6320" s="3">
        <v>500</v>
      </c>
      <c r="F6320">
        <v>20160526</v>
      </c>
      <c r="G6320" t="s">
        <v>4930</v>
      </c>
      <c r="H6320" t="s">
        <v>4931</v>
      </c>
      <c r="I6320">
        <v>0</v>
      </c>
      <c r="J6320" t="s">
        <v>1709</v>
      </c>
      <c r="K6320" t="s">
        <v>33</v>
      </c>
      <c r="L6320" t="s">
        <v>285</v>
      </c>
      <c r="M6320" t="str">
        <f t="shared" si="457"/>
        <v>05</v>
      </c>
      <c r="N6320" t="s">
        <v>12</v>
      </c>
    </row>
    <row r="6321" spans="1:14" x14ac:dyDescent="0.25">
      <c r="A6321">
        <v>20160527</v>
      </c>
      <c r="B6321" t="str">
        <f t="shared" ref="B6321:B6330" si="460">"063616"</f>
        <v>063616</v>
      </c>
      <c r="C6321" t="str">
        <f t="shared" ref="C6321:C6330" si="461">"28680"</f>
        <v>28680</v>
      </c>
      <c r="D6321" t="s">
        <v>422</v>
      </c>
      <c r="E6321" s="3">
        <v>107.98</v>
      </c>
      <c r="F6321">
        <v>20160526</v>
      </c>
      <c r="G6321" t="s">
        <v>1712</v>
      </c>
      <c r="H6321" t="s">
        <v>5012</v>
      </c>
      <c r="I6321">
        <v>0</v>
      </c>
      <c r="J6321" t="s">
        <v>1709</v>
      </c>
      <c r="K6321" t="s">
        <v>290</v>
      </c>
      <c r="L6321" t="s">
        <v>285</v>
      </c>
      <c r="M6321" t="str">
        <f t="shared" si="457"/>
        <v>05</v>
      </c>
      <c r="N6321" t="s">
        <v>12</v>
      </c>
    </row>
    <row r="6322" spans="1:14" x14ac:dyDescent="0.25">
      <c r="A6322">
        <v>20160527</v>
      </c>
      <c r="B6322" t="str">
        <f t="shared" si="460"/>
        <v>063616</v>
      </c>
      <c r="C6322" t="str">
        <f t="shared" si="461"/>
        <v>28680</v>
      </c>
      <c r="D6322" t="s">
        <v>422</v>
      </c>
      <c r="E6322" s="3">
        <v>38.99</v>
      </c>
      <c r="F6322">
        <v>20160526</v>
      </c>
      <c r="G6322" t="s">
        <v>1794</v>
      </c>
      <c r="H6322" t="s">
        <v>4370</v>
      </c>
      <c r="I6322">
        <v>0</v>
      </c>
      <c r="J6322" t="s">
        <v>1709</v>
      </c>
      <c r="K6322" t="s">
        <v>290</v>
      </c>
      <c r="L6322" t="s">
        <v>285</v>
      </c>
      <c r="M6322" t="str">
        <f t="shared" si="457"/>
        <v>05</v>
      </c>
      <c r="N6322" t="s">
        <v>12</v>
      </c>
    </row>
    <row r="6323" spans="1:14" x14ac:dyDescent="0.25">
      <c r="A6323">
        <v>20160527</v>
      </c>
      <c r="B6323" t="str">
        <f t="shared" si="460"/>
        <v>063616</v>
      </c>
      <c r="C6323" t="str">
        <f t="shared" si="461"/>
        <v>28680</v>
      </c>
      <c r="D6323" t="s">
        <v>422</v>
      </c>
      <c r="E6323" s="3">
        <v>62.28</v>
      </c>
      <c r="F6323">
        <v>20160526</v>
      </c>
      <c r="G6323" t="s">
        <v>3534</v>
      </c>
      <c r="H6323" t="s">
        <v>4372</v>
      </c>
      <c r="I6323">
        <v>0</v>
      </c>
      <c r="J6323" t="s">
        <v>1709</v>
      </c>
      <c r="K6323" t="s">
        <v>290</v>
      </c>
      <c r="L6323" t="s">
        <v>285</v>
      </c>
      <c r="M6323" t="str">
        <f t="shared" si="457"/>
        <v>05</v>
      </c>
      <c r="N6323" t="s">
        <v>12</v>
      </c>
    </row>
    <row r="6324" spans="1:14" x14ac:dyDescent="0.25">
      <c r="A6324">
        <v>20160527</v>
      </c>
      <c r="B6324" t="str">
        <f t="shared" si="460"/>
        <v>063616</v>
      </c>
      <c r="C6324" t="str">
        <f t="shared" si="461"/>
        <v>28680</v>
      </c>
      <c r="D6324" t="s">
        <v>422</v>
      </c>
      <c r="E6324" s="3">
        <v>107.98</v>
      </c>
      <c r="F6324">
        <v>20160526</v>
      </c>
      <c r="G6324" t="s">
        <v>3534</v>
      </c>
      <c r="H6324" t="s">
        <v>3071</v>
      </c>
      <c r="I6324">
        <v>0</v>
      </c>
      <c r="J6324" t="s">
        <v>1709</v>
      </c>
      <c r="K6324" t="s">
        <v>290</v>
      </c>
      <c r="L6324" t="s">
        <v>285</v>
      </c>
      <c r="M6324" t="str">
        <f t="shared" si="457"/>
        <v>05</v>
      </c>
      <c r="N6324" t="s">
        <v>12</v>
      </c>
    </row>
    <row r="6325" spans="1:14" x14ac:dyDescent="0.25">
      <c r="A6325">
        <v>20160527</v>
      </c>
      <c r="B6325" t="str">
        <f t="shared" si="460"/>
        <v>063616</v>
      </c>
      <c r="C6325" t="str">
        <f t="shared" si="461"/>
        <v>28680</v>
      </c>
      <c r="D6325" t="s">
        <v>422</v>
      </c>
      <c r="E6325" s="3">
        <v>261.75</v>
      </c>
      <c r="F6325">
        <v>20160526</v>
      </c>
      <c r="G6325" t="s">
        <v>3534</v>
      </c>
      <c r="H6325" t="s">
        <v>4778</v>
      </c>
      <c r="I6325">
        <v>0</v>
      </c>
      <c r="J6325" t="s">
        <v>1709</v>
      </c>
      <c r="K6325" t="s">
        <v>290</v>
      </c>
      <c r="L6325" t="s">
        <v>285</v>
      </c>
      <c r="M6325" t="str">
        <f t="shared" si="457"/>
        <v>05</v>
      </c>
      <c r="N6325" t="s">
        <v>12</v>
      </c>
    </row>
    <row r="6326" spans="1:14" x14ac:dyDescent="0.25">
      <c r="A6326">
        <v>20160527</v>
      </c>
      <c r="B6326" t="str">
        <f t="shared" si="460"/>
        <v>063616</v>
      </c>
      <c r="C6326" t="str">
        <f t="shared" si="461"/>
        <v>28680</v>
      </c>
      <c r="D6326" t="s">
        <v>422</v>
      </c>
      <c r="E6326" s="3">
        <v>822.51</v>
      </c>
      <c r="F6326">
        <v>20160526</v>
      </c>
      <c r="G6326" t="s">
        <v>3534</v>
      </c>
      <c r="H6326" t="s">
        <v>5327</v>
      </c>
      <c r="I6326">
        <v>0</v>
      </c>
      <c r="J6326" t="s">
        <v>1709</v>
      </c>
      <c r="K6326" t="s">
        <v>290</v>
      </c>
      <c r="L6326" t="s">
        <v>285</v>
      </c>
      <c r="M6326" t="str">
        <f t="shared" si="457"/>
        <v>05</v>
      </c>
      <c r="N6326" t="s">
        <v>12</v>
      </c>
    </row>
    <row r="6327" spans="1:14" x14ac:dyDescent="0.25">
      <c r="A6327">
        <v>20160527</v>
      </c>
      <c r="B6327" t="str">
        <f t="shared" si="460"/>
        <v>063616</v>
      </c>
      <c r="C6327" t="str">
        <f t="shared" si="461"/>
        <v>28680</v>
      </c>
      <c r="D6327" t="s">
        <v>422</v>
      </c>
      <c r="E6327" s="3">
        <v>40.99</v>
      </c>
      <c r="F6327">
        <v>20160526</v>
      </c>
      <c r="G6327" t="s">
        <v>5019</v>
      </c>
      <c r="H6327" t="s">
        <v>5328</v>
      </c>
      <c r="I6327">
        <v>0</v>
      </c>
      <c r="J6327" t="s">
        <v>1709</v>
      </c>
      <c r="K6327" t="s">
        <v>290</v>
      </c>
      <c r="L6327" t="s">
        <v>285</v>
      </c>
      <c r="M6327" t="str">
        <f t="shared" si="457"/>
        <v>05</v>
      </c>
      <c r="N6327" t="s">
        <v>12</v>
      </c>
    </row>
    <row r="6328" spans="1:14" x14ac:dyDescent="0.25">
      <c r="A6328">
        <v>20160527</v>
      </c>
      <c r="B6328" t="str">
        <f t="shared" si="460"/>
        <v>063616</v>
      </c>
      <c r="C6328" t="str">
        <f t="shared" si="461"/>
        <v>28680</v>
      </c>
      <c r="D6328" t="s">
        <v>422</v>
      </c>
      <c r="E6328" s="3">
        <v>233.93</v>
      </c>
      <c r="F6328">
        <v>20160526</v>
      </c>
      <c r="G6328" t="s">
        <v>4969</v>
      </c>
      <c r="H6328" t="s">
        <v>1350</v>
      </c>
      <c r="I6328">
        <v>0</v>
      </c>
      <c r="J6328" t="s">
        <v>1709</v>
      </c>
      <c r="K6328" t="s">
        <v>290</v>
      </c>
      <c r="L6328" t="s">
        <v>285</v>
      </c>
      <c r="M6328" t="str">
        <f t="shared" si="457"/>
        <v>05</v>
      </c>
      <c r="N6328" t="s">
        <v>12</v>
      </c>
    </row>
    <row r="6329" spans="1:14" x14ac:dyDescent="0.25">
      <c r="A6329">
        <v>20160527</v>
      </c>
      <c r="B6329" t="str">
        <f t="shared" si="460"/>
        <v>063616</v>
      </c>
      <c r="C6329" t="str">
        <f t="shared" si="461"/>
        <v>28680</v>
      </c>
      <c r="D6329" t="s">
        <v>422</v>
      </c>
      <c r="E6329" s="3">
        <v>107.98</v>
      </c>
      <c r="F6329">
        <v>20160526</v>
      </c>
      <c r="G6329" t="s">
        <v>4969</v>
      </c>
      <c r="H6329" t="s">
        <v>1350</v>
      </c>
      <c r="I6329">
        <v>0</v>
      </c>
      <c r="J6329" t="s">
        <v>1709</v>
      </c>
      <c r="K6329" t="s">
        <v>290</v>
      </c>
      <c r="L6329" t="s">
        <v>285</v>
      </c>
      <c r="M6329" t="str">
        <f t="shared" si="457"/>
        <v>05</v>
      </c>
      <c r="N6329" t="s">
        <v>12</v>
      </c>
    </row>
    <row r="6330" spans="1:14" x14ac:dyDescent="0.25">
      <c r="A6330">
        <v>20160527</v>
      </c>
      <c r="B6330" t="str">
        <f t="shared" si="460"/>
        <v>063616</v>
      </c>
      <c r="C6330" t="str">
        <f t="shared" si="461"/>
        <v>28680</v>
      </c>
      <c r="D6330" t="s">
        <v>422</v>
      </c>
      <c r="E6330" s="3">
        <v>124.55</v>
      </c>
      <c r="F6330">
        <v>20160526</v>
      </c>
      <c r="G6330" t="s">
        <v>4066</v>
      </c>
      <c r="H6330" t="s">
        <v>4372</v>
      </c>
      <c r="I6330">
        <v>0</v>
      </c>
      <c r="J6330" t="s">
        <v>1709</v>
      </c>
      <c r="K6330" t="s">
        <v>290</v>
      </c>
      <c r="L6330" t="s">
        <v>285</v>
      </c>
      <c r="M6330" t="str">
        <f t="shared" si="457"/>
        <v>05</v>
      </c>
      <c r="N6330" t="s">
        <v>12</v>
      </c>
    </row>
    <row r="6331" spans="1:14" x14ac:dyDescent="0.25">
      <c r="A6331">
        <v>20160527</v>
      </c>
      <c r="B6331" t="str">
        <f>"063617"</f>
        <v>063617</v>
      </c>
      <c r="C6331" t="str">
        <f>"28733"</f>
        <v>28733</v>
      </c>
      <c r="D6331" t="s">
        <v>4049</v>
      </c>
      <c r="E6331" s="3">
        <v>97.91</v>
      </c>
      <c r="F6331">
        <v>20160526</v>
      </c>
      <c r="G6331" t="s">
        <v>2529</v>
      </c>
      <c r="H6331" t="s">
        <v>5329</v>
      </c>
      <c r="I6331">
        <v>0</v>
      </c>
      <c r="J6331" t="s">
        <v>1709</v>
      </c>
      <c r="K6331" t="s">
        <v>95</v>
      </c>
      <c r="L6331" t="s">
        <v>285</v>
      </c>
      <c r="M6331" t="str">
        <f t="shared" si="457"/>
        <v>05</v>
      </c>
      <c r="N6331" t="s">
        <v>12</v>
      </c>
    </row>
    <row r="6332" spans="1:14" x14ac:dyDescent="0.25">
      <c r="A6332">
        <v>20160527</v>
      </c>
      <c r="B6332" t="str">
        <f>"063618"</f>
        <v>063618</v>
      </c>
      <c r="C6332" t="str">
        <f>"28776"</f>
        <v>28776</v>
      </c>
      <c r="D6332" t="s">
        <v>707</v>
      </c>
      <c r="E6332" s="3">
        <v>13.41</v>
      </c>
      <c r="F6332">
        <v>20160526</v>
      </c>
      <c r="G6332" t="s">
        <v>5059</v>
      </c>
      <c r="H6332" t="s">
        <v>5330</v>
      </c>
      <c r="I6332">
        <v>0</v>
      </c>
      <c r="J6332" t="s">
        <v>1709</v>
      </c>
      <c r="K6332" t="s">
        <v>1519</v>
      </c>
      <c r="L6332" t="s">
        <v>285</v>
      </c>
      <c r="M6332" t="str">
        <f t="shared" si="457"/>
        <v>05</v>
      </c>
      <c r="N6332" t="s">
        <v>12</v>
      </c>
    </row>
    <row r="6333" spans="1:14" x14ac:dyDescent="0.25">
      <c r="A6333">
        <v>20160527</v>
      </c>
      <c r="B6333" t="str">
        <f>"063618"</f>
        <v>063618</v>
      </c>
      <c r="C6333" t="str">
        <f>"28776"</f>
        <v>28776</v>
      </c>
      <c r="D6333" t="s">
        <v>707</v>
      </c>
      <c r="E6333" s="3">
        <v>19.18</v>
      </c>
      <c r="F6333">
        <v>20160526</v>
      </c>
      <c r="G6333" t="s">
        <v>5059</v>
      </c>
      <c r="H6333" t="s">
        <v>5331</v>
      </c>
      <c r="I6333">
        <v>0</v>
      </c>
      <c r="J6333" t="s">
        <v>1709</v>
      </c>
      <c r="K6333" t="s">
        <v>1519</v>
      </c>
      <c r="L6333" t="s">
        <v>285</v>
      </c>
      <c r="M6333" t="str">
        <f t="shared" si="457"/>
        <v>05</v>
      </c>
      <c r="N6333" t="s">
        <v>12</v>
      </c>
    </row>
    <row r="6334" spans="1:14" x14ac:dyDescent="0.25">
      <c r="A6334">
        <v>20160527</v>
      </c>
      <c r="B6334" t="str">
        <f>"063618"</f>
        <v>063618</v>
      </c>
      <c r="C6334" t="str">
        <f>"28776"</f>
        <v>28776</v>
      </c>
      <c r="D6334" t="s">
        <v>707</v>
      </c>
      <c r="E6334" s="3">
        <v>29.41</v>
      </c>
      <c r="F6334">
        <v>20160526</v>
      </c>
      <c r="G6334" t="s">
        <v>5059</v>
      </c>
      <c r="H6334" t="s">
        <v>5332</v>
      </c>
      <c r="I6334">
        <v>0</v>
      </c>
      <c r="J6334" t="s">
        <v>1709</v>
      </c>
      <c r="K6334" t="s">
        <v>1519</v>
      </c>
      <c r="L6334" t="s">
        <v>285</v>
      </c>
      <c r="M6334" t="str">
        <f t="shared" si="457"/>
        <v>05</v>
      </c>
      <c r="N6334" t="s">
        <v>12</v>
      </c>
    </row>
    <row r="6335" spans="1:14" x14ac:dyDescent="0.25">
      <c r="A6335">
        <v>20160527</v>
      </c>
      <c r="B6335" t="str">
        <f>"063620"</f>
        <v>063620</v>
      </c>
      <c r="C6335" t="str">
        <f>"29548"</f>
        <v>29548</v>
      </c>
      <c r="D6335" t="s">
        <v>1862</v>
      </c>
      <c r="E6335" s="3">
        <v>45.9</v>
      </c>
      <c r="F6335">
        <v>20160526</v>
      </c>
      <c r="G6335" t="s">
        <v>1859</v>
      </c>
      <c r="H6335" t="s">
        <v>5333</v>
      </c>
      <c r="I6335">
        <v>0</v>
      </c>
      <c r="J6335" t="s">
        <v>1709</v>
      </c>
      <c r="K6335" t="s">
        <v>1861</v>
      </c>
      <c r="L6335" t="s">
        <v>285</v>
      </c>
      <c r="M6335" t="str">
        <f t="shared" si="457"/>
        <v>05</v>
      </c>
      <c r="N6335" t="s">
        <v>12</v>
      </c>
    </row>
    <row r="6336" spans="1:14" x14ac:dyDescent="0.25">
      <c r="A6336">
        <v>20160527</v>
      </c>
      <c r="B6336" t="str">
        <f>"063620"</f>
        <v>063620</v>
      </c>
      <c r="C6336" t="str">
        <f>"29548"</f>
        <v>29548</v>
      </c>
      <c r="D6336" t="s">
        <v>1862</v>
      </c>
      <c r="E6336" s="3">
        <v>139</v>
      </c>
      <c r="F6336">
        <v>20160526</v>
      </c>
      <c r="G6336" t="s">
        <v>1859</v>
      </c>
      <c r="H6336" t="s">
        <v>5334</v>
      </c>
      <c r="I6336">
        <v>0</v>
      </c>
      <c r="J6336" t="s">
        <v>1709</v>
      </c>
      <c r="K6336" t="s">
        <v>1861</v>
      </c>
      <c r="L6336" t="s">
        <v>285</v>
      </c>
      <c r="M6336" t="str">
        <f t="shared" si="457"/>
        <v>05</v>
      </c>
      <c r="N6336" t="s">
        <v>12</v>
      </c>
    </row>
    <row r="6337" spans="1:14" x14ac:dyDescent="0.25">
      <c r="A6337">
        <v>20160527</v>
      </c>
      <c r="B6337" t="str">
        <f>"063620"</f>
        <v>063620</v>
      </c>
      <c r="C6337" t="str">
        <f>"29548"</f>
        <v>29548</v>
      </c>
      <c r="D6337" t="s">
        <v>1862</v>
      </c>
      <c r="E6337" s="3">
        <v>359.5</v>
      </c>
      <c r="F6337">
        <v>20160526</v>
      </c>
      <c r="G6337" t="s">
        <v>1859</v>
      </c>
      <c r="H6337" t="s">
        <v>5335</v>
      </c>
      <c r="I6337">
        <v>0</v>
      </c>
      <c r="J6337" t="s">
        <v>1709</v>
      </c>
      <c r="K6337" t="s">
        <v>1861</v>
      </c>
      <c r="L6337" t="s">
        <v>285</v>
      </c>
      <c r="M6337" t="str">
        <f t="shared" si="457"/>
        <v>05</v>
      </c>
      <c r="N6337" t="s">
        <v>12</v>
      </c>
    </row>
    <row r="6338" spans="1:14" x14ac:dyDescent="0.25">
      <c r="A6338">
        <v>20160527</v>
      </c>
      <c r="B6338" t="str">
        <f>"063621"</f>
        <v>063621</v>
      </c>
      <c r="C6338" t="str">
        <f>"29680"</f>
        <v>29680</v>
      </c>
      <c r="D6338" t="s">
        <v>653</v>
      </c>
      <c r="E6338" s="3">
        <v>284.8</v>
      </c>
      <c r="F6338">
        <v>20160526</v>
      </c>
      <c r="G6338" t="s">
        <v>1961</v>
      </c>
      <c r="H6338" t="s">
        <v>5336</v>
      </c>
      <c r="I6338">
        <v>0</v>
      </c>
      <c r="J6338" t="s">
        <v>1709</v>
      </c>
      <c r="K6338" t="s">
        <v>290</v>
      </c>
      <c r="L6338" t="s">
        <v>285</v>
      </c>
      <c r="M6338" t="str">
        <f t="shared" si="457"/>
        <v>05</v>
      </c>
      <c r="N6338" t="s">
        <v>12</v>
      </c>
    </row>
    <row r="6339" spans="1:14" x14ac:dyDescent="0.25">
      <c r="A6339">
        <v>20160527</v>
      </c>
      <c r="B6339" t="str">
        <f>"063623"</f>
        <v>063623</v>
      </c>
      <c r="C6339" t="str">
        <f>"30155"</f>
        <v>30155</v>
      </c>
      <c r="D6339" t="s">
        <v>944</v>
      </c>
      <c r="E6339" s="3">
        <v>3733.01</v>
      </c>
      <c r="F6339">
        <v>20160526</v>
      </c>
      <c r="G6339" t="s">
        <v>5337</v>
      </c>
      <c r="H6339" t="s">
        <v>5338</v>
      </c>
      <c r="I6339">
        <v>0</v>
      </c>
      <c r="J6339" t="s">
        <v>1709</v>
      </c>
      <c r="K6339" t="s">
        <v>290</v>
      </c>
      <c r="L6339" t="s">
        <v>285</v>
      </c>
      <c r="M6339" t="str">
        <f t="shared" si="457"/>
        <v>05</v>
      </c>
      <c r="N6339" t="s">
        <v>12</v>
      </c>
    </row>
    <row r="6340" spans="1:14" x14ac:dyDescent="0.25">
      <c r="A6340">
        <v>20160527</v>
      </c>
      <c r="B6340" t="str">
        <f>"063624"</f>
        <v>063624</v>
      </c>
      <c r="C6340" t="str">
        <f>"31345"</f>
        <v>31345</v>
      </c>
      <c r="D6340" t="s">
        <v>426</v>
      </c>
      <c r="E6340" s="3">
        <v>292</v>
      </c>
      <c r="F6340">
        <v>20160526</v>
      </c>
      <c r="G6340" t="s">
        <v>5339</v>
      </c>
      <c r="H6340" t="s">
        <v>5340</v>
      </c>
      <c r="I6340">
        <v>0</v>
      </c>
      <c r="J6340" t="s">
        <v>1709</v>
      </c>
      <c r="K6340" t="s">
        <v>290</v>
      </c>
      <c r="L6340" t="s">
        <v>285</v>
      </c>
      <c r="M6340" t="str">
        <f t="shared" si="457"/>
        <v>05</v>
      </c>
      <c r="N6340" t="s">
        <v>12</v>
      </c>
    </row>
    <row r="6341" spans="1:14" x14ac:dyDescent="0.25">
      <c r="A6341">
        <v>20160527</v>
      </c>
      <c r="B6341" t="str">
        <f>"063631"</f>
        <v>063631</v>
      </c>
      <c r="C6341" t="str">
        <f>"34226"</f>
        <v>34226</v>
      </c>
      <c r="D6341" t="s">
        <v>1976</v>
      </c>
      <c r="E6341" s="3">
        <v>2000</v>
      </c>
      <c r="F6341">
        <v>20160526</v>
      </c>
      <c r="G6341" t="s">
        <v>2941</v>
      </c>
      <c r="H6341" t="s">
        <v>5341</v>
      </c>
      <c r="I6341">
        <v>0</v>
      </c>
      <c r="J6341" t="s">
        <v>1709</v>
      </c>
      <c r="K6341" t="s">
        <v>95</v>
      </c>
      <c r="L6341" t="s">
        <v>285</v>
      </c>
      <c r="M6341" t="str">
        <f t="shared" si="457"/>
        <v>05</v>
      </c>
      <c r="N6341" t="s">
        <v>12</v>
      </c>
    </row>
    <row r="6342" spans="1:14" x14ac:dyDescent="0.25">
      <c r="A6342">
        <v>20160527</v>
      </c>
      <c r="B6342" t="str">
        <f>"063633"</f>
        <v>063633</v>
      </c>
      <c r="C6342" t="str">
        <f>"37602"</f>
        <v>37602</v>
      </c>
      <c r="D6342" t="s">
        <v>5342</v>
      </c>
      <c r="E6342" s="3">
        <v>53.2</v>
      </c>
      <c r="F6342">
        <v>20160526</v>
      </c>
      <c r="G6342" t="s">
        <v>5343</v>
      </c>
      <c r="H6342" t="s">
        <v>5344</v>
      </c>
      <c r="I6342">
        <v>0</v>
      </c>
      <c r="J6342" t="s">
        <v>1709</v>
      </c>
      <c r="K6342" t="s">
        <v>95</v>
      </c>
      <c r="L6342" t="s">
        <v>285</v>
      </c>
      <c r="M6342" t="str">
        <f t="shared" si="457"/>
        <v>05</v>
      </c>
      <c r="N6342" t="s">
        <v>12</v>
      </c>
    </row>
    <row r="6343" spans="1:14" x14ac:dyDescent="0.25">
      <c r="A6343">
        <v>20160527</v>
      </c>
      <c r="B6343" t="str">
        <f>"063634"</f>
        <v>063634</v>
      </c>
      <c r="C6343" t="str">
        <f>"37805"</f>
        <v>37805</v>
      </c>
      <c r="D6343" t="s">
        <v>2669</v>
      </c>
      <c r="E6343" s="3">
        <v>658.6</v>
      </c>
      <c r="F6343">
        <v>20160526</v>
      </c>
      <c r="G6343" t="s">
        <v>5345</v>
      </c>
      <c r="H6343" t="s">
        <v>5346</v>
      </c>
      <c r="I6343">
        <v>0</v>
      </c>
      <c r="J6343" t="s">
        <v>1709</v>
      </c>
      <c r="K6343" t="s">
        <v>290</v>
      </c>
      <c r="L6343" t="s">
        <v>285</v>
      </c>
      <c r="M6343" t="str">
        <f t="shared" si="457"/>
        <v>05</v>
      </c>
      <c r="N6343" t="s">
        <v>12</v>
      </c>
    </row>
    <row r="6344" spans="1:14" x14ac:dyDescent="0.25">
      <c r="A6344">
        <v>20160527</v>
      </c>
      <c r="B6344" t="str">
        <f>"063634"</f>
        <v>063634</v>
      </c>
      <c r="C6344" t="str">
        <f>"37805"</f>
        <v>37805</v>
      </c>
      <c r="D6344" t="s">
        <v>2669</v>
      </c>
      <c r="E6344" s="3">
        <v>900</v>
      </c>
      <c r="F6344">
        <v>20160526</v>
      </c>
      <c r="G6344" t="s">
        <v>1738</v>
      </c>
      <c r="H6344" t="s">
        <v>5346</v>
      </c>
      <c r="I6344">
        <v>0</v>
      </c>
      <c r="J6344" t="s">
        <v>1709</v>
      </c>
      <c r="K6344" t="s">
        <v>290</v>
      </c>
      <c r="L6344" t="s">
        <v>285</v>
      </c>
      <c r="M6344" t="str">
        <f t="shared" si="457"/>
        <v>05</v>
      </c>
      <c r="N6344" t="s">
        <v>12</v>
      </c>
    </row>
    <row r="6345" spans="1:14" x14ac:dyDescent="0.25">
      <c r="A6345">
        <v>20160527</v>
      </c>
      <c r="B6345" t="str">
        <f>"063634"</f>
        <v>063634</v>
      </c>
      <c r="C6345" t="str">
        <f>"37805"</f>
        <v>37805</v>
      </c>
      <c r="D6345" t="s">
        <v>2669</v>
      </c>
      <c r="E6345" s="3">
        <v>64</v>
      </c>
      <c r="F6345">
        <v>20160526</v>
      </c>
      <c r="G6345" t="s">
        <v>1725</v>
      </c>
      <c r="H6345" t="s">
        <v>5346</v>
      </c>
      <c r="I6345">
        <v>0</v>
      </c>
      <c r="J6345" t="s">
        <v>1709</v>
      </c>
      <c r="K6345" t="s">
        <v>290</v>
      </c>
      <c r="L6345" t="s">
        <v>285</v>
      </c>
      <c r="M6345" t="str">
        <f t="shared" si="457"/>
        <v>05</v>
      </c>
      <c r="N6345" t="s">
        <v>12</v>
      </c>
    </row>
    <row r="6346" spans="1:14" x14ac:dyDescent="0.25">
      <c r="A6346">
        <v>20160527</v>
      </c>
      <c r="B6346" t="str">
        <f>"063634"</f>
        <v>063634</v>
      </c>
      <c r="C6346" t="str">
        <f>"37805"</f>
        <v>37805</v>
      </c>
      <c r="D6346" t="s">
        <v>2669</v>
      </c>
      <c r="E6346" s="3">
        <v>1200</v>
      </c>
      <c r="F6346">
        <v>20160526</v>
      </c>
      <c r="G6346" t="s">
        <v>1739</v>
      </c>
      <c r="H6346" t="s">
        <v>5346</v>
      </c>
      <c r="I6346">
        <v>0</v>
      </c>
      <c r="J6346" t="s">
        <v>1709</v>
      </c>
      <c r="K6346" t="s">
        <v>290</v>
      </c>
      <c r="L6346" t="s">
        <v>285</v>
      </c>
      <c r="M6346" t="str">
        <f t="shared" si="457"/>
        <v>05</v>
      </c>
      <c r="N6346" t="s">
        <v>12</v>
      </c>
    </row>
    <row r="6347" spans="1:14" x14ac:dyDescent="0.25">
      <c r="A6347">
        <v>20160527</v>
      </c>
      <c r="B6347" t="str">
        <f>"063637"</f>
        <v>063637</v>
      </c>
      <c r="C6347" t="str">
        <f>"40832"</f>
        <v>40832</v>
      </c>
      <c r="D6347" t="s">
        <v>5347</v>
      </c>
      <c r="E6347" s="3">
        <v>156.96</v>
      </c>
      <c r="F6347">
        <v>20160526</v>
      </c>
      <c r="G6347" t="s">
        <v>3064</v>
      </c>
      <c r="H6347" t="s">
        <v>5348</v>
      </c>
      <c r="I6347">
        <v>0</v>
      </c>
      <c r="J6347" t="s">
        <v>1709</v>
      </c>
      <c r="K6347" t="s">
        <v>33</v>
      </c>
      <c r="L6347" t="s">
        <v>285</v>
      </c>
      <c r="M6347" t="str">
        <f t="shared" ref="M6347:M6410" si="462">"05"</f>
        <v>05</v>
      </c>
      <c r="N6347" t="s">
        <v>12</v>
      </c>
    </row>
    <row r="6348" spans="1:14" x14ac:dyDescent="0.25">
      <c r="A6348">
        <v>20160527</v>
      </c>
      <c r="B6348" t="str">
        <f>"063639"</f>
        <v>063639</v>
      </c>
      <c r="C6348" t="str">
        <f>"63511"</f>
        <v>63511</v>
      </c>
      <c r="D6348" t="s">
        <v>2322</v>
      </c>
      <c r="E6348" s="3">
        <v>216.6</v>
      </c>
      <c r="F6348">
        <v>20160526</v>
      </c>
      <c r="G6348" t="s">
        <v>3165</v>
      </c>
      <c r="H6348" t="s">
        <v>4153</v>
      </c>
      <c r="I6348">
        <v>0</v>
      </c>
      <c r="J6348" t="s">
        <v>1709</v>
      </c>
      <c r="K6348" t="s">
        <v>1643</v>
      </c>
      <c r="L6348" t="s">
        <v>285</v>
      </c>
      <c r="M6348" t="str">
        <f t="shared" si="462"/>
        <v>05</v>
      </c>
      <c r="N6348" t="s">
        <v>12</v>
      </c>
    </row>
    <row r="6349" spans="1:14" x14ac:dyDescent="0.25">
      <c r="A6349">
        <v>20160527</v>
      </c>
      <c r="B6349" t="str">
        <f>"063639"</f>
        <v>063639</v>
      </c>
      <c r="C6349" t="str">
        <f>"63511"</f>
        <v>63511</v>
      </c>
      <c r="D6349" t="s">
        <v>2322</v>
      </c>
      <c r="E6349" s="3">
        <v>108.45</v>
      </c>
      <c r="F6349">
        <v>20160526</v>
      </c>
      <c r="G6349" t="s">
        <v>5349</v>
      </c>
      <c r="H6349" t="s">
        <v>4153</v>
      </c>
      <c r="I6349">
        <v>0</v>
      </c>
      <c r="J6349" t="s">
        <v>1709</v>
      </c>
      <c r="K6349" t="s">
        <v>33</v>
      </c>
      <c r="L6349" t="s">
        <v>285</v>
      </c>
      <c r="M6349" t="str">
        <f t="shared" si="462"/>
        <v>05</v>
      </c>
      <c r="N6349" t="s">
        <v>12</v>
      </c>
    </row>
    <row r="6350" spans="1:14" x14ac:dyDescent="0.25">
      <c r="A6350">
        <v>20160527</v>
      </c>
      <c r="B6350" t="str">
        <f>"063641"</f>
        <v>063641</v>
      </c>
      <c r="C6350" t="str">
        <f>"43532"</f>
        <v>43532</v>
      </c>
      <c r="D6350" t="s">
        <v>1979</v>
      </c>
      <c r="E6350" s="3">
        <v>4735.97</v>
      </c>
      <c r="F6350">
        <v>20160526</v>
      </c>
      <c r="G6350" t="s">
        <v>2083</v>
      </c>
      <c r="H6350" t="s">
        <v>5350</v>
      </c>
      <c r="I6350">
        <v>0</v>
      </c>
      <c r="J6350" t="s">
        <v>1709</v>
      </c>
      <c r="K6350" t="s">
        <v>290</v>
      </c>
      <c r="L6350" t="s">
        <v>285</v>
      </c>
      <c r="M6350" t="str">
        <f t="shared" si="462"/>
        <v>05</v>
      </c>
      <c r="N6350" t="s">
        <v>12</v>
      </c>
    </row>
    <row r="6351" spans="1:14" x14ac:dyDescent="0.25">
      <c r="A6351">
        <v>20160527</v>
      </c>
      <c r="B6351" t="str">
        <f>"063641"</f>
        <v>063641</v>
      </c>
      <c r="C6351" t="str">
        <f>"43532"</f>
        <v>43532</v>
      </c>
      <c r="D6351" t="s">
        <v>1979</v>
      </c>
      <c r="E6351" s="3">
        <v>4735.97</v>
      </c>
      <c r="F6351">
        <v>20160526</v>
      </c>
      <c r="G6351" t="s">
        <v>2086</v>
      </c>
      <c r="H6351" t="s">
        <v>5350</v>
      </c>
      <c r="I6351">
        <v>0</v>
      </c>
      <c r="J6351" t="s">
        <v>1709</v>
      </c>
      <c r="K6351" t="s">
        <v>95</v>
      </c>
      <c r="L6351" t="s">
        <v>285</v>
      </c>
      <c r="M6351" t="str">
        <f t="shared" si="462"/>
        <v>05</v>
      </c>
      <c r="N6351" t="s">
        <v>12</v>
      </c>
    </row>
    <row r="6352" spans="1:14" x14ac:dyDescent="0.25">
      <c r="A6352">
        <v>20160527</v>
      </c>
      <c r="B6352" t="str">
        <f>"063641"</f>
        <v>063641</v>
      </c>
      <c r="C6352" t="str">
        <f>"43532"</f>
        <v>43532</v>
      </c>
      <c r="D6352" t="s">
        <v>1979</v>
      </c>
      <c r="E6352" s="3">
        <v>4735.96</v>
      </c>
      <c r="F6352">
        <v>20160526</v>
      </c>
      <c r="G6352" t="s">
        <v>2087</v>
      </c>
      <c r="H6352" t="s">
        <v>5350</v>
      </c>
      <c r="I6352">
        <v>0</v>
      </c>
      <c r="J6352" t="s">
        <v>1709</v>
      </c>
      <c r="K6352" t="s">
        <v>1643</v>
      </c>
      <c r="L6352" t="s">
        <v>285</v>
      </c>
      <c r="M6352" t="str">
        <f t="shared" si="462"/>
        <v>05</v>
      </c>
      <c r="N6352" t="s">
        <v>12</v>
      </c>
    </row>
    <row r="6353" spans="1:14" x14ac:dyDescent="0.25">
      <c r="A6353">
        <v>20160527</v>
      </c>
      <c r="B6353" t="str">
        <f>"063641"</f>
        <v>063641</v>
      </c>
      <c r="C6353" t="str">
        <f>"43532"</f>
        <v>43532</v>
      </c>
      <c r="D6353" t="s">
        <v>1979</v>
      </c>
      <c r="E6353" s="3">
        <v>4735.96</v>
      </c>
      <c r="F6353">
        <v>20160526</v>
      </c>
      <c r="G6353" t="s">
        <v>2088</v>
      </c>
      <c r="H6353" t="s">
        <v>5350</v>
      </c>
      <c r="I6353">
        <v>0</v>
      </c>
      <c r="J6353" t="s">
        <v>1709</v>
      </c>
      <c r="K6353" t="s">
        <v>33</v>
      </c>
      <c r="L6353" t="s">
        <v>285</v>
      </c>
      <c r="M6353" t="str">
        <f t="shared" si="462"/>
        <v>05</v>
      </c>
      <c r="N6353" t="s">
        <v>12</v>
      </c>
    </row>
    <row r="6354" spans="1:14" x14ac:dyDescent="0.25">
      <c r="A6354">
        <v>20160527</v>
      </c>
      <c r="B6354" t="str">
        <f>"063645"</f>
        <v>063645</v>
      </c>
      <c r="C6354" t="str">
        <f>"46351"</f>
        <v>46351</v>
      </c>
      <c r="D6354" t="s">
        <v>2518</v>
      </c>
      <c r="E6354" s="3">
        <v>633.32000000000005</v>
      </c>
      <c r="F6354">
        <v>20160526</v>
      </c>
      <c r="G6354" t="s">
        <v>1995</v>
      </c>
      <c r="H6354" t="s">
        <v>5351</v>
      </c>
      <c r="I6354">
        <v>0</v>
      </c>
      <c r="J6354" t="s">
        <v>1709</v>
      </c>
      <c r="K6354" t="s">
        <v>235</v>
      </c>
      <c r="L6354" t="s">
        <v>285</v>
      </c>
      <c r="M6354" t="str">
        <f t="shared" si="462"/>
        <v>05</v>
      </c>
      <c r="N6354" t="s">
        <v>12</v>
      </c>
    </row>
    <row r="6355" spans="1:14" x14ac:dyDescent="0.25">
      <c r="A6355">
        <v>20160527</v>
      </c>
      <c r="B6355" t="str">
        <f>"063646"</f>
        <v>063646</v>
      </c>
      <c r="C6355" t="str">
        <f>"80056"</f>
        <v>80056</v>
      </c>
      <c r="D6355" t="s">
        <v>2751</v>
      </c>
      <c r="E6355" s="3">
        <v>152.13</v>
      </c>
      <c r="F6355">
        <v>20160526</v>
      </c>
      <c r="G6355" t="s">
        <v>3476</v>
      </c>
      <c r="H6355" t="s">
        <v>5352</v>
      </c>
      <c r="I6355">
        <v>0</v>
      </c>
      <c r="J6355" t="s">
        <v>1709</v>
      </c>
      <c r="K6355" t="s">
        <v>290</v>
      </c>
      <c r="L6355" t="s">
        <v>285</v>
      </c>
      <c r="M6355" t="str">
        <f t="shared" si="462"/>
        <v>05</v>
      </c>
      <c r="N6355" t="s">
        <v>12</v>
      </c>
    </row>
    <row r="6356" spans="1:14" x14ac:dyDescent="0.25">
      <c r="A6356">
        <v>20160527</v>
      </c>
      <c r="B6356" t="str">
        <f>"063647"</f>
        <v>063647</v>
      </c>
      <c r="C6356" t="str">
        <f>"49748"</f>
        <v>49748</v>
      </c>
      <c r="D6356" t="s">
        <v>1885</v>
      </c>
      <c r="E6356" s="3">
        <v>1800</v>
      </c>
      <c r="F6356">
        <v>20160526</v>
      </c>
      <c r="G6356" t="s">
        <v>2626</v>
      </c>
      <c r="H6356" t="s">
        <v>5353</v>
      </c>
      <c r="I6356">
        <v>0</v>
      </c>
      <c r="J6356" t="s">
        <v>1709</v>
      </c>
      <c r="K6356" t="s">
        <v>290</v>
      </c>
      <c r="L6356" t="s">
        <v>285</v>
      </c>
      <c r="M6356" t="str">
        <f t="shared" si="462"/>
        <v>05</v>
      </c>
      <c r="N6356" t="s">
        <v>12</v>
      </c>
    </row>
    <row r="6357" spans="1:14" x14ac:dyDescent="0.25">
      <c r="A6357">
        <v>20160527</v>
      </c>
      <c r="B6357" t="str">
        <f>"063648"</f>
        <v>063648</v>
      </c>
      <c r="C6357" t="str">
        <f>"50109"</f>
        <v>50109</v>
      </c>
      <c r="D6357" t="s">
        <v>3481</v>
      </c>
      <c r="E6357" s="3">
        <v>406.25</v>
      </c>
      <c r="F6357">
        <v>20160526</v>
      </c>
      <c r="G6357" t="s">
        <v>2056</v>
      </c>
      <c r="H6357" t="s">
        <v>5354</v>
      </c>
      <c r="I6357">
        <v>0</v>
      </c>
      <c r="J6357" t="s">
        <v>1709</v>
      </c>
      <c r="K6357" t="s">
        <v>95</v>
      </c>
      <c r="L6357" t="s">
        <v>285</v>
      </c>
      <c r="M6357" t="str">
        <f t="shared" si="462"/>
        <v>05</v>
      </c>
      <c r="N6357" t="s">
        <v>12</v>
      </c>
    </row>
    <row r="6358" spans="1:14" x14ac:dyDescent="0.25">
      <c r="A6358">
        <v>20160527</v>
      </c>
      <c r="B6358" t="str">
        <f>"063649"</f>
        <v>063649</v>
      </c>
      <c r="C6358" t="str">
        <f>"50476"</f>
        <v>50476</v>
      </c>
      <c r="D6358" t="s">
        <v>4814</v>
      </c>
      <c r="E6358" s="3">
        <v>240</v>
      </c>
      <c r="F6358">
        <v>20160526</v>
      </c>
      <c r="G6358" t="s">
        <v>1788</v>
      </c>
      <c r="H6358" t="s">
        <v>5355</v>
      </c>
      <c r="I6358">
        <v>0</v>
      </c>
      <c r="J6358" t="s">
        <v>1709</v>
      </c>
      <c r="K6358" t="s">
        <v>1643</v>
      </c>
      <c r="L6358" t="s">
        <v>285</v>
      </c>
      <c r="M6358" t="str">
        <f t="shared" si="462"/>
        <v>05</v>
      </c>
      <c r="N6358" t="s">
        <v>12</v>
      </c>
    </row>
    <row r="6359" spans="1:14" x14ac:dyDescent="0.25">
      <c r="A6359">
        <v>20160527</v>
      </c>
      <c r="B6359" t="str">
        <f>"063651"</f>
        <v>063651</v>
      </c>
      <c r="C6359" t="str">
        <f>"56013"</f>
        <v>56013</v>
      </c>
      <c r="D6359" t="s">
        <v>2355</v>
      </c>
      <c r="E6359" s="3">
        <v>400</v>
      </c>
      <c r="F6359">
        <v>20160526</v>
      </c>
      <c r="G6359" t="s">
        <v>2356</v>
      </c>
      <c r="H6359" t="s">
        <v>5356</v>
      </c>
      <c r="I6359">
        <v>0</v>
      </c>
      <c r="J6359" t="s">
        <v>1709</v>
      </c>
      <c r="K6359" t="s">
        <v>1861</v>
      </c>
      <c r="L6359" t="s">
        <v>285</v>
      </c>
      <c r="M6359" t="str">
        <f t="shared" si="462"/>
        <v>05</v>
      </c>
      <c r="N6359" t="s">
        <v>12</v>
      </c>
    </row>
    <row r="6360" spans="1:14" x14ac:dyDescent="0.25">
      <c r="A6360">
        <v>20160527</v>
      </c>
      <c r="B6360" t="str">
        <f>"063652"</f>
        <v>063652</v>
      </c>
      <c r="C6360" t="str">
        <f>"56451"</f>
        <v>56451</v>
      </c>
      <c r="D6360" t="s">
        <v>1620</v>
      </c>
      <c r="E6360" s="3">
        <v>527.17999999999995</v>
      </c>
      <c r="F6360">
        <v>20160526</v>
      </c>
      <c r="G6360" t="s">
        <v>1732</v>
      </c>
      <c r="H6360" t="s">
        <v>4212</v>
      </c>
      <c r="I6360">
        <v>0</v>
      </c>
      <c r="J6360" t="s">
        <v>1709</v>
      </c>
      <c r="K6360" t="s">
        <v>290</v>
      </c>
      <c r="L6360" t="s">
        <v>285</v>
      </c>
      <c r="M6360" t="str">
        <f t="shared" si="462"/>
        <v>05</v>
      </c>
      <c r="N6360" t="s">
        <v>12</v>
      </c>
    </row>
    <row r="6361" spans="1:14" x14ac:dyDescent="0.25">
      <c r="A6361">
        <v>20160527</v>
      </c>
      <c r="B6361" t="str">
        <f>"063652"</f>
        <v>063652</v>
      </c>
      <c r="C6361" t="str">
        <f>"56451"</f>
        <v>56451</v>
      </c>
      <c r="D6361" t="s">
        <v>1620</v>
      </c>
      <c r="E6361" s="3">
        <v>658.97</v>
      </c>
      <c r="F6361">
        <v>20160526</v>
      </c>
      <c r="G6361" t="s">
        <v>1794</v>
      </c>
      <c r="H6361" t="s">
        <v>4212</v>
      </c>
      <c r="I6361">
        <v>0</v>
      </c>
      <c r="J6361" t="s">
        <v>1709</v>
      </c>
      <c r="K6361" t="s">
        <v>290</v>
      </c>
      <c r="L6361" t="s">
        <v>285</v>
      </c>
      <c r="M6361" t="str">
        <f t="shared" si="462"/>
        <v>05</v>
      </c>
      <c r="N6361" t="s">
        <v>12</v>
      </c>
    </row>
    <row r="6362" spans="1:14" x14ac:dyDescent="0.25">
      <c r="A6362">
        <v>20160527</v>
      </c>
      <c r="B6362" t="str">
        <f>"063652"</f>
        <v>063652</v>
      </c>
      <c r="C6362" t="str">
        <f>"56451"</f>
        <v>56451</v>
      </c>
      <c r="D6362" t="s">
        <v>1620</v>
      </c>
      <c r="E6362" s="3">
        <v>131.80000000000001</v>
      </c>
      <c r="F6362">
        <v>20160526</v>
      </c>
      <c r="G6362" t="s">
        <v>4214</v>
      </c>
      <c r="H6362" t="s">
        <v>4212</v>
      </c>
      <c r="I6362">
        <v>0</v>
      </c>
      <c r="J6362" t="s">
        <v>1709</v>
      </c>
      <c r="K6362" t="s">
        <v>1643</v>
      </c>
      <c r="L6362" t="s">
        <v>285</v>
      </c>
      <c r="M6362" t="str">
        <f t="shared" si="462"/>
        <v>05</v>
      </c>
      <c r="N6362" t="s">
        <v>12</v>
      </c>
    </row>
    <row r="6363" spans="1:14" x14ac:dyDescent="0.25">
      <c r="A6363">
        <v>20160527</v>
      </c>
      <c r="B6363" t="str">
        <f>"063653"</f>
        <v>063653</v>
      </c>
      <c r="C6363" t="str">
        <f>"56564"</f>
        <v>56564</v>
      </c>
      <c r="D6363" t="s">
        <v>1578</v>
      </c>
      <c r="E6363" s="3">
        <v>75.5</v>
      </c>
      <c r="F6363">
        <v>20160526</v>
      </c>
      <c r="G6363" t="s">
        <v>5343</v>
      </c>
      <c r="H6363" t="s">
        <v>2169</v>
      </c>
      <c r="I6363">
        <v>0</v>
      </c>
      <c r="J6363" t="s">
        <v>1709</v>
      </c>
      <c r="K6363" t="s">
        <v>95</v>
      </c>
      <c r="L6363" t="s">
        <v>285</v>
      </c>
      <c r="M6363" t="str">
        <f t="shared" si="462"/>
        <v>05</v>
      </c>
      <c r="N6363" t="s">
        <v>12</v>
      </c>
    </row>
    <row r="6364" spans="1:14" x14ac:dyDescent="0.25">
      <c r="A6364">
        <v>20160527</v>
      </c>
      <c r="B6364" t="str">
        <f>"063653"</f>
        <v>063653</v>
      </c>
      <c r="C6364" t="str">
        <f>"56564"</f>
        <v>56564</v>
      </c>
      <c r="D6364" t="s">
        <v>1578</v>
      </c>
      <c r="E6364" s="3">
        <v>142.86000000000001</v>
      </c>
      <c r="F6364">
        <v>20160526</v>
      </c>
      <c r="G6364" t="s">
        <v>3551</v>
      </c>
      <c r="H6364" t="s">
        <v>2169</v>
      </c>
      <c r="I6364">
        <v>0</v>
      </c>
      <c r="J6364" t="s">
        <v>1709</v>
      </c>
      <c r="K6364" t="s">
        <v>1558</v>
      </c>
      <c r="L6364" t="s">
        <v>285</v>
      </c>
      <c r="M6364" t="str">
        <f t="shared" si="462"/>
        <v>05</v>
      </c>
      <c r="N6364" t="s">
        <v>12</v>
      </c>
    </row>
    <row r="6365" spans="1:14" x14ac:dyDescent="0.25">
      <c r="A6365">
        <v>20160527</v>
      </c>
      <c r="B6365" t="str">
        <f>"063653"</f>
        <v>063653</v>
      </c>
      <c r="C6365" t="str">
        <f>"56564"</f>
        <v>56564</v>
      </c>
      <c r="D6365" t="s">
        <v>1578</v>
      </c>
      <c r="E6365" s="3">
        <v>190.22</v>
      </c>
      <c r="F6365">
        <v>20160526</v>
      </c>
      <c r="G6365" t="s">
        <v>2706</v>
      </c>
      <c r="H6365" t="s">
        <v>2169</v>
      </c>
      <c r="I6365">
        <v>0</v>
      </c>
      <c r="J6365" t="s">
        <v>1709</v>
      </c>
      <c r="K6365" t="s">
        <v>33</v>
      </c>
      <c r="L6365" t="s">
        <v>285</v>
      </c>
      <c r="M6365" t="str">
        <f t="shared" si="462"/>
        <v>05</v>
      </c>
      <c r="N6365" t="s">
        <v>12</v>
      </c>
    </row>
    <row r="6366" spans="1:14" x14ac:dyDescent="0.25">
      <c r="A6366">
        <v>20160527</v>
      </c>
      <c r="B6366" t="str">
        <f>"063654"</f>
        <v>063654</v>
      </c>
      <c r="C6366" t="str">
        <f>"57662"</f>
        <v>57662</v>
      </c>
      <c r="D6366" t="s">
        <v>2364</v>
      </c>
      <c r="E6366" s="3">
        <v>178</v>
      </c>
      <c r="F6366">
        <v>20160526</v>
      </c>
      <c r="G6366" t="s">
        <v>2365</v>
      </c>
      <c r="H6366" t="s">
        <v>2366</v>
      </c>
      <c r="I6366">
        <v>0</v>
      </c>
      <c r="J6366" t="s">
        <v>1709</v>
      </c>
      <c r="K6366" t="s">
        <v>290</v>
      </c>
      <c r="L6366" t="s">
        <v>285</v>
      </c>
      <c r="M6366" t="str">
        <f t="shared" si="462"/>
        <v>05</v>
      </c>
      <c r="N6366" t="s">
        <v>12</v>
      </c>
    </row>
    <row r="6367" spans="1:14" x14ac:dyDescent="0.25">
      <c r="A6367">
        <v>20160527</v>
      </c>
      <c r="B6367" t="str">
        <f>"063654"</f>
        <v>063654</v>
      </c>
      <c r="C6367" t="str">
        <f>"57662"</f>
        <v>57662</v>
      </c>
      <c r="D6367" t="s">
        <v>2364</v>
      </c>
      <c r="E6367" s="3">
        <v>281.75</v>
      </c>
      <c r="F6367">
        <v>20160526</v>
      </c>
      <c r="G6367" t="s">
        <v>2365</v>
      </c>
      <c r="H6367" t="s">
        <v>2366</v>
      </c>
      <c r="I6367">
        <v>0</v>
      </c>
      <c r="J6367" t="s">
        <v>1709</v>
      </c>
      <c r="K6367" t="s">
        <v>290</v>
      </c>
      <c r="L6367" t="s">
        <v>285</v>
      </c>
      <c r="M6367" t="str">
        <f t="shared" si="462"/>
        <v>05</v>
      </c>
      <c r="N6367" t="s">
        <v>12</v>
      </c>
    </row>
    <row r="6368" spans="1:14" x14ac:dyDescent="0.25">
      <c r="A6368">
        <v>20160527</v>
      </c>
      <c r="B6368" t="str">
        <f>"063654"</f>
        <v>063654</v>
      </c>
      <c r="C6368" t="str">
        <f>"57662"</f>
        <v>57662</v>
      </c>
      <c r="D6368" t="s">
        <v>2364</v>
      </c>
      <c r="E6368" s="3">
        <v>594.5</v>
      </c>
      <c r="F6368">
        <v>20160526</v>
      </c>
      <c r="G6368" t="s">
        <v>2365</v>
      </c>
      <c r="H6368" t="s">
        <v>2366</v>
      </c>
      <c r="I6368">
        <v>0</v>
      </c>
      <c r="J6368" t="s">
        <v>1709</v>
      </c>
      <c r="K6368" t="s">
        <v>290</v>
      </c>
      <c r="L6368" t="s">
        <v>285</v>
      </c>
      <c r="M6368" t="str">
        <f t="shared" si="462"/>
        <v>05</v>
      </c>
      <c r="N6368" t="s">
        <v>12</v>
      </c>
    </row>
    <row r="6369" spans="1:14" x14ac:dyDescent="0.25">
      <c r="A6369">
        <v>20160527</v>
      </c>
      <c r="B6369" t="str">
        <f>"063655"</f>
        <v>063655</v>
      </c>
      <c r="C6369" t="str">
        <f>"58210"</f>
        <v>58210</v>
      </c>
      <c r="D6369" t="s">
        <v>2546</v>
      </c>
      <c r="E6369" s="3">
        <v>15</v>
      </c>
      <c r="F6369">
        <v>20160526</v>
      </c>
      <c r="G6369" t="s">
        <v>2168</v>
      </c>
      <c r="H6369" t="s">
        <v>5357</v>
      </c>
      <c r="I6369">
        <v>0</v>
      </c>
      <c r="J6369" t="s">
        <v>1709</v>
      </c>
      <c r="K6369" t="s">
        <v>33</v>
      </c>
      <c r="L6369" t="s">
        <v>285</v>
      </c>
      <c r="M6369" t="str">
        <f t="shared" si="462"/>
        <v>05</v>
      </c>
      <c r="N6369" t="s">
        <v>12</v>
      </c>
    </row>
    <row r="6370" spans="1:14" x14ac:dyDescent="0.25">
      <c r="A6370">
        <v>20160527</v>
      </c>
      <c r="B6370" t="str">
        <f>"063655"</f>
        <v>063655</v>
      </c>
      <c r="C6370" t="str">
        <f>"58210"</f>
        <v>58210</v>
      </c>
      <c r="D6370" t="s">
        <v>2546</v>
      </c>
      <c r="E6370" s="3">
        <v>106.8</v>
      </c>
      <c r="F6370">
        <v>20160526</v>
      </c>
      <c r="G6370" t="s">
        <v>5358</v>
      </c>
      <c r="H6370" t="s">
        <v>5359</v>
      </c>
      <c r="I6370">
        <v>0</v>
      </c>
      <c r="J6370" t="s">
        <v>1709</v>
      </c>
      <c r="K6370" t="s">
        <v>2194</v>
      </c>
      <c r="L6370" t="s">
        <v>285</v>
      </c>
      <c r="M6370" t="str">
        <f t="shared" si="462"/>
        <v>05</v>
      </c>
      <c r="N6370" t="s">
        <v>12</v>
      </c>
    </row>
    <row r="6371" spans="1:14" x14ac:dyDescent="0.25">
      <c r="A6371">
        <v>20160527</v>
      </c>
      <c r="B6371" t="str">
        <f>"063656"</f>
        <v>063656</v>
      </c>
      <c r="C6371" t="str">
        <f>"58987"</f>
        <v>58987</v>
      </c>
      <c r="D6371" t="s">
        <v>2549</v>
      </c>
      <c r="E6371" s="3">
        <v>207.28</v>
      </c>
      <c r="F6371">
        <v>20160526</v>
      </c>
      <c r="G6371" t="s">
        <v>2234</v>
      </c>
      <c r="H6371" t="s">
        <v>5360</v>
      </c>
      <c r="I6371">
        <v>0</v>
      </c>
      <c r="J6371" t="s">
        <v>1709</v>
      </c>
      <c r="K6371" t="s">
        <v>290</v>
      </c>
      <c r="L6371" t="s">
        <v>285</v>
      </c>
      <c r="M6371" t="str">
        <f t="shared" si="462"/>
        <v>05</v>
      </c>
      <c r="N6371" t="s">
        <v>12</v>
      </c>
    </row>
    <row r="6372" spans="1:14" x14ac:dyDescent="0.25">
      <c r="A6372">
        <v>20160527</v>
      </c>
      <c r="B6372" t="str">
        <f>"063656"</f>
        <v>063656</v>
      </c>
      <c r="C6372" t="str">
        <f>"58987"</f>
        <v>58987</v>
      </c>
      <c r="D6372" t="s">
        <v>2549</v>
      </c>
      <c r="E6372" s="3">
        <v>45.6</v>
      </c>
      <c r="F6372">
        <v>20160526</v>
      </c>
      <c r="G6372" t="s">
        <v>2234</v>
      </c>
      <c r="H6372" t="s">
        <v>5361</v>
      </c>
      <c r="I6372">
        <v>0</v>
      </c>
      <c r="J6372" t="s">
        <v>1709</v>
      </c>
      <c r="K6372" t="s">
        <v>290</v>
      </c>
      <c r="L6372" t="s">
        <v>285</v>
      </c>
      <c r="M6372" t="str">
        <f t="shared" si="462"/>
        <v>05</v>
      </c>
      <c r="N6372" t="s">
        <v>12</v>
      </c>
    </row>
    <row r="6373" spans="1:14" x14ac:dyDescent="0.25">
      <c r="A6373">
        <v>20160527</v>
      </c>
      <c r="B6373" t="str">
        <f>"063662"</f>
        <v>063662</v>
      </c>
      <c r="C6373" t="str">
        <f>"62324"</f>
        <v>62324</v>
      </c>
      <c r="D6373" t="s">
        <v>5362</v>
      </c>
      <c r="E6373" s="3">
        <v>278.43</v>
      </c>
      <c r="F6373">
        <v>20160526</v>
      </c>
      <c r="G6373" t="s">
        <v>5363</v>
      </c>
      <c r="H6373" t="s">
        <v>5364</v>
      </c>
      <c r="I6373">
        <v>0</v>
      </c>
      <c r="J6373" t="s">
        <v>1709</v>
      </c>
      <c r="K6373" t="s">
        <v>1643</v>
      </c>
      <c r="L6373" t="s">
        <v>285</v>
      </c>
      <c r="M6373" t="str">
        <f t="shared" si="462"/>
        <v>05</v>
      </c>
      <c r="N6373" t="s">
        <v>12</v>
      </c>
    </row>
    <row r="6374" spans="1:14" x14ac:dyDescent="0.25">
      <c r="A6374">
        <v>20160527</v>
      </c>
      <c r="B6374" t="str">
        <f>"063666"</f>
        <v>063666</v>
      </c>
      <c r="C6374" t="str">
        <f>"67740"</f>
        <v>67740</v>
      </c>
      <c r="D6374" t="s">
        <v>2149</v>
      </c>
      <c r="E6374" s="3">
        <v>4300</v>
      </c>
      <c r="F6374">
        <v>20160526</v>
      </c>
      <c r="G6374" t="s">
        <v>5365</v>
      </c>
      <c r="H6374" t="s">
        <v>5366</v>
      </c>
      <c r="I6374">
        <v>0</v>
      </c>
      <c r="J6374" t="s">
        <v>1709</v>
      </c>
      <c r="K6374" t="s">
        <v>290</v>
      </c>
      <c r="L6374" t="s">
        <v>285</v>
      </c>
      <c r="M6374" t="str">
        <f t="shared" si="462"/>
        <v>05</v>
      </c>
      <c r="N6374" t="s">
        <v>12</v>
      </c>
    </row>
    <row r="6375" spans="1:14" x14ac:dyDescent="0.25">
      <c r="A6375">
        <v>20160527</v>
      </c>
      <c r="B6375" t="str">
        <f>"063668"</f>
        <v>063668</v>
      </c>
      <c r="C6375" t="str">
        <f>"69087"</f>
        <v>69087</v>
      </c>
      <c r="D6375" t="s">
        <v>5367</v>
      </c>
      <c r="E6375" s="3">
        <v>70.98</v>
      </c>
      <c r="F6375">
        <v>20160526</v>
      </c>
      <c r="G6375" t="s">
        <v>3080</v>
      </c>
      <c r="H6375" t="s">
        <v>5368</v>
      </c>
      <c r="I6375">
        <v>0</v>
      </c>
      <c r="J6375" t="s">
        <v>1709</v>
      </c>
      <c r="K6375" t="s">
        <v>1643</v>
      </c>
      <c r="L6375" t="s">
        <v>285</v>
      </c>
      <c r="M6375" t="str">
        <f t="shared" si="462"/>
        <v>05</v>
      </c>
      <c r="N6375" t="s">
        <v>12</v>
      </c>
    </row>
    <row r="6376" spans="1:14" x14ac:dyDescent="0.25">
      <c r="A6376">
        <v>20160527</v>
      </c>
      <c r="B6376" t="str">
        <f t="shared" ref="B6376:B6407" si="463">"063670"</f>
        <v>063670</v>
      </c>
      <c r="C6376" t="str">
        <f t="shared" ref="C6376:C6407" si="464">"72730"</f>
        <v>72730</v>
      </c>
      <c r="D6376" t="s">
        <v>1400</v>
      </c>
      <c r="E6376" s="3">
        <v>537.1</v>
      </c>
      <c r="F6376">
        <v>20160526</v>
      </c>
      <c r="G6376" t="s">
        <v>4208</v>
      </c>
      <c r="H6376" t="s">
        <v>5369</v>
      </c>
      <c r="I6376">
        <v>0</v>
      </c>
      <c r="J6376" t="s">
        <v>1709</v>
      </c>
      <c r="K6376" t="s">
        <v>290</v>
      </c>
      <c r="L6376" t="s">
        <v>285</v>
      </c>
      <c r="M6376" t="str">
        <f t="shared" si="462"/>
        <v>05</v>
      </c>
      <c r="N6376" t="s">
        <v>12</v>
      </c>
    </row>
    <row r="6377" spans="1:14" x14ac:dyDescent="0.25">
      <c r="A6377">
        <v>20160527</v>
      </c>
      <c r="B6377" t="str">
        <f t="shared" si="463"/>
        <v>063670</v>
      </c>
      <c r="C6377" t="str">
        <f t="shared" si="464"/>
        <v>72730</v>
      </c>
      <c r="D6377" t="s">
        <v>1400</v>
      </c>
      <c r="E6377" s="3">
        <v>300.57</v>
      </c>
      <c r="F6377">
        <v>20160526</v>
      </c>
      <c r="G6377" t="s">
        <v>2226</v>
      </c>
      <c r="H6377" t="s">
        <v>595</v>
      </c>
      <c r="I6377">
        <v>0</v>
      </c>
      <c r="J6377" t="s">
        <v>1709</v>
      </c>
      <c r="K6377" t="s">
        <v>33</v>
      </c>
      <c r="L6377" t="s">
        <v>285</v>
      </c>
      <c r="M6377" t="str">
        <f t="shared" si="462"/>
        <v>05</v>
      </c>
      <c r="N6377" t="s">
        <v>12</v>
      </c>
    </row>
    <row r="6378" spans="1:14" x14ac:dyDescent="0.25">
      <c r="A6378">
        <v>20160527</v>
      </c>
      <c r="B6378" t="str">
        <f t="shared" si="463"/>
        <v>063670</v>
      </c>
      <c r="C6378" t="str">
        <f t="shared" si="464"/>
        <v>72730</v>
      </c>
      <c r="D6378" t="s">
        <v>1400</v>
      </c>
      <c r="E6378" s="3">
        <v>-13.1</v>
      </c>
      <c r="F6378">
        <v>20160506</v>
      </c>
      <c r="G6378" t="s">
        <v>2226</v>
      </c>
      <c r="H6378" t="s">
        <v>5370</v>
      </c>
      <c r="I6378">
        <v>0</v>
      </c>
      <c r="J6378" t="s">
        <v>1709</v>
      </c>
      <c r="K6378" t="s">
        <v>33</v>
      </c>
      <c r="L6378" t="s">
        <v>1385</v>
      </c>
      <c r="M6378" t="str">
        <f t="shared" si="462"/>
        <v>05</v>
      </c>
      <c r="N6378" t="s">
        <v>12</v>
      </c>
    </row>
    <row r="6379" spans="1:14" x14ac:dyDescent="0.25">
      <c r="A6379">
        <v>20160527</v>
      </c>
      <c r="B6379" t="str">
        <f t="shared" si="463"/>
        <v>063670</v>
      </c>
      <c r="C6379" t="str">
        <f t="shared" si="464"/>
        <v>72730</v>
      </c>
      <c r="D6379" t="s">
        <v>1400</v>
      </c>
      <c r="E6379" s="3">
        <v>102.1</v>
      </c>
      <c r="F6379">
        <v>20160526</v>
      </c>
      <c r="G6379" t="s">
        <v>1974</v>
      </c>
      <c r="H6379" t="s">
        <v>5371</v>
      </c>
      <c r="I6379">
        <v>0</v>
      </c>
      <c r="J6379" t="s">
        <v>1709</v>
      </c>
      <c r="K6379" t="s">
        <v>290</v>
      </c>
      <c r="L6379" t="s">
        <v>285</v>
      </c>
      <c r="M6379" t="str">
        <f t="shared" si="462"/>
        <v>05</v>
      </c>
      <c r="N6379" t="s">
        <v>12</v>
      </c>
    </row>
    <row r="6380" spans="1:14" x14ac:dyDescent="0.25">
      <c r="A6380">
        <v>20160527</v>
      </c>
      <c r="B6380" t="str">
        <f t="shared" si="463"/>
        <v>063670</v>
      </c>
      <c r="C6380" t="str">
        <f t="shared" si="464"/>
        <v>72730</v>
      </c>
      <c r="D6380" t="s">
        <v>1400</v>
      </c>
      <c r="E6380" s="3">
        <v>618.13</v>
      </c>
      <c r="F6380">
        <v>20160526</v>
      </c>
      <c r="G6380" t="s">
        <v>1974</v>
      </c>
      <c r="H6380" t="s">
        <v>595</v>
      </c>
      <c r="I6380">
        <v>0</v>
      </c>
      <c r="J6380" t="s">
        <v>1709</v>
      </c>
      <c r="K6380" t="s">
        <v>290</v>
      </c>
      <c r="L6380" t="s">
        <v>285</v>
      </c>
      <c r="M6380" t="str">
        <f t="shared" si="462"/>
        <v>05</v>
      </c>
      <c r="N6380" t="s">
        <v>12</v>
      </c>
    </row>
    <row r="6381" spans="1:14" x14ac:dyDescent="0.25">
      <c r="A6381">
        <v>20160527</v>
      </c>
      <c r="B6381" t="str">
        <f t="shared" si="463"/>
        <v>063670</v>
      </c>
      <c r="C6381" t="str">
        <f t="shared" si="464"/>
        <v>72730</v>
      </c>
      <c r="D6381" t="s">
        <v>1400</v>
      </c>
      <c r="E6381" s="3">
        <v>28.47</v>
      </c>
      <c r="F6381">
        <v>20160526</v>
      </c>
      <c r="G6381" t="s">
        <v>3180</v>
      </c>
      <c r="H6381" t="s">
        <v>5372</v>
      </c>
      <c r="I6381">
        <v>0</v>
      </c>
      <c r="J6381" t="s">
        <v>1709</v>
      </c>
      <c r="K6381" t="s">
        <v>290</v>
      </c>
      <c r="L6381" t="s">
        <v>285</v>
      </c>
      <c r="M6381" t="str">
        <f t="shared" si="462"/>
        <v>05</v>
      </c>
      <c r="N6381" t="s">
        <v>12</v>
      </c>
    </row>
    <row r="6382" spans="1:14" x14ac:dyDescent="0.25">
      <c r="A6382">
        <v>20160527</v>
      </c>
      <c r="B6382" t="str">
        <f t="shared" si="463"/>
        <v>063670</v>
      </c>
      <c r="C6382" t="str">
        <f t="shared" si="464"/>
        <v>72730</v>
      </c>
      <c r="D6382" t="s">
        <v>1400</v>
      </c>
      <c r="E6382" s="3">
        <v>336.29</v>
      </c>
      <c r="F6382">
        <v>20160526</v>
      </c>
      <c r="G6382" t="s">
        <v>1845</v>
      </c>
      <c r="H6382" t="s">
        <v>4293</v>
      </c>
      <c r="I6382">
        <v>0</v>
      </c>
      <c r="J6382" t="s">
        <v>1709</v>
      </c>
      <c r="K6382" t="s">
        <v>290</v>
      </c>
      <c r="L6382" t="s">
        <v>285</v>
      </c>
      <c r="M6382" t="str">
        <f t="shared" si="462"/>
        <v>05</v>
      </c>
      <c r="N6382" t="s">
        <v>12</v>
      </c>
    </row>
    <row r="6383" spans="1:14" x14ac:dyDescent="0.25">
      <c r="A6383">
        <v>20160527</v>
      </c>
      <c r="B6383" t="str">
        <f t="shared" si="463"/>
        <v>063670</v>
      </c>
      <c r="C6383" t="str">
        <f t="shared" si="464"/>
        <v>72730</v>
      </c>
      <c r="D6383" t="s">
        <v>1400</v>
      </c>
      <c r="E6383" s="3">
        <v>61.51</v>
      </c>
      <c r="F6383">
        <v>20160526</v>
      </c>
      <c r="G6383" t="s">
        <v>2317</v>
      </c>
      <c r="H6383" t="s">
        <v>2563</v>
      </c>
      <c r="I6383">
        <v>0</v>
      </c>
      <c r="J6383" t="s">
        <v>1709</v>
      </c>
      <c r="K6383" t="s">
        <v>290</v>
      </c>
      <c r="L6383" t="s">
        <v>285</v>
      </c>
      <c r="M6383" t="str">
        <f t="shared" si="462"/>
        <v>05</v>
      </c>
      <c r="N6383" t="s">
        <v>12</v>
      </c>
    </row>
    <row r="6384" spans="1:14" x14ac:dyDescent="0.25">
      <c r="A6384">
        <v>20160527</v>
      </c>
      <c r="B6384" t="str">
        <f t="shared" si="463"/>
        <v>063670</v>
      </c>
      <c r="C6384" t="str">
        <f t="shared" si="464"/>
        <v>72730</v>
      </c>
      <c r="D6384" t="s">
        <v>1400</v>
      </c>
      <c r="E6384" s="3">
        <v>216.09</v>
      </c>
      <c r="F6384">
        <v>20160526</v>
      </c>
      <c r="G6384" t="s">
        <v>2317</v>
      </c>
      <c r="H6384" t="s">
        <v>2563</v>
      </c>
      <c r="I6384">
        <v>0</v>
      </c>
      <c r="J6384" t="s">
        <v>1709</v>
      </c>
      <c r="K6384" t="s">
        <v>290</v>
      </c>
      <c r="L6384" t="s">
        <v>285</v>
      </c>
      <c r="M6384" t="str">
        <f t="shared" si="462"/>
        <v>05</v>
      </c>
      <c r="N6384" t="s">
        <v>12</v>
      </c>
    </row>
    <row r="6385" spans="1:14" x14ac:dyDescent="0.25">
      <c r="A6385">
        <v>20160527</v>
      </c>
      <c r="B6385" t="str">
        <f t="shared" si="463"/>
        <v>063670</v>
      </c>
      <c r="C6385" t="str">
        <f t="shared" si="464"/>
        <v>72730</v>
      </c>
      <c r="D6385" t="s">
        <v>1400</v>
      </c>
      <c r="E6385" s="3">
        <v>147.26</v>
      </c>
      <c r="F6385">
        <v>20160526</v>
      </c>
      <c r="G6385" t="s">
        <v>2317</v>
      </c>
      <c r="H6385" t="s">
        <v>5373</v>
      </c>
      <c r="I6385">
        <v>0</v>
      </c>
      <c r="J6385" t="s">
        <v>1709</v>
      </c>
      <c r="K6385" t="s">
        <v>290</v>
      </c>
      <c r="L6385" t="s">
        <v>285</v>
      </c>
      <c r="M6385" t="str">
        <f t="shared" si="462"/>
        <v>05</v>
      </c>
      <c r="N6385" t="s">
        <v>12</v>
      </c>
    </row>
    <row r="6386" spans="1:14" x14ac:dyDescent="0.25">
      <c r="A6386">
        <v>20160527</v>
      </c>
      <c r="B6386" t="str">
        <f t="shared" si="463"/>
        <v>063670</v>
      </c>
      <c r="C6386" t="str">
        <f t="shared" si="464"/>
        <v>72730</v>
      </c>
      <c r="D6386" t="s">
        <v>1400</v>
      </c>
      <c r="E6386" s="3">
        <v>502.8</v>
      </c>
      <c r="F6386">
        <v>20160526</v>
      </c>
      <c r="G6386" t="s">
        <v>2317</v>
      </c>
      <c r="H6386" t="s">
        <v>5374</v>
      </c>
      <c r="I6386">
        <v>0</v>
      </c>
      <c r="J6386" t="s">
        <v>1709</v>
      </c>
      <c r="K6386" t="s">
        <v>290</v>
      </c>
      <c r="L6386" t="s">
        <v>285</v>
      </c>
      <c r="M6386" t="str">
        <f t="shared" si="462"/>
        <v>05</v>
      </c>
      <c r="N6386" t="s">
        <v>12</v>
      </c>
    </row>
    <row r="6387" spans="1:14" x14ac:dyDescent="0.25">
      <c r="A6387">
        <v>20160527</v>
      </c>
      <c r="B6387" t="str">
        <f t="shared" si="463"/>
        <v>063670</v>
      </c>
      <c r="C6387" t="str">
        <f t="shared" si="464"/>
        <v>72730</v>
      </c>
      <c r="D6387" t="s">
        <v>1400</v>
      </c>
      <c r="E6387" s="3">
        <v>205.27</v>
      </c>
      <c r="F6387">
        <v>20160526</v>
      </c>
      <c r="G6387" t="s">
        <v>2412</v>
      </c>
      <c r="H6387" t="s">
        <v>5375</v>
      </c>
      <c r="I6387">
        <v>0</v>
      </c>
      <c r="J6387" t="s">
        <v>1709</v>
      </c>
      <c r="K6387" t="s">
        <v>290</v>
      </c>
      <c r="L6387" t="s">
        <v>285</v>
      </c>
      <c r="M6387" t="str">
        <f t="shared" si="462"/>
        <v>05</v>
      </c>
      <c r="N6387" t="s">
        <v>12</v>
      </c>
    </row>
    <row r="6388" spans="1:14" x14ac:dyDescent="0.25">
      <c r="A6388">
        <v>20160527</v>
      </c>
      <c r="B6388" t="str">
        <f t="shared" si="463"/>
        <v>063670</v>
      </c>
      <c r="C6388" t="str">
        <f t="shared" si="464"/>
        <v>72730</v>
      </c>
      <c r="D6388" t="s">
        <v>1400</v>
      </c>
      <c r="E6388" s="3">
        <v>463.8</v>
      </c>
      <c r="F6388">
        <v>20160526</v>
      </c>
      <c r="G6388" t="s">
        <v>2133</v>
      </c>
      <c r="H6388" t="s">
        <v>5376</v>
      </c>
      <c r="I6388">
        <v>0</v>
      </c>
      <c r="J6388" t="s">
        <v>1709</v>
      </c>
      <c r="K6388" t="s">
        <v>290</v>
      </c>
      <c r="L6388" t="s">
        <v>285</v>
      </c>
      <c r="M6388" t="str">
        <f t="shared" si="462"/>
        <v>05</v>
      </c>
      <c r="N6388" t="s">
        <v>12</v>
      </c>
    </row>
    <row r="6389" spans="1:14" x14ac:dyDescent="0.25">
      <c r="A6389">
        <v>20160527</v>
      </c>
      <c r="B6389" t="str">
        <f t="shared" si="463"/>
        <v>063670</v>
      </c>
      <c r="C6389" t="str">
        <f t="shared" si="464"/>
        <v>72730</v>
      </c>
      <c r="D6389" t="s">
        <v>1400</v>
      </c>
      <c r="E6389" s="3">
        <v>247.8</v>
      </c>
      <c r="F6389">
        <v>20160526</v>
      </c>
      <c r="G6389" t="s">
        <v>2133</v>
      </c>
      <c r="H6389" t="s">
        <v>5196</v>
      </c>
      <c r="I6389">
        <v>0</v>
      </c>
      <c r="J6389" t="s">
        <v>1709</v>
      </c>
      <c r="K6389" t="s">
        <v>290</v>
      </c>
      <c r="L6389" t="s">
        <v>285</v>
      </c>
      <c r="M6389" t="str">
        <f t="shared" si="462"/>
        <v>05</v>
      </c>
      <c r="N6389" t="s">
        <v>12</v>
      </c>
    </row>
    <row r="6390" spans="1:14" x14ac:dyDescent="0.25">
      <c r="A6390">
        <v>20160527</v>
      </c>
      <c r="B6390" t="str">
        <f t="shared" si="463"/>
        <v>063670</v>
      </c>
      <c r="C6390" t="str">
        <f t="shared" si="464"/>
        <v>72730</v>
      </c>
      <c r="D6390" t="s">
        <v>1400</v>
      </c>
      <c r="E6390" s="3">
        <v>78.900000000000006</v>
      </c>
      <c r="F6390">
        <v>20160526</v>
      </c>
      <c r="G6390" t="s">
        <v>4007</v>
      </c>
      <c r="H6390" t="s">
        <v>5377</v>
      </c>
      <c r="I6390">
        <v>0</v>
      </c>
      <c r="J6390" t="s">
        <v>1709</v>
      </c>
      <c r="K6390" t="s">
        <v>290</v>
      </c>
      <c r="L6390" t="s">
        <v>285</v>
      </c>
      <c r="M6390" t="str">
        <f t="shared" si="462"/>
        <v>05</v>
      </c>
      <c r="N6390" t="s">
        <v>12</v>
      </c>
    </row>
    <row r="6391" spans="1:14" x14ac:dyDescent="0.25">
      <c r="A6391">
        <v>20160527</v>
      </c>
      <c r="B6391" t="str">
        <f t="shared" si="463"/>
        <v>063670</v>
      </c>
      <c r="C6391" t="str">
        <f t="shared" si="464"/>
        <v>72730</v>
      </c>
      <c r="D6391" t="s">
        <v>1400</v>
      </c>
      <c r="E6391" s="3">
        <v>223</v>
      </c>
      <c r="F6391">
        <v>20160526</v>
      </c>
      <c r="G6391" t="s">
        <v>4007</v>
      </c>
      <c r="H6391" t="s">
        <v>5378</v>
      </c>
      <c r="I6391">
        <v>0</v>
      </c>
      <c r="J6391" t="s">
        <v>1709</v>
      </c>
      <c r="K6391" t="s">
        <v>290</v>
      </c>
      <c r="L6391" t="s">
        <v>285</v>
      </c>
      <c r="M6391" t="str">
        <f t="shared" si="462"/>
        <v>05</v>
      </c>
      <c r="N6391" t="s">
        <v>12</v>
      </c>
    </row>
    <row r="6392" spans="1:14" x14ac:dyDescent="0.25">
      <c r="A6392">
        <v>20160527</v>
      </c>
      <c r="B6392" t="str">
        <f t="shared" si="463"/>
        <v>063670</v>
      </c>
      <c r="C6392" t="str">
        <f t="shared" si="464"/>
        <v>72730</v>
      </c>
      <c r="D6392" t="s">
        <v>1400</v>
      </c>
      <c r="E6392" s="3">
        <v>80.92</v>
      </c>
      <c r="F6392">
        <v>20160526</v>
      </c>
      <c r="G6392" t="s">
        <v>1977</v>
      </c>
      <c r="H6392" t="s">
        <v>2156</v>
      </c>
      <c r="I6392">
        <v>0</v>
      </c>
      <c r="J6392" t="s">
        <v>1709</v>
      </c>
      <c r="K6392" t="s">
        <v>290</v>
      </c>
      <c r="L6392" t="s">
        <v>285</v>
      </c>
      <c r="M6392" t="str">
        <f t="shared" si="462"/>
        <v>05</v>
      </c>
      <c r="N6392" t="s">
        <v>12</v>
      </c>
    </row>
    <row r="6393" spans="1:14" x14ac:dyDescent="0.25">
      <c r="A6393">
        <v>20160527</v>
      </c>
      <c r="B6393" t="str">
        <f t="shared" si="463"/>
        <v>063670</v>
      </c>
      <c r="C6393" t="str">
        <f t="shared" si="464"/>
        <v>72730</v>
      </c>
      <c r="D6393" t="s">
        <v>1400</v>
      </c>
      <c r="E6393" s="3">
        <v>60.78</v>
      </c>
      <c r="F6393">
        <v>20160526</v>
      </c>
      <c r="G6393" t="s">
        <v>1977</v>
      </c>
      <c r="H6393" t="s">
        <v>5379</v>
      </c>
      <c r="I6393">
        <v>0</v>
      </c>
      <c r="J6393" t="s">
        <v>1709</v>
      </c>
      <c r="K6393" t="s">
        <v>290</v>
      </c>
      <c r="L6393" t="s">
        <v>285</v>
      </c>
      <c r="M6393" t="str">
        <f t="shared" si="462"/>
        <v>05</v>
      </c>
      <c r="N6393" t="s">
        <v>12</v>
      </c>
    </row>
    <row r="6394" spans="1:14" x14ac:dyDescent="0.25">
      <c r="A6394">
        <v>20160527</v>
      </c>
      <c r="B6394" t="str">
        <f t="shared" si="463"/>
        <v>063670</v>
      </c>
      <c r="C6394" t="str">
        <f t="shared" si="464"/>
        <v>72730</v>
      </c>
      <c r="D6394" t="s">
        <v>1400</v>
      </c>
      <c r="E6394" s="3">
        <v>369.94</v>
      </c>
      <c r="F6394">
        <v>20160526</v>
      </c>
      <c r="G6394" t="s">
        <v>4560</v>
      </c>
      <c r="H6394" t="s">
        <v>3003</v>
      </c>
      <c r="I6394">
        <v>0</v>
      </c>
      <c r="J6394" t="s">
        <v>1709</v>
      </c>
      <c r="K6394" t="s">
        <v>290</v>
      </c>
      <c r="L6394" t="s">
        <v>285</v>
      </c>
      <c r="M6394" t="str">
        <f t="shared" si="462"/>
        <v>05</v>
      </c>
      <c r="N6394" t="s">
        <v>12</v>
      </c>
    </row>
    <row r="6395" spans="1:14" x14ac:dyDescent="0.25">
      <c r="A6395">
        <v>20160527</v>
      </c>
      <c r="B6395" t="str">
        <f t="shared" si="463"/>
        <v>063670</v>
      </c>
      <c r="C6395" t="str">
        <f t="shared" si="464"/>
        <v>72730</v>
      </c>
      <c r="D6395" t="s">
        <v>1400</v>
      </c>
      <c r="E6395" s="3">
        <v>431.76</v>
      </c>
      <c r="F6395">
        <v>20160526</v>
      </c>
      <c r="G6395" t="s">
        <v>5033</v>
      </c>
      <c r="H6395" t="s">
        <v>5380</v>
      </c>
      <c r="I6395">
        <v>0</v>
      </c>
      <c r="J6395" t="s">
        <v>1709</v>
      </c>
      <c r="K6395" t="s">
        <v>290</v>
      </c>
      <c r="L6395" t="s">
        <v>285</v>
      </c>
      <c r="M6395" t="str">
        <f t="shared" si="462"/>
        <v>05</v>
      </c>
      <c r="N6395" t="s">
        <v>12</v>
      </c>
    </row>
    <row r="6396" spans="1:14" x14ac:dyDescent="0.25">
      <c r="A6396">
        <v>20160527</v>
      </c>
      <c r="B6396" t="str">
        <f t="shared" si="463"/>
        <v>063670</v>
      </c>
      <c r="C6396" t="str">
        <f t="shared" si="464"/>
        <v>72730</v>
      </c>
      <c r="D6396" t="s">
        <v>1400</v>
      </c>
      <c r="E6396" s="3">
        <v>5.66</v>
      </c>
      <c r="F6396">
        <v>20160526</v>
      </c>
      <c r="G6396" t="s">
        <v>5033</v>
      </c>
      <c r="H6396" t="s">
        <v>5381</v>
      </c>
      <c r="I6396">
        <v>0</v>
      </c>
      <c r="J6396" t="s">
        <v>1709</v>
      </c>
      <c r="K6396" t="s">
        <v>290</v>
      </c>
      <c r="L6396" t="s">
        <v>285</v>
      </c>
      <c r="M6396" t="str">
        <f t="shared" si="462"/>
        <v>05</v>
      </c>
      <c r="N6396" t="s">
        <v>12</v>
      </c>
    </row>
    <row r="6397" spans="1:14" x14ac:dyDescent="0.25">
      <c r="A6397">
        <v>20160527</v>
      </c>
      <c r="B6397" t="str">
        <f t="shared" si="463"/>
        <v>063670</v>
      </c>
      <c r="C6397" t="str">
        <f t="shared" si="464"/>
        <v>72730</v>
      </c>
      <c r="D6397" t="s">
        <v>1400</v>
      </c>
      <c r="E6397" s="3">
        <v>5.66</v>
      </c>
      <c r="F6397">
        <v>20160526</v>
      </c>
      <c r="G6397" t="s">
        <v>5033</v>
      </c>
      <c r="H6397" t="s">
        <v>5381</v>
      </c>
      <c r="I6397">
        <v>0</v>
      </c>
      <c r="J6397" t="s">
        <v>1709</v>
      </c>
      <c r="K6397" t="s">
        <v>290</v>
      </c>
      <c r="L6397" t="s">
        <v>285</v>
      </c>
      <c r="M6397" t="str">
        <f t="shared" si="462"/>
        <v>05</v>
      </c>
      <c r="N6397" t="s">
        <v>12</v>
      </c>
    </row>
    <row r="6398" spans="1:14" x14ac:dyDescent="0.25">
      <c r="A6398">
        <v>20160527</v>
      </c>
      <c r="B6398" t="str">
        <f t="shared" si="463"/>
        <v>063670</v>
      </c>
      <c r="C6398" t="str">
        <f t="shared" si="464"/>
        <v>72730</v>
      </c>
      <c r="D6398" t="s">
        <v>1400</v>
      </c>
      <c r="E6398" s="3">
        <v>10.81</v>
      </c>
      <c r="F6398">
        <v>20160526</v>
      </c>
      <c r="G6398" t="s">
        <v>5033</v>
      </c>
      <c r="H6398" t="s">
        <v>5381</v>
      </c>
      <c r="I6398">
        <v>0</v>
      </c>
      <c r="J6398" t="s">
        <v>1709</v>
      </c>
      <c r="K6398" t="s">
        <v>290</v>
      </c>
      <c r="L6398" t="s">
        <v>285</v>
      </c>
      <c r="M6398" t="str">
        <f t="shared" si="462"/>
        <v>05</v>
      </c>
      <c r="N6398" t="s">
        <v>12</v>
      </c>
    </row>
    <row r="6399" spans="1:14" x14ac:dyDescent="0.25">
      <c r="A6399">
        <v>20160527</v>
      </c>
      <c r="B6399" t="str">
        <f t="shared" si="463"/>
        <v>063670</v>
      </c>
      <c r="C6399" t="str">
        <f t="shared" si="464"/>
        <v>72730</v>
      </c>
      <c r="D6399" t="s">
        <v>1400</v>
      </c>
      <c r="E6399" s="3">
        <v>5.66</v>
      </c>
      <c r="F6399">
        <v>20160526</v>
      </c>
      <c r="G6399" t="s">
        <v>5033</v>
      </c>
      <c r="H6399" t="s">
        <v>5381</v>
      </c>
      <c r="I6399">
        <v>0</v>
      </c>
      <c r="J6399" t="s">
        <v>1709</v>
      </c>
      <c r="K6399" t="s">
        <v>290</v>
      </c>
      <c r="L6399" t="s">
        <v>285</v>
      </c>
      <c r="M6399" t="str">
        <f t="shared" si="462"/>
        <v>05</v>
      </c>
      <c r="N6399" t="s">
        <v>12</v>
      </c>
    </row>
    <row r="6400" spans="1:14" x14ac:dyDescent="0.25">
      <c r="A6400">
        <v>20160527</v>
      </c>
      <c r="B6400" t="str">
        <f t="shared" si="463"/>
        <v>063670</v>
      </c>
      <c r="C6400" t="str">
        <f t="shared" si="464"/>
        <v>72730</v>
      </c>
      <c r="D6400" t="s">
        <v>1400</v>
      </c>
      <c r="E6400" s="3">
        <v>489.96</v>
      </c>
      <c r="F6400">
        <v>20160526</v>
      </c>
      <c r="G6400" t="s">
        <v>5033</v>
      </c>
      <c r="H6400" t="s">
        <v>5034</v>
      </c>
      <c r="I6400">
        <v>0</v>
      </c>
      <c r="J6400" t="s">
        <v>1709</v>
      </c>
      <c r="K6400" t="s">
        <v>290</v>
      </c>
      <c r="L6400" t="s">
        <v>285</v>
      </c>
      <c r="M6400" t="str">
        <f t="shared" si="462"/>
        <v>05</v>
      </c>
      <c r="N6400" t="s">
        <v>12</v>
      </c>
    </row>
    <row r="6401" spans="1:14" x14ac:dyDescent="0.25">
      <c r="A6401">
        <v>20160527</v>
      </c>
      <c r="B6401" t="str">
        <f t="shared" si="463"/>
        <v>063670</v>
      </c>
      <c r="C6401" t="str">
        <f t="shared" si="464"/>
        <v>72730</v>
      </c>
      <c r="D6401" t="s">
        <v>1400</v>
      </c>
      <c r="E6401" s="3">
        <v>1062.55</v>
      </c>
      <c r="F6401">
        <v>20160526</v>
      </c>
      <c r="G6401" t="s">
        <v>2053</v>
      </c>
      <c r="H6401" t="s">
        <v>5382</v>
      </c>
      <c r="I6401">
        <v>0</v>
      </c>
      <c r="J6401" t="s">
        <v>1709</v>
      </c>
      <c r="K6401" t="s">
        <v>290</v>
      </c>
      <c r="L6401" t="s">
        <v>285</v>
      </c>
      <c r="M6401" t="str">
        <f t="shared" si="462"/>
        <v>05</v>
      </c>
      <c r="N6401" t="s">
        <v>12</v>
      </c>
    </row>
    <row r="6402" spans="1:14" x14ac:dyDescent="0.25">
      <c r="A6402">
        <v>20160527</v>
      </c>
      <c r="B6402" t="str">
        <f t="shared" si="463"/>
        <v>063670</v>
      </c>
      <c r="C6402" t="str">
        <f t="shared" si="464"/>
        <v>72730</v>
      </c>
      <c r="D6402" t="s">
        <v>1400</v>
      </c>
      <c r="E6402" s="3">
        <v>80.69</v>
      </c>
      <c r="F6402">
        <v>20160526</v>
      </c>
      <c r="G6402" t="s">
        <v>2981</v>
      </c>
      <c r="H6402" t="s">
        <v>5373</v>
      </c>
      <c r="I6402">
        <v>0</v>
      </c>
      <c r="J6402" t="s">
        <v>1709</v>
      </c>
      <c r="K6402" t="s">
        <v>290</v>
      </c>
      <c r="L6402" t="s">
        <v>285</v>
      </c>
      <c r="M6402" t="str">
        <f t="shared" si="462"/>
        <v>05</v>
      </c>
      <c r="N6402" t="s">
        <v>12</v>
      </c>
    </row>
    <row r="6403" spans="1:14" x14ac:dyDescent="0.25">
      <c r="A6403">
        <v>20160527</v>
      </c>
      <c r="B6403" t="str">
        <f t="shared" si="463"/>
        <v>063670</v>
      </c>
      <c r="C6403" t="str">
        <f t="shared" si="464"/>
        <v>72730</v>
      </c>
      <c r="D6403" t="s">
        <v>1400</v>
      </c>
      <c r="E6403" s="3">
        <v>35.020000000000003</v>
      </c>
      <c r="F6403">
        <v>20160526</v>
      </c>
      <c r="G6403" t="s">
        <v>5383</v>
      </c>
      <c r="H6403" t="s">
        <v>5384</v>
      </c>
      <c r="I6403">
        <v>0</v>
      </c>
      <c r="J6403" t="s">
        <v>1709</v>
      </c>
      <c r="K6403" t="s">
        <v>290</v>
      </c>
      <c r="L6403" t="s">
        <v>285</v>
      </c>
      <c r="M6403" t="str">
        <f t="shared" si="462"/>
        <v>05</v>
      </c>
      <c r="N6403" t="s">
        <v>12</v>
      </c>
    </row>
    <row r="6404" spans="1:14" x14ac:dyDescent="0.25">
      <c r="A6404">
        <v>20160527</v>
      </c>
      <c r="B6404" t="str">
        <f t="shared" si="463"/>
        <v>063670</v>
      </c>
      <c r="C6404" t="str">
        <f t="shared" si="464"/>
        <v>72730</v>
      </c>
      <c r="D6404" t="s">
        <v>1400</v>
      </c>
      <c r="E6404" s="3">
        <v>194.15</v>
      </c>
      <c r="F6404">
        <v>20160526</v>
      </c>
      <c r="G6404" t="s">
        <v>5383</v>
      </c>
      <c r="H6404" t="s">
        <v>595</v>
      </c>
      <c r="I6404">
        <v>0</v>
      </c>
      <c r="J6404" t="s">
        <v>1709</v>
      </c>
      <c r="K6404" t="s">
        <v>290</v>
      </c>
      <c r="L6404" t="s">
        <v>285</v>
      </c>
      <c r="M6404" t="str">
        <f t="shared" si="462"/>
        <v>05</v>
      </c>
      <c r="N6404" t="s">
        <v>12</v>
      </c>
    </row>
    <row r="6405" spans="1:14" x14ac:dyDescent="0.25">
      <c r="A6405">
        <v>20160527</v>
      </c>
      <c r="B6405" t="str">
        <f t="shared" si="463"/>
        <v>063670</v>
      </c>
      <c r="C6405" t="str">
        <f t="shared" si="464"/>
        <v>72730</v>
      </c>
      <c r="D6405" t="s">
        <v>1400</v>
      </c>
      <c r="E6405" s="3">
        <v>242.36</v>
      </c>
      <c r="F6405">
        <v>20160526</v>
      </c>
      <c r="G6405" t="s">
        <v>5383</v>
      </c>
      <c r="H6405" t="s">
        <v>2169</v>
      </c>
      <c r="I6405">
        <v>0</v>
      </c>
      <c r="J6405" t="s">
        <v>1709</v>
      </c>
      <c r="K6405" t="s">
        <v>290</v>
      </c>
      <c r="L6405" t="s">
        <v>285</v>
      </c>
      <c r="M6405" t="str">
        <f t="shared" si="462"/>
        <v>05</v>
      </c>
      <c r="N6405" t="s">
        <v>12</v>
      </c>
    </row>
    <row r="6406" spans="1:14" x14ac:dyDescent="0.25">
      <c r="A6406">
        <v>20160527</v>
      </c>
      <c r="B6406" t="str">
        <f t="shared" si="463"/>
        <v>063670</v>
      </c>
      <c r="C6406" t="str">
        <f t="shared" si="464"/>
        <v>72730</v>
      </c>
      <c r="D6406" t="s">
        <v>1400</v>
      </c>
      <c r="E6406" s="3">
        <v>39.71</v>
      </c>
      <c r="F6406">
        <v>20160526</v>
      </c>
      <c r="G6406" t="s">
        <v>5383</v>
      </c>
      <c r="H6406" t="s">
        <v>2169</v>
      </c>
      <c r="I6406">
        <v>0</v>
      </c>
      <c r="J6406" t="s">
        <v>1709</v>
      </c>
      <c r="K6406" t="s">
        <v>290</v>
      </c>
      <c r="L6406" t="s">
        <v>285</v>
      </c>
      <c r="M6406" t="str">
        <f t="shared" si="462"/>
        <v>05</v>
      </c>
      <c r="N6406" t="s">
        <v>12</v>
      </c>
    </row>
    <row r="6407" spans="1:14" x14ac:dyDescent="0.25">
      <c r="A6407">
        <v>20160527</v>
      </c>
      <c r="B6407" t="str">
        <f t="shared" si="463"/>
        <v>063670</v>
      </c>
      <c r="C6407" t="str">
        <f t="shared" si="464"/>
        <v>72730</v>
      </c>
      <c r="D6407" t="s">
        <v>1400</v>
      </c>
      <c r="E6407" s="3">
        <v>102.77</v>
      </c>
      <c r="F6407">
        <v>20160526</v>
      </c>
      <c r="G6407" t="s">
        <v>5383</v>
      </c>
      <c r="H6407" t="s">
        <v>2169</v>
      </c>
      <c r="I6407">
        <v>0</v>
      </c>
      <c r="J6407" t="s">
        <v>1709</v>
      </c>
      <c r="K6407" t="s">
        <v>290</v>
      </c>
      <c r="L6407" t="s">
        <v>285</v>
      </c>
      <c r="M6407" t="str">
        <f t="shared" si="462"/>
        <v>05</v>
      </c>
      <c r="N6407" t="s">
        <v>12</v>
      </c>
    </row>
    <row r="6408" spans="1:14" x14ac:dyDescent="0.25">
      <c r="A6408">
        <v>20160527</v>
      </c>
      <c r="B6408" t="str">
        <f>"063671"</f>
        <v>063671</v>
      </c>
      <c r="C6408" t="str">
        <f>"73643"</f>
        <v>73643</v>
      </c>
      <c r="D6408" t="s">
        <v>5385</v>
      </c>
      <c r="E6408" s="3">
        <v>320</v>
      </c>
      <c r="F6408">
        <v>20160526</v>
      </c>
      <c r="G6408" t="s">
        <v>5383</v>
      </c>
      <c r="H6408" t="s">
        <v>5386</v>
      </c>
      <c r="I6408">
        <v>0</v>
      </c>
      <c r="J6408" t="s">
        <v>1709</v>
      </c>
      <c r="K6408" t="s">
        <v>290</v>
      </c>
      <c r="L6408" t="s">
        <v>285</v>
      </c>
      <c r="M6408" t="str">
        <f t="shared" si="462"/>
        <v>05</v>
      </c>
      <c r="N6408" t="s">
        <v>12</v>
      </c>
    </row>
    <row r="6409" spans="1:14" x14ac:dyDescent="0.25">
      <c r="A6409">
        <v>20160527</v>
      </c>
      <c r="B6409" t="str">
        <f>"063672"</f>
        <v>063672</v>
      </c>
      <c r="C6409" t="str">
        <f>"74001"</f>
        <v>74001</v>
      </c>
      <c r="D6409" t="s">
        <v>5387</v>
      </c>
      <c r="E6409" s="3">
        <v>111.8</v>
      </c>
      <c r="F6409">
        <v>20160526</v>
      </c>
      <c r="G6409" t="s">
        <v>5019</v>
      </c>
      <c r="H6409" t="s">
        <v>5020</v>
      </c>
      <c r="I6409">
        <v>0</v>
      </c>
      <c r="J6409" t="s">
        <v>1709</v>
      </c>
      <c r="K6409" t="s">
        <v>290</v>
      </c>
      <c r="L6409" t="s">
        <v>285</v>
      </c>
      <c r="M6409" t="str">
        <f t="shared" si="462"/>
        <v>05</v>
      </c>
      <c r="N6409" t="s">
        <v>12</v>
      </c>
    </row>
    <row r="6410" spans="1:14" x14ac:dyDescent="0.25">
      <c r="A6410">
        <v>20160527</v>
      </c>
      <c r="B6410" t="str">
        <f>"063673"</f>
        <v>063673</v>
      </c>
      <c r="C6410" t="str">
        <f>"75735"</f>
        <v>75735</v>
      </c>
      <c r="D6410" t="s">
        <v>3146</v>
      </c>
      <c r="E6410" s="3">
        <v>107.4</v>
      </c>
      <c r="F6410">
        <v>20160526</v>
      </c>
      <c r="G6410" t="s">
        <v>2133</v>
      </c>
      <c r="H6410" t="s">
        <v>5388</v>
      </c>
      <c r="I6410">
        <v>0</v>
      </c>
      <c r="J6410" t="s">
        <v>1709</v>
      </c>
      <c r="K6410" t="s">
        <v>290</v>
      </c>
      <c r="L6410" t="s">
        <v>285</v>
      </c>
      <c r="M6410" t="str">
        <f t="shared" si="462"/>
        <v>05</v>
      </c>
      <c r="N6410" t="s">
        <v>12</v>
      </c>
    </row>
    <row r="6411" spans="1:14" x14ac:dyDescent="0.25">
      <c r="A6411">
        <v>20160527</v>
      </c>
      <c r="B6411" t="str">
        <f>"063674"</f>
        <v>063674</v>
      </c>
      <c r="C6411" t="str">
        <f>"76490"</f>
        <v>76490</v>
      </c>
      <c r="D6411" t="s">
        <v>373</v>
      </c>
      <c r="E6411" s="3">
        <v>216.16</v>
      </c>
      <c r="F6411">
        <v>20160526</v>
      </c>
      <c r="G6411" t="s">
        <v>2333</v>
      </c>
      <c r="H6411" t="s">
        <v>5389</v>
      </c>
      <c r="I6411">
        <v>0</v>
      </c>
      <c r="J6411" t="s">
        <v>1709</v>
      </c>
      <c r="K6411" t="s">
        <v>290</v>
      </c>
      <c r="L6411" t="s">
        <v>285</v>
      </c>
      <c r="M6411" t="str">
        <f t="shared" ref="M6411:M6464" si="465">"05"</f>
        <v>05</v>
      </c>
      <c r="N6411" t="s">
        <v>12</v>
      </c>
    </row>
    <row r="6412" spans="1:14" x14ac:dyDescent="0.25">
      <c r="A6412">
        <v>20160527</v>
      </c>
      <c r="B6412" t="str">
        <f>"063676"</f>
        <v>063676</v>
      </c>
      <c r="C6412" t="str">
        <f>"78345"</f>
        <v>78345</v>
      </c>
      <c r="D6412" t="s">
        <v>2735</v>
      </c>
      <c r="E6412" s="3">
        <v>750</v>
      </c>
      <c r="F6412">
        <v>20160526</v>
      </c>
      <c r="G6412" t="s">
        <v>1712</v>
      </c>
      <c r="H6412" t="s">
        <v>5390</v>
      </c>
      <c r="I6412">
        <v>0</v>
      </c>
      <c r="J6412" t="s">
        <v>1709</v>
      </c>
      <c r="K6412" t="s">
        <v>290</v>
      </c>
      <c r="L6412" t="s">
        <v>285</v>
      </c>
      <c r="M6412" t="str">
        <f t="shared" si="465"/>
        <v>05</v>
      </c>
      <c r="N6412" t="s">
        <v>12</v>
      </c>
    </row>
    <row r="6413" spans="1:14" x14ac:dyDescent="0.25">
      <c r="A6413">
        <v>20160527</v>
      </c>
      <c r="B6413" t="str">
        <f>"063676"</f>
        <v>063676</v>
      </c>
      <c r="C6413" t="str">
        <f>"78345"</f>
        <v>78345</v>
      </c>
      <c r="D6413" t="s">
        <v>2735</v>
      </c>
      <c r="E6413" s="3">
        <v>90</v>
      </c>
      <c r="F6413">
        <v>20160526</v>
      </c>
      <c r="G6413" t="s">
        <v>4159</v>
      </c>
      <c r="H6413" t="s">
        <v>5390</v>
      </c>
      <c r="I6413">
        <v>0</v>
      </c>
      <c r="J6413" t="s">
        <v>1709</v>
      </c>
      <c r="K6413" t="s">
        <v>290</v>
      </c>
      <c r="L6413" t="s">
        <v>285</v>
      </c>
      <c r="M6413" t="str">
        <f t="shared" si="465"/>
        <v>05</v>
      </c>
      <c r="N6413" t="s">
        <v>12</v>
      </c>
    </row>
    <row r="6414" spans="1:14" x14ac:dyDescent="0.25">
      <c r="A6414">
        <v>20160527</v>
      </c>
      <c r="B6414" t="str">
        <f>"063677"</f>
        <v>063677</v>
      </c>
      <c r="C6414" t="str">
        <f>"78345"</f>
        <v>78345</v>
      </c>
      <c r="D6414" t="s">
        <v>2735</v>
      </c>
      <c r="E6414" s="3">
        <v>150</v>
      </c>
      <c r="F6414">
        <v>20160526</v>
      </c>
      <c r="G6414" t="s">
        <v>1712</v>
      </c>
      <c r="H6414" t="s">
        <v>5391</v>
      </c>
      <c r="I6414">
        <v>0</v>
      </c>
      <c r="J6414" t="s">
        <v>1709</v>
      </c>
      <c r="K6414" t="s">
        <v>290</v>
      </c>
      <c r="L6414" t="s">
        <v>285</v>
      </c>
      <c r="M6414" t="str">
        <f t="shared" si="465"/>
        <v>05</v>
      </c>
      <c r="N6414" t="s">
        <v>12</v>
      </c>
    </row>
    <row r="6415" spans="1:14" x14ac:dyDescent="0.25">
      <c r="A6415">
        <v>20160527</v>
      </c>
      <c r="B6415" t="str">
        <f>"063678"</f>
        <v>063678</v>
      </c>
      <c r="C6415" t="str">
        <f>"78311"</f>
        <v>78311</v>
      </c>
      <c r="D6415" t="s">
        <v>458</v>
      </c>
      <c r="E6415" s="3">
        <v>43.14</v>
      </c>
      <c r="F6415">
        <v>20160526</v>
      </c>
      <c r="G6415" t="s">
        <v>2888</v>
      </c>
      <c r="H6415" t="s">
        <v>5006</v>
      </c>
      <c r="I6415">
        <v>0</v>
      </c>
      <c r="J6415" t="s">
        <v>1709</v>
      </c>
      <c r="K6415" t="s">
        <v>290</v>
      </c>
      <c r="L6415" t="s">
        <v>285</v>
      </c>
      <c r="M6415" t="str">
        <f t="shared" si="465"/>
        <v>05</v>
      </c>
      <c r="N6415" t="s">
        <v>12</v>
      </c>
    </row>
    <row r="6416" spans="1:14" x14ac:dyDescent="0.25">
      <c r="A6416">
        <v>20160527</v>
      </c>
      <c r="B6416" t="str">
        <f>"063678"</f>
        <v>063678</v>
      </c>
      <c r="C6416" t="str">
        <f>"78311"</f>
        <v>78311</v>
      </c>
      <c r="D6416" t="s">
        <v>458</v>
      </c>
      <c r="E6416" s="3">
        <v>26.93</v>
      </c>
      <c r="F6416">
        <v>20160526</v>
      </c>
      <c r="G6416" t="s">
        <v>5019</v>
      </c>
      <c r="H6416" t="s">
        <v>5020</v>
      </c>
      <c r="I6416">
        <v>0</v>
      </c>
      <c r="J6416" t="s">
        <v>1709</v>
      </c>
      <c r="K6416" t="s">
        <v>290</v>
      </c>
      <c r="L6416" t="s">
        <v>285</v>
      </c>
      <c r="M6416" t="str">
        <f t="shared" si="465"/>
        <v>05</v>
      </c>
      <c r="N6416" t="s">
        <v>12</v>
      </c>
    </row>
    <row r="6417" spans="1:14" x14ac:dyDescent="0.25">
      <c r="A6417">
        <v>20160527</v>
      </c>
      <c r="B6417" t="str">
        <f>"063678"</f>
        <v>063678</v>
      </c>
      <c r="C6417" t="str">
        <f>"78311"</f>
        <v>78311</v>
      </c>
      <c r="D6417" t="s">
        <v>458</v>
      </c>
      <c r="E6417" s="3">
        <v>19.62</v>
      </c>
      <c r="F6417">
        <v>20160526</v>
      </c>
      <c r="G6417" t="s">
        <v>1710</v>
      </c>
      <c r="H6417" t="s">
        <v>4885</v>
      </c>
      <c r="I6417">
        <v>0</v>
      </c>
      <c r="J6417" t="s">
        <v>1709</v>
      </c>
      <c r="K6417" t="s">
        <v>290</v>
      </c>
      <c r="L6417" t="s">
        <v>285</v>
      </c>
      <c r="M6417" t="str">
        <f t="shared" si="465"/>
        <v>05</v>
      </c>
      <c r="N6417" t="s">
        <v>12</v>
      </c>
    </row>
    <row r="6418" spans="1:14" x14ac:dyDescent="0.25">
      <c r="A6418">
        <v>20160527</v>
      </c>
      <c r="B6418" t="str">
        <f>"063680"</f>
        <v>063680</v>
      </c>
      <c r="C6418" t="str">
        <f>"80109"</f>
        <v>80109</v>
      </c>
      <c r="D6418" t="s">
        <v>5392</v>
      </c>
      <c r="E6418" s="3">
        <v>77.3</v>
      </c>
      <c r="F6418">
        <v>20160526</v>
      </c>
      <c r="G6418" t="s">
        <v>3077</v>
      </c>
      <c r="H6418" t="s">
        <v>5393</v>
      </c>
      <c r="I6418">
        <v>0</v>
      </c>
      <c r="J6418" t="s">
        <v>1709</v>
      </c>
      <c r="K6418" t="s">
        <v>290</v>
      </c>
      <c r="L6418" t="s">
        <v>285</v>
      </c>
      <c r="M6418" t="str">
        <f t="shared" si="465"/>
        <v>05</v>
      </c>
      <c r="N6418" t="s">
        <v>12</v>
      </c>
    </row>
    <row r="6419" spans="1:14" x14ac:dyDescent="0.25">
      <c r="A6419">
        <v>20160527</v>
      </c>
      <c r="B6419" t="str">
        <f>"063684"</f>
        <v>063684</v>
      </c>
      <c r="C6419" t="str">
        <f>"81704"</f>
        <v>81704</v>
      </c>
      <c r="D6419" t="s">
        <v>5394</v>
      </c>
      <c r="E6419" s="3">
        <v>500</v>
      </c>
      <c r="F6419">
        <v>20160526</v>
      </c>
      <c r="G6419" t="s">
        <v>4884</v>
      </c>
      <c r="H6419" t="s">
        <v>5395</v>
      </c>
      <c r="I6419">
        <v>0</v>
      </c>
      <c r="J6419" t="s">
        <v>1709</v>
      </c>
      <c r="K6419" t="s">
        <v>290</v>
      </c>
      <c r="L6419" t="s">
        <v>285</v>
      </c>
      <c r="M6419" t="str">
        <f t="shared" si="465"/>
        <v>05</v>
      </c>
      <c r="N6419" t="s">
        <v>12</v>
      </c>
    </row>
    <row r="6420" spans="1:14" x14ac:dyDescent="0.25">
      <c r="A6420">
        <v>20160527</v>
      </c>
      <c r="B6420" t="str">
        <f>"063684"</f>
        <v>063684</v>
      </c>
      <c r="C6420" t="str">
        <f>"81704"</f>
        <v>81704</v>
      </c>
      <c r="D6420" t="s">
        <v>5394</v>
      </c>
      <c r="E6420" s="3">
        <v>70</v>
      </c>
      <c r="F6420">
        <v>20160526</v>
      </c>
      <c r="G6420" t="s">
        <v>4884</v>
      </c>
      <c r="H6420" t="s">
        <v>5395</v>
      </c>
      <c r="I6420">
        <v>0</v>
      </c>
      <c r="J6420" t="s">
        <v>1709</v>
      </c>
      <c r="K6420" t="s">
        <v>290</v>
      </c>
      <c r="L6420" t="s">
        <v>285</v>
      </c>
      <c r="M6420" t="str">
        <f t="shared" si="465"/>
        <v>05</v>
      </c>
      <c r="N6420" t="s">
        <v>12</v>
      </c>
    </row>
    <row r="6421" spans="1:14" x14ac:dyDescent="0.25">
      <c r="A6421">
        <v>20160527</v>
      </c>
      <c r="B6421" t="str">
        <f>"063685"</f>
        <v>063685</v>
      </c>
      <c r="C6421" t="str">
        <f>"81713"</f>
        <v>81713</v>
      </c>
      <c r="D6421" t="s">
        <v>5396</v>
      </c>
      <c r="E6421" s="3">
        <v>255.8</v>
      </c>
      <c r="F6421">
        <v>20160526</v>
      </c>
      <c r="G6421" t="s">
        <v>4930</v>
      </c>
      <c r="H6421" t="s">
        <v>4931</v>
      </c>
      <c r="I6421">
        <v>0</v>
      </c>
      <c r="J6421" t="s">
        <v>1709</v>
      </c>
      <c r="K6421" t="s">
        <v>33</v>
      </c>
      <c r="L6421" t="s">
        <v>285</v>
      </c>
      <c r="M6421" t="str">
        <f t="shared" si="465"/>
        <v>05</v>
      </c>
      <c r="N6421" t="s">
        <v>12</v>
      </c>
    </row>
    <row r="6422" spans="1:14" x14ac:dyDescent="0.25">
      <c r="A6422">
        <v>20160527</v>
      </c>
      <c r="B6422" t="str">
        <f>"063688"</f>
        <v>063688</v>
      </c>
      <c r="C6422" t="str">
        <f>"82370"</f>
        <v>82370</v>
      </c>
      <c r="D6422" t="s">
        <v>4452</v>
      </c>
      <c r="E6422" s="3">
        <v>91.3</v>
      </c>
      <c r="F6422">
        <v>20160526</v>
      </c>
      <c r="G6422" t="s">
        <v>3899</v>
      </c>
      <c r="H6422" t="s">
        <v>5240</v>
      </c>
      <c r="I6422">
        <v>0</v>
      </c>
      <c r="J6422" t="s">
        <v>1709</v>
      </c>
      <c r="K6422" t="s">
        <v>1643</v>
      </c>
      <c r="L6422" t="s">
        <v>285</v>
      </c>
      <c r="M6422" t="str">
        <f t="shared" si="465"/>
        <v>05</v>
      </c>
      <c r="N6422" t="s">
        <v>12</v>
      </c>
    </row>
    <row r="6423" spans="1:14" x14ac:dyDescent="0.25">
      <c r="A6423">
        <v>20160527</v>
      </c>
      <c r="B6423" t="str">
        <f t="shared" ref="B6423:B6461" si="466">"063689"</f>
        <v>063689</v>
      </c>
      <c r="C6423" t="str">
        <f t="shared" ref="C6423:C6461" si="467">"83022"</f>
        <v>83022</v>
      </c>
      <c r="D6423" t="s">
        <v>394</v>
      </c>
      <c r="E6423" s="3">
        <v>4.97</v>
      </c>
      <c r="F6423">
        <v>20160526</v>
      </c>
      <c r="G6423" t="s">
        <v>3888</v>
      </c>
      <c r="H6423" t="s">
        <v>3890</v>
      </c>
      <c r="I6423">
        <v>0</v>
      </c>
      <c r="J6423" t="s">
        <v>1709</v>
      </c>
      <c r="K6423" t="s">
        <v>95</v>
      </c>
      <c r="L6423" t="s">
        <v>285</v>
      </c>
      <c r="M6423" t="str">
        <f t="shared" si="465"/>
        <v>05</v>
      </c>
      <c r="N6423" t="s">
        <v>12</v>
      </c>
    </row>
    <row r="6424" spans="1:14" x14ac:dyDescent="0.25">
      <c r="A6424">
        <v>20160527</v>
      </c>
      <c r="B6424" t="str">
        <f t="shared" si="466"/>
        <v>063689</v>
      </c>
      <c r="C6424" t="str">
        <f t="shared" si="467"/>
        <v>83022</v>
      </c>
      <c r="D6424" t="s">
        <v>394</v>
      </c>
      <c r="E6424" s="3">
        <v>79.400000000000006</v>
      </c>
      <c r="F6424">
        <v>20160526</v>
      </c>
      <c r="G6424" t="s">
        <v>2978</v>
      </c>
      <c r="H6424" t="s">
        <v>5397</v>
      </c>
      <c r="I6424">
        <v>0</v>
      </c>
      <c r="J6424" t="s">
        <v>1709</v>
      </c>
      <c r="K6424" t="s">
        <v>290</v>
      </c>
      <c r="L6424" t="s">
        <v>285</v>
      </c>
      <c r="M6424" t="str">
        <f t="shared" si="465"/>
        <v>05</v>
      </c>
      <c r="N6424" t="s">
        <v>12</v>
      </c>
    </row>
    <row r="6425" spans="1:14" x14ac:dyDescent="0.25">
      <c r="A6425">
        <v>20160527</v>
      </c>
      <c r="B6425" t="str">
        <f t="shared" si="466"/>
        <v>063689</v>
      </c>
      <c r="C6425" t="str">
        <f t="shared" si="467"/>
        <v>83022</v>
      </c>
      <c r="D6425" t="s">
        <v>394</v>
      </c>
      <c r="E6425" s="3">
        <v>19.309999999999999</v>
      </c>
      <c r="F6425">
        <v>20160526</v>
      </c>
      <c r="G6425" t="s">
        <v>2168</v>
      </c>
      <c r="H6425" t="s">
        <v>2170</v>
      </c>
      <c r="I6425">
        <v>0</v>
      </c>
      <c r="J6425" t="s">
        <v>1709</v>
      </c>
      <c r="K6425" t="s">
        <v>33</v>
      </c>
      <c r="L6425" t="s">
        <v>285</v>
      </c>
      <c r="M6425" t="str">
        <f t="shared" si="465"/>
        <v>05</v>
      </c>
      <c r="N6425" t="s">
        <v>12</v>
      </c>
    </row>
    <row r="6426" spans="1:14" x14ac:dyDescent="0.25">
      <c r="A6426">
        <v>20160527</v>
      </c>
      <c r="B6426" t="str">
        <f t="shared" si="466"/>
        <v>063689</v>
      </c>
      <c r="C6426" t="str">
        <f t="shared" si="467"/>
        <v>83022</v>
      </c>
      <c r="D6426" t="s">
        <v>394</v>
      </c>
      <c r="E6426" s="3">
        <v>8.84</v>
      </c>
      <c r="F6426">
        <v>20160526</v>
      </c>
      <c r="G6426" t="s">
        <v>2168</v>
      </c>
      <c r="H6426" t="s">
        <v>5397</v>
      </c>
      <c r="I6426">
        <v>0</v>
      </c>
      <c r="J6426" t="s">
        <v>1709</v>
      </c>
      <c r="K6426" t="s">
        <v>33</v>
      </c>
      <c r="L6426" t="s">
        <v>285</v>
      </c>
      <c r="M6426" t="str">
        <f t="shared" si="465"/>
        <v>05</v>
      </c>
      <c r="N6426" t="s">
        <v>12</v>
      </c>
    </row>
    <row r="6427" spans="1:14" x14ac:dyDescent="0.25">
      <c r="A6427">
        <v>20160527</v>
      </c>
      <c r="B6427" t="str">
        <f t="shared" si="466"/>
        <v>063689</v>
      </c>
      <c r="C6427" t="str">
        <f t="shared" si="467"/>
        <v>83022</v>
      </c>
      <c r="D6427" t="s">
        <v>394</v>
      </c>
      <c r="E6427" s="3">
        <v>46.44</v>
      </c>
      <c r="F6427">
        <v>20160526</v>
      </c>
      <c r="G6427" t="s">
        <v>2226</v>
      </c>
      <c r="H6427" t="s">
        <v>3291</v>
      </c>
      <c r="I6427">
        <v>0</v>
      </c>
      <c r="J6427" t="s">
        <v>1709</v>
      </c>
      <c r="K6427" t="s">
        <v>33</v>
      </c>
      <c r="L6427" t="s">
        <v>285</v>
      </c>
      <c r="M6427" t="str">
        <f t="shared" si="465"/>
        <v>05</v>
      </c>
      <c r="N6427" t="s">
        <v>12</v>
      </c>
    </row>
    <row r="6428" spans="1:14" x14ac:dyDescent="0.25">
      <c r="A6428">
        <v>20160527</v>
      </c>
      <c r="B6428" t="str">
        <f t="shared" si="466"/>
        <v>063689</v>
      </c>
      <c r="C6428" t="str">
        <f t="shared" si="467"/>
        <v>83022</v>
      </c>
      <c r="D6428" t="s">
        <v>394</v>
      </c>
      <c r="E6428" s="3">
        <v>7.52</v>
      </c>
      <c r="F6428">
        <v>20160526</v>
      </c>
      <c r="G6428" t="s">
        <v>2100</v>
      </c>
      <c r="H6428" t="s">
        <v>5398</v>
      </c>
      <c r="I6428">
        <v>0</v>
      </c>
      <c r="J6428" t="s">
        <v>1709</v>
      </c>
      <c r="K6428" t="s">
        <v>33</v>
      </c>
      <c r="L6428" t="s">
        <v>285</v>
      </c>
      <c r="M6428" t="str">
        <f t="shared" si="465"/>
        <v>05</v>
      </c>
      <c r="N6428" t="s">
        <v>12</v>
      </c>
    </row>
    <row r="6429" spans="1:14" x14ac:dyDescent="0.25">
      <c r="A6429">
        <v>20160527</v>
      </c>
      <c r="B6429" t="str">
        <f t="shared" si="466"/>
        <v>063689</v>
      </c>
      <c r="C6429" t="str">
        <f t="shared" si="467"/>
        <v>83022</v>
      </c>
      <c r="D6429" t="s">
        <v>394</v>
      </c>
      <c r="E6429" s="3">
        <v>34.86</v>
      </c>
      <c r="F6429">
        <v>20160526</v>
      </c>
      <c r="G6429" t="s">
        <v>2275</v>
      </c>
      <c r="H6429" t="s">
        <v>2173</v>
      </c>
      <c r="I6429">
        <v>0</v>
      </c>
      <c r="J6429" t="s">
        <v>1709</v>
      </c>
      <c r="K6429" t="s">
        <v>95</v>
      </c>
      <c r="L6429" t="s">
        <v>285</v>
      </c>
      <c r="M6429" t="str">
        <f t="shared" si="465"/>
        <v>05</v>
      </c>
      <c r="N6429" t="s">
        <v>12</v>
      </c>
    </row>
    <row r="6430" spans="1:14" x14ac:dyDescent="0.25">
      <c r="A6430">
        <v>20160527</v>
      </c>
      <c r="B6430" t="str">
        <f t="shared" si="466"/>
        <v>063689</v>
      </c>
      <c r="C6430" t="str">
        <f t="shared" si="467"/>
        <v>83022</v>
      </c>
      <c r="D6430" t="s">
        <v>394</v>
      </c>
      <c r="E6430" s="3">
        <v>47.8</v>
      </c>
      <c r="F6430">
        <v>20160526</v>
      </c>
      <c r="G6430" t="s">
        <v>2275</v>
      </c>
      <c r="H6430" t="s">
        <v>5399</v>
      </c>
      <c r="I6430">
        <v>0</v>
      </c>
      <c r="J6430" t="s">
        <v>1709</v>
      </c>
      <c r="K6430" t="s">
        <v>95</v>
      </c>
      <c r="L6430" t="s">
        <v>285</v>
      </c>
      <c r="M6430" t="str">
        <f t="shared" si="465"/>
        <v>05</v>
      </c>
      <c r="N6430" t="s">
        <v>12</v>
      </c>
    </row>
    <row r="6431" spans="1:14" x14ac:dyDescent="0.25">
      <c r="A6431">
        <v>20160527</v>
      </c>
      <c r="B6431" t="str">
        <f t="shared" si="466"/>
        <v>063689</v>
      </c>
      <c r="C6431" t="str">
        <f t="shared" si="467"/>
        <v>83022</v>
      </c>
      <c r="D6431" t="s">
        <v>394</v>
      </c>
      <c r="E6431" s="3">
        <v>39.47</v>
      </c>
      <c r="F6431">
        <v>20160526</v>
      </c>
      <c r="G6431" t="s">
        <v>2714</v>
      </c>
      <c r="H6431" t="s">
        <v>5398</v>
      </c>
      <c r="I6431">
        <v>0</v>
      </c>
      <c r="J6431" t="s">
        <v>1709</v>
      </c>
      <c r="K6431" t="s">
        <v>33</v>
      </c>
      <c r="L6431" t="s">
        <v>285</v>
      </c>
      <c r="M6431" t="str">
        <f t="shared" si="465"/>
        <v>05</v>
      </c>
      <c r="N6431" t="s">
        <v>12</v>
      </c>
    </row>
    <row r="6432" spans="1:14" x14ac:dyDescent="0.25">
      <c r="A6432">
        <v>20160527</v>
      </c>
      <c r="B6432" t="str">
        <f t="shared" si="466"/>
        <v>063689</v>
      </c>
      <c r="C6432" t="str">
        <f t="shared" si="467"/>
        <v>83022</v>
      </c>
      <c r="D6432" t="s">
        <v>394</v>
      </c>
      <c r="E6432" s="3">
        <v>-4.76</v>
      </c>
      <c r="F6432">
        <v>20160508</v>
      </c>
      <c r="G6432" t="s">
        <v>2714</v>
      </c>
      <c r="H6432" t="s">
        <v>5398</v>
      </c>
      <c r="I6432">
        <v>0</v>
      </c>
      <c r="J6432" t="s">
        <v>1709</v>
      </c>
      <c r="K6432" t="s">
        <v>33</v>
      </c>
      <c r="L6432" t="s">
        <v>1385</v>
      </c>
      <c r="M6432" t="str">
        <f t="shared" si="465"/>
        <v>05</v>
      </c>
      <c r="N6432" t="s">
        <v>12</v>
      </c>
    </row>
    <row r="6433" spans="1:14" x14ac:dyDescent="0.25">
      <c r="A6433">
        <v>20160527</v>
      </c>
      <c r="B6433" t="str">
        <f t="shared" si="466"/>
        <v>063689</v>
      </c>
      <c r="C6433" t="str">
        <f t="shared" si="467"/>
        <v>83022</v>
      </c>
      <c r="D6433" t="s">
        <v>394</v>
      </c>
      <c r="E6433" s="3">
        <v>33.770000000000003</v>
      </c>
      <c r="F6433">
        <v>20160526</v>
      </c>
      <c r="G6433" t="s">
        <v>2307</v>
      </c>
      <c r="H6433" t="s">
        <v>3933</v>
      </c>
      <c r="I6433">
        <v>0</v>
      </c>
      <c r="J6433" t="s">
        <v>1709</v>
      </c>
      <c r="K6433" t="s">
        <v>95</v>
      </c>
      <c r="L6433" t="s">
        <v>285</v>
      </c>
      <c r="M6433" t="str">
        <f t="shared" si="465"/>
        <v>05</v>
      </c>
      <c r="N6433" t="s">
        <v>12</v>
      </c>
    </row>
    <row r="6434" spans="1:14" x14ac:dyDescent="0.25">
      <c r="A6434">
        <v>20160527</v>
      </c>
      <c r="B6434" t="str">
        <f t="shared" si="466"/>
        <v>063689</v>
      </c>
      <c r="C6434" t="str">
        <f t="shared" si="467"/>
        <v>83022</v>
      </c>
      <c r="D6434" t="s">
        <v>394</v>
      </c>
      <c r="E6434" s="3">
        <v>173.28</v>
      </c>
      <c r="F6434">
        <v>20160526</v>
      </c>
      <c r="G6434" t="s">
        <v>3293</v>
      </c>
      <c r="H6434" t="s">
        <v>5400</v>
      </c>
      <c r="I6434">
        <v>0</v>
      </c>
      <c r="J6434" t="s">
        <v>1709</v>
      </c>
      <c r="K6434" t="s">
        <v>95</v>
      </c>
      <c r="L6434" t="s">
        <v>285</v>
      </c>
      <c r="M6434" t="str">
        <f t="shared" si="465"/>
        <v>05</v>
      </c>
      <c r="N6434" t="s">
        <v>12</v>
      </c>
    </row>
    <row r="6435" spans="1:14" x14ac:dyDescent="0.25">
      <c r="A6435">
        <v>20160527</v>
      </c>
      <c r="B6435" t="str">
        <f t="shared" si="466"/>
        <v>063689</v>
      </c>
      <c r="C6435" t="str">
        <f t="shared" si="467"/>
        <v>83022</v>
      </c>
      <c r="D6435" t="s">
        <v>394</v>
      </c>
      <c r="E6435" s="3">
        <v>24.54</v>
      </c>
      <c r="F6435">
        <v>20160526</v>
      </c>
      <c r="G6435" t="s">
        <v>3485</v>
      </c>
      <c r="H6435" t="s">
        <v>1618</v>
      </c>
      <c r="I6435">
        <v>0</v>
      </c>
      <c r="J6435" t="s">
        <v>1709</v>
      </c>
      <c r="K6435" t="s">
        <v>1558</v>
      </c>
      <c r="L6435" t="s">
        <v>285</v>
      </c>
      <c r="M6435" t="str">
        <f t="shared" si="465"/>
        <v>05</v>
      </c>
      <c r="N6435" t="s">
        <v>12</v>
      </c>
    </row>
    <row r="6436" spans="1:14" x14ac:dyDescent="0.25">
      <c r="A6436">
        <v>20160527</v>
      </c>
      <c r="B6436" t="str">
        <f t="shared" si="466"/>
        <v>063689</v>
      </c>
      <c r="C6436" t="str">
        <f t="shared" si="467"/>
        <v>83022</v>
      </c>
      <c r="D6436" t="s">
        <v>394</v>
      </c>
      <c r="E6436" s="3">
        <v>22.89</v>
      </c>
      <c r="F6436">
        <v>20160526</v>
      </c>
      <c r="G6436" t="s">
        <v>3726</v>
      </c>
      <c r="H6436" t="s">
        <v>5401</v>
      </c>
      <c r="I6436">
        <v>0</v>
      </c>
      <c r="J6436" t="s">
        <v>1709</v>
      </c>
      <c r="K6436" t="s">
        <v>95</v>
      </c>
      <c r="L6436" t="s">
        <v>285</v>
      </c>
      <c r="M6436" t="str">
        <f t="shared" si="465"/>
        <v>05</v>
      </c>
      <c r="N6436" t="s">
        <v>12</v>
      </c>
    </row>
    <row r="6437" spans="1:14" x14ac:dyDescent="0.25">
      <c r="A6437">
        <v>20160527</v>
      </c>
      <c r="B6437" t="str">
        <f t="shared" si="466"/>
        <v>063689</v>
      </c>
      <c r="C6437" t="str">
        <f t="shared" si="467"/>
        <v>83022</v>
      </c>
      <c r="D6437" t="s">
        <v>394</v>
      </c>
      <c r="E6437" s="3">
        <v>142.91999999999999</v>
      </c>
      <c r="F6437">
        <v>20160526</v>
      </c>
      <c r="G6437" t="s">
        <v>2317</v>
      </c>
      <c r="H6437" t="s">
        <v>2563</v>
      </c>
      <c r="I6437">
        <v>0</v>
      </c>
      <c r="J6437" t="s">
        <v>1709</v>
      </c>
      <c r="K6437" t="s">
        <v>290</v>
      </c>
      <c r="L6437" t="s">
        <v>285</v>
      </c>
      <c r="M6437" t="str">
        <f t="shared" si="465"/>
        <v>05</v>
      </c>
      <c r="N6437" t="s">
        <v>12</v>
      </c>
    </row>
    <row r="6438" spans="1:14" x14ac:dyDescent="0.25">
      <c r="A6438">
        <v>20160527</v>
      </c>
      <c r="B6438" t="str">
        <f t="shared" si="466"/>
        <v>063689</v>
      </c>
      <c r="C6438" t="str">
        <f t="shared" si="467"/>
        <v>83022</v>
      </c>
      <c r="D6438" t="s">
        <v>394</v>
      </c>
      <c r="E6438" s="3">
        <v>17.28</v>
      </c>
      <c r="F6438">
        <v>20160526</v>
      </c>
      <c r="G6438" t="s">
        <v>2317</v>
      </c>
      <c r="H6438" t="s">
        <v>5402</v>
      </c>
      <c r="I6438">
        <v>0</v>
      </c>
      <c r="J6438" t="s">
        <v>1709</v>
      </c>
      <c r="K6438" t="s">
        <v>290</v>
      </c>
      <c r="L6438" t="s">
        <v>285</v>
      </c>
      <c r="M6438" t="str">
        <f t="shared" si="465"/>
        <v>05</v>
      </c>
      <c r="N6438" t="s">
        <v>12</v>
      </c>
    </row>
    <row r="6439" spans="1:14" x14ac:dyDescent="0.25">
      <c r="A6439">
        <v>20160527</v>
      </c>
      <c r="B6439" t="str">
        <f t="shared" si="466"/>
        <v>063689</v>
      </c>
      <c r="C6439" t="str">
        <f t="shared" si="467"/>
        <v>83022</v>
      </c>
      <c r="D6439" t="s">
        <v>394</v>
      </c>
      <c r="E6439" s="3">
        <v>75.849999999999994</v>
      </c>
      <c r="F6439">
        <v>20160526</v>
      </c>
      <c r="G6439" t="s">
        <v>2317</v>
      </c>
      <c r="H6439" t="s">
        <v>2563</v>
      </c>
      <c r="I6439">
        <v>0</v>
      </c>
      <c r="J6439" t="s">
        <v>1709</v>
      </c>
      <c r="K6439" t="s">
        <v>290</v>
      </c>
      <c r="L6439" t="s">
        <v>285</v>
      </c>
      <c r="M6439" t="str">
        <f t="shared" si="465"/>
        <v>05</v>
      </c>
      <c r="N6439" t="s">
        <v>12</v>
      </c>
    </row>
    <row r="6440" spans="1:14" x14ac:dyDescent="0.25">
      <c r="A6440">
        <v>20160527</v>
      </c>
      <c r="B6440" t="str">
        <f t="shared" si="466"/>
        <v>063689</v>
      </c>
      <c r="C6440" t="str">
        <f t="shared" si="467"/>
        <v>83022</v>
      </c>
      <c r="D6440" t="s">
        <v>394</v>
      </c>
      <c r="E6440" s="3">
        <v>220.05</v>
      </c>
      <c r="F6440">
        <v>20160526</v>
      </c>
      <c r="G6440" t="s">
        <v>2317</v>
      </c>
      <c r="H6440" t="s">
        <v>5403</v>
      </c>
      <c r="I6440">
        <v>0</v>
      </c>
      <c r="J6440" t="s">
        <v>1709</v>
      </c>
      <c r="K6440" t="s">
        <v>290</v>
      </c>
      <c r="L6440" t="s">
        <v>285</v>
      </c>
      <c r="M6440" t="str">
        <f t="shared" si="465"/>
        <v>05</v>
      </c>
      <c r="N6440" t="s">
        <v>12</v>
      </c>
    </row>
    <row r="6441" spans="1:14" x14ac:dyDescent="0.25">
      <c r="A6441">
        <v>20160527</v>
      </c>
      <c r="B6441" t="str">
        <f t="shared" si="466"/>
        <v>063689</v>
      </c>
      <c r="C6441" t="str">
        <f t="shared" si="467"/>
        <v>83022</v>
      </c>
      <c r="D6441" t="s">
        <v>394</v>
      </c>
      <c r="E6441" s="3">
        <v>172.09</v>
      </c>
      <c r="F6441">
        <v>20160526</v>
      </c>
      <c r="G6441" t="s">
        <v>2529</v>
      </c>
      <c r="H6441" t="s">
        <v>5404</v>
      </c>
      <c r="I6441">
        <v>0</v>
      </c>
      <c r="J6441" t="s">
        <v>1709</v>
      </c>
      <c r="K6441" t="s">
        <v>95</v>
      </c>
      <c r="L6441" t="s">
        <v>285</v>
      </c>
      <c r="M6441" t="str">
        <f t="shared" si="465"/>
        <v>05</v>
      </c>
      <c r="N6441" t="s">
        <v>12</v>
      </c>
    </row>
    <row r="6442" spans="1:14" x14ac:dyDescent="0.25">
      <c r="A6442">
        <v>20160527</v>
      </c>
      <c r="B6442" t="str">
        <f t="shared" si="466"/>
        <v>063689</v>
      </c>
      <c r="C6442" t="str">
        <f t="shared" si="467"/>
        <v>83022</v>
      </c>
      <c r="D6442" t="s">
        <v>394</v>
      </c>
      <c r="E6442" s="3">
        <v>64</v>
      </c>
      <c r="F6442">
        <v>20160526</v>
      </c>
      <c r="G6442" t="s">
        <v>2153</v>
      </c>
      <c r="H6442" t="s">
        <v>5405</v>
      </c>
      <c r="I6442">
        <v>0</v>
      </c>
      <c r="J6442" t="s">
        <v>1709</v>
      </c>
      <c r="K6442" t="s">
        <v>290</v>
      </c>
      <c r="L6442" t="s">
        <v>285</v>
      </c>
      <c r="M6442" t="str">
        <f t="shared" si="465"/>
        <v>05</v>
      </c>
      <c r="N6442" t="s">
        <v>12</v>
      </c>
    </row>
    <row r="6443" spans="1:14" x14ac:dyDescent="0.25">
      <c r="A6443">
        <v>20160527</v>
      </c>
      <c r="B6443" t="str">
        <f t="shared" si="466"/>
        <v>063689</v>
      </c>
      <c r="C6443" t="str">
        <f t="shared" si="467"/>
        <v>83022</v>
      </c>
      <c r="D6443" t="s">
        <v>394</v>
      </c>
      <c r="E6443" s="3">
        <v>86.49</v>
      </c>
      <c r="F6443">
        <v>20160526</v>
      </c>
      <c r="G6443" t="s">
        <v>2789</v>
      </c>
      <c r="H6443" t="s">
        <v>5405</v>
      </c>
      <c r="I6443">
        <v>0</v>
      </c>
      <c r="J6443" t="s">
        <v>1709</v>
      </c>
      <c r="K6443" t="s">
        <v>290</v>
      </c>
      <c r="L6443" t="s">
        <v>285</v>
      </c>
      <c r="M6443" t="str">
        <f t="shared" si="465"/>
        <v>05</v>
      </c>
      <c r="N6443" t="s">
        <v>12</v>
      </c>
    </row>
    <row r="6444" spans="1:14" x14ac:dyDescent="0.25">
      <c r="A6444">
        <v>20160527</v>
      </c>
      <c r="B6444" t="str">
        <f t="shared" si="466"/>
        <v>063689</v>
      </c>
      <c r="C6444" t="str">
        <f t="shared" si="467"/>
        <v>83022</v>
      </c>
      <c r="D6444" t="s">
        <v>394</v>
      </c>
      <c r="E6444" s="3">
        <v>241</v>
      </c>
      <c r="F6444">
        <v>20160526</v>
      </c>
      <c r="G6444" t="s">
        <v>3393</v>
      </c>
      <c r="H6444" t="s">
        <v>5405</v>
      </c>
      <c r="I6444">
        <v>0</v>
      </c>
      <c r="J6444" t="s">
        <v>1709</v>
      </c>
      <c r="K6444" t="s">
        <v>290</v>
      </c>
      <c r="L6444" t="s">
        <v>285</v>
      </c>
      <c r="M6444" t="str">
        <f t="shared" si="465"/>
        <v>05</v>
      </c>
      <c r="N6444" t="s">
        <v>12</v>
      </c>
    </row>
    <row r="6445" spans="1:14" x14ac:dyDescent="0.25">
      <c r="A6445">
        <v>20160527</v>
      </c>
      <c r="B6445" t="str">
        <f t="shared" si="466"/>
        <v>063689</v>
      </c>
      <c r="C6445" t="str">
        <f t="shared" si="467"/>
        <v>83022</v>
      </c>
      <c r="D6445" t="s">
        <v>394</v>
      </c>
      <c r="E6445" s="3">
        <v>122.55</v>
      </c>
      <c r="F6445">
        <v>20160526</v>
      </c>
      <c r="G6445" t="s">
        <v>2333</v>
      </c>
      <c r="H6445" t="s">
        <v>5406</v>
      </c>
      <c r="I6445">
        <v>0</v>
      </c>
      <c r="J6445" t="s">
        <v>1709</v>
      </c>
      <c r="K6445" t="s">
        <v>290</v>
      </c>
      <c r="L6445" t="s">
        <v>285</v>
      </c>
      <c r="M6445" t="str">
        <f t="shared" si="465"/>
        <v>05</v>
      </c>
      <c r="N6445" t="s">
        <v>12</v>
      </c>
    </row>
    <row r="6446" spans="1:14" x14ac:dyDescent="0.25">
      <c r="A6446">
        <v>20160527</v>
      </c>
      <c r="B6446" t="str">
        <f t="shared" si="466"/>
        <v>063689</v>
      </c>
      <c r="C6446" t="str">
        <f t="shared" si="467"/>
        <v>83022</v>
      </c>
      <c r="D6446" t="s">
        <v>394</v>
      </c>
      <c r="E6446" s="3">
        <v>148.41999999999999</v>
      </c>
      <c r="F6446">
        <v>20160526</v>
      </c>
      <c r="G6446" t="s">
        <v>2333</v>
      </c>
      <c r="H6446" t="s">
        <v>2985</v>
      </c>
      <c r="I6446">
        <v>0</v>
      </c>
      <c r="J6446" t="s">
        <v>1709</v>
      </c>
      <c r="K6446" t="s">
        <v>290</v>
      </c>
      <c r="L6446" t="s">
        <v>285</v>
      </c>
      <c r="M6446" t="str">
        <f t="shared" si="465"/>
        <v>05</v>
      </c>
      <c r="N6446" t="s">
        <v>12</v>
      </c>
    </row>
    <row r="6447" spans="1:14" x14ac:dyDescent="0.25">
      <c r="A6447">
        <v>20160527</v>
      </c>
      <c r="B6447" t="str">
        <f t="shared" si="466"/>
        <v>063689</v>
      </c>
      <c r="C6447" t="str">
        <f t="shared" si="467"/>
        <v>83022</v>
      </c>
      <c r="D6447" t="s">
        <v>394</v>
      </c>
      <c r="E6447" s="3">
        <v>102.53</v>
      </c>
      <c r="F6447">
        <v>20160526</v>
      </c>
      <c r="G6447" t="s">
        <v>2791</v>
      </c>
      <c r="H6447" t="s">
        <v>2310</v>
      </c>
      <c r="I6447">
        <v>0</v>
      </c>
      <c r="J6447" t="s">
        <v>1709</v>
      </c>
      <c r="K6447" t="s">
        <v>290</v>
      </c>
      <c r="L6447" t="s">
        <v>285</v>
      </c>
      <c r="M6447" t="str">
        <f t="shared" si="465"/>
        <v>05</v>
      </c>
      <c r="N6447" t="s">
        <v>12</v>
      </c>
    </row>
    <row r="6448" spans="1:14" x14ac:dyDescent="0.25">
      <c r="A6448">
        <v>20160527</v>
      </c>
      <c r="B6448" t="str">
        <f t="shared" si="466"/>
        <v>063689</v>
      </c>
      <c r="C6448" t="str">
        <f t="shared" si="467"/>
        <v>83022</v>
      </c>
      <c r="D6448" t="s">
        <v>394</v>
      </c>
      <c r="E6448" s="3">
        <v>199</v>
      </c>
      <c r="F6448">
        <v>20160526</v>
      </c>
      <c r="G6448" t="s">
        <v>2791</v>
      </c>
      <c r="H6448" t="s">
        <v>2310</v>
      </c>
      <c r="I6448">
        <v>0</v>
      </c>
      <c r="J6448" t="s">
        <v>1709</v>
      </c>
      <c r="K6448" t="s">
        <v>290</v>
      </c>
      <c r="L6448" t="s">
        <v>285</v>
      </c>
      <c r="M6448" t="str">
        <f t="shared" si="465"/>
        <v>05</v>
      </c>
      <c r="N6448" t="s">
        <v>12</v>
      </c>
    </row>
    <row r="6449" spans="1:14" x14ac:dyDescent="0.25">
      <c r="A6449">
        <v>20160527</v>
      </c>
      <c r="B6449" t="str">
        <f t="shared" si="466"/>
        <v>063689</v>
      </c>
      <c r="C6449" t="str">
        <f t="shared" si="467"/>
        <v>83022</v>
      </c>
      <c r="D6449" t="s">
        <v>394</v>
      </c>
      <c r="E6449" s="3">
        <v>981.66</v>
      </c>
      <c r="F6449">
        <v>20160526</v>
      </c>
      <c r="G6449" t="s">
        <v>2792</v>
      </c>
      <c r="H6449" t="s">
        <v>3304</v>
      </c>
      <c r="I6449">
        <v>0</v>
      </c>
      <c r="J6449" t="s">
        <v>1709</v>
      </c>
      <c r="K6449" t="s">
        <v>33</v>
      </c>
      <c r="L6449" t="s">
        <v>285</v>
      </c>
      <c r="M6449" t="str">
        <f t="shared" si="465"/>
        <v>05</v>
      </c>
      <c r="N6449" t="s">
        <v>12</v>
      </c>
    </row>
    <row r="6450" spans="1:14" x14ac:dyDescent="0.25">
      <c r="A6450">
        <v>20160527</v>
      </c>
      <c r="B6450" t="str">
        <f t="shared" si="466"/>
        <v>063689</v>
      </c>
      <c r="C6450" t="str">
        <f t="shared" si="467"/>
        <v>83022</v>
      </c>
      <c r="D6450" t="s">
        <v>394</v>
      </c>
      <c r="E6450" s="3">
        <v>239.9</v>
      </c>
      <c r="F6450">
        <v>20160526</v>
      </c>
      <c r="G6450" t="s">
        <v>2792</v>
      </c>
      <c r="H6450" t="s">
        <v>3304</v>
      </c>
      <c r="I6450">
        <v>0</v>
      </c>
      <c r="J6450" t="s">
        <v>1709</v>
      </c>
      <c r="K6450" t="s">
        <v>33</v>
      </c>
      <c r="L6450" t="s">
        <v>285</v>
      </c>
      <c r="M6450" t="str">
        <f t="shared" si="465"/>
        <v>05</v>
      </c>
      <c r="N6450" t="s">
        <v>12</v>
      </c>
    </row>
    <row r="6451" spans="1:14" x14ac:dyDescent="0.25">
      <c r="A6451">
        <v>20160527</v>
      </c>
      <c r="B6451" t="str">
        <f t="shared" si="466"/>
        <v>063689</v>
      </c>
      <c r="C6451" t="str">
        <f t="shared" si="467"/>
        <v>83022</v>
      </c>
      <c r="D6451" t="s">
        <v>394</v>
      </c>
      <c r="E6451" s="3">
        <v>16.399999999999999</v>
      </c>
      <c r="F6451">
        <v>20160526</v>
      </c>
      <c r="G6451" t="s">
        <v>2795</v>
      </c>
      <c r="H6451" t="s">
        <v>5398</v>
      </c>
      <c r="I6451">
        <v>0</v>
      </c>
      <c r="J6451" t="s">
        <v>1709</v>
      </c>
      <c r="K6451" t="s">
        <v>95</v>
      </c>
      <c r="L6451" t="s">
        <v>285</v>
      </c>
      <c r="M6451" t="str">
        <f t="shared" si="465"/>
        <v>05</v>
      </c>
      <c r="N6451" t="s">
        <v>12</v>
      </c>
    </row>
    <row r="6452" spans="1:14" x14ac:dyDescent="0.25">
      <c r="A6452">
        <v>20160527</v>
      </c>
      <c r="B6452" t="str">
        <f t="shared" si="466"/>
        <v>063689</v>
      </c>
      <c r="C6452" t="str">
        <f t="shared" si="467"/>
        <v>83022</v>
      </c>
      <c r="D6452" t="s">
        <v>394</v>
      </c>
      <c r="E6452" s="3">
        <v>98.65</v>
      </c>
      <c r="F6452">
        <v>20160526</v>
      </c>
      <c r="G6452" t="s">
        <v>2565</v>
      </c>
      <c r="H6452" t="s">
        <v>5407</v>
      </c>
      <c r="I6452">
        <v>0</v>
      </c>
      <c r="J6452" t="s">
        <v>1709</v>
      </c>
      <c r="K6452" t="s">
        <v>1558</v>
      </c>
      <c r="L6452" t="s">
        <v>285</v>
      </c>
      <c r="M6452" t="str">
        <f t="shared" si="465"/>
        <v>05</v>
      </c>
      <c r="N6452" t="s">
        <v>12</v>
      </c>
    </row>
    <row r="6453" spans="1:14" x14ac:dyDescent="0.25">
      <c r="A6453">
        <v>20160527</v>
      </c>
      <c r="B6453" t="str">
        <f t="shared" si="466"/>
        <v>063689</v>
      </c>
      <c r="C6453" t="str">
        <f t="shared" si="467"/>
        <v>83022</v>
      </c>
      <c r="D6453" t="s">
        <v>394</v>
      </c>
      <c r="E6453" s="3">
        <v>23.48</v>
      </c>
      <c r="F6453">
        <v>20160526</v>
      </c>
      <c r="G6453" t="s">
        <v>2162</v>
      </c>
      <c r="H6453" t="s">
        <v>2173</v>
      </c>
      <c r="I6453">
        <v>0</v>
      </c>
      <c r="J6453" t="s">
        <v>1709</v>
      </c>
      <c r="K6453" t="s">
        <v>1643</v>
      </c>
      <c r="L6453" t="s">
        <v>285</v>
      </c>
      <c r="M6453" t="str">
        <f t="shared" si="465"/>
        <v>05</v>
      </c>
      <c r="N6453" t="s">
        <v>12</v>
      </c>
    </row>
    <row r="6454" spans="1:14" x14ac:dyDescent="0.25">
      <c r="A6454">
        <v>20160527</v>
      </c>
      <c r="B6454" t="str">
        <f t="shared" si="466"/>
        <v>063689</v>
      </c>
      <c r="C6454" t="str">
        <f t="shared" si="467"/>
        <v>83022</v>
      </c>
      <c r="D6454" t="s">
        <v>394</v>
      </c>
      <c r="E6454" s="3">
        <v>20.71</v>
      </c>
      <c r="F6454">
        <v>20160526</v>
      </c>
      <c r="G6454" t="s">
        <v>2162</v>
      </c>
      <c r="H6454" t="s">
        <v>2173</v>
      </c>
      <c r="I6454">
        <v>0</v>
      </c>
      <c r="J6454" t="s">
        <v>1709</v>
      </c>
      <c r="K6454" t="s">
        <v>1643</v>
      </c>
      <c r="L6454" t="s">
        <v>285</v>
      </c>
      <c r="M6454" t="str">
        <f t="shared" si="465"/>
        <v>05</v>
      </c>
      <c r="N6454" t="s">
        <v>12</v>
      </c>
    </row>
    <row r="6455" spans="1:14" x14ac:dyDescent="0.25">
      <c r="A6455">
        <v>20160527</v>
      </c>
      <c r="B6455" t="str">
        <f t="shared" si="466"/>
        <v>063689</v>
      </c>
      <c r="C6455" t="str">
        <f t="shared" si="467"/>
        <v>83022</v>
      </c>
      <c r="D6455" t="s">
        <v>394</v>
      </c>
      <c r="E6455" s="3">
        <v>20</v>
      </c>
      <c r="F6455">
        <v>20160526</v>
      </c>
      <c r="G6455" t="s">
        <v>3114</v>
      </c>
      <c r="H6455" t="s">
        <v>5408</v>
      </c>
      <c r="I6455">
        <v>0</v>
      </c>
      <c r="J6455" t="s">
        <v>1709</v>
      </c>
      <c r="K6455" t="s">
        <v>33</v>
      </c>
      <c r="L6455" t="s">
        <v>285</v>
      </c>
      <c r="M6455" t="str">
        <f t="shared" si="465"/>
        <v>05</v>
      </c>
      <c r="N6455" t="s">
        <v>12</v>
      </c>
    </row>
    <row r="6456" spans="1:14" x14ac:dyDescent="0.25">
      <c r="A6456">
        <v>20160527</v>
      </c>
      <c r="B6456" t="str">
        <f t="shared" si="466"/>
        <v>063689</v>
      </c>
      <c r="C6456" t="str">
        <f t="shared" si="467"/>
        <v>83022</v>
      </c>
      <c r="D6456" t="s">
        <v>394</v>
      </c>
      <c r="E6456" s="3">
        <v>253.45</v>
      </c>
      <c r="F6456">
        <v>20160526</v>
      </c>
      <c r="G6456" t="s">
        <v>2172</v>
      </c>
      <c r="H6456" t="s">
        <v>595</v>
      </c>
      <c r="I6456">
        <v>0</v>
      </c>
      <c r="J6456" t="s">
        <v>1709</v>
      </c>
      <c r="K6456" t="s">
        <v>95</v>
      </c>
      <c r="L6456" t="s">
        <v>285</v>
      </c>
      <c r="M6456" t="str">
        <f t="shared" si="465"/>
        <v>05</v>
      </c>
      <c r="N6456" t="s">
        <v>12</v>
      </c>
    </row>
    <row r="6457" spans="1:14" x14ac:dyDescent="0.25">
      <c r="A6457">
        <v>20160527</v>
      </c>
      <c r="B6457" t="str">
        <f t="shared" si="466"/>
        <v>063689</v>
      </c>
      <c r="C6457" t="str">
        <f t="shared" si="467"/>
        <v>83022</v>
      </c>
      <c r="D6457" t="s">
        <v>394</v>
      </c>
      <c r="E6457" s="3">
        <v>331.06</v>
      </c>
      <c r="F6457">
        <v>20160526</v>
      </c>
      <c r="G6457" t="s">
        <v>2172</v>
      </c>
      <c r="H6457" t="s">
        <v>2173</v>
      </c>
      <c r="I6457">
        <v>0</v>
      </c>
      <c r="J6457" t="s">
        <v>1709</v>
      </c>
      <c r="K6457" t="s">
        <v>95</v>
      </c>
      <c r="L6457" t="s">
        <v>285</v>
      </c>
      <c r="M6457" t="str">
        <f t="shared" si="465"/>
        <v>05</v>
      </c>
      <c r="N6457" t="s">
        <v>12</v>
      </c>
    </row>
    <row r="6458" spans="1:14" x14ac:dyDescent="0.25">
      <c r="A6458">
        <v>20160527</v>
      </c>
      <c r="B6458" t="str">
        <f t="shared" si="466"/>
        <v>063689</v>
      </c>
      <c r="C6458" t="str">
        <f t="shared" si="467"/>
        <v>83022</v>
      </c>
      <c r="D6458" t="s">
        <v>394</v>
      </c>
      <c r="E6458" s="3">
        <v>171.78</v>
      </c>
      <c r="F6458">
        <v>20160526</v>
      </c>
      <c r="G6458" t="s">
        <v>2172</v>
      </c>
      <c r="H6458" t="s">
        <v>2173</v>
      </c>
      <c r="I6458">
        <v>0</v>
      </c>
      <c r="J6458" t="s">
        <v>1709</v>
      </c>
      <c r="K6458" t="s">
        <v>95</v>
      </c>
      <c r="L6458" t="s">
        <v>285</v>
      </c>
      <c r="M6458" t="str">
        <f t="shared" si="465"/>
        <v>05</v>
      </c>
      <c r="N6458" t="s">
        <v>12</v>
      </c>
    </row>
    <row r="6459" spans="1:14" x14ac:dyDescent="0.25">
      <c r="A6459">
        <v>20160527</v>
      </c>
      <c r="B6459" t="str">
        <f t="shared" si="466"/>
        <v>063689</v>
      </c>
      <c r="C6459" t="str">
        <f t="shared" si="467"/>
        <v>83022</v>
      </c>
      <c r="D6459" t="s">
        <v>394</v>
      </c>
      <c r="E6459" s="3">
        <v>200.9</v>
      </c>
      <c r="F6459">
        <v>20160526</v>
      </c>
      <c r="G6459" t="s">
        <v>2172</v>
      </c>
      <c r="H6459" t="s">
        <v>2173</v>
      </c>
      <c r="I6459">
        <v>0</v>
      </c>
      <c r="J6459" t="s">
        <v>1709</v>
      </c>
      <c r="K6459" t="s">
        <v>95</v>
      </c>
      <c r="L6459" t="s">
        <v>285</v>
      </c>
      <c r="M6459" t="str">
        <f t="shared" si="465"/>
        <v>05</v>
      </c>
      <c r="N6459" t="s">
        <v>12</v>
      </c>
    </row>
    <row r="6460" spans="1:14" x14ac:dyDescent="0.25">
      <c r="A6460">
        <v>20160527</v>
      </c>
      <c r="B6460" t="str">
        <f t="shared" si="466"/>
        <v>063689</v>
      </c>
      <c r="C6460" t="str">
        <f t="shared" si="467"/>
        <v>83022</v>
      </c>
      <c r="D6460" t="s">
        <v>394</v>
      </c>
      <c r="E6460" s="3">
        <v>34.799999999999997</v>
      </c>
      <c r="F6460">
        <v>20160526</v>
      </c>
      <c r="G6460" t="s">
        <v>5409</v>
      </c>
      <c r="H6460" t="s">
        <v>5410</v>
      </c>
      <c r="I6460">
        <v>0</v>
      </c>
      <c r="J6460" t="s">
        <v>1709</v>
      </c>
      <c r="K6460" t="s">
        <v>33</v>
      </c>
      <c r="L6460" t="s">
        <v>285</v>
      </c>
      <c r="M6460" t="str">
        <f t="shared" si="465"/>
        <v>05</v>
      </c>
      <c r="N6460" t="s">
        <v>12</v>
      </c>
    </row>
    <row r="6461" spans="1:14" x14ac:dyDescent="0.25">
      <c r="A6461">
        <v>20160527</v>
      </c>
      <c r="B6461" t="str">
        <f t="shared" si="466"/>
        <v>063689</v>
      </c>
      <c r="C6461" t="str">
        <f t="shared" si="467"/>
        <v>83022</v>
      </c>
      <c r="D6461" t="s">
        <v>394</v>
      </c>
      <c r="E6461" s="3">
        <v>22.94</v>
      </c>
      <c r="F6461">
        <v>20160526</v>
      </c>
      <c r="G6461" t="s">
        <v>2767</v>
      </c>
      <c r="H6461" t="s">
        <v>2023</v>
      </c>
      <c r="I6461">
        <v>0</v>
      </c>
      <c r="J6461" t="s">
        <v>1709</v>
      </c>
      <c r="K6461" t="s">
        <v>95</v>
      </c>
      <c r="L6461" t="s">
        <v>285</v>
      </c>
      <c r="M6461" t="str">
        <f t="shared" si="465"/>
        <v>05</v>
      </c>
      <c r="N6461" t="s">
        <v>12</v>
      </c>
    </row>
    <row r="6462" spans="1:14" x14ac:dyDescent="0.25">
      <c r="A6462">
        <v>20160527</v>
      </c>
      <c r="B6462" t="str">
        <f>"063690"</f>
        <v>063690</v>
      </c>
      <c r="C6462" t="str">
        <f>"74149"</f>
        <v>74149</v>
      </c>
      <c r="D6462" t="s">
        <v>5411</v>
      </c>
      <c r="E6462" s="3">
        <v>258</v>
      </c>
      <c r="F6462">
        <v>20160526</v>
      </c>
      <c r="G6462" t="s">
        <v>2995</v>
      </c>
      <c r="H6462" t="s">
        <v>5412</v>
      </c>
      <c r="I6462">
        <v>0</v>
      </c>
      <c r="J6462" t="s">
        <v>1709</v>
      </c>
      <c r="K6462" t="s">
        <v>2194</v>
      </c>
      <c r="L6462" t="s">
        <v>285</v>
      </c>
      <c r="M6462" t="str">
        <f t="shared" si="465"/>
        <v>05</v>
      </c>
      <c r="N6462" t="s">
        <v>12</v>
      </c>
    </row>
    <row r="6463" spans="1:14" x14ac:dyDescent="0.25">
      <c r="A6463">
        <v>20160527</v>
      </c>
      <c r="B6463" t="str">
        <f>"063692"</f>
        <v>063692</v>
      </c>
      <c r="C6463" t="str">
        <f>"84593"</f>
        <v>84593</v>
      </c>
      <c r="D6463" t="s">
        <v>2174</v>
      </c>
      <c r="E6463" s="3">
        <v>407.16</v>
      </c>
      <c r="F6463">
        <v>20160526</v>
      </c>
      <c r="G6463" t="s">
        <v>5413</v>
      </c>
      <c r="H6463" t="s">
        <v>5412</v>
      </c>
      <c r="I6463">
        <v>0</v>
      </c>
      <c r="J6463" t="s">
        <v>1709</v>
      </c>
      <c r="K6463" t="s">
        <v>33</v>
      </c>
      <c r="L6463" t="s">
        <v>285</v>
      </c>
      <c r="M6463" t="str">
        <f t="shared" si="465"/>
        <v>05</v>
      </c>
      <c r="N6463" t="s">
        <v>12</v>
      </c>
    </row>
    <row r="6464" spans="1:14" x14ac:dyDescent="0.25">
      <c r="A6464">
        <v>20160527</v>
      </c>
      <c r="B6464" t="str">
        <f>"063692"</f>
        <v>063692</v>
      </c>
      <c r="C6464" t="str">
        <f>"84593"</f>
        <v>84593</v>
      </c>
      <c r="D6464" t="s">
        <v>2174</v>
      </c>
      <c r="E6464" s="3">
        <v>305.64</v>
      </c>
      <c r="F6464">
        <v>20160526</v>
      </c>
      <c r="G6464" t="s">
        <v>5349</v>
      </c>
      <c r="H6464" t="s">
        <v>2175</v>
      </c>
      <c r="I6464">
        <v>0</v>
      </c>
      <c r="J6464" t="s">
        <v>1709</v>
      </c>
      <c r="K6464" t="s">
        <v>33</v>
      </c>
      <c r="L6464" t="s">
        <v>285</v>
      </c>
      <c r="M6464" t="str">
        <f t="shared" si="465"/>
        <v>05</v>
      </c>
      <c r="N6464" t="s">
        <v>12</v>
      </c>
    </row>
    <row r="6465" spans="1:14" x14ac:dyDescent="0.25">
      <c r="A6465">
        <v>20160610</v>
      </c>
      <c r="B6465" t="str">
        <f>"063694"</f>
        <v>063694</v>
      </c>
      <c r="C6465" t="str">
        <f>"03710"</f>
        <v>03710</v>
      </c>
      <c r="D6465" t="s">
        <v>1553</v>
      </c>
      <c r="E6465" s="3">
        <v>13.6</v>
      </c>
      <c r="F6465">
        <v>20160607</v>
      </c>
      <c r="G6465" t="s">
        <v>2303</v>
      </c>
      <c r="H6465" t="s">
        <v>5414</v>
      </c>
      <c r="I6465">
        <v>0</v>
      </c>
      <c r="J6465" t="s">
        <v>1709</v>
      </c>
      <c r="K6465" t="s">
        <v>235</v>
      </c>
      <c r="L6465" t="s">
        <v>285</v>
      </c>
      <c r="M6465" t="str">
        <f t="shared" ref="M6465:M6528" si="468">"06"</f>
        <v>06</v>
      </c>
      <c r="N6465" t="s">
        <v>12</v>
      </c>
    </row>
    <row r="6466" spans="1:14" x14ac:dyDescent="0.25">
      <c r="A6466">
        <v>20160610</v>
      </c>
      <c r="B6466" t="str">
        <f>"063694"</f>
        <v>063694</v>
      </c>
      <c r="C6466" t="str">
        <f>"03710"</f>
        <v>03710</v>
      </c>
      <c r="D6466" t="s">
        <v>1553</v>
      </c>
      <c r="E6466" s="3">
        <v>28</v>
      </c>
      <c r="F6466">
        <v>20160607</v>
      </c>
      <c r="G6466" t="s">
        <v>2303</v>
      </c>
      <c r="H6466" t="s">
        <v>2786</v>
      </c>
      <c r="I6466">
        <v>0</v>
      </c>
      <c r="J6466" t="s">
        <v>1709</v>
      </c>
      <c r="K6466" t="s">
        <v>235</v>
      </c>
      <c r="L6466" t="s">
        <v>285</v>
      </c>
      <c r="M6466" t="str">
        <f t="shared" si="468"/>
        <v>06</v>
      </c>
      <c r="N6466" t="s">
        <v>12</v>
      </c>
    </row>
    <row r="6467" spans="1:14" x14ac:dyDescent="0.25">
      <c r="A6467">
        <v>20160610</v>
      </c>
      <c r="B6467" t="str">
        <f>"063694"</f>
        <v>063694</v>
      </c>
      <c r="C6467" t="str">
        <f>"03710"</f>
        <v>03710</v>
      </c>
      <c r="D6467" t="s">
        <v>1553</v>
      </c>
      <c r="E6467" s="3">
        <v>46.81</v>
      </c>
      <c r="F6467">
        <v>20160607</v>
      </c>
      <c r="G6467" t="s">
        <v>2762</v>
      </c>
      <c r="H6467" t="s">
        <v>5415</v>
      </c>
      <c r="I6467">
        <v>0</v>
      </c>
      <c r="J6467" t="s">
        <v>1709</v>
      </c>
      <c r="K6467" t="s">
        <v>2764</v>
      </c>
      <c r="L6467" t="s">
        <v>285</v>
      </c>
      <c r="M6467" t="str">
        <f t="shared" si="468"/>
        <v>06</v>
      </c>
      <c r="N6467" t="s">
        <v>12</v>
      </c>
    </row>
    <row r="6468" spans="1:14" x14ac:dyDescent="0.25">
      <c r="A6468">
        <v>20160610</v>
      </c>
      <c r="B6468" t="str">
        <f>"063695"</f>
        <v>063695</v>
      </c>
      <c r="C6468" t="str">
        <f>"01196"</f>
        <v>01196</v>
      </c>
      <c r="D6468" t="s">
        <v>2421</v>
      </c>
      <c r="E6468" s="3">
        <v>21.38</v>
      </c>
      <c r="F6468">
        <v>20160607</v>
      </c>
      <c r="G6468" t="s">
        <v>2422</v>
      </c>
      <c r="H6468" t="s">
        <v>2423</v>
      </c>
      <c r="I6468">
        <v>0</v>
      </c>
      <c r="J6468" t="s">
        <v>1709</v>
      </c>
      <c r="K6468" t="s">
        <v>290</v>
      </c>
      <c r="L6468" t="s">
        <v>285</v>
      </c>
      <c r="M6468" t="str">
        <f t="shared" si="468"/>
        <v>06</v>
      </c>
      <c r="N6468" t="s">
        <v>12</v>
      </c>
    </row>
    <row r="6469" spans="1:14" x14ac:dyDescent="0.25">
      <c r="A6469">
        <v>20160610</v>
      </c>
      <c r="B6469" t="str">
        <f>"063695"</f>
        <v>063695</v>
      </c>
      <c r="C6469" t="str">
        <f>"01196"</f>
        <v>01196</v>
      </c>
      <c r="D6469" t="s">
        <v>2421</v>
      </c>
      <c r="E6469" s="3">
        <v>51.96</v>
      </c>
      <c r="F6469">
        <v>20160607</v>
      </c>
      <c r="G6469" t="s">
        <v>2422</v>
      </c>
      <c r="H6469" t="s">
        <v>2423</v>
      </c>
      <c r="I6469">
        <v>0</v>
      </c>
      <c r="J6469" t="s">
        <v>1709</v>
      </c>
      <c r="K6469" t="s">
        <v>290</v>
      </c>
      <c r="L6469" t="s">
        <v>285</v>
      </c>
      <c r="M6469" t="str">
        <f t="shared" si="468"/>
        <v>06</v>
      </c>
      <c r="N6469" t="s">
        <v>12</v>
      </c>
    </row>
    <row r="6470" spans="1:14" x14ac:dyDescent="0.25">
      <c r="A6470">
        <v>20160610</v>
      </c>
      <c r="B6470" t="str">
        <f>"063696"</f>
        <v>063696</v>
      </c>
      <c r="C6470" t="str">
        <f>"00314"</f>
        <v>00314</v>
      </c>
      <c r="D6470" t="s">
        <v>2607</v>
      </c>
      <c r="E6470" s="3">
        <v>155.94</v>
      </c>
      <c r="F6470">
        <v>20160607</v>
      </c>
      <c r="G6470" t="s">
        <v>3476</v>
      </c>
      <c r="H6470" t="s">
        <v>4059</v>
      </c>
      <c r="I6470">
        <v>0</v>
      </c>
      <c r="J6470" t="s">
        <v>1709</v>
      </c>
      <c r="K6470" t="s">
        <v>290</v>
      </c>
      <c r="L6470" t="s">
        <v>285</v>
      </c>
      <c r="M6470" t="str">
        <f t="shared" si="468"/>
        <v>06</v>
      </c>
      <c r="N6470" t="s">
        <v>12</v>
      </c>
    </row>
    <row r="6471" spans="1:14" x14ac:dyDescent="0.25">
      <c r="A6471">
        <v>20160610</v>
      </c>
      <c r="B6471" t="str">
        <f>"063697"</f>
        <v>063697</v>
      </c>
      <c r="C6471" t="str">
        <f>"00303"</f>
        <v>00303</v>
      </c>
      <c r="D6471" t="s">
        <v>5416</v>
      </c>
      <c r="E6471" s="3">
        <v>148.47999999999999</v>
      </c>
      <c r="F6471">
        <v>20160607</v>
      </c>
      <c r="G6471" t="s">
        <v>3850</v>
      </c>
      <c r="H6471" t="s">
        <v>5417</v>
      </c>
      <c r="I6471">
        <v>0</v>
      </c>
      <c r="J6471" t="s">
        <v>1709</v>
      </c>
      <c r="K6471" t="s">
        <v>2194</v>
      </c>
      <c r="L6471" t="s">
        <v>285</v>
      </c>
      <c r="M6471" t="str">
        <f t="shared" si="468"/>
        <v>06</v>
      </c>
      <c r="N6471" t="s">
        <v>12</v>
      </c>
    </row>
    <row r="6472" spans="1:14" x14ac:dyDescent="0.25">
      <c r="A6472">
        <v>20160610</v>
      </c>
      <c r="B6472" t="str">
        <f t="shared" ref="B6472:B6477" si="469">"063698"</f>
        <v>063698</v>
      </c>
      <c r="C6472" t="str">
        <f t="shared" ref="C6472:C6477" si="470">"00306"</f>
        <v>00306</v>
      </c>
      <c r="D6472" t="s">
        <v>2609</v>
      </c>
      <c r="E6472" s="3">
        <v>154.22999999999999</v>
      </c>
      <c r="F6472">
        <v>20160607</v>
      </c>
      <c r="G6472" t="s">
        <v>2610</v>
      </c>
      <c r="H6472" t="s">
        <v>5418</v>
      </c>
      <c r="I6472">
        <v>0</v>
      </c>
      <c r="J6472" t="s">
        <v>1709</v>
      </c>
      <c r="K6472" t="s">
        <v>1861</v>
      </c>
      <c r="L6472" t="s">
        <v>285</v>
      </c>
      <c r="M6472" t="str">
        <f t="shared" si="468"/>
        <v>06</v>
      </c>
      <c r="N6472" t="s">
        <v>12</v>
      </c>
    </row>
    <row r="6473" spans="1:14" x14ac:dyDescent="0.25">
      <c r="A6473">
        <v>20160610</v>
      </c>
      <c r="B6473" t="str">
        <f t="shared" si="469"/>
        <v>063698</v>
      </c>
      <c r="C6473" t="str">
        <f t="shared" si="470"/>
        <v>00306</v>
      </c>
      <c r="D6473" t="s">
        <v>2609</v>
      </c>
      <c r="E6473" s="3">
        <v>119.79</v>
      </c>
      <c r="F6473">
        <v>20160607</v>
      </c>
      <c r="G6473" t="s">
        <v>2610</v>
      </c>
      <c r="H6473" t="s">
        <v>5419</v>
      </c>
      <c r="I6473">
        <v>0</v>
      </c>
      <c r="J6473" t="s">
        <v>1709</v>
      </c>
      <c r="K6473" t="s">
        <v>1861</v>
      </c>
      <c r="L6473" t="s">
        <v>285</v>
      </c>
      <c r="M6473" t="str">
        <f t="shared" si="468"/>
        <v>06</v>
      </c>
      <c r="N6473" t="s">
        <v>12</v>
      </c>
    </row>
    <row r="6474" spans="1:14" x14ac:dyDescent="0.25">
      <c r="A6474">
        <v>20160610</v>
      </c>
      <c r="B6474" t="str">
        <f t="shared" si="469"/>
        <v>063698</v>
      </c>
      <c r="C6474" t="str">
        <f t="shared" si="470"/>
        <v>00306</v>
      </c>
      <c r="D6474" t="s">
        <v>2609</v>
      </c>
      <c r="E6474" s="3">
        <v>87.08</v>
      </c>
      <c r="F6474">
        <v>20160607</v>
      </c>
      <c r="G6474" t="s">
        <v>2610</v>
      </c>
      <c r="H6474" t="s">
        <v>5420</v>
      </c>
      <c r="I6474">
        <v>0</v>
      </c>
      <c r="J6474" t="s">
        <v>1709</v>
      </c>
      <c r="K6474" t="s">
        <v>1861</v>
      </c>
      <c r="L6474" t="s">
        <v>285</v>
      </c>
      <c r="M6474" t="str">
        <f t="shared" si="468"/>
        <v>06</v>
      </c>
      <c r="N6474" t="s">
        <v>12</v>
      </c>
    </row>
    <row r="6475" spans="1:14" x14ac:dyDescent="0.25">
      <c r="A6475">
        <v>20160610</v>
      </c>
      <c r="B6475" t="str">
        <f t="shared" si="469"/>
        <v>063698</v>
      </c>
      <c r="C6475" t="str">
        <f t="shared" si="470"/>
        <v>00306</v>
      </c>
      <c r="D6475" t="s">
        <v>2609</v>
      </c>
      <c r="E6475" s="3">
        <v>375.78</v>
      </c>
      <c r="F6475">
        <v>20160607</v>
      </c>
      <c r="G6475" t="s">
        <v>2610</v>
      </c>
      <c r="H6475" t="s">
        <v>5421</v>
      </c>
      <c r="I6475">
        <v>0</v>
      </c>
      <c r="J6475" t="s">
        <v>1709</v>
      </c>
      <c r="K6475" t="s">
        <v>1861</v>
      </c>
      <c r="L6475" t="s">
        <v>285</v>
      </c>
      <c r="M6475" t="str">
        <f t="shared" si="468"/>
        <v>06</v>
      </c>
      <c r="N6475" t="s">
        <v>12</v>
      </c>
    </row>
    <row r="6476" spans="1:14" x14ac:dyDescent="0.25">
      <c r="A6476">
        <v>20160610</v>
      </c>
      <c r="B6476" t="str">
        <f t="shared" si="469"/>
        <v>063698</v>
      </c>
      <c r="C6476" t="str">
        <f t="shared" si="470"/>
        <v>00306</v>
      </c>
      <c r="D6476" t="s">
        <v>2609</v>
      </c>
      <c r="E6476" s="3">
        <v>78.540000000000006</v>
      </c>
      <c r="F6476">
        <v>20160607</v>
      </c>
      <c r="G6476" t="s">
        <v>2610</v>
      </c>
      <c r="H6476" t="s">
        <v>5422</v>
      </c>
      <c r="I6476">
        <v>0</v>
      </c>
      <c r="J6476" t="s">
        <v>1709</v>
      </c>
      <c r="K6476" t="s">
        <v>1861</v>
      </c>
      <c r="L6476" t="s">
        <v>285</v>
      </c>
      <c r="M6476" t="str">
        <f t="shared" si="468"/>
        <v>06</v>
      </c>
      <c r="N6476" t="s">
        <v>12</v>
      </c>
    </row>
    <row r="6477" spans="1:14" x14ac:dyDescent="0.25">
      <c r="A6477">
        <v>20160610</v>
      </c>
      <c r="B6477" t="str">
        <f t="shared" si="469"/>
        <v>063698</v>
      </c>
      <c r="C6477" t="str">
        <f t="shared" si="470"/>
        <v>00306</v>
      </c>
      <c r="D6477" t="s">
        <v>2609</v>
      </c>
      <c r="E6477" s="3">
        <v>3939.94</v>
      </c>
      <c r="F6477">
        <v>20160607</v>
      </c>
      <c r="G6477" t="s">
        <v>2610</v>
      </c>
      <c r="H6477" t="s">
        <v>5423</v>
      </c>
      <c r="I6477">
        <v>0</v>
      </c>
      <c r="J6477" t="s">
        <v>1709</v>
      </c>
      <c r="K6477" t="s">
        <v>1861</v>
      </c>
      <c r="L6477" t="s">
        <v>285</v>
      </c>
      <c r="M6477" t="str">
        <f t="shared" si="468"/>
        <v>06</v>
      </c>
      <c r="N6477" t="s">
        <v>12</v>
      </c>
    </row>
    <row r="6478" spans="1:14" x14ac:dyDescent="0.25">
      <c r="A6478">
        <v>20160610</v>
      </c>
      <c r="B6478" t="str">
        <f>"063700"</f>
        <v>063700</v>
      </c>
      <c r="C6478" t="str">
        <f>"03829"</f>
        <v>03829</v>
      </c>
      <c r="D6478" t="s">
        <v>1808</v>
      </c>
      <c r="E6478" s="3">
        <v>326.5</v>
      </c>
      <c r="F6478">
        <v>20160607</v>
      </c>
      <c r="G6478" t="s">
        <v>2427</v>
      </c>
      <c r="H6478" t="s">
        <v>5424</v>
      </c>
      <c r="I6478">
        <v>0</v>
      </c>
      <c r="J6478" t="s">
        <v>1709</v>
      </c>
      <c r="K6478" t="s">
        <v>1861</v>
      </c>
      <c r="L6478" t="s">
        <v>285</v>
      </c>
      <c r="M6478" t="str">
        <f t="shared" si="468"/>
        <v>06</v>
      </c>
      <c r="N6478" t="s">
        <v>12</v>
      </c>
    </row>
    <row r="6479" spans="1:14" x14ac:dyDescent="0.25">
      <c r="A6479">
        <v>20160610</v>
      </c>
      <c r="B6479" t="str">
        <f>"063700"</f>
        <v>063700</v>
      </c>
      <c r="C6479" t="str">
        <f>"03829"</f>
        <v>03829</v>
      </c>
      <c r="D6479" t="s">
        <v>1808</v>
      </c>
      <c r="E6479" s="3">
        <v>409.15</v>
      </c>
      <c r="F6479">
        <v>20160607</v>
      </c>
      <c r="G6479" t="s">
        <v>2427</v>
      </c>
      <c r="H6479" t="s">
        <v>5425</v>
      </c>
      <c r="I6479">
        <v>0</v>
      </c>
      <c r="J6479" t="s">
        <v>1709</v>
      </c>
      <c r="K6479" t="s">
        <v>1861</v>
      </c>
      <c r="L6479" t="s">
        <v>285</v>
      </c>
      <c r="M6479" t="str">
        <f t="shared" si="468"/>
        <v>06</v>
      </c>
      <c r="N6479" t="s">
        <v>12</v>
      </c>
    </row>
    <row r="6480" spans="1:14" x14ac:dyDescent="0.25">
      <c r="A6480">
        <v>20160610</v>
      </c>
      <c r="B6480" t="str">
        <f>"063700"</f>
        <v>063700</v>
      </c>
      <c r="C6480" t="str">
        <f>"03829"</f>
        <v>03829</v>
      </c>
      <c r="D6480" t="s">
        <v>1808</v>
      </c>
      <c r="E6480" s="3">
        <v>743.83</v>
      </c>
      <c r="F6480">
        <v>20160607</v>
      </c>
      <c r="G6480" t="s">
        <v>2427</v>
      </c>
      <c r="H6480" t="s">
        <v>5424</v>
      </c>
      <c r="I6480">
        <v>0</v>
      </c>
      <c r="J6480" t="s">
        <v>1709</v>
      </c>
      <c r="K6480" t="s">
        <v>1861</v>
      </c>
      <c r="L6480" t="s">
        <v>285</v>
      </c>
      <c r="M6480" t="str">
        <f t="shared" si="468"/>
        <v>06</v>
      </c>
      <c r="N6480" t="s">
        <v>12</v>
      </c>
    </row>
    <row r="6481" spans="1:14" x14ac:dyDescent="0.25">
      <c r="A6481">
        <v>20160610</v>
      </c>
      <c r="B6481" t="str">
        <f>"063701"</f>
        <v>063701</v>
      </c>
      <c r="C6481" t="str">
        <f>"04240"</f>
        <v>04240</v>
      </c>
      <c r="D6481" t="s">
        <v>2432</v>
      </c>
      <c r="E6481" s="3">
        <v>84.95</v>
      </c>
      <c r="F6481">
        <v>20160607</v>
      </c>
      <c r="G6481" t="s">
        <v>3013</v>
      </c>
      <c r="H6481" t="s">
        <v>5426</v>
      </c>
      <c r="I6481">
        <v>0</v>
      </c>
      <c r="J6481" t="s">
        <v>1709</v>
      </c>
      <c r="K6481" t="s">
        <v>1984</v>
      </c>
      <c r="L6481" t="s">
        <v>285</v>
      </c>
      <c r="M6481" t="str">
        <f t="shared" si="468"/>
        <v>06</v>
      </c>
      <c r="N6481" t="s">
        <v>12</v>
      </c>
    </row>
    <row r="6482" spans="1:14" x14ac:dyDescent="0.25">
      <c r="A6482">
        <v>20160610</v>
      </c>
      <c r="B6482" t="str">
        <f>"063703"</f>
        <v>063703</v>
      </c>
      <c r="C6482" t="str">
        <f>"06267"</f>
        <v>06267</v>
      </c>
      <c r="D6482" t="s">
        <v>1948</v>
      </c>
      <c r="E6482" s="3">
        <v>973.08</v>
      </c>
      <c r="F6482">
        <v>20160607</v>
      </c>
      <c r="G6482" t="s">
        <v>1854</v>
      </c>
      <c r="H6482" t="s">
        <v>5427</v>
      </c>
      <c r="I6482">
        <v>0</v>
      </c>
      <c r="J6482" t="s">
        <v>1709</v>
      </c>
      <c r="K6482" t="s">
        <v>1856</v>
      </c>
      <c r="L6482" t="s">
        <v>285</v>
      </c>
      <c r="M6482" t="str">
        <f t="shared" si="468"/>
        <v>06</v>
      </c>
      <c r="N6482" t="s">
        <v>12</v>
      </c>
    </row>
    <row r="6483" spans="1:14" x14ac:dyDescent="0.25">
      <c r="A6483">
        <v>20160610</v>
      </c>
      <c r="B6483" t="str">
        <f>"063703"</f>
        <v>063703</v>
      </c>
      <c r="C6483" t="str">
        <f>"06267"</f>
        <v>06267</v>
      </c>
      <c r="D6483" t="s">
        <v>1948</v>
      </c>
      <c r="E6483" s="3">
        <v>926.19</v>
      </c>
      <c r="F6483">
        <v>20160607</v>
      </c>
      <c r="G6483" t="s">
        <v>1854</v>
      </c>
      <c r="H6483" t="s">
        <v>5428</v>
      </c>
      <c r="I6483">
        <v>0</v>
      </c>
      <c r="J6483" t="s">
        <v>1709</v>
      </c>
      <c r="K6483" t="s">
        <v>1856</v>
      </c>
      <c r="L6483" t="s">
        <v>285</v>
      </c>
      <c r="M6483" t="str">
        <f t="shared" si="468"/>
        <v>06</v>
      </c>
      <c r="N6483" t="s">
        <v>12</v>
      </c>
    </row>
    <row r="6484" spans="1:14" x14ac:dyDescent="0.25">
      <c r="A6484">
        <v>20160610</v>
      </c>
      <c r="B6484" t="str">
        <f>"063703"</f>
        <v>063703</v>
      </c>
      <c r="C6484" t="str">
        <f>"06267"</f>
        <v>06267</v>
      </c>
      <c r="D6484" t="s">
        <v>1948</v>
      </c>
      <c r="E6484" s="3">
        <v>85</v>
      </c>
      <c r="F6484">
        <v>20160607</v>
      </c>
      <c r="G6484" t="s">
        <v>1854</v>
      </c>
      <c r="H6484" t="s">
        <v>5429</v>
      </c>
      <c r="I6484">
        <v>0</v>
      </c>
      <c r="J6484" t="s">
        <v>1709</v>
      </c>
      <c r="K6484" t="s">
        <v>1856</v>
      </c>
      <c r="L6484" t="s">
        <v>285</v>
      </c>
      <c r="M6484" t="str">
        <f t="shared" si="468"/>
        <v>06</v>
      </c>
      <c r="N6484" t="s">
        <v>12</v>
      </c>
    </row>
    <row r="6485" spans="1:14" x14ac:dyDescent="0.25">
      <c r="A6485">
        <v>20160610</v>
      </c>
      <c r="B6485" t="str">
        <f>"063704"</f>
        <v>063704</v>
      </c>
      <c r="C6485" t="str">
        <f>"06512"</f>
        <v>06512</v>
      </c>
      <c r="D6485" t="s">
        <v>5430</v>
      </c>
      <c r="E6485" s="3">
        <v>212.8</v>
      </c>
      <c r="F6485">
        <v>20160607</v>
      </c>
      <c r="G6485" t="s">
        <v>2731</v>
      </c>
      <c r="H6485" t="s">
        <v>5431</v>
      </c>
      <c r="I6485">
        <v>0</v>
      </c>
      <c r="J6485" t="s">
        <v>1709</v>
      </c>
      <c r="K6485" t="s">
        <v>290</v>
      </c>
      <c r="L6485" t="s">
        <v>285</v>
      </c>
      <c r="M6485" t="str">
        <f t="shared" si="468"/>
        <v>06</v>
      </c>
      <c r="N6485" t="s">
        <v>12</v>
      </c>
    </row>
    <row r="6486" spans="1:14" x14ac:dyDescent="0.25">
      <c r="A6486">
        <v>20160610</v>
      </c>
      <c r="B6486" t="str">
        <f>"063704"</f>
        <v>063704</v>
      </c>
      <c r="C6486" t="str">
        <f>"06512"</f>
        <v>06512</v>
      </c>
      <c r="D6486" t="s">
        <v>5430</v>
      </c>
      <c r="E6486" s="3">
        <v>57.5</v>
      </c>
      <c r="F6486">
        <v>20160607</v>
      </c>
      <c r="G6486" t="s">
        <v>2133</v>
      </c>
      <c r="H6486" t="s">
        <v>5432</v>
      </c>
      <c r="I6486">
        <v>0</v>
      </c>
      <c r="J6486" t="s">
        <v>1709</v>
      </c>
      <c r="K6486" t="s">
        <v>290</v>
      </c>
      <c r="L6486" t="s">
        <v>285</v>
      </c>
      <c r="M6486" t="str">
        <f t="shared" si="468"/>
        <v>06</v>
      </c>
      <c r="N6486" t="s">
        <v>12</v>
      </c>
    </row>
    <row r="6487" spans="1:14" x14ac:dyDescent="0.25">
      <c r="A6487">
        <v>20160610</v>
      </c>
      <c r="B6487" t="str">
        <f>"063706"</f>
        <v>063706</v>
      </c>
      <c r="C6487" t="str">
        <f>"00383"</f>
        <v>00383</v>
      </c>
      <c r="D6487" t="s">
        <v>5433</v>
      </c>
      <c r="E6487" s="3">
        <v>179.54</v>
      </c>
      <c r="F6487">
        <v>20160607</v>
      </c>
      <c r="G6487" t="s">
        <v>5434</v>
      </c>
      <c r="H6487" t="s">
        <v>5435</v>
      </c>
      <c r="I6487">
        <v>0</v>
      </c>
      <c r="J6487" t="s">
        <v>1709</v>
      </c>
      <c r="K6487" t="s">
        <v>290</v>
      </c>
      <c r="L6487" t="s">
        <v>285</v>
      </c>
      <c r="M6487" t="str">
        <f t="shared" si="468"/>
        <v>06</v>
      </c>
      <c r="N6487" t="s">
        <v>12</v>
      </c>
    </row>
    <row r="6488" spans="1:14" x14ac:dyDescent="0.25">
      <c r="A6488">
        <v>20160610</v>
      </c>
      <c r="B6488" t="str">
        <f>"063707"</f>
        <v>063707</v>
      </c>
      <c r="C6488" t="str">
        <f>"00393"</f>
        <v>00393</v>
      </c>
      <c r="D6488" t="s">
        <v>5436</v>
      </c>
      <c r="E6488" s="3">
        <v>403.3</v>
      </c>
      <c r="F6488">
        <v>20160607</v>
      </c>
      <c r="G6488" t="s">
        <v>3540</v>
      </c>
      <c r="H6488" t="s">
        <v>4875</v>
      </c>
      <c r="I6488">
        <v>0</v>
      </c>
      <c r="J6488" t="s">
        <v>1709</v>
      </c>
      <c r="K6488" t="s">
        <v>2724</v>
      </c>
      <c r="L6488" t="s">
        <v>285</v>
      </c>
      <c r="M6488" t="str">
        <f t="shared" si="468"/>
        <v>06</v>
      </c>
      <c r="N6488" t="s">
        <v>12</v>
      </c>
    </row>
    <row r="6489" spans="1:14" x14ac:dyDescent="0.25">
      <c r="A6489">
        <v>20160610</v>
      </c>
      <c r="B6489" t="str">
        <f>"063708"</f>
        <v>063708</v>
      </c>
      <c r="C6489" t="str">
        <f>"00393"</f>
        <v>00393</v>
      </c>
      <c r="D6489" t="s">
        <v>5436</v>
      </c>
      <c r="E6489" s="3">
        <v>403.3</v>
      </c>
      <c r="F6489">
        <v>20160607</v>
      </c>
      <c r="G6489" t="s">
        <v>4874</v>
      </c>
      <c r="H6489" t="s">
        <v>4875</v>
      </c>
      <c r="I6489">
        <v>0</v>
      </c>
      <c r="J6489" t="s">
        <v>1709</v>
      </c>
      <c r="K6489" t="s">
        <v>290</v>
      </c>
      <c r="L6489" t="s">
        <v>285</v>
      </c>
      <c r="M6489" t="str">
        <f t="shared" si="468"/>
        <v>06</v>
      </c>
      <c r="N6489" t="s">
        <v>12</v>
      </c>
    </row>
    <row r="6490" spans="1:14" x14ac:dyDescent="0.25">
      <c r="A6490">
        <v>20160610</v>
      </c>
      <c r="B6490" t="str">
        <f>"063709"</f>
        <v>063709</v>
      </c>
      <c r="C6490" t="str">
        <f>"00393"</f>
        <v>00393</v>
      </c>
      <c r="D6490" t="s">
        <v>5436</v>
      </c>
      <c r="E6490" s="3">
        <v>403.3</v>
      </c>
      <c r="F6490">
        <v>20160607</v>
      </c>
      <c r="G6490" t="s">
        <v>4874</v>
      </c>
      <c r="H6490" t="s">
        <v>4875</v>
      </c>
      <c r="I6490">
        <v>0</v>
      </c>
      <c r="J6490" t="s">
        <v>1709</v>
      </c>
      <c r="K6490" t="s">
        <v>290</v>
      </c>
      <c r="L6490" t="s">
        <v>285</v>
      </c>
      <c r="M6490" t="str">
        <f t="shared" si="468"/>
        <v>06</v>
      </c>
      <c r="N6490" t="s">
        <v>12</v>
      </c>
    </row>
    <row r="6491" spans="1:14" x14ac:dyDescent="0.25">
      <c r="A6491">
        <v>20160610</v>
      </c>
      <c r="B6491" t="str">
        <f>"063710"</f>
        <v>063710</v>
      </c>
      <c r="C6491" t="str">
        <f>"08719"</f>
        <v>08719</v>
      </c>
      <c r="D6491" t="s">
        <v>2052</v>
      </c>
      <c r="E6491" s="3">
        <v>48.35</v>
      </c>
      <c r="F6491">
        <v>20160607</v>
      </c>
      <c r="G6491" t="s">
        <v>5434</v>
      </c>
      <c r="H6491" t="s">
        <v>5437</v>
      </c>
      <c r="I6491">
        <v>0</v>
      </c>
      <c r="J6491" t="s">
        <v>1709</v>
      </c>
      <c r="K6491" t="s">
        <v>290</v>
      </c>
      <c r="L6491" t="s">
        <v>285</v>
      </c>
      <c r="M6491" t="str">
        <f t="shared" si="468"/>
        <v>06</v>
      </c>
      <c r="N6491" t="s">
        <v>12</v>
      </c>
    </row>
    <row r="6492" spans="1:14" x14ac:dyDescent="0.25">
      <c r="A6492">
        <v>20160610</v>
      </c>
      <c r="B6492" t="str">
        <f t="shared" ref="B6492:B6524" si="471">"063711"</f>
        <v>063711</v>
      </c>
      <c r="C6492" t="str">
        <f t="shared" ref="C6492:C6524" si="472">"09170"</f>
        <v>09170</v>
      </c>
      <c r="D6492" t="s">
        <v>596</v>
      </c>
      <c r="E6492" s="3">
        <v>131</v>
      </c>
      <c r="F6492">
        <v>20160607</v>
      </c>
      <c r="G6492" t="s">
        <v>3178</v>
      </c>
      <c r="H6492" t="s">
        <v>5438</v>
      </c>
      <c r="I6492">
        <v>0</v>
      </c>
      <c r="J6492" t="s">
        <v>1709</v>
      </c>
      <c r="K6492" t="s">
        <v>235</v>
      </c>
      <c r="L6492" t="s">
        <v>285</v>
      </c>
      <c r="M6492" t="str">
        <f t="shared" si="468"/>
        <v>06</v>
      </c>
      <c r="N6492" t="s">
        <v>12</v>
      </c>
    </row>
    <row r="6493" spans="1:14" x14ac:dyDescent="0.25">
      <c r="A6493">
        <v>20160610</v>
      </c>
      <c r="B6493" t="str">
        <f t="shared" si="471"/>
        <v>063711</v>
      </c>
      <c r="C6493" t="str">
        <f t="shared" si="472"/>
        <v>09170</v>
      </c>
      <c r="D6493" t="s">
        <v>596</v>
      </c>
      <c r="E6493" s="3">
        <v>36.6</v>
      </c>
      <c r="F6493">
        <v>20160607</v>
      </c>
      <c r="G6493" t="s">
        <v>1974</v>
      </c>
      <c r="H6493" t="s">
        <v>5439</v>
      </c>
      <c r="I6493">
        <v>0</v>
      </c>
      <c r="J6493" t="s">
        <v>1709</v>
      </c>
      <c r="K6493" t="s">
        <v>290</v>
      </c>
      <c r="L6493" t="s">
        <v>285</v>
      </c>
      <c r="M6493" t="str">
        <f t="shared" si="468"/>
        <v>06</v>
      </c>
      <c r="N6493" t="s">
        <v>12</v>
      </c>
    </row>
    <row r="6494" spans="1:14" x14ac:dyDescent="0.25">
      <c r="A6494">
        <v>20160610</v>
      </c>
      <c r="B6494" t="str">
        <f t="shared" si="471"/>
        <v>063711</v>
      </c>
      <c r="C6494" t="str">
        <f t="shared" si="472"/>
        <v>09170</v>
      </c>
      <c r="D6494" t="s">
        <v>596</v>
      </c>
      <c r="E6494" s="3">
        <v>95.48</v>
      </c>
      <c r="F6494">
        <v>20160607</v>
      </c>
      <c r="G6494" t="s">
        <v>1974</v>
      </c>
      <c r="H6494" t="s">
        <v>5440</v>
      </c>
      <c r="I6494">
        <v>0</v>
      </c>
      <c r="J6494" t="s">
        <v>1709</v>
      </c>
      <c r="K6494" t="s">
        <v>290</v>
      </c>
      <c r="L6494" t="s">
        <v>285</v>
      </c>
      <c r="M6494" t="str">
        <f t="shared" si="468"/>
        <v>06</v>
      </c>
      <c r="N6494" t="s">
        <v>12</v>
      </c>
    </row>
    <row r="6495" spans="1:14" x14ac:dyDescent="0.25">
      <c r="A6495">
        <v>20160610</v>
      </c>
      <c r="B6495" t="str">
        <f t="shared" si="471"/>
        <v>063711</v>
      </c>
      <c r="C6495" t="str">
        <f t="shared" si="472"/>
        <v>09170</v>
      </c>
      <c r="D6495" t="s">
        <v>596</v>
      </c>
      <c r="E6495" s="3">
        <v>108.18</v>
      </c>
      <c r="F6495">
        <v>20160607</v>
      </c>
      <c r="G6495" t="s">
        <v>4007</v>
      </c>
      <c r="H6495" t="s">
        <v>4008</v>
      </c>
      <c r="I6495">
        <v>0</v>
      </c>
      <c r="J6495" t="s">
        <v>1709</v>
      </c>
      <c r="K6495" t="s">
        <v>290</v>
      </c>
      <c r="L6495" t="s">
        <v>285</v>
      </c>
      <c r="M6495" t="str">
        <f t="shared" si="468"/>
        <v>06</v>
      </c>
      <c r="N6495" t="s">
        <v>12</v>
      </c>
    </row>
    <row r="6496" spans="1:14" x14ac:dyDescent="0.25">
      <c r="A6496">
        <v>20160610</v>
      </c>
      <c r="B6496" t="str">
        <f t="shared" si="471"/>
        <v>063711</v>
      </c>
      <c r="C6496" t="str">
        <f t="shared" si="472"/>
        <v>09170</v>
      </c>
      <c r="D6496" t="s">
        <v>596</v>
      </c>
      <c r="E6496" s="3">
        <v>464.3</v>
      </c>
      <c r="F6496">
        <v>20160607</v>
      </c>
      <c r="G6496" t="s">
        <v>4007</v>
      </c>
      <c r="H6496" t="s">
        <v>4008</v>
      </c>
      <c r="I6496">
        <v>0</v>
      </c>
      <c r="J6496" t="s">
        <v>1709</v>
      </c>
      <c r="K6496" t="s">
        <v>290</v>
      </c>
      <c r="L6496" t="s">
        <v>285</v>
      </c>
      <c r="M6496" t="str">
        <f t="shared" si="468"/>
        <v>06</v>
      </c>
      <c r="N6496" t="s">
        <v>12</v>
      </c>
    </row>
    <row r="6497" spans="1:14" x14ac:dyDescent="0.25">
      <c r="A6497">
        <v>20160610</v>
      </c>
      <c r="B6497" t="str">
        <f t="shared" si="471"/>
        <v>063711</v>
      </c>
      <c r="C6497" t="str">
        <f t="shared" si="472"/>
        <v>09170</v>
      </c>
      <c r="D6497" t="s">
        <v>596</v>
      </c>
      <c r="E6497" s="3">
        <v>593.53</v>
      </c>
      <c r="F6497">
        <v>20160607</v>
      </c>
      <c r="G6497" t="s">
        <v>2153</v>
      </c>
      <c r="H6497" t="s">
        <v>5158</v>
      </c>
      <c r="I6497">
        <v>0</v>
      </c>
      <c r="J6497" t="s">
        <v>1709</v>
      </c>
      <c r="K6497" t="s">
        <v>290</v>
      </c>
      <c r="L6497" t="s">
        <v>285</v>
      </c>
      <c r="M6497" t="str">
        <f t="shared" si="468"/>
        <v>06</v>
      </c>
      <c r="N6497" t="s">
        <v>12</v>
      </c>
    </row>
    <row r="6498" spans="1:14" x14ac:dyDescent="0.25">
      <c r="A6498">
        <v>20160610</v>
      </c>
      <c r="B6498" t="str">
        <f t="shared" si="471"/>
        <v>063711</v>
      </c>
      <c r="C6498" t="str">
        <f t="shared" si="472"/>
        <v>09170</v>
      </c>
      <c r="D6498" t="s">
        <v>596</v>
      </c>
      <c r="E6498" s="3">
        <v>501.73</v>
      </c>
      <c r="F6498">
        <v>20160607</v>
      </c>
      <c r="G6498" t="s">
        <v>2153</v>
      </c>
      <c r="H6498" t="s">
        <v>3158</v>
      </c>
      <c r="I6498">
        <v>0</v>
      </c>
      <c r="J6498" t="s">
        <v>1709</v>
      </c>
      <c r="K6498" t="s">
        <v>290</v>
      </c>
      <c r="L6498" t="s">
        <v>285</v>
      </c>
      <c r="M6498" t="str">
        <f t="shared" si="468"/>
        <v>06</v>
      </c>
      <c r="N6498" t="s">
        <v>12</v>
      </c>
    </row>
    <row r="6499" spans="1:14" x14ac:dyDescent="0.25">
      <c r="A6499">
        <v>20160610</v>
      </c>
      <c r="B6499" t="str">
        <f t="shared" si="471"/>
        <v>063711</v>
      </c>
      <c r="C6499" t="str">
        <f t="shared" si="472"/>
        <v>09170</v>
      </c>
      <c r="D6499" t="s">
        <v>596</v>
      </c>
      <c r="E6499" s="3">
        <v>588.67999999999995</v>
      </c>
      <c r="F6499">
        <v>20160607</v>
      </c>
      <c r="G6499" t="s">
        <v>2789</v>
      </c>
      <c r="H6499" t="s">
        <v>4649</v>
      </c>
      <c r="I6499">
        <v>0</v>
      </c>
      <c r="J6499" t="s">
        <v>1709</v>
      </c>
      <c r="K6499" t="s">
        <v>290</v>
      </c>
      <c r="L6499" t="s">
        <v>285</v>
      </c>
      <c r="M6499" t="str">
        <f t="shared" si="468"/>
        <v>06</v>
      </c>
      <c r="N6499" t="s">
        <v>12</v>
      </c>
    </row>
    <row r="6500" spans="1:14" x14ac:dyDescent="0.25">
      <c r="A6500">
        <v>20160610</v>
      </c>
      <c r="B6500" t="str">
        <f t="shared" si="471"/>
        <v>063711</v>
      </c>
      <c r="C6500" t="str">
        <f t="shared" si="472"/>
        <v>09170</v>
      </c>
      <c r="D6500" t="s">
        <v>596</v>
      </c>
      <c r="E6500" s="3">
        <v>632.94000000000005</v>
      </c>
      <c r="F6500">
        <v>20160607</v>
      </c>
      <c r="G6500" t="s">
        <v>2232</v>
      </c>
      <c r="H6500" t="s">
        <v>3298</v>
      </c>
      <c r="I6500">
        <v>0</v>
      </c>
      <c r="J6500" t="s">
        <v>1709</v>
      </c>
      <c r="K6500" t="s">
        <v>290</v>
      </c>
      <c r="L6500" t="s">
        <v>285</v>
      </c>
      <c r="M6500" t="str">
        <f t="shared" si="468"/>
        <v>06</v>
      </c>
      <c r="N6500" t="s">
        <v>12</v>
      </c>
    </row>
    <row r="6501" spans="1:14" x14ac:dyDescent="0.25">
      <c r="A6501">
        <v>20160610</v>
      </c>
      <c r="B6501" t="str">
        <f t="shared" si="471"/>
        <v>063711</v>
      </c>
      <c r="C6501" t="str">
        <f t="shared" si="472"/>
        <v>09170</v>
      </c>
      <c r="D6501" t="s">
        <v>596</v>
      </c>
      <c r="E6501" s="3">
        <v>45.43</v>
      </c>
      <c r="F6501">
        <v>20160607</v>
      </c>
      <c r="G6501" t="s">
        <v>3956</v>
      </c>
      <c r="H6501" t="s">
        <v>3957</v>
      </c>
      <c r="I6501">
        <v>0</v>
      </c>
      <c r="J6501" t="s">
        <v>1709</v>
      </c>
      <c r="K6501" t="s">
        <v>290</v>
      </c>
      <c r="L6501" t="s">
        <v>285</v>
      </c>
      <c r="M6501" t="str">
        <f t="shared" si="468"/>
        <v>06</v>
      </c>
      <c r="N6501" t="s">
        <v>12</v>
      </c>
    </row>
    <row r="6502" spans="1:14" x14ac:dyDescent="0.25">
      <c r="A6502">
        <v>20160610</v>
      </c>
      <c r="B6502" t="str">
        <f t="shared" si="471"/>
        <v>063711</v>
      </c>
      <c r="C6502" t="str">
        <f t="shared" si="472"/>
        <v>09170</v>
      </c>
      <c r="D6502" t="s">
        <v>596</v>
      </c>
      <c r="E6502" s="3">
        <v>117</v>
      </c>
      <c r="F6502">
        <v>20160607</v>
      </c>
      <c r="G6502" t="s">
        <v>3956</v>
      </c>
      <c r="H6502" t="s">
        <v>5441</v>
      </c>
      <c r="I6502">
        <v>0</v>
      </c>
      <c r="J6502" t="s">
        <v>1709</v>
      </c>
      <c r="K6502" t="s">
        <v>290</v>
      </c>
      <c r="L6502" t="s">
        <v>285</v>
      </c>
      <c r="M6502" t="str">
        <f t="shared" si="468"/>
        <v>06</v>
      </c>
      <c r="N6502" t="s">
        <v>12</v>
      </c>
    </row>
    <row r="6503" spans="1:14" x14ac:dyDescent="0.25">
      <c r="A6503">
        <v>20160610</v>
      </c>
      <c r="B6503" t="str">
        <f t="shared" si="471"/>
        <v>063711</v>
      </c>
      <c r="C6503" t="str">
        <f t="shared" si="472"/>
        <v>09170</v>
      </c>
      <c r="D6503" t="s">
        <v>596</v>
      </c>
      <c r="E6503" s="3">
        <v>63.14</v>
      </c>
      <c r="F6503">
        <v>20160607</v>
      </c>
      <c r="G6503" t="s">
        <v>3956</v>
      </c>
      <c r="H6503" t="s">
        <v>3957</v>
      </c>
      <c r="I6503">
        <v>0</v>
      </c>
      <c r="J6503" t="s">
        <v>1709</v>
      </c>
      <c r="K6503" t="s">
        <v>290</v>
      </c>
      <c r="L6503" t="s">
        <v>285</v>
      </c>
      <c r="M6503" t="str">
        <f t="shared" si="468"/>
        <v>06</v>
      </c>
      <c r="N6503" t="s">
        <v>12</v>
      </c>
    </row>
    <row r="6504" spans="1:14" x14ac:dyDescent="0.25">
      <c r="A6504">
        <v>20160610</v>
      </c>
      <c r="B6504" t="str">
        <f t="shared" si="471"/>
        <v>063711</v>
      </c>
      <c r="C6504" t="str">
        <f t="shared" si="472"/>
        <v>09170</v>
      </c>
      <c r="D6504" t="s">
        <v>596</v>
      </c>
      <c r="E6504" s="3">
        <v>258</v>
      </c>
      <c r="F6504">
        <v>20160607</v>
      </c>
      <c r="G6504" t="s">
        <v>3956</v>
      </c>
      <c r="H6504" t="s">
        <v>5442</v>
      </c>
      <c r="I6504">
        <v>0</v>
      </c>
      <c r="J6504" t="s">
        <v>1709</v>
      </c>
      <c r="K6504" t="s">
        <v>290</v>
      </c>
      <c r="L6504" t="s">
        <v>285</v>
      </c>
      <c r="M6504" t="str">
        <f t="shared" si="468"/>
        <v>06</v>
      </c>
      <c r="N6504" t="s">
        <v>12</v>
      </c>
    </row>
    <row r="6505" spans="1:14" x14ac:dyDescent="0.25">
      <c r="A6505">
        <v>20160610</v>
      </c>
      <c r="B6505" t="str">
        <f t="shared" si="471"/>
        <v>063711</v>
      </c>
      <c r="C6505" t="str">
        <f t="shared" si="472"/>
        <v>09170</v>
      </c>
      <c r="D6505" t="s">
        <v>596</v>
      </c>
      <c r="E6505" s="3">
        <v>1361.96</v>
      </c>
      <c r="F6505">
        <v>20160607</v>
      </c>
      <c r="G6505" t="s">
        <v>4664</v>
      </c>
      <c r="H6505" t="s">
        <v>4652</v>
      </c>
      <c r="I6505">
        <v>0</v>
      </c>
      <c r="J6505" t="s">
        <v>1709</v>
      </c>
      <c r="K6505" t="s">
        <v>290</v>
      </c>
      <c r="L6505" t="s">
        <v>285</v>
      </c>
      <c r="M6505" t="str">
        <f t="shared" si="468"/>
        <v>06</v>
      </c>
      <c r="N6505" t="s">
        <v>12</v>
      </c>
    </row>
    <row r="6506" spans="1:14" x14ac:dyDescent="0.25">
      <c r="A6506">
        <v>20160610</v>
      </c>
      <c r="B6506" t="str">
        <f t="shared" si="471"/>
        <v>063711</v>
      </c>
      <c r="C6506" t="str">
        <f t="shared" si="472"/>
        <v>09170</v>
      </c>
      <c r="D6506" t="s">
        <v>596</v>
      </c>
      <c r="E6506" s="3">
        <v>38.25</v>
      </c>
      <c r="F6506">
        <v>20160607</v>
      </c>
      <c r="G6506" t="s">
        <v>1957</v>
      </c>
      <c r="H6506" t="s">
        <v>4503</v>
      </c>
      <c r="I6506">
        <v>0</v>
      </c>
      <c r="J6506" t="s">
        <v>1709</v>
      </c>
      <c r="K6506" t="s">
        <v>290</v>
      </c>
      <c r="L6506" t="s">
        <v>285</v>
      </c>
      <c r="M6506" t="str">
        <f t="shared" si="468"/>
        <v>06</v>
      </c>
      <c r="N6506" t="s">
        <v>12</v>
      </c>
    </row>
    <row r="6507" spans="1:14" x14ac:dyDescent="0.25">
      <c r="A6507">
        <v>20160610</v>
      </c>
      <c r="B6507" t="str">
        <f t="shared" si="471"/>
        <v>063711</v>
      </c>
      <c r="C6507" t="str">
        <f t="shared" si="472"/>
        <v>09170</v>
      </c>
      <c r="D6507" t="s">
        <v>596</v>
      </c>
      <c r="E6507" s="3">
        <v>3.71</v>
      </c>
      <c r="F6507">
        <v>20160607</v>
      </c>
      <c r="G6507" t="s">
        <v>2539</v>
      </c>
      <c r="H6507" t="s">
        <v>1708</v>
      </c>
      <c r="I6507">
        <v>0</v>
      </c>
      <c r="J6507" t="s">
        <v>1709</v>
      </c>
      <c r="K6507" t="s">
        <v>290</v>
      </c>
      <c r="L6507" t="s">
        <v>285</v>
      </c>
      <c r="M6507" t="str">
        <f t="shared" si="468"/>
        <v>06</v>
      </c>
      <c r="N6507" t="s">
        <v>12</v>
      </c>
    </row>
    <row r="6508" spans="1:14" x14ac:dyDescent="0.25">
      <c r="A6508">
        <v>20160610</v>
      </c>
      <c r="B6508" t="str">
        <f t="shared" si="471"/>
        <v>063711</v>
      </c>
      <c r="C6508" t="str">
        <f t="shared" si="472"/>
        <v>09170</v>
      </c>
      <c r="D6508" t="s">
        <v>596</v>
      </c>
      <c r="E6508" s="3">
        <v>1604.59</v>
      </c>
      <c r="F6508">
        <v>20160607</v>
      </c>
      <c r="G6508" t="s">
        <v>3528</v>
      </c>
      <c r="H6508" t="s">
        <v>4652</v>
      </c>
      <c r="I6508">
        <v>0</v>
      </c>
      <c r="J6508" t="s">
        <v>1709</v>
      </c>
      <c r="K6508" t="s">
        <v>290</v>
      </c>
      <c r="L6508" t="s">
        <v>285</v>
      </c>
      <c r="M6508" t="str">
        <f t="shared" si="468"/>
        <v>06</v>
      </c>
      <c r="N6508" t="s">
        <v>12</v>
      </c>
    </row>
    <row r="6509" spans="1:14" x14ac:dyDescent="0.25">
      <c r="A6509">
        <v>20160610</v>
      </c>
      <c r="B6509" t="str">
        <f t="shared" si="471"/>
        <v>063711</v>
      </c>
      <c r="C6509" t="str">
        <f t="shared" si="472"/>
        <v>09170</v>
      </c>
      <c r="D6509" t="s">
        <v>596</v>
      </c>
      <c r="E6509" s="3">
        <v>438.33</v>
      </c>
      <c r="F6509">
        <v>20160607</v>
      </c>
      <c r="G6509" t="s">
        <v>4922</v>
      </c>
      <c r="H6509" t="s">
        <v>4652</v>
      </c>
      <c r="I6509">
        <v>0</v>
      </c>
      <c r="J6509" t="s">
        <v>1709</v>
      </c>
      <c r="K6509" t="s">
        <v>290</v>
      </c>
      <c r="L6509" t="s">
        <v>285</v>
      </c>
      <c r="M6509" t="str">
        <f t="shared" si="468"/>
        <v>06</v>
      </c>
      <c r="N6509" t="s">
        <v>12</v>
      </c>
    </row>
    <row r="6510" spans="1:14" x14ac:dyDescent="0.25">
      <c r="A6510">
        <v>20160610</v>
      </c>
      <c r="B6510" t="str">
        <f t="shared" si="471"/>
        <v>063711</v>
      </c>
      <c r="C6510" t="str">
        <f t="shared" si="472"/>
        <v>09170</v>
      </c>
      <c r="D6510" t="s">
        <v>596</v>
      </c>
      <c r="E6510" s="3">
        <v>395</v>
      </c>
      <c r="F6510">
        <v>20160607</v>
      </c>
      <c r="G6510" t="s">
        <v>2000</v>
      </c>
      <c r="H6510" t="s">
        <v>5443</v>
      </c>
      <c r="I6510">
        <v>0</v>
      </c>
      <c r="J6510" t="s">
        <v>1709</v>
      </c>
      <c r="K6510" t="s">
        <v>290</v>
      </c>
      <c r="L6510" t="s">
        <v>285</v>
      </c>
      <c r="M6510" t="str">
        <f t="shared" si="468"/>
        <v>06</v>
      </c>
      <c r="N6510" t="s">
        <v>12</v>
      </c>
    </row>
    <row r="6511" spans="1:14" x14ac:dyDescent="0.25">
      <c r="A6511">
        <v>20160610</v>
      </c>
      <c r="B6511" t="str">
        <f t="shared" si="471"/>
        <v>063711</v>
      </c>
      <c r="C6511" t="str">
        <f t="shared" si="472"/>
        <v>09170</v>
      </c>
      <c r="D6511" t="s">
        <v>596</v>
      </c>
      <c r="E6511" s="3">
        <v>75</v>
      </c>
      <c r="F6511">
        <v>20160607</v>
      </c>
      <c r="G6511" t="s">
        <v>3064</v>
      </c>
      <c r="H6511" t="s">
        <v>5348</v>
      </c>
      <c r="I6511">
        <v>0</v>
      </c>
      <c r="J6511" t="s">
        <v>1709</v>
      </c>
      <c r="K6511" t="s">
        <v>33</v>
      </c>
      <c r="L6511" t="s">
        <v>285</v>
      </c>
      <c r="M6511" t="str">
        <f t="shared" si="468"/>
        <v>06</v>
      </c>
      <c r="N6511" t="s">
        <v>12</v>
      </c>
    </row>
    <row r="6512" spans="1:14" x14ac:dyDescent="0.25">
      <c r="A6512">
        <v>20160610</v>
      </c>
      <c r="B6512" t="str">
        <f t="shared" si="471"/>
        <v>063711</v>
      </c>
      <c r="C6512" t="str">
        <f t="shared" si="472"/>
        <v>09170</v>
      </c>
      <c r="D6512" t="s">
        <v>596</v>
      </c>
      <c r="E6512" s="3">
        <v>935</v>
      </c>
      <c r="F6512">
        <v>20160607</v>
      </c>
      <c r="G6512" t="s">
        <v>3526</v>
      </c>
      <c r="H6512" t="s">
        <v>5444</v>
      </c>
      <c r="I6512">
        <v>0</v>
      </c>
      <c r="J6512" t="s">
        <v>1709</v>
      </c>
      <c r="K6512" t="s">
        <v>290</v>
      </c>
      <c r="L6512" t="s">
        <v>285</v>
      </c>
      <c r="M6512" t="str">
        <f t="shared" si="468"/>
        <v>06</v>
      </c>
      <c r="N6512" t="s">
        <v>12</v>
      </c>
    </row>
    <row r="6513" spans="1:14" x14ac:dyDescent="0.25">
      <c r="A6513">
        <v>20160610</v>
      </c>
      <c r="B6513" t="str">
        <f t="shared" si="471"/>
        <v>063711</v>
      </c>
      <c r="C6513" t="str">
        <f t="shared" si="472"/>
        <v>09170</v>
      </c>
      <c r="D6513" t="s">
        <v>596</v>
      </c>
      <c r="E6513" s="3">
        <v>111.91</v>
      </c>
      <c r="F6513">
        <v>20160607</v>
      </c>
      <c r="G6513" t="s">
        <v>3114</v>
      </c>
      <c r="H6513" t="s">
        <v>5445</v>
      </c>
      <c r="I6513">
        <v>0</v>
      </c>
      <c r="J6513" t="s">
        <v>1709</v>
      </c>
      <c r="K6513" t="s">
        <v>33</v>
      </c>
      <c r="L6513" t="s">
        <v>285</v>
      </c>
      <c r="M6513" t="str">
        <f t="shared" si="468"/>
        <v>06</v>
      </c>
      <c r="N6513" t="s">
        <v>12</v>
      </c>
    </row>
    <row r="6514" spans="1:14" x14ac:dyDescent="0.25">
      <c r="A6514">
        <v>20160610</v>
      </c>
      <c r="B6514" t="str">
        <f t="shared" si="471"/>
        <v>063711</v>
      </c>
      <c r="C6514" t="str">
        <f t="shared" si="472"/>
        <v>09170</v>
      </c>
      <c r="D6514" t="s">
        <v>596</v>
      </c>
      <c r="E6514" s="3">
        <v>435.92</v>
      </c>
      <c r="F6514">
        <v>20160607</v>
      </c>
      <c r="G6514" t="s">
        <v>2155</v>
      </c>
      <c r="H6514" t="s">
        <v>2752</v>
      </c>
      <c r="I6514">
        <v>0</v>
      </c>
      <c r="J6514" t="s">
        <v>1709</v>
      </c>
      <c r="K6514" t="s">
        <v>290</v>
      </c>
      <c r="L6514" t="s">
        <v>285</v>
      </c>
      <c r="M6514" t="str">
        <f t="shared" si="468"/>
        <v>06</v>
      </c>
      <c r="N6514" t="s">
        <v>12</v>
      </c>
    </row>
    <row r="6515" spans="1:14" x14ac:dyDescent="0.25">
      <c r="A6515">
        <v>20160610</v>
      </c>
      <c r="B6515" t="str">
        <f t="shared" si="471"/>
        <v>063711</v>
      </c>
      <c r="C6515" t="str">
        <f t="shared" si="472"/>
        <v>09170</v>
      </c>
      <c r="D6515" t="s">
        <v>596</v>
      </c>
      <c r="E6515" s="3">
        <v>236.49</v>
      </c>
      <c r="F6515">
        <v>20160607</v>
      </c>
      <c r="G6515" t="s">
        <v>5446</v>
      </c>
      <c r="H6515" t="s">
        <v>5447</v>
      </c>
      <c r="I6515">
        <v>0</v>
      </c>
      <c r="J6515" t="s">
        <v>1709</v>
      </c>
      <c r="K6515" t="s">
        <v>290</v>
      </c>
      <c r="L6515" t="s">
        <v>285</v>
      </c>
      <c r="M6515" t="str">
        <f t="shared" si="468"/>
        <v>06</v>
      </c>
      <c r="N6515" t="s">
        <v>12</v>
      </c>
    </row>
    <row r="6516" spans="1:14" x14ac:dyDescent="0.25">
      <c r="A6516">
        <v>20160610</v>
      </c>
      <c r="B6516" t="str">
        <f t="shared" si="471"/>
        <v>063711</v>
      </c>
      <c r="C6516" t="str">
        <f t="shared" si="472"/>
        <v>09170</v>
      </c>
      <c r="D6516" t="s">
        <v>596</v>
      </c>
      <c r="E6516" s="3">
        <v>549.5</v>
      </c>
      <c r="F6516">
        <v>20160607</v>
      </c>
      <c r="G6516" t="s">
        <v>1715</v>
      </c>
      <c r="H6516" t="s">
        <v>5448</v>
      </c>
      <c r="I6516">
        <v>0</v>
      </c>
      <c r="J6516" t="s">
        <v>1709</v>
      </c>
      <c r="K6516" t="s">
        <v>290</v>
      </c>
      <c r="L6516" t="s">
        <v>285</v>
      </c>
      <c r="M6516" t="str">
        <f t="shared" si="468"/>
        <v>06</v>
      </c>
      <c r="N6516" t="s">
        <v>12</v>
      </c>
    </row>
    <row r="6517" spans="1:14" x14ac:dyDescent="0.25">
      <c r="A6517">
        <v>20160610</v>
      </c>
      <c r="B6517" t="str">
        <f t="shared" si="471"/>
        <v>063711</v>
      </c>
      <c r="C6517" t="str">
        <f t="shared" si="472"/>
        <v>09170</v>
      </c>
      <c r="D6517" t="s">
        <v>596</v>
      </c>
      <c r="E6517" s="3">
        <v>195.07</v>
      </c>
      <c r="F6517">
        <v>20160607</v>
      </c>
      <c r="G6517" t="s">
        <v>1715</v>
      </c>
      <c r="H6517" t="s">
        <v>5449</v>
      </c>
      <c r="I6517">
        <v>0</v>
      </c>
      <c r="J6517" t="s">
        <v>1709</v>
      </c>
      <c r="K6517" t="s">
        <v>290</v>
      </c>
      <c r="L6517" t="s">
        <v>285</v>
      </c>
      <c r="M6517" t="str">
        <f t="shared" si="468"/>
        <v>06</v>
      </c>
      <c r="N6517" t="s">
        <v>12</v>
      </c>
    </row>
    <row r="6518" spans="1:14" x14ac:dyDescent="0.25">
      <c r="A6518">
        <v>20160610</v>
      </c>
      <c r="B6518" t="str">
        <f t="shared" si="471"/>
        <v>063711</v>
      </c>
      <c r="C6518" t="str">
        <f t="shared" si="472"/>
        <v>09170</v>
      </c>
      <c r="D6518" t="s">
        <v>596</v>
      </c>
      <c r="E6518" s="3">
        <v>2042.95</v>
      </c>
      <c r="F6518">
        <v>20160607</v>
      </c>
      <c r="G6518" t="s">
        <v>4121</v>
      </c>
      <c r="H6518" t="s">
        <v>4652</v>
      </c>
      <c r="I6518">
        <v>0</v>
      </c>
      <c r="J6518" t="s">
        <v>1709</v>
      </c>
      <c r="K6518" t="s">
        <v>290</v>
      </c>
      <c r="L6518" t="s">
        <v>285</v>
      </c>
      <c r="M6518" t="str">
        <f t="shared" si="468"/>
        <v>06</v>
      </c>
      <c r="N6518" t="s">
        <v>12</v>
      </c>
    </row>
    <row r="6519" spans="1:14" x14ac:dyDescent="0.25">
      <c r="A6519">
        <v>20160610</v>
      </c>
      <c r="B6519" t="str">
        <f t="shared" si="471"/>
        <v>063711</v>
      </c>
      <c r="C6519" t="str">
        <f t="shared" si="472"/>
        <v>09170</v>
      </c>
      <c r="D6519" t="s">
        <v>596</v>
      </c>
      <c r="E6519" s="3">
        <v>2601.1</v>
      </c>
      <c r="F6519">
        <v>20160607</v>
      </c>
      <c r="G6519" t="s">
        <v>3534</v>
      </c>
      <c r="H6519" t="s">
        <v>4822</v>
      </c>
      <c r="I6519">
        <v>0</v>
      </c>
      <c r="J6519" t="s">
        <v>1709</v>
      </c>
      <c r="K6519" t="s">
        <v>290</v>
      </c>
      <c r="L6519" t="s">
        <v>285</v>
      </c>
      <c r="M6519" t="str">
        <f t="shared" si="468"/>
        <v>06</v>
      </c>
      <c r="N6519" t="s">
        <v>12</v>
      </c>
    </row>
    <row r="6520" spans="1:14" x14ac:dyDescent="0.25">
      <c r="A6520">
        <v>20160610</v>
      </c>
      <c r="B6520" t="str">
        <f t="shared" si="471"/>
        <v>063711</v>
      </c>
      <c r="C6520" t="str">
        <f t="shared" si="472"/>
        <v>09170</v>
      </c>
      <c r="D6520" t="s">
        <v>596</v>
      </c>
      <c r="E6520" s="3">
        <v>59.95</v>
      </c>
      <c r="F6520">
        <v>20160607</v>
      </c>
      <c r="G6520" t="s">
        <v>5450</v>
      </c>
      <c r="H6520" t="s">
        <v>5451</v>
      </c>
      <c r="I6520">
        <v>0</v>
      </c>
      <c r="J6520" t="s">
        <v>1709</v>
      </c>
      <c r="K6520" t="s">
        <v>1744</v>
      </c>
      <c r="L6520" t="s">
        <v>285</v>
      </c>
      <c r="M6520" t="str">
        <f t="shared" si="468"/>
        <v>06</v>
      </c>
      <c r="N6520" t="s">
        <v>12</v>
      </c>
    </row>
    <row r="6521" spans="1:14" x14ac:dyDescent="0.25">
      <c r="A6521">
        <v>20160610</v>
      </c>
      <c r="B6521" t="str">
        <f t="shared" si="471"/>
        <v>063711</v>
      </c>
      <c r="C6521" t="str">
        <f t="shared" si="472"/>
        <v>09170</v>
      </c>
      <c r="D6521" t="s">
        <v>596</v>
      </c>
      <c r="E6521" s="3">
        <v>105.53</v>
      </c>
      <c r="F6521">
        <v>20160607</v>
      </c>
      <c r="G6521" t="s">
        <v>5450</v>
      </c>
      <c r="H6521" t="s">
        <v>5451</v>
      </c>
      <c r="I6521">
        <v>0</v>
      </c>
      <c r="J6521" t="s">
        <v>1709</v>
      </c>
      <c r="K6521" t="s">
        <v>1744</v>
      </c>
      <c r="L6521" t="s">
        <v>285</v>
      </c>
      <c r="M6521" t="str">
        <f t="shared" si="468"/>
        <v>06</v>
      </c>
      <c r="N6521" t="s">
        <v>12</v>
      </c>
    </row>
    <row r="6522" spans="1:14" x14ac:dyDescent="0.25">
      <c r="A6522">
        <v>20160610</v>
      </c>
      <c r="B6522" t="str">
        <f t="shared" si="471"/>
        <v>063711</v>
      </c>
      <c r="C6522" t="str">
        <f t="shared" si="472"/>
        <v>09170</v>
      </c>
      <c r="D6522" t="s">
        <v>596</v>
      </c>
      <c r="E6522" s="3">
        <v>300</v>
      </c>
      <c r="F6522">
        <v>20160607</v>
      </c>
      <c r="G6522" t="s">
        <v>1780</v>
      </c>
      <c r="H6522" t="s">
        <v>5452</v>
      </c>
      <c r="I6522">
        <v>0</v>
      </c>
      <c r="J6522" t="s">
        <v>1709</v>
      </c>
      <c r="K6522" t="s">
        <v>1782</v>
      </c>
      <c r="L6522" t="s">
        <v>285</v>
      </c>
      <c r="M6522" t="str">
        <f t="shared" si="468"/>
        <v>06</v>
      </c>
      <c r="N6522" t="s">
        <v>12</v>
      </c>
    </row>
    <row r="6523" spans="1:14" x14ac:dyDescent="0.25">
      <c r="A6523">
        <v>20160610</v>
      </c>
      <c r="B6523" t="str">
        <f t="shared" si="471"/>
        <v>063711</v>
      </c>
      <c r="C6523" t="str">
        <f t="shared" si="472"/>
        <v>09170</v>
      </c>
      <c r="D6523" t="s">
        <v>596</v>
      </c>
      <c r="E6523" s="3">
        <v>81.73</v>
      </c>
      <c r="F6523">
        <v>20160607</v>
      </c>
      <c r="G6523" t="s">
        <v>3013</v>
      </c>
      <c r="H6523" t="s">
        <v>5453</v>
      </c>
      <c r="I6523">
        <v>0</v>
      </c>
      <c r="J6523" t="s">
        <v>1709</v>
      </c>
      <c r="K6523" t="s">
        <v>1984</v>
      </c>
      <c r="L6523" t="s">
        <v>285</v>
      </c>
      <c r="M6523" t="str">
        <f t="shared" si="468"/>
        <v>06</v>
      </c>
      <c r="N6523" t="s">
        <v>12</v>
      </c>
    </row>
    <row r="6524" spans="1:14" x14ac:dyDescent="0.25">
      <c r="A6524">
        <v>20160610</v>
      </c>
      <c r="B6524" t="str">
        <f t="shared" si="471"/>
        <v>063711</v>
      </c>
      <c r="C6524" t="str">
        <f t="shared" si="472"/>
        <v>09170</v>
      </c>
      <c r="D6524" t="s">
        <v>596</v>
      </c>
      <c r="E6524" s="3">
        <v>23.27</v>
      </c>
      <c r="F6524">
        <v>20160607</v>
      </c>
      <c r="G6524" t="s">
        <v>2314</v>
      </c>
      <c r="H6524" t="s">
        <v>5454</v>
      </c>
      <c r="I6524">
        <v>0</v>
      </c>
      <c r="J6524" t="s">
        <v>1709</v>
      </c>
      <c r="K6524" t="s">
        <v>1984</v>
      </c>
      <c r="L6524" t="s">
        <v>285</v>
      </c>
      <c r="M6524" t="str">
        <f t="shared" si="468"/>
        <v>06</v>
      </c>
      <c r="N6524" t="s">
        <v>12</v>
      </c>
    </row>
    <row r="6525" spans="1:14" x14ac:dyDescent="0.25">
      <c r="A6525">
        <v>20160610</v>
      </c>
      <c r="B6525" t="str">
        <f>"063715"</f>
        <v>063715</v>
      </c>
      <c r="C6525" t="str">
        <f>"10040"</f>
        <v>10040</v>
      </c>
      <c r="D6525" t="s">
        <v>2082</v>
      </c>
      <c r="E6525" s="3">
        <v>12.5</v>
      </c>
      <c r="F6525">
        <v>20160607</v>
      </c>
      <c r="G6525" t="s">
        <v>2083</v>
      </c>
      <c r="H6525" t="s">
        <v>5455</v>
      </c>
      <c r="I6525">
        <v>0</v>
      </c>
      <c r="J6525" t="s">
        <v>1709</v>
      </c>
      <c r="K6525" t="s">
        <v>290</v>
      </c>
      <c r="L6525" t="s">
        <v>285</v>
      </c>
      <c r="M6525" t="str">
        <f t="shared" si="468"/>
        <v>06</v>
      </c>
      <c r="N6525" t="s">
        <v>12</v>
      </c>
    </row>
    <row r="6526" spans="1:14" x14ac:dyDescent="0.25">
      <c r="A6526">
        <v>20160610</v>
      </c>
      <c r="B6526" t="str">
        <f>"063715"</f>
        <v>063715</v>
      </c>
      <c r="C6526" t="str">
        <f>"10040"</f>
        <v>10040</v>
      </c>
      <c r="D6526" t="s">
        <v>2082</v>
      </c>
      <c r="E6526" s="3">
        <v>12.5</v>
      </c>
      <c r="F6526">
        <v>20160607</v>
      </c>
      <c r="G6526" t="s">
        <v>2086</v>
      </c>
      <c r="H6526" t="s">
        <v>5455</v>
      </c>
      <c r="I6526">
        <v>0</v>
      </c>
      <c r="J6526" t="s">
        <v>1709</v>
      </c>
      <c r="K6526" t="s">
        <v>95</v>
      </c>
      <c r="L6526" t="s">
        <v>285</v>
      </c>
      <c r="M6526" t="str">
        <f t="shared" si="468"/>
        <v>06</v>
      </c>
      <c r="N6526" t="s">
        <v>12</v>
      </c>
    </row>
    <row r="6527" spans="1:14" x14ac:dyDescent="0.25">
      <c r="A6527">
        <v>20160610</v>
      </c>
      <c r="B6527" t="str">
        <f>"063715"</f>
        <v>063715</v>
      </c>
      <c r="C6527" t="str">
        <f>"10040"</f>
        <v>10040</v>
      </c>
      <c r="D6527" t="s">
        <v>2082</v>
      </c>
      <c r="E6527" s="3">
        <v>12.5</v>
      </c>
      <c r="F6527">
        <v>20160607</v>
      </c>
      <c r="G6527" t="s">
        <v>2087</v>
      </c>
      <c r="H6527" t="s">
        <v>5455</v>
      </c>
      <c r="I6527">
        <v>0</v>
      </c>
      <c r="J6527" t="s">
        <v>1709</v>
      </c>
      <c r="K6527" t="s">
        <v>1643</v>
      </c>
      <c r="L6527" t="s">
        <v>285</v>
      </c>
      <c r="M6527" t="str">
        <f t="shared" si="468"/>
        <v>06</v>
      </c>
      <c r="N6527" t="s">
        <v>12</v>
      </c>
    </row>
    <row r="6528" spans="1:14" x14ac:dyDescent="0.25">
      <c r="A6528">
        <v>20160610</v>
      </c>
      <c r="B6528" t="str">
        <f>"063715"</f>
        <v>063715</v>
      </c>
      <c r="C6528" t="str">
        <f>"10040"</f>
        <v>10040</v>
      </c>
      <c r="D6528" t="s">
        <v>2082</v>
      </c>
      <c r="E6528" s="3">
        <v>12.5</v>
      </c>
      <c r="F6528">
        <v>20160607</v>
      </c>
      <c r="G6528" t="s">
        <v>2088</v>
      </c>
      <c r="H6528" t="s">
        <v>5455</v>
      </c>
      <c r="I6528">
        <v>0</v>
      </c>
      <c r="J6528" t="s">
        <v>1709</v>
      </c>
      <c r="K6528" t="s">
        <v>33</v>
      </c>
      <c r="L6528" t="s">
        <v>285</v>
      </c>
      <c r="M6528" t="str">
        <f t="shared" si="468"/>
        <v>06</v>
      </c>
      <c r="N6528" t="s">
        <v>12</v>
      </c>
    </row>
    <row r="6529" spans="1:14" x14ac:dyDescent="0.25">
      <c r="A6529">
        <v>20160610</v>
      </c>
      <c r="B6529" t="str">
        <f>"063716"</f>
        <v>063716</v>
      </c>
      <c r="C6529" t="str">
        <f>"10063"</f>
        <v>10063</v>
      </c>
      <c r="D6529" t="s">
        <v>1816</v>
      </c>
      <c r="E6529" s="3">
        <v>182.6</v>
      </c>
      <c r="F6529">
        <v>20160607</v>
      </c>
      <c r="G6529" t="s">
        <v>1961</v>
      </c>
      <c r="H6529" t="s">
        <v>5456</v>
      </c>
      <c r="I6529">
        <v>0</v>
      </c>
      <c r="J6529" t="s">
        <v>1709</v>
      </c>
      <c r="K6529" t="s">
        <v>290</v>
      </c>
      <c r="L6529" t="s">
        <v>285</v>
      </c>
      <c r="M6529" t="str">
        <f t="shared" ref="M6529:M6592" si="473">"06"</f>
        <v>06</v>
      </c>
      <c r="N6529" t="s">
        <v>12</v>
      </c>
    </row>
    <row r="6530" spans="1:14" x14ac:dyDescent="0.25">
      <c r="A6530">
        <v>20160610</v>
      </c>
      <c r="B6530" t="str">
        <f>"063717"</f>
        <v>063717</v>
      </c>
      <c r="C6530" t="str">
        <f>"11140"</f>
        <v>11140</v>
      </c>
      <c r="D6530" t="s">
        <v>1817</v>
      </c>
      <c r="E6530" s="3">
        <v>43</v>
      </c>
      <c r="F6530">
        <v>20160608</v>
      </c>
      <c r="G6530" t="s">
        <v>1961</v>
      </c>
      <c r="H6530" t="s">
        <v>4554</v>
      </c>
      <c r="I6530">
        <v>0</v>
      </c>
      <c r="J6530" t="s">
        <v>1709</v>
      </c>
      <c r="K6530" t="s">
        <v>290</v>
      </c>
      <c r="L6530" t="s">
        <v>285</v>
      </c>
      <c r="M6530" t="str">
        <f t="shared" si="473"/>
        <v>06</v>
      </c>
      <c r="N6530" t="s">
        <v>12</v>
      </c>
    </row>
    <row r="6531" spans="1:14" x14ac:dyDescent="0.25">
      <c r="A6531">
        <v>20160610</v>
      </c>
      <c r="B6531" t="str">
        <f>"063717"</f>
        <v>063717</v>
      </c>
      <c r="C6531" t="str">
        <f>"11140"</f>
        <v>11140</v>
      </c>
      <c r="D6531" t="s">
        <v>1817</v>
      </c>
      <c r="E6531" s="3">
        <v>21</v>
      </c>
      <c r="F6531">
        <v>20160608</v>
      </c>
      <c r="G6531" t="s">
        <v>1961</v>
      </c>
      <c r="H6531" t="s">
        <v>4822</v>
      </c>
      <c r="I6531">
        <v>0</v>
      </c>
      <c r="J6531" t="s">
        <v>1709</v>
      </c>
      <c r="K6531" t="s">
        <v>290</v>
      </c>
      <c r="L6531" t="s">
        <v>285</v>
      </c>
      <c r="M6531" t="str">
        <f t="shared" si="473"/>
        <v>06</v>
      </c>
      <c r="N6531" t="s">
        <v>12</v>
      </c>
    </row>
    <row r="6532" spans="1:14" x14ac:dyDescent="0.25">
      <c r="A6532">
        <v>20160610</v>
      </c>
      <c r="B6532" t="str">
        <f>"063717"</f>
        <v>063717</v>
      </c>
      <c r="C6532" t="str">
        <f>"11140"</f>
        <v>11140</v>
      </c>
      <c r="D6532" t="s">
        <v>1817</v>
      </c>
      <c r="E6532" s="3">
        <v>245.54</v>
      </c>
      <c r="F6532">
        <v>20160608</v>
      </c>
      <c r="G6532" t="s">
        <v>1961</v>
      </c>
      <c r="H6532" t="s">
        <v>5457</v>
      </c>
      <c r="I6532">
        <v>0</v>
      </c>
      <c r="J6532" t="s">
        <v>1709</v>
      </c>
      <c r="K6532" t="s">
        <v>290</v>
      </c>
      <c r="L6532" t="s">
        <v>285</v>
      </c>
      <c r="M6532" t="str">
        <f t="shared" si="473"/>
        <v>06</v>
      </c>
      <c r="N6532" t="s">
        <v>12</v>
      </c>
    </row>
    <row r="6533" spans="1:14" x14ac:dyDescent="0.25">
      <c r="A6533">
        <v>20160610</v>
      </c>
      <c r="B6533" t="str">
        <f>"063718"</f>
        <v>063718</v>
      </c>
      <c r="C6533" t="str">
        <f>"21158"</f>
        <v>21158</v>
      </c>
      <c r="D6533" t="s">
        <v>1721</v>
      </c>
      <c r="E6533" s="3">
        <v>35.76</v>
      </c>
      <c r="F6533">
        <v>20160607</v>
      </c>
      <c r="G6533" t="s">
        <v>3204</v>
      </c>
      <c r="H6533" t="s">
        <v>5458</v>
      </c>
      <c r="I6533">
        <v>0</v>
      </c>
      <c r="J6533" t="s">
        <v>1709</v>
      </c>
      <c r="K6533" t="s">
        <v>1643</v>
      </c>
      <c r="L6533" t="s">
        <v>285</v>
      </c>
      <c r="M6533" t="str">
        <f t="shared" si="473"/>
        <v>06</v>
      </c>
      <c r="N6533" t="s">
        <v>12</v>
      </c>
    </row>
    <row r="6534" spans="1:14" x14ac:dyDescent="0.25">
      <c r="A6534">
        <v>20160610</v>
      </c>
      <c r="B6534" t="str">
        <f>"063719"</f>
        <v>063719</v>
      </c>
      <c r="C6534" t="str">
        <f>"11776"</f>
        <v>11776</v>
      </c>
      <c r="D6534" t="s">
        <v>4734</v>
      </c>
      <c r="E6534" s="3">
        <v>1200</v>
      </c>
      <c r="F6534">
        <v>20160607</v>
      </c>
      <c r="G6534" t="s">
        <v>2192</v>
      </c>
      <c r="H6534" t="s">
        <v>5459</v>
      </c>
      <c r="I6534">
        <v>0</v>
      </c>
      <c r="J6534" t="s">
        <v>1709</v>
      </c>
      <c r="K6534" t="s">
        <v>2194</v>
      </c>
      <c r="L6534" t="s">
        <v>285</v>
      </c>
      <c r="M6534" t="str">
        <f t="shared" si="473"/>
        <v>06</v>
      </c>
      <c r="N6534" t="s">
        <v>12</v>
      </c>
    </row>
    <row r="6535" spans="1:14" x14ac:dyDescent="0.25">
      <c r="A6535">
        <v>20160610</v>
      </c>
      <c r="B6535" t="str">
        <f>"063720"</f>
        <v>063720</v>
      </c>
      <c r="C6535" t="str">
        <f>"13165"</f>
        <v>13165</v>
      </c>
      <c r="D6535" t="s">
        <v>2448</v>
      </c>
      <c r="E6535" s="3">
        <v>150</v>
      </c>
      <c r="F6535">
        <v>20160607</v>
      </c>
      <c r="G6535" t="s">
        <v>2449</v>
      </c>
      <c r="H6535" t="s">
        <v>5460</v>
      </c>
      <c r="I6535">
        <v>0</v>
      </c>
      <c r="J6535" t="s">
        <v>1709</v>
      </c>
      <c r="K6535" t="s">
        <v>290</v>
      </c>
      <c r="L6535" t="s">
        <v>285</v>
      </c>
      <c r="M6535" t="str">
        <f t="shared" si="473"/>
        <v>06</v>
      </c>
      <c r="N6535" t="s">
        <v>12</v>
      </c>
    </row>
    <row r="6536" spans="1:14" x14ac:dyDescent="0.25">
      <c r="A6536">
        <v>20160610</v>
      </c>
      <c r="B6536" t="str">
        <f>"063721"</f>
        <v>063721</v>
      </c>
      <c r="C6536" t="str">
        <f>"12379"</f>
        <v>12379</v>
      </c>
      <c r="D6536" t="s">
        <v>5461</v>
      </c>
      <c r="E6536" s="3">
        <v>42.5</v>
      </c>
      <c r="F6536">
        <v>20160607</v>
      </c>
      <c r="G6536" t="s">
        <v>3079</v>
      </c>
      <c r="H6536" t="s">
        <v>5462</v>
      </c>
      <c r="I6536">
        <v>0</v>
      </c>
      <c r="J6536" t="s">
        <v>1709</v>
      </c>
      <c r="K6536" t="s">
        <v>95</v>
      </c>
      <c r="L6536" t="s">
        <v>285</v>
      </c>
      <c r="M6536" t="str">
        <f t="shared" si="473"/>
        <v>06</v>
      </c>
      <c r="N6536" t="s">
        <v>12</v>
      </c>
    </row>
    <row r="6537" spans="1:14" x14ac:dyDescent="0.25">
      <c r="A6537">
        <v>20160610</v>
      </c>
      <c r="B6537" t="str">
        <f>"063725"</f>
        <v>063725</v>
      </c>
      <c r="C6537" t="str">
        <f>"19041"</f>
        <v>19041</v>
      </c>
      <c r="D6537" t="s">
        <v>5463</v>
      </c>
      <c r="E6537" s="3">
        <v>140</v>
      </c>
      <c r="F6537">
        <v>20160607</v>
      </c>
      <c r="G6537" t="s">
        <v>3079</v>
      </c>
      <c r="H6537" t="s">
        <v>5464</v>
      </c>
      <c r="I6537">
        <v>0</v>
      </c>
      <c r="J6537" t="s">
        <v>1709</v>
      </c>
      <c r="K6537" t="s">
        <v>95</v>
      </c>
      <c r="L6537" t="s">
        <v>285</v>
      </c>
      <c r="M6537" t="str">
        <f t="shared" si="473"/>
        <v>06</v>
      </c>
      <c r="N6537" t="s">
        <v>12</v>
      </c>
    </row>
    <row r="6538" spans="1:14" x14ac:dyDescent="0.25">
      <c r="A6538">
        <v>20160610</v>
      </c>
      <c r="B6538" t="str">
        <f>"063725"</f>
        <v>063725</v>
      </c>
      <c r="C6538" t="str">
        <f>"19041"</f>
        <v>19041</v>
      </c>
      <c r="D6538" t="s">
        <v>5463</v>
      </c>
      <c r="E6538" s="3">
        <v>22.09</v>
      </c>
      <c r="F6538">
        <v>20160607</v>
      </c>
      <c r="G6538" t="s">
        <v>3080</v>
      </c>
      <c r="H6538" t="s">
        <v>5464</v>
      </c>
      <c r="I6538">
        <v>0</v>
      </c>
      <c r="J6538" t="s">
        <v>1709</v>
      </c>
      <c r="K6538" t="s">
        <v>1643</v>
      </c>
      <c r="L6538" t="s">
        <v>285</v>
      </c>
      <c r="M6538" t="str">
        <f t="shared" si="473"/>
        <v>06</v>
      </c>
      <c r="N6538" t="s">
        <v>12</v>
      </c>
    </row>
    <row r="6539" spans="1:14" x14ac:dyDescent="0.25">
      <c r="A6539">
        <v>20160610</v>
      </c>
      <c r="B6539" t="str">
        <f>"063725"</f>
        <v>063725</v>
      </c>
      <c r="C6539" t="str">
        <f>"19041"</f>
        <v>19041</v>
      </c>
      <c r="D6539" t="s">
        <v>5463</v>
      </c>
      <c r="E6539" s="3">
        <v>20</v>
      </c>
      <c r="F6539">
        <v>20160607</v>
      </c>
      <c r="G6539" t="s">
        <v>3081</v>
      </c>
      <c r="H6539" t="s">
        <v>5464</v>
      </c>
      <c r="I6539">
        <v>0</v>
      </c>
      <c r="J6539" t="s">
        <v>1709</v>
      </c>
      <c r="K6539" t="s">
        <v>33</v>
      </c>
      <c r="L6539" t="s">
        <v>285</v>
      </c>
      <c r="M6539" t="str">
        <f t="shared" si="473"/>
        <v>06</v>
      </c>
      <c r="N6539" t="s">
        <v>12</v>
      </c>
    </row>
    <row r="6540" spans="1:14" x14ac:dyDescent="0.25">
      <c r="A6540">
        <v>20160610</v>
      </c>
      <c r="B6540" t="str">
        <f>"063726"</f>
        <v>063726</v>
      </c>
      <c r="C6540" t="str">
        <f>"19042"</f>
        <v>19042</v>
      </c>
      <c r="D6540" t="s">
        <v>5465</v>
      </c>
      <c r="E6540" s="3">
        <v>225.33</v>
      </c>
      <c r="F6540">
        <v>20160607</v>
      </c>
      <c r="G6540" t="s">
        <v>5466</v>
      </c>
      <c r="H6540" t="s">
        <v>5467</v>
      </c>
      <c r="I6540">
        <v>0</v>
      </c>
      <c r="J6540" t="s">
        <v>1709</v>
      </c>
      <c r="K6540" t="s">
        <v>33</v>
      </c>
      <c r="L6540" t="s">
        <v>285</v>
      </c>
      <c r="M6540" t="str">
        <f t="shared" si="473"/>
        <v>06</v>
      </c>
      <c r="N6540" t="s">
        <v>12</v>
      </c>
    </row>
    <row r="6541" spans="1:14" x14ac:dyDescent="0.25">
      <c r="A6541">
        <v>20160610</v>
      </c>
      <c r="B6541" t="str">
        <f t="shared" ref="B6541:B6547" si="474">"063730"</f>
        <v>063730</v>
      </c>
      <c r="C6541" t="str">
        <f t="shared" ref="C6541:C6547" si="475">"14821"</f>
        <v>14821</v>
      </c>
      <c r="D6541" t="s">
        <v>2461</v>
      </c>
      <c r="E6541" s="3">
        <v>3233.07</v>
      </c>
      <c r="F6541">
        <v>20160607</v>
      </c>
      <c r="G6541" t="s">
        <v>2303</v>
      </c>
      <c r="H6541" t="s">
        <v>3420</v>
      </c>
      <c r="I6541">
        <v>0</v>
      </c>
      <c r="J6541" t="s">
        <v>1709</v>
      </c>
      <c r="K6541" t="s">
        <v>235</v>
      </c>
      <c r="L6541" t="s">
        <v>285</v>
      </c>
      <c r="M6541" t="str">
        <f t="shared" si="473"/>
        <v>06</v>
      </c>
      <c r="N6541" t="s">
        <v>12</v>
      </c>
    </row>
    <row r="6542" spans="1:14" x14ac:dyDescent="0.25">
      <c r="A6542">
        <v>20160610</v>
      </c>
      <c r="B6542" t="str">
        <f t="shared" si="474"/>
        <v>063730</v>
      </c>
      <c r="C6542" t="str">
        <f t="shared" si="475"/>
        <v>14821</v>
      </c>
      <c r="D6542" t="s">
        <v>2461</v>
      </c>
      <c r="E6542" s="3">
        <v>2365.6</v>
      </c>
      <c r="F6542">
        <v>20160607</v>
      </c>
      <c r="G6542" t="s">
        <v>1758</v>
      </c>
      <c r="H6542" t="s">
        <v>5468</v>
      </c>
      <c r="I6542">
        <v>0</v>
      </c>
      <c r="J6542" t="s">
        <v>1709</v>
      </c>
      <c r="K6542" t="s">
        <v>1643</v>
      </c>
      <c r="L6542" t="s">
        <v>285</v>
      </c>
      <c r="M6542" t="str">
        <f t="shared" si="473"/>
        <v>06</v>
      </c>
      <c r="N6542" t="s">
        <v>12</v>
      </c>
    </row>
    <row r="6543" spans="1:14" x14ac:dyDescent="0.25">
      <c r="A6543">
        <v>20160610</v>
      </c>
      <c r="B6543" t="str">
        <f t="shared" si="474"/>
        <v>063730</v>
      </c>
      <c r="C6543" t="str">
        <f t="shared" si="475"/>
        <v>14821</v>
      </c>
      <c r="D6543" t="s">
        <v>2461</v>
      </c>
      <c r="E6543" s="3">
        <v>1156.3</v>
      </c>
      <c r="F6543">
        <v>20160607</v>
      </c>
      <c r="G6543" t="s">
        <v>1859</v>
      </c>
      <c r="H6543" t="s">
        <v>5253</v>
      </c>
      <c r="I6543">
        <v>0</v>
      </c>
      <c r="J6543" t="s">
        <v>1709</v>
      </c>
      <c r="K6543" t="s">
        <v>1861</v>
      </c>
      <c r="L6543" t="s">
        <v>285</v>
      </c>
      <c r="M6543" t="str">
        <f t="shared" si="473"/>
        <v>06</v>
      </c>
      <c r="N6543" t="s">
        <v>12</v>
      </c>
    </row>
    <row r="6544" spans="1:14" x14ac:dyDescent="0.25">
      <c r="A6544">
        <v>20160610</v>
      </c>
      <c r="B6544" t="str">
        <f t="shared" si="474"/>
        <v>063730</v>
      </c>
      <c r="C6544" t="str">
        <f t="shared" si="475"/>
        <v>14821</v>
      </c>
      <c r="D6544" t="s">
        <v>2461</v>
      </c>
      <c r="E6544" s="3">
        <v>6900</v>
      </c>
      <c r="F6544">
        <v>20160607</v>
      </c>
      <c r="G6544" t="s">
        <v>5469</v>
      </c>
      <c r="H6544" t="s">
        <v>5470</v>
      </c>
      <c r="I6544">
        <v>0</v>
      </c>
      <c r="J6544" t="s">
        <v>1709</v>
      </c>
      <c r="K6544" t="s">
        <v>1861</v>
      </c>
      <c r="L6544" t="s">
        <v>285</v>
      </c>
      <c r="M6544" t="str">
        <f t="shared" si="473"/>
        <v>06</v>
      </c>
      <c r="N6544" t="s">
        <v>12</v>
      </c>
    </row>
    <row r="6545" spans="1:14" x14ac:dyDescent="0.25">
      <c r="A6545">
        <v>20160610</v>
      </c>
      <c r="B6545" t="str">
        <f t="shared" si="474"/>
        <v>063730</v>
      </c>
      <c r="C6545" t="str">
        <f t="shared" si="475"/>
        <v>14821</v>
      </c>
      <c r="D6545" t="s">
        <v>2461</v>
      </c>
      <c r="E6545" s="3">
        <v>5848</v>
      </c>
      <c r="F6545">
        <v>20160607</v>
      </c>
      <c r="G6545" t="s">
        <v>5469</v>
      </c>
      <c r="H6545" t="s">
        <v>5471</v>
      </c>
      <c r="I6545">
        <v>0</v>
      </c>
      <c r="J6545" t="s">
        <v>1709</v>
      </c>
      <c r="K6545" t="s">
        <v>1861</v>
      </c>
      <c r="L6545" t="s">
        <v>285</v>
      </c>
      <c r="M6545" t="str">
        <f t="shared" si="473"/>
        <v>06</v>
      </c>
      <c r="N6545" t="s">
        <v>12</v>
      </c>
    </row>
    <row r="6546" spans="1:14" x14ac:dyDescent="0.25">
      <c r="A6546">
        <v>20160610</v>
      </c>
      <c r="B6546" t="str">
        <f t="shared" si="474"/>
        <v>063730</v>
      </c>
      <c r="C6546" t="str">
        <f t="shared" si="475"/>
        <v>14821</v>
      </c>
      <c r="D6546" t="s">
        <v>2461</v>
      </c>
      <c r="E6546" s="3">
        <v>2456.16</v>
      </c>
      <c r="F6546">
        <v>20160607</v>
      </c>
      <c r="G6546" t="s">
        <v>5469</v>
      </c>
      <c r="H6546" t="s">
        <v>5471</v>
      </c>
      <c r="I6546">
        <v>0</v>
      </c>
      <c r="J6546" t="s">
        <v>1709</v>
      </c>
      <c r="K6546" t="s">
        <v>1861</v>
      </c>
      <c r="L6546" t="s">
        <v>285</v>
      </c>
      <c r="M6546" t="str">
        <f t="shared" si="473"/>
        <v>06</v>
      </c>
      <c r="N6546" t="s">
        <v>12</v>
      </c>
    </row>
    <row r="6547" spans="1:14" x14ac:dyDescent="0.25">
      <c r="A6547">
        <v>20160610</v>
      </c>
      <c r="B6547" t="str">
        <f t="shared" si="474"/>
        <v>063730</v>
      </c>
      <c r="C6547" t="str">
        <f t="shared" si="475"/>
        <v>14821</v>
      </c>
      <c r="D6547" t="s">
        <v>2461</v>
      </c>
      <c r="E6547" s="3">
        <v>467.84</v>
      </c>
      <c r="F6547">
        <v>20160607</v>
      </c>
      <c r="G6547" t="s">
        <v>5469</v>
      </c>
      <c r="H6547" t="s">
        <v>5471</v>
      </c>
      <c r="I6547">
        <v>0</v>
      </c>
      <c r="J6547" t="s">
        <v>1709</v>
      </c>
      <c r="K6547" t="s">
        <v>1861</v>
      </c>
      <c r="L6547" t="s">
        <v>285</v>
      </c>
      <c r="M6547" t="str">
        <f t="shared" si="473"/>
        <v>06</v>
      </c>
      <c r="N6547" t="s">
        <v>12</v>
      </c>
    </row>
    <row r="6548" spans="1:14" x14ac:dyDescent="0.25">
      <c r="A6548">
        <v>20160610</v>
      </c>
      <c r="B6548" t="str">
        <f t="shared" ref="B6548:B6553" si="476">"063732"</f>
        <v>063732</v>
      </c>
      <c r="C6548" t="str">
        <f t="shared" ref="C6548:C6553" si="477">"16807"</f>
        <v>16807</v>
      </c>
      <c r="D6548" t="s">
        <v>1560</v>
      </c>
      <c r="E6548" s="3">
        <v>212.8</v>
      </c>
      <c r="F6548">
        <v>20160607</v>
      </c>
      <c r="G6548" t="s">
        <v>2831</v>
      </c>
      <c r="H6548" t="s">
        <v>5472</v>
      </c>
      <c r="I6548">
        <v>0</v>
      </c>
      <c r="J6548" t="s">
        <v>1709</v>
      </c>
      <c r="K6548" t="s">
        <v>95</v>
      </c>
      <c r="L6548" t="s">
        <v>285</v>
      </c>
      <c r="M6548" t="str">
        <f t="shared" si="473"/>
        <v>06</v>
      </c>
      <c r="N6548" t="s">
        <v>12</v>
      </c>
    </row>
    <row r="6549" spans="1:14" x14ac:dyDescent="0.25">
      <c r="A6549">
        <v>20160610</v>
      </c>
      <c r="B6549" t="str">
        <f t="shared" si="476"/>
        <v>063732</v>
      </c>
      <c r="C6549" t="str">
        <f t="shared" si="477"/>
        <v>16807</v>
      </c>
      <c r="D6549" t="s">
        <v>1560</v>
      </c>
      <c r="E6549" s="3">
        <v>306.44</v>
      </c>
      <c r="F6549">
        <v>20160607</v>
      </c>
      <c r="G6549" t="s">
        <v>2433</v>
      </c>
      <c r="H6549" t="s">
        <v>5473</v>
      </c>
      <c r="I6549">
        <v>0</v>
      </c>
      <c r="J6549" t="s">
        <v>1709</v>
      </c>
      <c r="K6549" t="s">
        <v>290</v>
      </c>
      <c r="L6549" t="s">
        <v>285</v>
      </c>
      <c r="M6549" t="str">
        <f t="shared" si="473"/>
        <v>06</v>
      </c>
      <c r="N6549" t="s">
        <v>12</v>
      </c>
    </row>
    <row r="6550" spans="1:14" x14ac:dyDescent="0.25">
      <c r="A6550">
        <v>20160610</v>
      </c>
      <c r="B6550" t="str">
        <f t="shared" si="476"/>
        <v>063732</v>
      </c>
      <c r="C6550" t="str">
        <f t="shared" si="477"/>
        <v>16807</v>
      </c>
      <c r="D6550" t="s">
        <v>1560</v>
      </c>
      <c r="E6550" s="3">
        <v>745.57</v>
      </c>
      <c r="F6550">
        <v>20160607</v>
      </c>
      <c r="G6550" t="s">
        <v>2433</v>
      </c>
      <c r="H6550" t="s">
        <v>5474</v>
      </c>
      <c r="I6550">
        <v>0</v>
      </c>
      <c r="J6550" t="s">
        <v>1709</v>
      </c>
      <c r="K6550" t="s">
        <v>290</v>
      </c>
      <c r="L6550" t="s">
        <v>285</v>
      </c>
      <c r="M6550" t="str">
        <f t="shared" si="473"/>
        <v>06</v>
      </c>
      <c r="N6550" t="s">
        <v>12</v>
      </c>
    </row>
    <row r="6551" spans="1:14" x14ac:dyDescent="0.25">
      <c r="A6551">
        <v>20160610</v>
      </c>
      <c r="B6551" t="str">
        <f t="shared" si="476"/>
        <v>063732</v>
      </c>
      <c r="C6551" t="str">
        <f t="shared" si="477"/>
        <v>16807</v>
      </c>
      <c r="D6551" t="s">
        <v>1560</v>
      </c>
      <c r="E6551" s="3">
        <v>789.9</v>
      </c>
      <c r="F6551">
        <v>20160607</v>
      </c>
      <c r="G6551" t="s">
        <v>2433</v>
      </c>
      <c r="H6551" t="s">
        <v>5475</v>
      </c>
      <c r="I6551">
        <v>0</v>
      </c>
      <c r="J6551" t="s">
        <v>1709</v>
      </c>
      <c r="K6551" t="s">
        <v>290</v>
      </c>
      <c r="L6551" t="s">
        <v>285</v>
      </c>
      <c r="M6551" t="str">
        <f t="shared" si="473"/>
        <v>06</v>
      </c>
      <c r="N6551" t="s">
        <v>12</v>
      </c>
    </row>
    <row r="6552" spans="1:14" x14ac:dyDescent="0.25">
      <c r="A6552">
        <v>20160610</v>
      </c>
      <c r="B6552" t="str">
        <f t="shared" si="476"/>
        <v>063732</v>
      </c>
      <c r="C6552" t="str">
        <f t="shared" si="477"/>
        <v>16807</v>
      </c>
      <c r="D6552" t="s">
        <v>1560</v>
      </c>
      <c r="E6552" s="3">
        <v>143.26</v>
      </c>
      <c r="F6552">
        <v>20160607</v>
      </c>
      <c r="G6552" t="s">
        <v>2433</v>
      </c>
      <c r="H6552" t="s">
        <v>5476</v>
      </c>
      <c r="I6552">
        <v>0</v>
      </c>
      <c r="J6552" t="s">
        <v>1709</v>
      </c>
      <c r="K6552" t="s">
        <v>290</v>
      </c>
      <c r="L6552" t="s">
        <v>285</v>
      </c>
      <c r="M6552" t="str">
        <f t="shared" si="473"/>
        <v>06</v>
      </c>
      <c r="N6552" t="s">
        <v>12</v>
      </c>
    </row>
    <row r="6553" spans="1:14" x14ac:dyDescent="0.25">
      <c r="A6553">
        <v>20160610</v>
      </c>
      <c r="B6553" t="str">
        <f t="shared" si="476"/>
        <v>063732</v>
      </c>
      <c r="C6553" t="str">
        <f t="shared" si="477"/>
        <v>16807</v>
      </c>
      <c r="D6553" t="s">
        <v>1560</v>
      </c>
      <c r="E6553" s="3">
        <v>298.32</v>
      </c>
      <c r="F6553">
        <v>20160607</v>
      </c>
      <c r="G6553" t="s">
        <v>2433</v>
      </c>
      <c r="H6553" t="s">
        <v>5477</v>
      </c>
      <c r="I6553">
        <v>0</v>
      </c>
      <c r="J6553" t="s">
        <v>1709</v>
      </c>
      <c r="K6553" t="s">
        <v>290</v>
      </c>
      <c r="L6553" t="s">
        <v>285</v>
      </c>
      <c r="M6553" t="str">
        <f t="shared" si="473"/>
        <v>06</v>
      </c>
      <c r="N6553" t="s">
        <v>12</v>
      </c>
    </row>
    <row r="6554" spans="1:14" x14ac:dyDescent="0.25">
      <c r="A6554">
        <v>20160610</v>
      </c>
      <c r="B6554" t="str">
        <f t="shared" ref="B6554:B6561" si="478">"063735"</f>
        <v>063735</v>
      </c>
      <c r="C6554" t="str">
        <f t="shared" ref="C6554:C6561" si="479">"20683"</f>
        <v>20683</v>
      </c>
      <c r="D6554" t="s">
        <v>1818</v>
      </c>
      <c r="E6554" s="3">
        <v>52.54</v>
      </c>
      <c r="F6554">
        <v>20160607</v>
      </c>
      <c r="G6554" t="s">
        <v>2469</v>
      </c>
      <c r="H6554" t="s">
        <v>5478</v>
      </c>
      <c r="I6554">
        <v>0</v>
      </c>
      <c r="J6554" t="s">
        <v>1709</v>
      </c>
      <c r="K6554" t="s">
        <v>290</v>
      </c>
      <c r="L6554" t="s">
        <v>285</v>
      </c>
      <c r="M6554" t="str">
        <f t="shared" si="473"/>
        <v>06</v>
      </c>
      <c r="N6554" t="s">
        <v>12</v>
      </c>
    </row>
    <row r="6555" spans="1:14" x14ac:dyDescent="0.25">
      <c r="A6555">
        <v>20160610</v>
      </c>
      <c r="B6555" t="str">
        <f t="shared" si="478"/>
        <v>063735</v>
      </c>
      <c r="C6555" t="str">
        <f t="shared" si="479"/>
        <v>20683</v>
      </c>
      <c r="D6555" t="s">
        <v>1818</v>
      </c>
      <c r="E6555" s="3">
        <v>47.54</v>
      </c>
      <c r="F6555">
        <v>20160607</v>
      </c>
      <c r="G6555" t="s">
        <v>2469</v>
      </c>
      <c r="H6555" t="s">
        <v>5479</v>
      </c>
      <c r="I6555">
        <v>0</v>
      </c>
      <c r="J6555" t="s">
        <v>1709</v>
      </c>
      <c r="K6555" t="s">
        <v>290</v>
      </c>
      <c r="L6555" t="s">
        <v>285</v>
      </c>
      <c r="M6555" t="str">
        <f t="shared" si="473"/>
        <v>06</v>
      </c>
      <c r="N6555" t="s">
        <v>12</v>
      </c>
    </row>
    <row r="6556" spans="1:14" x14ac:dyDescent="0.25">
      <c r="A6556">
        <v>20160610</v>
      </c>
      <c r="B6556" t="str">
        <f t="shared" si="478"/>
        <v>063735</v>
      </c>
      <c r="C6556" t="str">
        <f t="shared" si="479"/>
        <v>20683</v>
      </c>
      <c r="D6556" t="s">
        <v>1818</v>
      </c>
      <c r="E6556" s="3">
        <v>91.15</v>
      </c>
      <c r="F6556">
        <v>20160607</v>
      </c>
      <c r="G6556" t="s">
        <v>2469</v>
      </c>
      <c r="H6556" t="s">
        <v>5480</v>
      </c>
      <c r="I6556">
        <v>0</v>
      </c>
      <c r="J6556" t="s">
        <v>1709</v>
      </c>
      <c r="K6556" t="s">
        <v>290</v>
      </c>
      <c r="L6556" t="s">
        <v>285</v>
      </c>
      <c r="M6556" t="str">
        <f t="shared" si="473"/>
        <v>06</v>
      </c>
      <c r="N6556" t="s">
        <v>12</v>
      </c>
    </row>
    <row r="6557" spans="1:14" x14ac:dyDescent="0.25">
      <c r="A6557">
        <v>20160610</v>
      </c>
      <c r="B6557" t="str">
        <f t="shared" si="478"/>
        <v>063735</v>
      </c>
      <c r="C6557" t="str">
        <f t="shared" si="479"/>
        <v>20683</v>
      </c>
      <c r="D6557" t="s">
        <v>1818</v>
      </c>
      <c r="E6557" s="3">
        <v>47.54</v>
      </c>
      <c r="F6557">
        <v>20160607</v>
      </c>
      <c r="G6557" t="s">
        <v>2469</v>
      </c>
      <c r="H6557" t="s">
        <v>5481</v>
      </c>
      <c r="I6557">
        <v>0</v>
      </c>
      <c r="J6557" t="s">
        <v>1709</v>
      </c>
      <c r="K6557" t="s">
        <v>290</v>
      </c>
      <c r="L6557" t="s">
        <v>285</v>
      </c>
      <c r="M6557" t="str">
        <f t="shared" si="473"/>
        <v>06</v>
      </c>
      <c r="N6557" t="s">
        <v>12</v>
      </c>
    </row>
    <row r="6558" spans="1:14" x14ac:dyDescent="0.25">
      <c r="A6558">
        <v>20160610</v>
      </c>
      <c r="B6558" t="str">
        <f t="shared" si="478"/>
        <v>063735</v>
      </c>
      <c r="C6558" t="str">
        <f t="shared" si="479"/>
        <v>20683</v>
      </c>
      <c r="D6558" t="s">
        <v>1818</v>
      </c>
      <c r="E6558" s="3">
        <v>7.45</v>
      </c>
      <c r="F6558">
        <v>20160607</v>
      </c>
      <c r="G6558" t="s">
        <v>2333</v>
      </c>
      <c r="H6558" t="s">
        <v>5478</v>
      </c>
      <c r="I6558">
        <v>0</v>
      </c>
      <c r="J6558" t="s">
        <v>1709</v>
      </c>
      <c r="K6558" t="s">
        <v>290</v>
      </c>
      <c r="L6558" t="s">
        <v>285</v>
      </c>
      <c r="M6558" t="str">
        <f t="shared" si="473"/>
        <v>06</v>
      </c>
      <c r="N6558" t="s">
        <v>12</v>
      </c>
    </row>
    <row r="6559" spans="1:14" x14ac:dyDescent="0.25">
      <c r="A6559">
        <v>20160610</v>
      </c>
      <c r="B6559" t="str">
        <f t="shared" si="478"/>
        <v>063735</v>
      </c>
      <c r="C6559" t="str">
        <f t="shared" si="479"/>
        <v>20683</v>
      </c>
      <c r="D6559" t="s">
        <v>1818</v>
      </c>
      <c r="E6559" s="3">
        <v>12.45</v>
      </c>
      <c r="F6559">
        <v>20160607</v>
      </c>
      <c r="G6559" t="s">
        <v>2333</v>
      </c>
      <c r="H6559" t="s">
        <v>5479</v>
      </c>
      <c r="I6559">
        <v>0</v>
      </c>
      <c r="J6559" t="s">
        <v>1709</v>
      </c>
      <c r="K6559" t="s">
        <v>290</v>
      </c>
      <c r="L6559" t="s">
        <v>285</v>
      </c>
      <c r="M6559" t="str">
        <f t="shared" si="473"/>
        <v>06</v>
      </c>
      <c r="N6559" t="s">
        <v>12</v>
      </c>
    </row>
    <row r="6560" spans="1:14" x14ac:dyDescent="0.25">
      <c r="A6560">
        <v>20160610</v>
      </c>
      <c r="B6560" t="str">
        <f t="shared" si="478"/>
        <v>063735</v>
      </c>
      <c r="C6560" t="str">
        <f t="shared" si="479"/>
        <v>20683</v>
      </c>
      <c r="D6560" t="s">
        <v>1818</v>
      </c>
      <c r="E6560" s="3">
        <v>12.44</v>
      </c>
      <c r="F6560">
        <v>20160607</v>
      </c>
      <c r="G6560" t="s">
        <v>2333</v>
      </c>
      <c r="H6560" t="s">
        <v>5480</v>
      </c>
      <c r="I6560">
        <v>0</v>
      </c>
      <c r="J6560" t="s">
        <v>1709</v>
      </c>
      <c r="K6560" t="s">
        <v>290</v>
      </c>
      <c r="L6560" t="s">
        <v>285</v>
      </c>
      <c r="M6560" t="str">
        <f t="shared" si="473"/>
        <v>06</v>
      </c>
      <c r="N6560" t="s">
        <v>12</v>
      </c>
    </row>
    <row r="6561" spans="1:14" x14ac:dyDescent="0.25">
      <c r="A6561">
        <v>20160610</v>
      </c>
      <c r="B6561" t="str">
        <f t="shared" si="478"/>
        <v>063735</v>
      </c>
      <c r="C6561" t="str">
        <f t="shared" si="479"/>
        <v>20683</v>
      </c>
      <c r="D6561" t="s">
        <v>1818</v>
      </c>
      <c r="E6561" s="3">
        <v>12.45</v>
      </c>
      <c r="F6561">
        <v>20160607</v>
      </c>
      <c r="G6561" t="s">
        <v>2333</v>
      </c>
      <c r="H6561" t="s">
        <v>5481</v>
      </c>
      <c r="I6561">
        <v>0</v>
      </c>
      <c r="J6561" t="s">
        <v>1709</v>
      </c>
      <c r="K6561" t="s">
        <v>290</v>
      </c>
      <c r="L6561" t="s">
        <v>285</v>
      </c>
      <c r="M6561" t="str">
        <f t="shared" si="473"/>
        <v>06</v>
      </c>
      <c r="N6561" t="s">
        <v>12</v>
      </c>
    </row>
    <row r="6562" spans="1:14" x14ac:dyDescent="0.25">
      <c r="A6562">
        <v>20160610</v>
      </c>
      <c r="B6562" t="str">
        <f t="shared" ref="B6562:B6574" si="480">"063736"</f>
        <v>063736</v>
      </c>
      <c r="C6562" t="str">
        <f t="shared" ref="C6562:C6574" si="481">"20706"</f>
        <v>20706</v>
      </c>
      <c r="D6562" t="s">
        <v>1823</v>
      </c>
      <c r="E6562" s="3">
        <v>11110.63</v>
      </c>
      <c r="F6562">
        <v>20160607</v>
      </c>
      <c r="G6562" t="s">
        <v>2235</v>
      </c>
      <c r="H6562" t="s">
        <v>5482</v>
      </c>
      <c r="I6562">
        <v>0</v>
      </c>
      <c r="J6562" t="s">
        <v>1709</v>
      </c>
      <c r="K6562" t="s">
        <v>290</v>
      </c>
      <c r="L6562" t="s">
        <v>285</v>
      </c>
      <c r="M6562" t="str">
        <f t="shared" si="473"/>
        <v>06</v>
      </c>
      <c r="N6562" t="s">
        <v>12</v>
      </c>
    </row>
    <row r="6563" spans="1:14" x14ac:dyDescent="0.25">
      <c r="A6563">
        <v>20160610</v>
      </c>
      <c r="B6563" t="str">
        <f t="shared" si="480"/>
        <v>063736</v>
      </c>
      <c r="C6563" t="str">
        <f t="shared" si="481"/>
        <v>20706</v>
      </c>
      <c r="D6563" t="s">
        <v>1823</v>
      </c>
      <c r="E6563" s="3">
        <v>68.540000000000006</v>
      </c>
      <c r="F6563">
        <v>20160607</v>
      </c>
      <c r="G6563" t="s">
        <v>2237</v>
      </c>
      <c r="H6563" t="s">
        <v>5483</v>
      </c>
      <c r="I6563">
        <v>0</v>
      </c>
      <c r="J6563" t="s">
        <v>1709</v>
      </c>
      <c r="K6563" t="s">
        <v>1558</v>
      </c>
      <c r="L6563" t="s">
        <v>285</v>
      </c>
      <c r="M6563" t="str">
        <f t="shared" si="473"/>
        <v>06</v>
      </c>
      <c r="N6563" t="s">
        <v>12</v>
      </c>
    </row>
    <row r="6564" spans="1:14" x14ac:dyDescent="0.25">
      <c r="A6564">
        <v>20160610</v>
      </c>
      <c r="B6564" t="str">
        <f t="shared" si="480"/>
        <v>063736</v>
      </c>
      <c r="C6564" t="str">
        <f t="shared" si="481"/>
        <v>20706</v>
      </c>
      <c r="D6564" t="s">
        <v>1823</v>
      </c>
      <c r="E6564" s="3">
        <v>799.67</v>
      </c>
      <c r="F6564">
        <v>20160607</v>
      </c>
      <c r="G6564" t="s">
        <v>2239</v>
      </c>
      <c r="H6564" t="s">
        <v>5484</v>
      </c>
      <c r="I6564">
        <v>0</v>
      </c>
      <c r="J6564" t="s">
        <v>1709</v>
      </c>
      <c r="K6564" t="s">
        <v>95</v>
      </c>
      <c r="L6564" t="s">
        <v>285</v>
      </c>
      <c r="M6564" t="str">
        <f t="shared" si="473"/>
        <v>06</v>
      </c>
      <c r="N6564" t="s">
        <v>12</v>
      </c>
    </row>
    <row r="6565" spans="1:14" x14ac:dyDescent="0.25">
      <c r="A6565">
        <v>20160610</v>
      </c>
      <c r="B6565" t="str">
        <f t="shared" si="480"/>
        <v>063736</v>
      </c>
      <c r="C6565" t="str">
        <f t="shared" si="481"/>
        <v>20706</v>
      </c>
      <c r="D6565" t="s">
        <v>1823</v>
      </c>
      <c r="E6565" s="3">
        <v>4174.7299999999996</v>
      </c>
      <c r="F6565">
        <v>20160607</v>
      </c>
      <c r="G6565" t="s">
        <v>2241</v>
      </c>
      <c r="H6565" t="s">
        <v>5485</v>
      </c>
      <c r="I6565">
        <v>0</v>
      </c>
      <c r="J6565" t="s">
        <v>1709</v>
      </c>
      <c r="K6565" t="s">
        <v>1643</v>
      </c>
      <c r="L6565" t="s">
        <v>285</v>
      </c>
      <c r="M6565" t="str">
        <f t="shared" si="473"/>
        <v>06</v>
      </c>
      <c r="N6565" t="s">
        <v>12</v>
      </c>
    </row>
    <row r="6566" spans="1:14" x14ac:dyDescent="0.25">
      <c r="A6566">
        <v>20160610</v>
      </c>
      <c r="B6566" t="str">
        <f t="shared" si="480"/>
        <v>063736</v>
      </c>
      <c r="C6566" t="str">
        <f t="shared" si="481"/>
        <v>20706</v>
      </c>
      <c r="D6566" t="s">
        <v>1823</v>
      </c>
      <c r="E6566" s="3">
        <v>1753.19</v>
      </c>
      <c r="F6566">
        <v>20160607</v>
      </c>
      <c r="G6566" t="s">
        <v>2243</v>
      </c>
      <c r="H6566" t="s">
        <v>5486</v>
      </c>
      <c r="I6566">
        <v>0</v>
      </c>
      <c r="J6566" t="s">
        <v>1709</v>
      </c>
      <c r="K6566" t="s">
        <v>33</v>
      </c>
      <c r="L6566" t="s">
        <v>285</v>
      </c>
      <c r="M6566" t="str">
        <f t="shared" si="473"/>
        <v>06</v>
      </c>
      <c r="N6566" t="s">
        <v>12</v>
      </c>
    </row>
    <row r="6567" spans="1:14" x14ac:dyDescent="0.25">
      <c r="A6567">
        <v>20160610</v>
      </c>
      <c r="B6567" t="str">
        <f t="shared" si="480"/>
        <v>063736</v>
      </c>
      <c r="C6567" t="str">
        <f t="shared" si="481"/>
        <v>20706</v>
      </c>
      <c r="D6567" t="s">
        <v>1823</v>
      </c>
      <c r="E6567" s="3">
        <v>473.03</v>
      </c>
      <c r="F6567">
        <v>20160607</v>
      </c>
      <c r="G6567" t="s">
        <v>2245</v>
      </c>
      <c r="H6567" t="s">
        <v>5487</v>
      </c>
      <c r="I6567">
        <v>0</v>
      </c>
      <c r="J6567" t="s">
        <v>1709</v>
      </c>
      <c r="K6567" t="s">
        <v>2247</v>
      </c>
      <c r="L6567" t="s">
        <v>285</v>
      </c>
      <c r="M6567" t="str">
        <f t="shared" si="473"/>
        <v>06</v>
      </c>
      <c r="N6567" t="s">
        <v>12</v>
      </c>
    </row>
    <row r="6568" spans="1:14" x14ac:dyDescent="0.25">
      <c r="A6568">
        <v>20160610</v>
      </c>
      <c r="B6568" t="str">
        <f t="shared" si="480"/>
        <v>063736</v>
      </c>
      <c r="C6568" t="str">
        <f t="shared" si="481"/>
        <v>20706</v>
      </c>
      <c r="D6568" t="s">
        <v>1823</v>
      </c>
      <c r="E6568" s="3">
        <v>99.63</v>
      </c>
      <c r="F6568">
        <v>20160607</v>
      </c>
      <c r="G6568" t="s">
        <v>2248</v>
      </c>
      <c r="H6568" t="s">
        <v>5488</v>
      </c>
      <c r="I6568">
        <v>0</v>
      </c>
      <c r="J6568" t="s">
        <v>1709</v>
      </c>
      <c r="K6568" t="s">
        <v>1861</v>
      </c>
      <c r="L6568" t="s">
        <v>285</v>
      </c>
      <c r="M6568" t="str">
        <f t="shared" si="473"/>
        <v>06</v>
      </c>
      <c r="N6568" t="s">
        <v>12</v>
      </c>
    </row>
    <row r="6569" spans="1:14" x14ac:dyDescent="0.25">
      <c r="A6569">
        <v>20160610</v>
      </c>
      <c r="B6569" t="str">
        <f t="shared" si="480"/>
        <v>063736</v>
      </c>
      <c r="C6569" t="str">
        <f t="shared" si="481"/>
        <v>20706</v>
      </c>
      <c r="D6569" t="s">
        <v>1823</v>
      </c>
      <c r="E6569" s="3">
        <v>7649.14</v>
      </c>
      <c r="F6569">
        <v>20160607</v>
      </c>
      <c r="G6569" t="s">
        <v>2250</v>
      </c>
      <c r="H6569" t="s">
        <v>5489</v>
      </c>
      <c r="I6569">
        <v>0</v>
      </c>
      <c r="J6569" t="s">
        <v>1709</v>
      </c>
      <c r="K6569" t="s">
        <v>2252</v>
      </c>
      <c r="L6569" t="s">
        <v>285</v>
      </c>
      <c r="M6569" t="str">
        <f t="shared" si="473"/>
        <v>06</v>
      </c>
      <c r="N6569" t="s">
        <v>12</v>
      </c>
    </row>
    <row r="6570" spans="1:14" x14ac:dyDescent="0.25">
      <c r="A6570">
        <v>20160610</v>
      </c>
      <c r="B6570" t="str">
        <f t="shared" si="480"/>
        <v>063736</v>
      </c>
      <c r="C6570" t="str">
        <f t="shared" si="481"/>
        <v>20706</v>
      </c>
      <c r="D6570" t="s">
        <v>1823</v>
      </c>
      <c r="E6570" s="3">
        <v>1385.38</v>
      </c>
      <c r="F6570">
        <v>20160607</v>
      </c>
      <c r="G6570" t="s">
        <v>2253</v>
      </c>
      <c r="H6570" t="s">
        <v>5490</v>
      </c>
      <c r="I6570">
        <v>0</v>
      </c>
      <c r="J6570" t="s">
        <v>1709</v>
      </c>
      <c r="K6570" t="s">
        <v>290</v>
      </c>
      <c r="L6570" t="s">
        <v>285</v>
      </c>
      <c r="M6570" t="str">
        <f t="shared" si="473"/>
        <v>06</v>
      </c>
      <c r="N6570" t="s">
        <v>12</v>
      </c>
    </row>
    <row r="6571" spans="1:14" x14ac:dyDescent="0.25">
      <c r="A6571">
        <v>20160610</v>
      </c>
      <c r="B6571" t="str">
        <f t="shared" si="480"/>
        <v>063736</v>
      </c>
      <c r="C6571" t="str">
        <f t="shared" si="481"/>
        <v>20706</v>
      </c>
      <c r="D6571" t="s">
        <v>1823</v>
      </c>
      <c r="E6571" s="3">
        <v>226.46</v>
      </c>
      <c r="F6571">
        <v>20160607</v>
      </c>
      <c r="G6571" t="s">
        <v>2255</v>
      </c>
      <c r="H6571" t="s">
        <v>5491</v>
      </c>
      <c r="I6571">
        <v>0</v>
      </c>
      <c r="J6571" t="s">
        <v>1709</v>
      </c>
      <c r="K6571" t="s">
        <v>95</v>
      </c>
      <c r="L6571" t="s">
        <v>285</v>
      </c>
      <c r="M6571" t="str">
        <f t="shared" si="473"/>
        <v>06</v>
      </c>
      <c r="N6571" t="s">
        <v>12</v>
      </c>
    </row>
    <row r="6572" spans="1:14" x14ac:dyDescent="0.25">
      <c r="A6572">
        <v>20160610</v>
      </c>
      <c r="B6572" t="str">
        <f t="shared" si="480"/>
        <v>063736</v>
      </c>
      <c r="C6572" t="str">
        <f t="shared" si="481"/>
        <v>20706</v>
      </c>
      <c r="D6572" t="s">
        <v>1823</v>
      </c>
      <c r="E6572" s="3">
        <v>280.99</v>
      </c>
      <c r="F6572">
        <v>20160607</v>
      </c>
      <c r="G6572" t="s">
        <v>2257</v>
      </c>
      <c r="H6572" t="s">
        <v>5492</v>
      </c>
      <c r="I6572">
        <v>0</v>
      </c>
      <c r="J6572" t="s">
        <v>1709</v>
      </c>
      <c r="K6572" t="s">
        <v>1643</v>
      </c>
      <c r="L6572" t="s">
        <v>285</v>
      </c>
      <c r="M6572" t="str">
        <f t="shared" si="473"/>
        <v>06</v>
      </c>
      <c r="N6572" t="s">
        <v>12</v>
      </c>
    </row>
    <row r="6573" spans="1:14" x14ac:dyDescent="0.25">
      <c r="A6573">
        <v>20160610</v>
      </c>
      <c r="B6573" t="str">
        <f t="shared" si="480"/>
        <v>063736</v>
      </c>
      <c r="C6573" t="str">
        <f t="shared" si="481"/>
        <v>20706</v>
      </c>
      <c r="D6573" t="s">
        <v>1823</v>
      </c>
      <c r="E6573" s="3">
        <v>148.56</v>
      </c>
      <c r="F6573">
        <v>20160607</v>
      </c>
      <c r="G6573" t="s">
        <v>2259</v>
      </c>
      <c r="H6573" t="s">
        <v>5493</v>
      </c>
      <c r="I6573">
        <v>0</v>
      </c>
      <c r="J6573" t="s">
        <v>1709</v>
      </c>
      <c r="K6573" t="s">
        <v>33</v>
      </c>
      <c r="L6573" t="s">
        <v>285</v>
      </c>
      <c r="M6573" t="str">
        <f t="shared" si="473"/>
        <v>06</v>
      </c>
      <c r="N6573" t="s">
        <v>12</v>
      </c>
    </row>
    <row r="6574" spans="1:14" x14ac:dyDescent="0.25">
      <c r="A6574">
        <v>20160610</v>
      </c>
      <c r="B6574" t="str">
        <f t="shared" si="480"/>
        <v>063736</v>
      </c>
      <c r="C6574" t="str">
        <f t="shared" si="481"/>
        <v>20706</v>
      </c>
      <c r="D6574" t="s">
        <v>1823</v>
      </c>
      <c r="E6574" s="3">
        <v>132.97999999999999</v>
      </c>
      <c r="F6574">
        <v>20160607</v>
      </c>
      <c r="G6574" t="s">
        <v>4361</v>
      </c>
      <c r="H6574" t="s">
        <v>5494</v>
      </c>
      <c r="I6574">
        <v>0</v>
      </c>
      <c r="J6574" t="s">
        <v>1709</v>
      </c>
      <c r="K6574" t="s">
        <v>290</v>
      </c>
      <c r="L6574" t="s">
        <v>285</v>
      </c>
      <c r="M6574" t="str">
        <f t="shared" si="473"/>
        <v>06</v>
      </c>
      <c r="N6574" t="s">
        <v>12</v>
      </c>
    </row>
    <row r="6575" spans="1:14" x14ac:dyDescent="0.25">
      <c r="A6575">
        <v>20160610</v>
      </c>
      <c r="B6575" t="str">
        <f>"063737"</f>
        <v>063737</v>
      </c>
      <c r="C6575" t="str">
        <f>"21098"</f>
        <v>21098</v>
      </c>
      <c r="D6575" t="s">
        <v>2261</v>
      </c>
      <c r="E6575" s="3">
        <v>52.24</v>
      </c>
      <c r="F6575">
        <v>20160607</v>
      </c>
      <c r="G6575" t="s">
        <v>5343</v>
      </c>
      <c r="H6575" t="s">
        <v>5495</v>
      </c>
      <c r="I6575">
        <v>0</v>
      </c>
      <c r="J6575" t="s">
        <v>1709</v>
      </c>
      <c r="K6575" t="s">
        <v>95</v>
      </c>
      <c r="L6575" t="s">
        <v>285</v>
      </c>
      <c r="M6575" t="str">
        <f t="shared" si="473"/>
        <v>06</v>
      </c>
      <c r="N6575" t="s">
        <v>12</v>
      </c>
    </row>
    <row r="6576" spans="1:14" x14ac:dyDescent="0.25">
      <c r="A6576">
        <v>20160610</v>
      </c>
      <c r="B6576" t="str">
        <f>"063737"</f>
        <v>063737</v>
      </c>
      <c r="C6576" t="str">
        <f>"21098"</f>
        <v>21098</v>
      </c>
      <c r="D6576" t="s">
        <v>2261</v>
      </c>
      <c r="E6576" s="3">
        <v>1760</v>
      </c>
      <c r="F6576">
        <v>20160607</v>
      </c>
      <c r="G6576" t="s">
        <v>1758</v>
      </c>
      <c r="H6576" t="s">
        <v>5496</v>
      </c>
      <c r="I6576">
        <v>0</v>
      </c>
      <c r="J6576" t="s">
        <v>1709</v>
      </c>
      <c r="K6576" t="s">
        <v>1643</v>
      </c>
      <c r="L6576" t="s">
        <v>285</v>
      </c>
      <c r="M6576" t="str">
        <f t="shared" si="473"/>
        <v>06</v>
      </c>
      <c r="N6576" t="s">
        <v>12</v>
      </c>
    </row>
    <row r="6577" spans="1:14" x14ac:dyDescent="0.25">
      <c r="A6577">
        <v>20160610</v>
      </c>
      <c r="B6577" t="str">
        <f>"063737"</f>
        <v>063737</v>
      </c>
      <c r="C6577" t="str">
        <f>"21098"</f>
        <v>21098</v>
      </c>
      <c r="D6577" t="s">
        <v>2261</v>
      </c>
      <c r="E6577" s="3">
        <v>600.27</v>
      </c>
      <c r="F6577">
        <v>20160607</v>
      </c>
      <c r="G6577" t="s">
        <v>1758</v>
      </c>
      <c r="H6577" t="s">
        <v>595</v>
      </c>
      <c r="I6577">
        <v>0</v>
      </c>
      <c r="J6577" t="s">
        <v>1709</v>
      </c>
      <c r="K6577" t="s">
        <v>1643</v>
      </c>
      <c r="L6577" t="s">
        <v>285</v>
      </c>
      <c r="M6577" t="str">
        <f t="shared" si="473"/>
        <v>06</v>
      </c>
      <c r="N6577" t="s">
        <v>12</v>
      </c>
    </row>
    <row r="6578" spans="1:14" x14ac:dyDescent="0.25">
      <c r="A6578">
        <v>20160610</v>
      </c>
      <c r="B6578" t="str">
        <f>"063737"</f>
        <v>063737</v>
      </c>
      <c r="C6578" t="str">
        <f>"21098"</f>
        <v>21098</v>
      </c>
      <c r="D6578" t="s">
        <v>2261</v>
      </c>
      <c r="E6578" s="3">
        <v>115.77</v>
      </c>
      <c r="F6578">
        <v>20160607</v>
      </c>
      <c r="G6578" t="s">
        <v>2384</v>
      </c>
      <c r="H6578" t="s">
        <v>5497</v>
      </c>
      <c r="I6578">
        <v>0</v>
      </c>
      <c r="J6578" t="s">
        <v>1709</v>
      </c>
      <c r="K6578" t="s">
        <v>33</v>
      </c>
      <c r="L6578" t="s">
        <v>285</v>
      </c>
      <c r="M6578" t="str">
        <f t="shared" si="473"/>
        <v>06</v>
      </c>
      <c r="N6578" t="s">
        <v>12</v>
      </c>
    </row>
    <row r="6579" spans="1:14" x14ac:dyDescent="0.25">
      <c r="A6579">
        <v>20160610</v>
      </c>
      <c r="B6579" t="str">
        <f>"063738"</f>
        <v>063738</v>
      </c>
      <c r="C6579" t="str">
        <f>"21132"</f>
        <v>21132</v>
      </c>
      <c r="D6579" t="s">
        <v>5498</v>
      </c>
      <c r="E6579" s="3">
        <v>24.34</v>
      </c>
      <c r="F6579">
        <v>20160607</v>
      </c>
      <c r="G6579" t="s">
        <v>3850</v>
      </c>
      <c r="H6579" t="s">
        <v>5499</v>
      </c>
      <c r="I6579">
        <v>0</v>
      </c>
      <c r="J6579" t="s">
        <v>1709</v>
      </c>
      <c r="K6579" t="s">
        <v>2194</v>
      </c>
      <c r="L6579" t="s">
        <v>285</v>
      </c>
      <c r="M6579" t="str">
        <f t="shared" si="473"/>
        <v>06</v>
      </c>
      <c r="N6579" t="s">
        <v>12</v>
      </c>
    </row>
    <row r="6580" spans="1:14" x14ac:dyDescent="0.25">
      <c r="A6580">
        <v>20160610</v>
      </c>
      <c r="B6580" t="str">
        <f>"063742"</f>
        <v>063742</v>
      </c>
      <c r="C6580" t="str">
        <f>"21860"</f>
        <v>21860</v>
      </c>
      <c r="D6580" t="s">
        <v>1838</v>
      </c>
      <c r="E6580" s="3">
        <v>326.60000000000002</v>
      </c>
      <c r="F6580">
        <v>20160607</v>
      </c>
      <c r="G6580" t="s">
        <v>2049</v>
      </c>
      <c r="H6580" t="s">
        <v>5500</v>
      </c>
      <c r="I6580">
        <v>0</v>
      </c>
      <c r="J6580" t="s">
        <v>1709</v>
      </c>
      <c r="K6580" t="s">
        <v>1775</v>
      </c>
      <c r="L6580" t="s">
        <v>285</v>
      </c>
      <c r="M6580" t="str">
        <f t="shared" si="473"/>
        <v>06</v>
      </c>
      <c r="N6580" t="s">
        <v>12</v>
      </c>
    </row>
    <row r="6581" spans="1:14" x14ac:dyDescent="0.25">
      <c r="A6581">
        <v>20160610</v>
      </c>
      <c r="B6581" t="str">
        <f>"063745"</f>
        <v>063745</v>
      </c>
      <c r="C6581" t="str">
        <f>"24960"</f>
        <v>24960</v>
      </c>
      <c r="D6581" t="s">
        <v>39</v>
      </c>
      <c r="E6581" s="3">
        <v>519.75</v>
      </c>
      <c r="F6581">
        <v>20160607</v>
      </c>
      <c r="G6581" t="s">
        <v>1841</v>
      </c>
      <c r="H6581" t="s">
        <v>5501</v>
      </c>
      <c r="I6581">
        <v>0</v>
      </c>
      <c r="J6581" t="s">
        <v>1709</v>
      </c>
      <c r="K6581" t="s">
        <v>1775</v>
      </c>
      <c r="L6581" t="s">
        <v>285</v>
      </c>
      <c r="M6581" t="str">
        <f t="shared" si="473"/>
        <v>06</v>
      </c>
      <c r="N6581" t="s">
        <v>12</v>
      </c>
    </row>
    <row r="6582" spans="1:14" x14ac:dyDescent="0.25">
      <c r="A6582">
        <v>20160610</v>
      </c>
      <c r="B6582" t="str">
        <f>"063746"</f>
        <v>063746</v>
      </c>
      <c r="C6582" t="str">
        <f>"25165"</f>
        <v>25165</v>
      </c>
      <c r="D6582" t="s">
        <v>1563</v>
      </c>
      <c r="E6582" s="3">
        <v>1163.3599999999999</v>
      </c>
      <c r="F6582">
        <v>20160607</v>
      </c>
      <c r="G6582" t="s">
        <v>2871</v>
      </c>
      <c r="H6582" t="s">
        <v>1682</v>
      </c>
      <c r="I6582">
        <v>0</v>
      </c>
      <c r="J6582" t="s">
        <v>1709</v>
      </c>
      <c r="K6582" t="s">
        <v>1861</v>
      </c>
      <c r="L6582" t="s">
        <v>285</v>
      </c>
      <c r="M6582" t="str">
        <f t="shared" si="473"/>
        <v>06</v>
      </c>
      <c r="N6582" t="s">
        <v>12</v>
      </c>
    </row>
    <row r="6583" spans="1:14" x14ac:dyDescent="0.25">
      <c r="A6583">
        <v>20160610</v>
      </c>
      <c r="B6583" t="str">
        <f>"063746"</f>
        <v>063746</v>
      </c>
      <c r="C6583" t="str">
        <f>"25165"</f>
        <v>25165</v>
      </c>
      <c r="D6583" t="s">
        <v>1563</v>
      </c>
      <c r="E6583" s="3">
        <v>96.59</v>
      </c>
      <c r="F6583">
        <v>20160607</v>
      </c>
      <c r="G6583" t="s">
        <v>2871</v>
      </c>
      <c r="H6583" t="s">
        <v>5502</v>
      </c>
      <c r="I6583">
        <v>0</v>
      </c>
      <c r="J6583" t="s">
        <v>1709</v>
      </c>
      <c r="K6583" t="s">
        <v>1861</v>
      </c>
      <c r="L6583" t="s">
        <v>285</v>
      </c>
      <c r="M6583" t="str">
        <f t="shared" si="473"/>
        <v>06</v>
      </c>
      <c r="N6583" t="s">
        <v>12</v>
      </c>
    </row>
    <row r="6584" spans="1:14" x14ac:dyDescent="0.25">
      <c r="A6584">
        <v>20160610</v>
      </c>
      <c r="B6584" t="str">
        <f>"063748"</f>
        <v>063748</v>
      </c>
      <c r="C6584" t="str">
        <f>"25222"</f>
        <v>25222</v>
      </c>
      <c r="D6584" t="s">
        <v>5503</v>
      </c>
      <c r="E6584" s="3">
        <v>560</v>
      </c>
      <c r="F6584">
        <v>20160607</v>
      </c>
      <c r="G6584" t="s">
        <v>5236</v>
      </c>
      <c r="H6584" t="s">
        <v>5504</v>
      </c>
      <c r="I6584">
        <v>0</v>
      </c>
      <c r="J6584" t="s">
        <v>1709</v>
      </c>
      <c r="K6584" t="s">
        <v>290</v>
      </c>
      <c r="L6584" t="s">
        <v>285</v>
      </c>
      <c r="M6584" t="str">
        <f t="shared" si="473"/>
        <v>06</v>
      </c>
      <c r="N6584" t="s">
        <v>12</v>
      </c>
    </row>
    <row r="6585" spans="1:14" x14ac:dyDescent="0.25">
      <c r="A6585">
        <v>20160610</v>
      </c>
      <c r="B6585" t="str">
        <f>"063750"</f>
        <v>063750</v>
      </c>
      <c r="C6585" t="str">
        <f>"54555"</f>
        <v>54555</v>
      </c>
      <c r="D6585" t="s">
        <v>2104</v>
      </c>
      <c r="E6585" s="3">
        <v>152</v>
      </c>
      <c r="F6585">
        <v>20160607</v>
      </c>
      <c r="G6585" t="s">
        <v>2105</v>
      </c>
      <c r="H6585" t="s">
        <v>4795</v>
      </c>
      <c r="I6585">
        <v>0</v>
      </c>
      <c r="J6585" t="s">
        <v>1709</v>
      </c>
      <c r="K6585" t="s">
        <v>1782</v>
      </c>
      <c r="L6585" t="s">
        <v>285</v>
      </c>
      <c r="M6585" t="str">
        <f t="shared" si="473"/>
        <v>06</v>
      </c>
      <c r="N6585" t="s">
        <v>12</v>
      </c>
    </row>
    <row r="6586" spans="1:14" x14ac:dyDescent="0.25">
      <c r="A6586">
        <v>20160610</v>
      </c>
      <c r="B6586" t="str">
        <f>"063750"</f>
        <v>063750</v>
      </c>
      <c r="C6586" t="str">
        <f>"54555"</f>
        <v>54555</v>
      </c>
      <c r="D6586" t="s">
        <v>2104</v>
      </c>
      <c r="E6586" s="3">
        <v>212</v>
      </c>
      <c r="F6586">
        <v>20160607</v>
      </c>
      <c r="G6586" t="s">
        <v>2105</v>
      </c>
      <c r="H6586" t="s">
        <v>5182</v>
      </c>
      <c r="I6586">
        <v>0</v>
      </c>
      <c r="J6586" t="s">
        <v>1709</v>
      </c>
      <c r="K6586" t="s">
        <v>1782</v>
      </c>
      <c r="L6586" t="s">
        <v>285</v>
      </c>
      <c r="M6586" t="str">
        <f t="shared" si="473"/>
        <v>06</v>
      </c>
      <c r="N6586" t="s">
        <v>12</v>
      </c>
    </row>
    <row r="6587" spans="1:14" x14ac:dyDescent="0.25">
      <c r="A6587">
        <v>20160610</v>
      </c>
      <c r="B6587" t="str">
        <f>"063753"</f>
        <v>063753</v>
      </c>
      <c r="C6587" t="str">
        <f>"28733"</f>
        <v>28733</v>
      </c>
      <c r="D6587" t="s">
        <v>4049</v>
      </c>
      <c r="E6587" s="3">
        <v>40.020000000000003</v>
      </c>
      <c r="F6587">
        <v>20160608</v>
      </c>
      <c r="G6587" t="s">
        <v>4497</v>
      </c>
      <c r="H6587" t="s">
        <v>5182</v>
      </c>
      <c r="I6587">
        <v>0</v>
      </c>
      <c r="J6587" t="s">
        <v>1709</v>
      </c>
      <c r="K6587" t="s">
        <v>290</v>
      </c>
      <c r="L6587" t="s">
        <v>285</v>
      </c>
      <c r="M6587" t="str">
        <f t="shared" si="473"/>
        <v>06</v>
      </c>
      <c r="N6587" t="s">
        <v>12</v>
      </c>
    </row>
    <row r="6588" spans="1:14" x14ac:dyDescent="0.25">
      <c r="A6588">
        <v>20160610</v>
      </c>
      <c r="B6588" t="str">
        <f>"063754"</f>
        <v>063754</v>
      </c>
      <c r="C6588" t="str">
        <f>"29554"</f>
        <v>29554</v>
      </c>
      <c r="D6588" t="s">
        <v>1865</v>
      </c>
      <c r="E6588" s="3">
        <v>150</v>
      </c>
      <c r="F6588">
        <v>20160607</v>
      </c>
      <c r="G6588" t="s">
        <v>3077</v>
      </c>
      <c r="H6588" t="s">
        <v>5505</v>
      </c>
      <c r="I6588">
        <v>0</v>
      </c>
      <c r="J6588" t="s">
        <v>1709</v>
      </c>
      <c r="K6588" t="s">
        <v>290</v>
      </c>
      <c r="L6588" t="s">
        <v>285</v>
      </c>
      <c r="M6588" t="str">
        <f t="shared" si="473"/>
        <v>06</v>
      </c>
      <c r="N6588" t="s">
        <v>12</v>
      </c>
    </row>
    <row r="6589" spans="1:14" x14ac:dyDescent="0.25">
      <c r="A6589">
        <v>20160610</v>
      </c>
      <c r="B6589" t="str">
        <f>"063754"</f>
        <v>063754</v>
      </c>
      <c r="C6589" t="str">
        <f>"29554"</f>
        <v>29554</v>
      </c>
      <c r="D6589" t="s">
        <v>1865</v>
      </c>
      <c r="E6589" s="3">
        <v>445.09</v>
      </c>
      <c r="F6589">
        <v>20160607</v>
      </c>
      <c r="G6589" t="s">
        <v>3081</v>
      </c>
      <c r="H6589" t="s">
        <v>5505</v>
      </c>
      <c r="I6589">
        <v>0</v>
      </c>
      <c r="J6589" t="s">
        <v>1709</v>
      </c>
      <c r="K6589" t="s">
        <v>33</v>
      </c>
      <c r="L6589" t="s">
        <v>285</v>
      </c>
      <c r="M6589" t="str">
        <f t="shared" si="473"/>
        <v>06</v>
      </c>
      <c r="N6589" t="s">
        <v>12</v>
      </c>
    </row>
    <row r="6590" spans="1:14" x14ac:dyDescent="0.25">
      <c r="A6590">
        <v>20160610</v>
      </c>
      <c r="B6590" t="str">
        <f>"063755"</f>
        <v>063755</v>
      </c>
      <c r="C6590" t="str">
        <f>"29633"</f>
        <v>29633</v>
      </c>
      <c r="D6590" t="s">
        <v>2107</v>
      </c>
      <c r="E6590" s="3">
        <v>24.68</v>
      </c>
      <c r="F6590">
        <v>20160607</v>
      </c>
      <c r="G6590" t="s">
        <v>1859</v>
      </c>
      <c r="H6590" t="s">
        <v>5506</v>
      </c>
      <c r="I6590">
        <v>0</v>
      </c>
      <c r="J6590" t="s">
        <v>1709</v>
      </c>
      <c r="K6590" t="s">
        <v>1861</v>
      </c>
      <c r="L6590" t="s">
        <v>285</v>
      </c>
      <c r="M6590" t="str">
        <f t="shared" si="473"/>
        <v>06</v>
      </c>
      <c r="N6590" t="s">
        <v>12</v>
      </c>
    </row>
    <row r="6591" spans="1:14" x14ac:dyDescent="0.25">
      <c r="A6591">
        <v>20160610</v>
      </c>
      <c r="B6591" t="str">
        <f>"063756"</f>
        <v>063756</v>
      </c>
      <c r="C6591" t="str">
        <f>"06470"</f>
        <v>06470</v>
      </c>
      <c r="D6591" t="s">
        <v>2654</v>
      </c>
      <c r="E6591" s="3">
        <v>1770.25</v>
      </c>
      <c r="F6591">
        <v>20160607</v>
      </c>
      <c r="G6591" t="s">
        <v>2164</v>
      </c>
      <c r="H6591" t="s">
        <v>3789</v>
      </c>
      <c r="I6591">
        <v>0</v>
      </c>
      <c r="J6591" t="s">
        <v>1709</v>
      </c>
      <c r="K6591" t="s">
        <v>1861</v>
      </c>
      <c r="L6591" t="s">
        <v>285</v>
      </c>
      <c r="M6591" t="str">
        <f t="shared" si="473"/>
        <v>06</v>
      </c>
      <c r="N6591" t="s">
        <v>12</v>
      </c>
    </row>
    <row r="6592" spans="1:14" x14ac:dyDescent="0.25">
      <c r="A6592">
        <v>20160610</v>
      </c>
      <c r="B6592" t="str">
        <f>"063760"</f>
        <v>063760</v>
      </c>
      <c r="C6592" t="str">
        <f>"00012"</f>
        <v>00012</v>
      </c>
      <c r="D6592" t="s">
        <v>5507</v>
      </c>
      <c r="E6592" s="3">
        <v>486.72</v>
      </c>
      <c r="F6592">
        <v>20160607</v>
      </c>
      <c r="G6592" t="s">
        <v>5307</v>
      </c>
      <c r="H6592" t="s">
        <v>5508</v>
      </c>
      <c r="I6592">
        <v>0</v>
      </c>
      <c r="J6592" t="s">
        <v>1709</v>
      </c>
      <c r="K6592" t="s">
        <v>290</v>
      </c>
      <c r="L6592" t="s">
        <v>285</v>
      </c>
      <c r="M6592" t="str">
        <f t="shared" si="473"/>
        <v>06</v>
      </c>
      <c r="N6592" t="s">
        <v>12</v>
      </c>
    </row>
    <row r="6593" spans="1:14" x14ac:dyDescent="0.25">
      <c r="A6593">
        <v>20160610</v>
      </c>
      <c r="B6593" t="str">
        <f>"063761"</f>
        <v>063761</v>
      </c>
      <c r="C6593" t="str">
        <f>"31348"</f>
        <v>31348</v>
      </c>
      <c r="D6593" t="s">
        <v>5509</v>
      </c>
      <c r="E6593" s="3">
        <v>139.27000000000001</v>
      </c>
      <c r="F6593">
        <v>20160607</v>
      </c>
      <c r="G6593" t="s">
        <v>3079</v>
      </c>
      <c r="H6593" t="s">
        <v>5510</v>
      </c>
      <c r="I6593">
        <v>0</v>
      </c>
      <c r="J6593" t="s">
        <v>1709</v>
      </c>
      <c r="K6593" t="s">
        <v>95</v>
      </c>
      <c r="L6593" t="s">
        <v>285</v>
      </c>
      <c r="M6593" t="str">
        <f t="shared" ref="M6593:M6656" si="482">"06"</f>
        <v>06</v>
      </c>
      <c r="N6593" t="s">
        <v>12</v>
      </c>
    </row>
    <row r="6594" spans="1:14" x14ac:dyDescent="0.25">
      <c r="A6594">
        <v>20160610</v>
      </c>
      <c r="B6594" t="str">
        <f>"063763"</f>
        <v>063763</v>
      </c>
      <c r="C6594" t="str">
        <f>"33700"</f>
        <v>33700</v>
      </c>
      <c r="D6594" t="s">
        <v>5511</v>
      </c>
      <c r="E6594" s="3">
        <v>150</v>
      </c>
      <c r="F6594">
        <v>20160607</v>
      </c>
      <c r="G6594" t="s">
        <v>2449</v>
      </c>
      <c r="H6594" t="s">
        <v>5512</v>
      </c>
      <c r="I6594">
        <v>0</v>
      </c>
      <c r="J6594" t="s">
        <v>1709</v>
      </c>
      <c r="K6594" t="s">
        <v>290</v>
      </c>
      <c r="L6594" t="s">
        <v>285</v>
      </c>
      <c r="M6594" t="str">
        <f t="shared" si="482"/>
        <v>06</v>
      </c>
      <c r="N6594" t="s">
        <v>12</v>
      </c>
    </row>
    <row r="6595" spans="1:14" x14ac:dyDescent="0.25">
      <c r="A6595">
        <v>20160610</v>
      </c>
      <c r="B6595" t="str">
        <f>"063765"</f>
        <v>063765</v>
      </c>
      <c r="C6595" t="str">
        <f>"34680"</f>
        <v>34680</v>
      </c>
      <c r="D6595" t="s">
        <v>1683</v>
      </c>
      <c r="E6595" s="3">
        <v>953.23</v>
      </c>
      <c r="F6595">
        <v>20160607</v>
      </c>
      <c r="G6595" t="s">
        <v>3478</v>
      </c>
      <c r="H6595" t="s">
        <v>2301</v>
      </c>
      <c r="I6595">
        <v>0</v>
      </c>
      <c r="J6595" t="s">
        <v>1709</v>
      </c>
      <c r="K6595" t="s">
        <v>290</v>
      </c>
      <c r="L6595" t="s">
        <v>285</v>
      </c>
      <c r="M6595" t="str">
        <f t="shared" si="482"/>
        <v>06</v>
      </c>
      <c r="N6595" t="s">
        <v>12</v>
      </c>
    </row>
    <row r="6596" spans="1:14" x14ac:dyDescent="0.25">
      <c r="A6596">
        <v>20160610</v>
      </c>
      <c r="B6596" t="str">
        <f>"063766"</f>
        <v>063766</v>
      </c>
      <c r="C6596" t="str">
        <f>"36780"</f>
        <v>36780</v>
      </c>
      <c r="D6596" t="s">
        <v>3836</v>
      </c>
      <c r="E6596" s="3">
        <v>100</v>
      </c>
      <c r="F6596">
        <v>20160607</v>
      </c>
      <c r="G6596" t="s">
        <v>2537</v>
      </c>
      <c r="H6596" t="s">
        <v>5513</v>
      </c>
      <c r="I6596">
        <v>0</v>
      </c>
      <c r="J6596" t="s">
        <v>1709</v>
      </c>
      <c r="K6596" t="s">
        <v>290</v>
      </c>
      <c r="L6596" t="s">
        <v>285</v>
      </c>
      <c r="M6596" t="str">
        <f t="shared" si="482"/>
        <v>06</v>
      </c>
      <c r="N6596" t="s">
        <v>12</v>
      </c>
    </row>
    <row r="6597" spans="1:14" x14ac:dyDescent="0.25">
      <c r="A6597">
        <v>20160610</v>
      </c>
      <c r="B6597" t="str">
        <f>"063767"</f>
        <v>063767</v>
      </c>
      <c r="C6597" t="str">
        <f>"37260"</f>
        <v>37260</v>
      </c>
      <c r="D6597" t="s">
        <v>2507</v>
      </c>
      <c r="E6597" s="3">
        <v>250</v>
      </c>
      <c r="F6597">
        <v>20160607</v>
      </c>
      <c r="G6597" t="s">
        <v>2449</v>
      </c>
      <c r="H6597" t="s">
        <v>5512</v>
      </c>
      <c r="I6597">
        <v>0</v>
      </c>
      <c r="J6597" t="s">
        <v>1709</v>
      </c>
      <c r="K6597" t="s">
        <v>290</v>
      </c>
      <c r="L6597" t="s">
        <v>285</v>
      </c>
      <c r="M6597" t="str">
        <f t="shared" si="482"/>
        <v>06</v>
      </c>
      <c r="N6597" t="s">
        <v>12</v>
      </c>
    </row>
    <row r="6598" spans="1:14" x14ac:dyDescent="0.25">
      <c r="A6598">
        <v>20160610</v>
      </c>
      <c r="B6598" t="str">
        <f>"063768"</f>
        <v>063768</v>
      </c>
      <c r="C6598" t="str">
        <f>"45665"</f>
        <v>45665</v>
      </c>
      <c r="D6598" t="s">
        <v>2887</v>
      </c>
      <c r="E6598" s="3">
        <v>15.38</v>
      </c>
      <c r="F6598">
        <v>20160607</v>
      </c>
      <c r="G6598" t="s">
        <v>4159</v>
      </c>
      <c r="H6598" t="s">
        <v>5006</v>
      </c>
      <c r="I6598">
        <v>0</v>
      </c>
      <c r="J6598" t="s">
        <v>1709</v>
      </c>
      <c r="K6598" t="s">
        <v>290</v>
      </c>
      <c r="L6598" t="s">
        <v>285</v>
      </c>
      <c r="M6598" t="str">
        <f t="shared" si="482"/>
        <v>06</v>
      </c>
      <c r="N6598" t="s">
        <v>12</v>
      </c>
    </row>
    <row r="6599" spans="1:14" x14ac:dyDescent="0.25">
      <c r="A6599">
        <v>20160610</v>
      </c>
      <c r="B6599" t="str">
        <f>"063770"</f>
        <v>063770</v>
      </c>
      <c r="C6599" t="str">
        <f>"39572"</f>
        <v>39572</v>
      </c>
      <c r="D6599" t="s">
        <v>2112</v>
      </c>
      <c r="E6599" s="3">
        <v>3500</v>
      </c>
      <c r="F6599">
        <v>20160607</v>
      </c>
      <c r="G6599" t="s">
        <v>5514</v>
      </c>
      <c r="H6599" t="s">
        <v>5515</v>
      </c>
      <c r="I6599">
        <v>0</v>
      </c>
      <c r="J6599" t="s">
        <v>1709</v>
      </c>
      <c r="K6599" t="s">
        <v>95</v>
      </c>
      <c r="L6599" t="s">
        <v>285</v>
      </c>
      <c r="M6599" t="str">
        <f t="shared" si="482"/>
        <v>06</v>
      </c>
      <c r="N6599" t="s">
        <v>12</v>
      </c>
    </row>
    <row r="6600" spans="1:14" x14ac:dyDescent="0.25">
      <c r="A6600">
        <v>20160610</v>
      </c>
      <c r="B6600" t="str">
        <f>"063771"</f>
        <v>063771</v>
      </c>
      <c r="C6600" t="str">
        <f>"40550"</f>
        <v>40550</v>
      </c>
      <c r="D6600" t="s">
        <v>435</v>
      </c>
      <c r="E6600" s="3">
        <v>150.6</v>
      </c>
      <c r="F6600">
        <v>20160607</v>
      </c>
      <c r="G6600" t="s">
        <v>2333</v>
      </c>
      <c r="H6600" t="s">
        <v>5516</v>
      </c>
      <c r="I6600">
        <v>0</v>
      </c>
      <c r="J6600" t="s">
        <v>1709</v>
      </c>
      <c r="K6600" t="s">
        <v>290</v>
      </c>
      <c r="L6600" t="s">
        <v>285</v>
      </c>
      <c r="M6600" t="str">
        <f t="shared" si="482"/>
        <v>06</v>
      </c>
      <c r="N6600" t="s">
        <v>12</v>
      </c>
    </row>
    <row r="6601" spans="1:14" x14ac:dyDescent="0.25">
      <c r="A6601">
        <v>20160610</v>
      </c>
      <c r="B6601" t="str">
        <f t="shared" ref="B6601:B6612" si="483">"063772"</f>
        <v>063772</v>
      </c>
      <c r="C6601" t="str">
        <f t="shared" ref="C6601:C6612" si="484">"41230"</f>
        <v>41230</v>
      </c>
      <c r="D6601" t="s">
        <v>604</v>
      </c>
      <c r="E6601" s="3">
        <v>852.3</v>
      </c>
      <c r="F6601">
        <v>20160607</v>
      </c>
      <c r="G6601" t="s">
        <v>2980</v>
      </c>
      <c r="H6601" t="s">
        <v>5517</v>
      </c>
      <c r="I6601">
        <v>0</v>
      </c>
      <c r="J6601" t="s">
        <v>1709</v>
      </c>
      <c r="K6601" t="s">
        <v>95</v>
      </c>
      <c r="L6601" t="s">
        <v>285</v>
      </c>
      <c r="M6601" t="str">
        <f t="shared" si="482"/>
        <v>06</v>
      </c>
      <c r="N6601" t="s">
        <v>12</v>
      </c>
    </row>
    <row r="6602" spans="1:14" x14ac:dyDescent="0.25">
      <c r="A6602">
        <v>20160610</v>
      </c>
      <c r="B6602" t="str">
        <f t="shared" si="483"/>
        <v>063772</v>
      </c>
      <c r="C6602" t="str">
        <f t="shared" si="484"/>
        <v>41230</v>
      </c>
      <c r="D6602" t="s">
        <v>604</v>
      </c>
      <c r="E6602" s="3">
        <v>1414.69</v>
      </c>
      <c r="F6602">
        <v>20160607</v>
      </c>
      <c r="G6602" t="s">
        <v>2317</v>
      </c>
      <c r="H6602" t="s">
        <v>2563</v>
      </c>
      <c r="I6602">
        <v>0</v>
      </c>
      <c r="J6602" t="s">
        <v>1709</v>
      </c>
      <c r="K6602" t="s">
        <v>290</v>
      </c>
      <c r="L6602" t="s">
        <v>285</v>
      </c>
      <c r="M6602" t="str">
        <f t="shared" si="482"/>
        <v>06</v>
      </c>
      <c r="N6602" t="s">
        <v>12</v>
      </c>
    </row>
    <row r="6603" spans="1:14" x14ac:dyDescent="0.25">
      <c r="A6603">
        <v>20160610</v>
      </c>
      <c r="B6603" t="str">
        <f t="shared" si="483"/>
        <v>063772</v>
      </c>
      <c r="C6603" t="str">
        <f t="shared" si="484"/>
        <v>41230</v>
      </c>
      <c r="D6603" t="s">
        <v>604</v>
      </c>
      <c r="E6603" s="3">
        <v>139.94</v>
      </c>
      <c r="F6603">
        <v>20160607</v>
      </c>
      <c r="G6603" t="s">
        <v>2317</v>
      </c>
      <c r="H6603" t="s">
        <v>5518</v>
      </c>
      <c r="I6603">
        <v>0</v>
      </c>
      <c r="J6603" t="s">
        <v>1709</v>
      </c>
      <c r="K6603" t="s">
        <v>290</v>
      </c>
      <c r="L6603" t="s">
        <v>285</v>
      </c>
      <c r="M6603" t="str">
        <f t="shared" si="482"/>
        <v>06</v>
      </c>
      <c r="N6603" t="s">
        <v>12</v>
      </c>
    </row>
    <row r="6604" spans="1:14" x14ac:dyDescent="0.25">
      <c r="A6604">
        <v>20160610</v>
      </c>
      <c r="B6604" t="str">
        <f t="shared" si="483"/>
        <v>063772</v>
      </c>
      <c r="C6604" t="str">
        <f t="shared" si="484"/>
        <v>41230</v>
      </c>
      <c r="D6604" t="s">
        <v>604</v>
      </c>
      <c r="E6604" s="3">
        <v>792</v>
      </c>
      <c r="F6604">
        <v>20160607</v>
      </c>
      <c r="G6604" t="s">
        <v>5154</v>
      </c>
      <c r="H6604" t="s">
        <v>5519</v>
      </c>
      <c r="I6604">
        <v>0</v>
      </c>
      <c r="J6604" t="s">
        <v>1709</v>
      </c>
      <c r="K6604" t="s">
        <v>1775</v>
      </c>
      <c r="L6604" t="s">
        <v>285</v>
      </c>
      <c r="M6604" t="str">
        <f t="shared" si="482"/>
        <v>06</v>
      </c>
      <c r="N6604" t="s">
        <v>12</v>
      </c>
    </row>
    <row r="6605" spans="1:14" x14ac:dyDescent="0.25">
      <c r="A6605">
        <v>20160610</v>
      </c>
      <c r="B6605" t="str">
        <f t="shared" si="483"/>
        <v>063772</v>
      </c>
      <c r="C6605" t="str">
        <f t="shared" si="484"/>
        <v>41230</v>
      </c>
      <c r="D6605" t="s">
        <v>604</v>
      </c>
      <c r="E6605" s="3">
        <v>99</v>
      </c>
      <c r="F6605">
        <v>20160607</v>
      </c>
      <c r="G6605" t="s">
        <v>5154</v>
      </c>
      <c r="H6605" t="s">
        <v>5519</v>
      </c>
      <c r="I6605">
        <v>0</v>
      </c>
      <c r="J6605" t="s">
        <v>1709</v>
      </c>
      <c r="K6605" t="s">
        <v>1775</v>
      </c>
      <c r="L6605" t="s">
        <v>285</v>
      </c>
      <c r="M6605" t="str">
        <f t="shared" si="482"/>
        <v>06</v>
      </c>
      <c r="N6605" t="s">
        <v>12</v>
      </c>
    </row>
    <row r="6606" spans="1:14" x14ac:dyDescent="0.25">
      <c r="A6606">
        <v>20160610</v>
      </c>
      <c r="B6606" t="str">
        <f t="shared" si="483"/>
        <v>063772</v>
      </c>
      <c r="C6606" t="str">
        <f t="shared" si="484"/>
        <v>41230</v>
      </c>
      <c r="D6606" t="s">
        <v>604</v>
      </c>
      <c r="E6606" s="3">
        <v>198</v>
      </c>
      <c r="F6606">
        <v>20160607</v>
      </c>
      <c r="G6606" t="s">
        <v>5154</v>
      </c>
      <c r="H6606" t="s">
        <v>5519</v>
      </c>
      <c r="I6606">
        <v>0</v>
      </c>
      <c r="J6606" t="s">
        <v>1709</v>
      </c>
      <c r="K6606" t="s">
        <v>1775</v>
      </c>
      <c r="L6606" t="s">
        <v>285</v>
      </c>
      <c r="M6606" t="str">
        <f t="shared" si="482"/>
        <v>06</v>
      </c>
      <c r="N6606" t="s">
        <v>12</v>
      </c>
    </row>
    <row r="6607" spans="1:14" x14ac:dyDescent="0.25">
      <c r="A6607">
        <v>20160610</v>
      </c>
      <c r="B6607" t="str">
        <f t="shared" si="483"/>
        <v>063772</v>
      </c>
      <c r="C6607" t="str">
        <f t="shared" si="484"/>
        <v>41230</v>
      </c>
      <c r="D6607" t="s">
        <v>604</v>
      </c>
      <c r="E6607" s="3">
        <v>24.43</v>
      </c>
      <c r="F6607">
        <v>20160607</v>
      </c>
      <c r="G6607" t="s">
        <v>1859</v>
      </c>
      <c r="H6607" t="s">
        <v>2295</v>
      </c>
      <c r="I6607">
        <v>0</v>
      </c>
      <c r="J6607" t="s">
        <v>1709</v>
      </c>
      <c r="K6607" t="s">
        <v>1861</v>
      </c>
      <c r="L6607" t="s">
        <v>285</v>
      </c>
      <c r="M6607" t="str">
        <f t="shared" si="482"/>
        <v>06</v>
      </c>
      <c r="N6607" t="s">
        <v>12</v>
      </c>
    </row>
    <row r="6608" spans="1:14" x14ac:dyDescent="0.25">
      <c r="A6608">
        <v>20160610</v>
      </c>
      <c r="B6608" t="str">
        <f t="shared" si="483"/>
        <v>063772</v>
      </c>
      <c r="C6608" t="str">
        <f t="shared" si="484"/>
        <v>41230</v>
      </c>
      <c r="D6608" t="s">
        <v>604</v>
      </c>
      <c r="E6608" s="3">
        <v>18.25</v>
      </c>
      <c r="F6608">
        <v>20160607</v>
      </c>
      <c r="G6608" t="s">
        <v>1859</v>
      </c>
      <c r="H6608" t="s">
        <v>5520</v>
      </c>
      <c r="I6608">
        <v>0</v>
      </c>
      <c r="J6608" t="s">
        <v>1709</v>
      </c>
      <c r="K6608" t="s">
        <v>1861</v>
      </c>
      <c r="L6608" t="s">
        <v>285</v>
      </c>
      <c r="M6608" t="str">
        <f t="shared" si="482"/>
        <v>06</v>
      </c>
      <c r="N6608" t="s">
        <v>12</v>
      </c>
    </row>
    <row r="6609" spans="1:14" x14ac:dyDescent="0.25">
      <c r="A6609">
        <v>20160610</v>
      </c>
      <c r="B6609" t="str">
        <f t="shared" si="483"/>
        <v>063772</v>
      </c>
      <c r="C6609" t="str">
        <f t="shared" si="484"/>
        <v>41230</v>
      </c>
      <c r="D6609" t="s">
        <v>604</v>
      </c>
      <c r="E6609" s="3">
        <v>269.82</v>
      </c>
      <c r="F6609">
        <v>20160607</v>
      </c>
      <c r="G6609" t="s">
        <v>1859</v>
      </c>
      <c r="H6609" t="s">
        <v>5521</v>
      </c>
      <c r="I6609">
        <v>0</v>
      </c>
      <c r="J6609" t="s">
        <v>1709</v>
      </c>
      <c r="K6609" t="s">
        <v>1861</v>
      </c>
      <c r="L6609" t="s">
        <v>285</v>
      </c>
      <c r="M6609" t="str">
        <f t="shared" si="482"/>
        <v>06</v>
      </c>
      <c r="N6609" t="s">
        <v>12</v>
      </c>
    </row>
    <row r="6610" spans="1:14" x14ac:dyDescent="0.25">
      <c r="A6610">
        <v>20160610</v>
      </c>
      <c r="B6610" t="str">
        <f t="shared" si="483"/>
        <v>063772</v>
      </c>
      <c r="C6610" t="str">
        <f t="shared" si="484"/>
        <v>41230</v>
      </c>
      <c r="D6610" t="s">
        <v>604</v>
      </c>
      <c r="E6610" s="3">
        <v>824.04</v>
      </c>
      <c r="F6610">
        <v>20160607</v>
      </c>
      <c r="G6610" t="s">
        <v>1859</v>
      </c>
      <c r="H6610" t="s">
        <v>5522</v>
      </c>
      <c r="I6610">
        <v>0</v>
      </c>
      <c r="J6610" t="s">
        <v>1709</v>
      </c>
      <c r="K6610" t="s">
        <v>1861</v>
      </c>
      <c r="L6610" t="s">
        <v>285</v>
      </c>
      <c r="M6610" t="str">
        <f t="shared" si="482"/>
        <v>06</v>
      </c>
      <c r="N6610" t="s">
        <v>12</v>
      </c>
    </row>
    <row r="6611" spans="1:14" x14ac:dyDescent="0.25">
      <c r="A6611">
        <v>20160610</v>
      </c>
      <c r="B6611" t="str">
        <f t="shared" si="483"/>
        <v>063772</v>
      </c>
      <c r="C6611" t="str">
        <f t="shared" si="484"/>
        <v>41230</v>
      </c>
      <c r="D6611" t="s">
        <v>604</v>
      </c>
      <c r="E6611" s="3">
        <v>99.21</v>
      </c>
      <c r="F6611">
        <v>20160607</v>
      </c>
      <c r="G6611" t="s">
        <v>1859</v>
      </c>
      <c r="H6611" t="s">
        <v>5523</v>
      </c>
      <c r="I6611">
        <v>0</v>
      </c>
      <c r="J6611" t="s">
        <v>1709</v>
      </c>
      <c r="K6611" t="s">
        <v>1861</v>
      </c>
      <c r="L6611" t="s">
        <v>285</v>
      </c>
      <c r="M6611" t="str">
        <f t="shared" si="482"/>
        <v>06</v>
      </c>
      <c r="N6611" t="s">
        <v>12</v>
      </c>
    </row>
    <row r="6612" spans="1:14" x14ac:dyDescent="0.25">
      <c r="A6612">
        <v>20160610</v>
      </c>
      <c r="B6612" t="str">
        <f t="shared" si="483"/>
        <v>063772</v>
      </c>
      <c r="C6612" t="str">
        <f t="shared" si="484"/>
        <v>41230</v>
      </c>
      <c r="D6612" t="s">
        <v>604</v>
      </c>
      <c r="E6612" s="3">
        <v>-0.14000000000000001</v>
      </c>
      <c r="F6612">
        <v>20160524</v>
      </c>
      <c r="G6612" t="s">
        <v>1859</v>
      </c>
      <c r="H6612" t="s">
        <v>2295</v>
      </c>
      <c r="I6612">
        <v>0</v>
      </c>
      <c r="J6612" t="s">
        <v>1709</v>
      </c>
      <c r="K6612" t="s">
        <v>1861</v>
      </c>
      <c r="L6612" t="s">
        <v>1385</v>
      </c>
      <c r="M6612" t="str">
        <f t="shared" si="482"/>
        <v>06</v>
      </c>
      <c r="N6612" t="s">
        <v>12</v>
      </c>
    </row>
    <row r="6613" spans="1:14" x14ac:dyDescent="0.25">
      <c r="A6613">
        <v>20160610</v>
      </c>
      <c r="B6613" t="str">
        <f>"063773"</f>
        <v>063773</v>
      </c>
      <c r="C6613" t="str">
        <f>"42197"</f>
        <v>42197</v>
      </c>
      <c r="D6613" t="s">
        <v>5524</v>
      </c>
      <c r="E6613" s="3">
        <v>1500</v>
      </c>
      <c r="F6613">
        <v>20160608</v>
      </c>
      <c r="G6613" t="s">
        <v>4802</v>
      </c>
      <c r="H6613" t="s">
        <v>4803</v>
      </c>
      <c r="I6613">
        <v>0</v>
      </c>
      <c r="J6613" t="s">
        <v>1709</v>
      </c>
      <c r="K6613" t="s">
        <v>2764</v>
      </c>
      <c r="L6613" t="s">
        <v>285</v>
      </c>
      <c r="M6613" t="str">
        <f t="shared" si="482"/>
        <v>06</v>
      </c>
      <c r="N6613" t="s">
        <v>12</v>
      </c>
    </row>
    <row r="6614" spans="1:14" x14ac:dyDescent="0.25">
      <c r="A6614">
        <v>20160610</v>
      </c>
      <c r="B6614" t="str">
        <f>"063774"</f>
        <v>063774</v>
      </c>
      <c r="C6614" t="str">
        <f>"42212"</f>
        <v>42212</v>
      </c>
      <c r="D6614" t="s">
        <v>2513</v>
      </c>
      <c r="E6614" s="3">
        <v>182.28</v>
      </c>
      <c r="F6614">
        <v>20160608</v>
      </c>
      <c r="G6614" t="s">
        <v>5525</v>
      </c>
      <c r="H6614" t="s">
        <v>4982</v>
      </c>
      <c r="I6614">
        <v>0</v>
      </c>
      <c r="J6614" t="s">
        <v>1709</v>
      </c>
      <c r="K6614" t="s">
        <v>290</v>
      </c>
      <c r="L6614" t="s">
        <v>285</v>
      </c>
      <c r="M6614" t="str">
        <f t="shared" si="482"/>
        <v>06</v>
      </c>
      <c r="N6614" t="s">
        <v>12</v>
      </c>
    </row>
    <row r="6615" spans="1:14" x14ac:dyDescent="0.25">
      <c r="A6615">
        <v>20160610</v>
      </c>
      <c r="B6615" t="str">
        <f>"063775"</f>
        <v>063775</v>
      </c>
      <c r="C6615" t="str">
        <f>"43532"</f>
        <v>43532</v>
      </c>
      <c r="D6615" t="s">
        <v>1979</v>
      </c>
      <c r="E6615" s="3">
        <v>725</v>
      </c>
      <c r="F6615">
        <v>20160607</v>
      </c>
      <c r="G6615" t="s">
        <v>1987</v>
      </c>
      <c r="H6615" t="s">
        <v>5526</v>
      </c>
      <c r="I6615">
        <v>0</v>
      </c>
      <c r="J6615" t="s">
        <v>1709</v>
      </c>
      <c r="K6615" t="s">
        <v>1984</v>
      </c>
      <c r="L6615" t="s">
        <v>285</v>
      </c>
      <c r="M6615" t="str">
        <f t="shared" si="482"/>
        <v>06</v>
      </c>
      <c r="N6615" t="s">
        <v>12</v>
      </c>
    </row>
    <row r="6616" spans="1:14" x14ac:dyDescent="0.25">
      <c r="A6616">
        <v>20160610</v>
      </c>
      <c r="B6616" t="str">
        <f>"063775"</f>
        <v>063775</v>
      </c>
      <c r="C6616" t="str">
        <f>"43532"</f>
        <v>43532</v>
      </c>
      <c r="D6616" t="s">
        <v>1979</v>
      </c>
      <c r="E6616" s="3">
        <v>870</v>
      </c>
      <c r="F6616">
        <v>20160607</v>
      </c>
      <c r="G6616" t="s">
        <v>1987</v>
      </c>
      <c r="H6616" t="s">
        <v>5527</v>
      </c>
      <c r="I6616">
        <v>0</v>
      </c>
      <c r="J6616" t="s">
        <v>1709</v>
      </c>
      <c r="K6616" t="s">
        <v>1984</v>
      </c>
      <c r="L6616" t="s">
        <v>285</v>
      </c>
      <c r="M6616" t="str">
        <f t="shared" si="482"/>
        <v>06</v>
      </c>
      <c r="N6616" t="s">
        <v>12</v>
      </c>
    </row>
    <row r="6617" spans="1:14" x14ac:dyDescent="0.25">
      <c r="A6617">
        <v>20160610</v>
      </c>
      <c r="B6617" t="str">
        <f>"063776"</f>
        <v>063776</v>
      </c>
      <c r="C6617" t="str">
        <f>"44450"</f>
        <v>44450</v>
      </c>
      <c r="D6617" t="s">
        <v>1989</v>
      </c>
      <c r="E6617" s="3">
        <v>225</v>
      </c>
      <c r="F6617">
        <v>20160607</v>
      </c>
      <c r="G6617" t="s">
        <v>2894</v>
      </c>
      <c r="H6617" t="s">
        <v>5528</v>
      </c>
      <c r="I6617">
        <v>0</v>
      </c>
      <c r="J6617" t="s">
        <v>1709</v>
      </c>
      <c r="K6617" t="s">
        <v>290</v>
      </c>
      <c r="L6617" t="s">
        <v>285</v>
      </c>
      <c r="M6617" t="str">
        <f t="shared" si="482"/>
        <v>06</v>
      </c>
      <c r="N6617" t="s">
        <v>12</v>
      </c>
    </row>
    <row r="6618" spans="1:14" x14ac:dyDescent="0.25">
      <c r="A6618">
        <v>20160610</v>
      </c>
      <c r="B6618" t="str">
        <f>"063776"</f>
        <v>063776</v>
      </c>
      <c r="C6618" t="str">
        <f>"44450"</f>
        <v>44450</v>
      </c>
      <c r="D6618" t="s">
        <v>1989</v>
      </c>
      <c r="E6618" s="3">
        <v>112.5</v>
      </c>
      <c r="F6618">
        <v>20160607</v>
      </c>
      <c r="G6618" t="s">
        <v>5189</v>
      </c>
      <c r="H6618" t="s">
        <v>5529</v>
      </c>
      <c r="I6618">
        <v>0</v>
      </c>
      <c r="J6618" t="s">
        <v>1709</v>
      </c>
      <c r="K6618" t="s">
        <v>1558</v>
      </c>
      <c r="L6618" t="s">
        <v>285</v>
      </c>
      <c r="M6618" t="str">
        <f t="shared" si="482"/>
        <v>06</v>
      </c>
      <c r="N6618" t="s">
        <v>12</v>
      </c>
    </row>
    <row r="6619" spans="1:14" x14ac:dyDescent="0.25">
      <c r="A6619">
        <v>20160610</v>
      </c>
      <c r="B6619" t="str">
        <f>"063776"</f>
        <v>063776</v>
      </c>
      <c r="C6619" t="str">
        <f>"44450"</f>
        <v>44450</v>
      </c>
      <c r="D6619" t="s">
        <v>1989</v>
      </c>
      <c r="E6619" s="3">
        <v>112.5</v>
      </c>
      <c r="F6619">
        <v>20160607</v>
      </c>
      <c r="G6619" t="s">
        <v>2896</v>
      </c>
      <c r="H6619" t="s">
        <v>5530</v>
      </c>
      <c r="I6619">
        <v>0</v>
      </c>
      <c r="J6619" t="s">
        <v>1709</v>
      </c>
      <c r="K6619" t="s">
        <v>95</v>
      </c>
      <c r="L6619" t="s">
        <v>285</v>
      </c>
      <c r="M6619" t="str">
        <f t="shared" si="482"/>
        <v>06</v>
      </c>
      <c r="N6619" t="s">
        <v>12</v>
      </c>
    </row>
    <row r="6620" spans="1:14" x14ac:dyDescent="0.25">
      <c r="A6620">
        <v>20160610</v>
      </c>
      <c r="B6620" t="str">
        <f>"063778"</f>
        <v>063778</v>
      </c>
      <c r="C6620" t="str">
        <f>"45179"</f>
        <v>45179</v>
      </c>
      <c r="D6620" t="s">
        <v>262</v>
      </c>
      <c r="E6620" s="3">
        <v>69</v>
      </c>
      <c r="F6620">
        <v>20160607</v>
      </c>
      <c r="G6620" t="s">
        <v>3469</v>
      </c>
      <c r="H6620" t="s">
        <v>5531</v>
      </c>
      <c r="I6620">
        <v>0</v>
      </c>
      <c r="J6620" t="s">
        <v>1709</v>
      </c>
      <c r="K6620" t="s">
        <v>95</v>
      </c>
      <c r="L6620" t="s">
        <v>285</v>
      </c>
      <c r="M6620" t="str">
        <f t="shared" si="482"/>
        <v>06</v>
      </c>
      <c r="N6620" t="s">
        <v>12</v>
      </c>
    </row>
    <row r="6621" spans="1:14" x14ac:dyDescent="0.25">
      <c r="A6621">
        <v>20160610</v>
      </c>
      <c r="B6621" t="str">
        <f>"063779"</f>
        <v>063779</v>
      </c>
      <c r="C6621" t="str">
        <f>"45496"</f>
        <v>45496</v>
      </c>
      <c r="D6621" t="s">
        <v>2327</v>
      </c>
      <c r="E6621" s="3">
        <v>422.09</v>
      </c>
      <c r="F6621">
        <v>20160607</v>
      </c>
      <c r="G6621" t="s">
        <v>4294</v>
      </c>
      <c r="H6621" t="s">
        <v>595</v>
      </c>
      <c r="I6621">
        <v>0</v>
      </c>
      <c r="J6621" t="s">
        <v>1709</v>
      </c>
      <c r="K6621" t="s">
        <v>95</v>
      </c>
      <c r="L6621" t="s">
        <v>285</v>
      </c>
      <c r="M6621" t="str">
        <f t="shared" si="482"/>
        <v>06</v>
      </c>
      <c r="N6621" t="s">
        <v>12</v>
      </c>
    </row>
    <row r="6622" spans="1:14" x14ac:dyDescent="0.25">
      <c r="A6622">
        <v>20160610</v>
      </c>
      <c r="B6622" t="str">
        <f>"063779"</f>
        <v>063779</v>
      </c>
      <c r="C6622" t="str">
        <f>"45496"</f>
        <v>45496</v>
      </c>
      <c r="D6622" t="s">
        <v>2327</v>
      </c>
      <c r="E6622" s="3">
        <v>29.56</v>
      </c>
      <c r="F6622">
        <v>20160607</v>
      </c>
      <c r="G6622" t="s">
        <v>4294</v>
      </c>
      <c r="H6622" t="s">
        <v>2786</v>
      </c>
      <c r="I6622">
        <v>0</v>
      </c>
      <c r="J6622" t="s">
        <v>1709</v>
      </c>
      <c r="K6622" t="s">
        <v>95</v>
      </c>
      <c r="L6622" t="s">
        <v>285</v>
      </c>
      <c r="M6622" t="str">
        <f t="shared" si="482"/>
        <v>06</v>
      </c>
      <c r="N6622" t="s">
        <v>12</v>
      </c>
    </row>
    <row r="6623" spans="1:14" x14ac:dyDescent="0.25">
      <c r="A6623">
        <v>20160610</v>
      </c>
      <c r="B6623" t="str">
        <f>"063779"</f>
        <v>063779</v>
      </c>
      <c r="C6623" t="str">
        <f>"45496"</f>
        <v>45496</v>
      </c>
      <c r="D6623" t="s">
        <v>2327</v>
      </c>
      <c r="E6623" s="3">
        <v>99.86</v>
      </c>
      <c r="F6623">
        <v>20160607</v>
      </c>
      <c r="G6623" t="s">
        <v>2047</v>
      </c>
      <c r="H6623" t="s">
        <v>5532</v>
      </c>
      <c r="I6623">
        <v>0</v>
      </c>
      <c r="J6623" t="s">
        <v>1709</v>
      </c>
      <c r="K6623" t="s">
        <v>1882</v>
      </c>
      <c r="L6623" t="s">
        <v>285</v>
      </c>
      <c r="M6623" t="str">
        <f t="shared" si="482"/>
        <v>06</v>
      </c>
      <c r="N6623" t="s">
        <v>12</v>
      </c>
    </row>
    <row r="6624" spans="1:14" x14ac:dyDescent="0.25">
      <c r="A6624">
        <v>20160610</v>
      </c>
      <c r="B6624" t="str">
        <f>"063779"</f>
        <v>063779</v>
      </c>
      <c r="C6624" t="str">
        <f>"45496"</f>
        <v>45496</v>
      </c>
      <c r="D6624" t="s">
        <v>2327</v>
      </c>
      <c r="E6624" s="3">
        <v>51.93</v>
      </c>
      <c r="F6624">
        <v>20160607</v>
      </c>
      <c r="G6624" t="s">
        <v>2871</v>
      </c>
      <c r="H6624" t="s">
        <v>595</v>
      </c>
      <c r="I6624">
        <v>0</v>
      </c>
      <c r="J6624" t="s">
        <v>1709</v>
      </c>
      <c r="K6624" t="s">
        <v>1861</v>
      </c>
      <c r="L6624" t="s">
        <v>285</v>
      </c>
      <c r="M6624" t="str">
        <f t="shared" si="482"/>
        <v>06</v>
      </c>
      <c r="N6624" t="s">
        <v>12</v>
      </c>
    </row>
    <row r="6625" spans="1:14" x14ac:dyDescent="0.25">
      <c r="A6625">
        <v>20160610</v>
      </c>
      <c r="B6625" t="str">
        <f t="shared" ref="B6625:B6635" si="485">"063780"</f>
        <v>063780</v>
      </c>
      <c r="C6625" t="str">
        <f t="shared" ref="C6625:C6635" si="486">"57791"</f>
        <v>57791</v>
      </c>
      <c r="D6625" t="s">
        <v>1878</v>
      </c>
      <c r="E6625" s="3">
        <v>135</v>
      </c>
      <c r="F6625">
        <v>20160607</v>
      </c>
      <c r="G6625" t="s">
        <v>2124</v>
      </c>
      <c r="H6625" t="s">
        <v>5533</v>
      </c>
      <c r="I6625">
        <v>0</v>
      </c>
      <c r="J6625" t="s">
        <v>1709</v>
      </c>
      <c r="K6625" t="s">
        <v>290</v>
      </c>
      <c r="L6625" t="s">
        <v>285</v>
      </c>
      <c r="M6625" t="str">
        <f t="shared" si="482"/>
        <v>06</v>
      </c>
      <c r="N6625" t="s">
        <v>12</v>
      </c>
    </row>
    <row r="6626" spans="1:14" x14ac:dyDescent="0.25">
      <c r="A6626">
        <v>20160610</v>
      </c>
      <c r="B6626" t="str">
        <f t="shared" si="485"/>
        <v>063780</v>
      </c>
      <c r="C6626" t="str">
        <f t="shared" si="486"/>
        <v>57791</v>
      </c>
      <c r="D6626" t="s">
        <v>1878</v>
      </c>
      <c r="E6626" s="3">
        <v>55</v>
      </c>
      <c r="F6626">
        <v>20160607</v>
      </c>
      <c r="G6626" t="s">
        <v>2124</v>
      </c>
      <c r="H6626" t="s">
        <v>5534</v>
      </c>
      <c r="I6626">
        <v>0</v>
      </c>
      <c r="J6626" t="s">
        <v>1709</v>
      </c>
      <c r="K6626" t="s">
        <v>290</v>
      </c>
      <c r="L6626" t="s">
        <v>285</v>
      </c>
      <c r="M6626" t="str">
        <f t="shared" si="482"/>
        <v>06</v>
      </c>
      <c r="N6626" t="s">
        <v>12</v>
      </c>
    </row>
    <row r="6627" spans="1:14" x14ac:dyDescent="0.25">
      <c r="A6627">
        <v>20160610</v>
      </c>
      <c r="B6627" t="str">
        <f t="shared" si="485"/>
        <v>063780</v>
      </c>
      <c r="C6627" t="str">
        <f t="shared" si="486"/>
        <v>57791</v>
      </c>
      <c r="D6627" t="s">
        <v>1878</v>
      </c>
      <c r="E6627" s="3">
        <v>3.99</v>
      </c>
      <c r="F6627">
        <v>20160607</v>
      </c>
      <c r="G6627" t="s">
        <v>2124</v>
      </c>
      <c r="H6627" t="s">
        <v>5535</v>
      </c>
      <c r="I6627">
        <v>0</v>
      </c>
      <c r="J6627" t="s">
        <v>1709</v>
      </c>
      <c r="K6627" t="s">
        <v>290</v>
      </c>
      <c r="L6627" t="s">
        <v>285</v>
      </c>
      <c r="M6627" t="str">
        <f t="shared" si="482"/>
        <v>06</v>
      </c>
      <c r="N6627" t="s">
        <v>12</v>
      </c>
    </row>
    <row r="6628" spans="1:14" x14ac:dyDescent="0.25">
      <c r="A6628">
        <v>20160610</v>
      </c>
      <c r="B6628" t="str">
        <f t="shared" si="485"/>
        <v>063780</v>
      </c>
      <c r="C6628" t="str">
        <f t="shared" si="486"/>
        <v>57791</v>
      </c>
      <c r="D6628" t="s">
        <v>1878</v>
      </c>
      <c r="E6628" s="3">
        <v>39.6</v>
      </c>
      <c r="F6628">
        <v>20160607</v>
      </c>
      <c r="G6628" t="s">
        <v>2124</v>
      </c>
      <c r="H6628" t="s">
        <v>5533</v>
      </c>
      <c r="I6628">
        <v>0</v>
      </c>
      <c r="J6628" t="s">
        <v>1709</v>
      </c>
      <c r="K6628" t="s">
        <v>290</v>
      </c>
      <c r="L6628" t="s">
        <v>285</v>
      </c>
      <c r="M6628" t="str">
        <f t="shared" si="482"/>
        <v>06</v>
      </c>
      <c r="N6628" t="s">
        <v>12</v>
      </c>
    </row>
    <row r="6629" spans="1:14" x14ac:dyDescent="0.25">
      <c r="A6629">
        <v>20160610</v>
      </c>
      <c r="B6629" t="str">
        <f t="shared" si="485"/>
        <v>063780</v>
      </c>
      <c r="C6629" t="str">
        <f t="shared" si="486"/>
        <v>57791</v>
      </c>
      <c r="D6629" t="s">
        <v>1878</v>
      </c>
      <c r="E6629" s="3">
        <v>74.95</v>
      </c>
      <c r="F6629">
        <v>20160607</v>
      </c>
      <c r="G6629" t="s">
        <v>2124</v>
      </c>
      <c r="H6629" t="s">
        <v>5536</v>
      </c>
      <c r="I6629">
        <v>0</v>
      </c>
      <c r="J6629" t="s">
        <v>1709</v>
      </c>
      <c r="K6629" t="s">
        <v>290</v>
      </c>
      <c r="L6629" t="s">
        <v>285</v>
      </c>
      <c r="M6629" t="str">
        <f t="shared" si="482"/>
        <v>06</v>
      </c>
      <c r="N6629" t="s">
        <v>12</v>
      </c>
    </row>
    <row r="6630" spans="1:14" x14ac:dyDescent="0.25">
      <c r="A6630">
        <v>20160610</v>
      </c>
      <c r="B6630" t="str">
        <f t="shared" si="485"/>
        <v>063780</v>
      </c>
      <c r="C6630" t="str">
        <f t="shared" si="486"/>
        <v>57791</v>
      </c>
      <c r="D6630" t="s">
        <v>1878</v>
      </c>
      <c r="E6630" s="3">
        <v>70.75</v>
      </c>
      <c r="F6630">
        <v>20160607</v>
      </c>
      <c r="G6630" t="s">
        <v>2124</v>
      </c>
      <c r="H6630" t="s">
        <v>5537</v>
      </c>
      <c r="I6630">
        <v>0</v>
      </c>
      <c r="J6630" t="s">
        <v>1709</v>
      </c>
      <c r="K6630" t="s">
        <v>290</v>
      </c>
      <c r="L6630" t="s">
        <v>285</v>
      </c>
      <c r="M6630" t="str">
        <f t="shared" si="482"/>
        <v>06</v>
      </c>
      <c r="N6630" t="s">
        <v>12</v>
      </c>
    </row>
    <row r="6631" spans="1:14" x14ac:dyDescent="0.25">
      <c r="A6631">
        <v>20160610</v>
      </c>
      <c r="B6631" t="str">
        <f t="shared" si="485"/>
        <v>063780</v>
      </c>
      <c r="C6631" t="str">
        <f t="shared" si="486"/>
        <v>57791</v>
      </c>
      <c r="D6631" t="s">
        <v>1878</v>
      </c>
      <c r="E6631" s="3">
        <v>3.99</v>
      </c>
      <c r="F6631">
        <v>20160607</v>
      </c>
      <c r="G6631" t="s">
        <v>2124</v>
      </c>
      <c r="H6631" t="s">
        <v>5538</v>
      </c>
      <c r="I6631">
        <v>0</v>
      </c>
      <c r="J6631" t="s">
        <v>1709</v>
      </c>
      <c r="K6631" t="s">
        <v>290</v>
      </c>
      <c r="L6631" t="s">
        <v>285</v>
      </c>
      <c r="M6631" t="str">
        <f t="shared" si="482"/>
        <v>06</v>
      </c>
      <c r="N6631" t="s">
        <v>12</v>
      </c>
    </row>
    <row r="6632" spans="1:14" x14ac:dyDescent="0.25">
      <c r="A6632">
        <v>20160610</v>
      </c>
      <c r="B6632" t="str">
        <f t="shared" si="485"/>
        <v>063780</v>
      </c>
      <c r="C6632" t="str">
        <f t="shared" si="486"/>
        <v>57791</v>
      </c>
      <c r="D6632" t="s">
        <v>1878</v>
      </c>
      <c r="E6632" s="3">
        <v>93.74</v>
      </c>
      <c r="F6632">
        <v>20160607</v>
      </c>
      <c r="G6632" t="s">
        <v>2124</v>
      </c>
      <c r="H6632" t="s">
        <v>2378</v>
      </c>
      <c r="I6632">
        <v>0</v>
      </c>
      <c r="J6632" t="s">
        <v>1709</v>
      </c>
      <c r="K6632" t="s">
        <v>290</v>
      </c>
      <c r="L6632" t="s">
        <v>285</v>
      </c>
      <c r="M6632" t="str">
        <f t="shared" si="482"/>
        <v>06</v>
      </c>
      <c r="N6632" t="s">
        <v>12</v>
      </c>
    </row>
    <row r="6633" spans="1:14" x14ac:dyDescent="0.25">
      <c r="A6633">
        <v>20160610</v>
      </c>
      <c r="B6633" t="str">
        <f t="shared" si="485"/>
        <v>063780</v>
      </c>
      <c r="C6633" t="str">
        <f t="shared" si="486"/>
        <v>57791</v>
      </c>
      <c r="D6633" t="s">
        <v>1878</v>
      </c>
      <c r="E6633" s="3">
        <v>105</v>
      </c>
      <c r="F6633">
        <v>20160607</v>
      </c>
      <c r="G6633" t="s">
        <v>2124</v>
      </c>
      <c r="H6633" t="s">
        <v>5539</v>
      </c>
      <c r="I6633">
        <v>0</v>
      </c>
      <c r="J6633" t="s">
        <v>1709</v>
      </c>
      <c r="K6633" t="s">
        <v>290</v>
      </c>
      <c r="L6633" t="s">
        <v>285</v>
      </c>
      <c r="M6633" t="str">
        <f t="shared" si="482"/>
        <v>06</v>
      </c>
      <c r="N6633" t="s">
        <v>12</v>
      </c>
    </row>
    <row r="6634" spans="1:14" x14ac:dyDescent="0.25">
      <c r="A6634">
        <v>20160610</v>
      </c>
      <c r="B6634" t="str">
        <f t="shared" si="485"/>
        <v>063780</v>
      </c>
      <c r="C6634" t="str">
        <f t="shared" si="486"/>
        <v>57791</v>
      </c>
      <c r="D6634" t="s">
        <v>1878</v>
      </c>
      <c r="E6634" s="3">
        <v>53.35</v>
      </c>
      <c r="F6634">
        <v>20160607</v>
      </c>
      <c r="G6634" t="s">
        <v>2124</v>
      </c>
      <c r="H6634" t="s">
        <v>5540</v>
      </c>
      <c r="I6634">
        <v>0</v>
      </c>
      <c r="J6634" t="s">
        <v>1709</v>
      </c>
      <c r="K6634" t="s">
        <v>290</v>
      </c>
      <c r="L6634" t="s">
        <v>285</v>
      </c>
      <c r="M6634" t="str">
        <f t="shared" si="482"/>
        <v>06</v>
      </c>
      <c r="N6634" t="s">
        <v>12</v>
      </c>
    </row>
    <row r="6635" spans="1:14" x14ac:dyDescent="0.25">
      <c r="A6635">
        <v>20160610</v>
      </c>
      <c r="B6635" t="str">
        <f t="shared" si="485"/>
        <v>063780</v>
      </c>
      <c r="C6635" t="str">
        <f t="shared" si="486"/>
        <v>57791</v>
      </c>
      <c r="D6635" t="s">
        <v>1878</v>
      </c>
      <c r="E6635" s="3">
        <v>60</v>
      </c>
      <c r="F6635">
        <v>20160607</v>
      </c>
      <c r="G6635" t="s">
        <v>2124</v>
      </c>
      <c r="H6635" t="s">
        <v>5541</v>
      </c>
      <c r="I6635">
        <v>0</v>
      </c>
      <c r="J6635" t="s">
        <v>1709</v>
      </c>
      <c r="K6635" t="s">
        <v>290</v>
      </c>
      <c r="L6635" t="s">
        <v>285</v>
      </c>
      <c r="M6635" t="str">
        <f t="shared" si="482"/>
        <v>06</v>
      </c>
      <c r="N6635" t="s">
        <v>12</v>
      </c>
    </row>
    <row r="6636" spans="1:14" x14ac:dyDescent="0.25">
      <c r="A6636">
        <v>20160610</v>
      </c>
      <c r="B6636" t="str">
        <f>"063783"</f>
        <v>063783</v>
      </c>
      <c r="C6636" t="str">
        <f>"46779"</f>
        <v>46779</v>
      </c>
      <c r="D6636" t="s">
        <v>4932</v>
      </c>
      <c r="E6636" s="3">
        <v>136.72999999999999</v>
      </c>
      <c r="F6636">
        <v>20160607</v>
      </c>
      <c r="G6636" t="s">
        <v>3013</v>
      </c>
      <c r="H6636" t="s">
        <v>5542</v>
      </c>
      <c r="I6636">
        <v>0</v>
      </c>
      <c r="J6636" t="s">
        <v>1709</v>
      </c>
      <c r="K6636" t="s">
        <v>1984</v>
      </c>
      <c r="L6636" t="s">
        <v>285</v>
      </c>
      <c r="M6636" t="str">
        <f t="shared" si="482"/>
        <v>06</v>
      </c>
      <c r="N6636" t="s">
        <v>12</v>
      </c>
    </row>
    <row r="6637" spans="1:14" x14ac:dyDescent="0.25">
      <c r="A6637">
        <v>20160610</v>
      </c>
      <c r="B6637" t="str">
        <f>"063784"</f>
        <v>063784</v>
      </c>
      <c r="C6637" t="str">
        <f>"46850"</f>
        <v>46850</v>
      </c>
      <c r="D6637" t="s">
        <v>2677</v>
      </c>
      <c r="E6637" s="3">
        <v>233.68</v>
      </c>
      <c r="F6637">
        <v>20160607</v>
      </c>
      <c r="G6637" t="s">
        <v>5543</v>
      </c>
      <c r="H6637" t="s">
        <v>2169</v>
      </c>
      <c r="I6637">
        <v>0</v>
      </c>
      <c r="J6637" t="s">
        <v>1709</v>
      </c>
      <c r="K6637" t="s">
        <v>33</v>
      </c>
      <c r="L6637" t="s">
        <v>285</v>
      </c>
      <c r="M6637" t="str">
        <f t="shared" si="482"/>
        <v>06</v>
      </c>
      <c r="N6637" t="s">
        <v>12</v>
      </c>
    </row>
    <row r="6638" spans="1:14" x14ac:dyDescent="0.25">
      <c r="A6638">
        <v>20160610</v>
      </c>
      <c r="B6638" t="str">
        <f>"063784"</f>
        <v>063784</v>
      </c>
      <c r="C6638" t="str">
        <f>"46850"</f>
        <v>46850</v>
      </c>
      <c r="D6638" t="s">
        <v>2677</v>
      </c>
      <c r="E6638" s="3">
        <v>252.41</v>
      </c>
      <c r="F6638">
        <v>20160607</v>
      </c>
      <c r="G6638" t="s">
        <v>5543</v>
      </c>
      <c r="H6638" t="s">
        <v>2169</v>
      </c>
      <c r="I6638">
        <v>0</v>
      </c>
      <c r="J6638" t="s">
        <v>1709</v>
      </c>
      <c r="K6638" t="s">
        <v>33</v>
      </c>
      <c r="L6638" t="s">
        <v>285</v>
      </c>
      <c r="M6638" t="str">
        <f t="shared" si="482"/>
        <v>06</v>
      </c>
      <c r="N6638" t="s">
        <v>12</v>
      </c>
    </row>
    <row r="6639" spans="1:14" x14ac:dyDescent="0.25">
      <c r="A6639">
        <v>20160610</v>
      </c>
      <c r="B6639" t="str">
        <f>"063784"</f>
        <v>063784</v>
      </c>
      <c r="C6639" t="str">
        <f>"46850"</f>
        <v>46850</v>
      </c>
      <c r="D6639" t="s">
        <v>2677</v>
      </c>
      <c r="E6639" s="3">
        <v>334.58</v>
      </c>
      <c r="F6639">
        <v>20160607</v>
      </c>
      <c r="G6639" t="s">
        <v>5543</v>
      </c>
      <c r="H6639" t="s">
        <v>2169</v>
      </c>
      <c r="I6639">
        <v>0</v>
      </c>
      <c r="J6639" t="s">
        <v>1709</v>
      </c>
      <c r="K6639" t="s">
        <v>33</v>
      </c>
      <c r="L6639" t="s">
        <v>285</v>
      </c>
      <c r="M6639" t="str">
        <f t="shared" si="482"/>
        <v>06</v>
      </c>
      <c r="N6639" t="s">
        <v>12</v>
      </c>
    </row>
    <row r="6640" spans="1:14" x14ac:dyDescent="0.25">
      <c r="A6640">
        <v>20160610</v>
      </c>
      <c r="B6640" t="str">
        <f>"063786"</f>
        <v>063786</v>
      </c>
      <c r="C6640" t="str">
        <f>"48958"</f>
        <v>48958</v>
      </c>
      <c r="D6640" t="s">
        <v>3849</v>
      </c>
      <c r="E6640" s="3">
        <v>76.260000000000005</v>
      </c>
      <c r="F6640">
        <v>20160607</v>
      </c>
      <c r="G6640" t="s">
        <v>3850</v>
      </c>
      <c r="H6640" t="s">
        <v>1412</v>
      </c>
      <c r="I6640">
        <v>0</v>
      </c>
      <c r="J6640" t="s">
        <v>1709</v>
      </c>
      <c r="K6640" t="s">
        <v>2194</v>
      </c>
      <c r="L6640" t="s">
        <v>285</v>
      </c>
      <c r="M6640" t="str">
        <f t="shared" si="482"/>
        <v>06</v>
      </c>
      <c r="N6640" t="s">
        <v>12</v>
      </c>
    </row>
    <row r="6641" spans="1:14" x14ac:dyDescent="0.25">
      <c r="A6641">
        <v>20160610</v>
      </c>
      <c r="B6641" t="str">
        <f>"063787"</f>
        <v>063787</v>
      </c>
      <c r="C6641" t="str">
        <f>"49748"</f>
        <v>49748</v>
      </c>
      <c r="D6641" t="s">
        <v>1885</v>
      </c>
      <c r="E6641" s="3">
        <v>771.99</v>
      </c>
      <c r="F6641">
        <v>20160608</v>
      </c>
      <c r="G6641" t="s">
        <v>1961</v>
      </c>
      <c r="H6641" t="s">
        <v>5544</v>
      </c>
      <c r="I6641">
        <v>0</v>
      </c>
      <c r="J6641" t="s">
        <v>1709</v>
      </c>
      <c r="K6641" t="s">
        <v>290</v>
      </c>
      <c r="L6641" t="s">
        <v>285</v>
      </c>
      <c r="M6641" t="str">
        <f t="shared" si="482"/>
        <v>06</v>
      </c>
      <c r="N6641" t="s">
        <v>12</v>
      </c>
    </row>
    <row r="6642" spans="1:14" x14ac:dyDescent="0.25">
      <c r="A6642">
        <v>20160610</v>
      </c>
      <c r="B6642" t="str">
        <f>"063787"</f>
        <v>063787</v>
      </c>
      <c r="C6642" t="str">
        <f>"49748"</f>
        <v>49748</v>
      </c>
      <c r="D6642" t="s">
        <v>1885</v>
      </c>
      <c r="E6642" s="3">
        <v>1068.75</v>
      </c>
      <c r="F6642">
        <v>20160608</v>
      </c>
      <c r="G6642" t="s">
        <v>5181</v>
      </c>
      <c r="H6642" t="s">
        <v>5182</v>
      </c>
      <c r="I6642">
        <v>0</v>
      </c>
      <c r="J6642" t="s">
        <v>1709</v>
      </c>
      <c r="K6642" t="s">
        <v>290</v>
      </c>
      <c r="L6642" t="s">
        <v>285</v>
      </c>
      <c r="M6642" t="str">
        <f t="shared" si="482"/>
        <v>06</v>
      </c>
      <c r="N6642" t="s">
        <v>12</v>
      </c>
    </row>
    <row r="6643" spans="1:14" x14ac:dyDescent="0.25">
      <c r="A6643">
        <v>20160610</v>
      </c>
      <c r="B6643" t="str">
        <f>"063790"</f>
        <v>063790</v>
      </c>
      <c r="C6643" t="str">
        <f>"49989"</f>
        <v>49989</v>
      </c>
      <c r="D6643" t="s">
        <v>5545</v>
      </c>
      <c r="E6643" s="3">
        <v>150</v>
      </c>
      <c r="F6643">
        <v>20160608</v>
      </c>
      <c r="G6643" t="s">
        <v>2449</v>
      </c>
      <c r="H6643" t="s">
        <v>5512</v>
      </c>
      <c r="I6643">
        <v>0</v>
      </c>
      <c r="J6643" t="s">
        <v>1709</v>
      </c>
      <c r="K6643" t="s">
        <v>290</v>
      </c>
      <c r="L6643" t="s">
        <v>285</v>
      </c>
      <c r="M6643" t="str">
        <f t="shared" si="482"/>
        <v>06</v>
      </c>
      <c r="N6643" t="s">
        <v>12</v>
      </c>
    </row>
    <row r="6644" spans="1:14" x14ac:dyDescent="0.25">
      <c r="A6644">
        <v>20160610</v>
      </c>
      <c r="B6644" t="str">
        <f>"063792"</f>
        <v>063792</v>
      </c>
      <c r="C6644" t="str">
        <f>"49964"</f>
        <v>49964</v>
      </c>
      <c r="D6644" t="s">
        <v>2346</v>
      </c>
      <c r="E6644" s="3">
        <v>168.56</v>
      </c>
      <c r="F6644">
        <v>20160608</v>
      </c>
      <c r="G6644" t="s">
        <v>2347</v>
      </c>
      <c r="H6644" t="s">
        <v>5546</v>
      </c>
      <c r="I6644">
        <v>0</v>
      </c>
      <c r="J6644" t="s">
        <v>1709</v>
      </c>
      <c r="K6644" t="s">
        <v>2194</v>
      </c>
      <c r="L6644" t="s">
        <v>285</v>
      </c>
      <c r="M6644" t="str">
        <f t="shared" si="482"/>
        <v>06</v>
      </c>
      <c r="N6644" t="s">
        <v>12</v>
      </c>
    </row>
    <row r="6645" spans="1:14" x14ac:dyDescent="0.25">
      <c r="A6645">
        <v>20160610</v>
      </c>
      <c r="B6645" t="str">
        <f>"063794"</f>
        <v>063794</v>
      </c>
      <c r="C6645" t="str">
        <f>"51475"</f>
        <v>51475</v>
      </c>
      <c r="D6645" t="s">
        <v>2352</v>
      </c>
      <c r="E6645" s="3">
        <v>1021.87</v>
      </c>
      <c r="F6645">
        <v>20160608</v>
      </c>
      <c r="G6645" t="s">
        <v>2525</v>
      </c>
      <c r="H6645" t="s">
        <v>5547</v>
      </c>
      <c r="I6645">
        <v>0</v>
      </c>
      <c r="J6645" t="s">
        <v>1709</v>
      </c>
      <c r="K6645" t="s">
        <v>2194</v>
      </c>
      <c r="L6645" t="s">
        <v>285</v>
      </c>
      <c r="M6645" t="str">
        <f t="shared" si="482"/>
        <v>06</v>
      </c>
      <c r="N6645" t="s">
        <v>12</v>
      </c>
    </row>
    <row r="6646" spans="1:14" x14ac:dyDescent="0.25">
      <c r="A6646">
        <v>20160610</v>
      </c>
      <c r="B6646" t="str">
        <f>"063796"</f>
        <v>063796</v>
      </c>
      <c r="C6646" t="str">
        <f>"54495"</f>
        <v>54495</v>
      </c>
      <c r="D6646" t="s">
        <v>2756</v>
      </c>
      <c r="E6646" s="3">
        <v>7218.2</v>
      </c>
      <c r="F6646">
        <v>20160608</v>
      </c>
      <c r="G6646" t="s">
        <v>5548</v>
      </c>
      <c r="H6646" t="s">
        <v>5549</v>
      </c>
      <c r="I6646">
        <v>0</v>
      </c>
      <c r="J6646" t="s">
        <v>1709</v>
      </c>
      <c r="K6646" t="s">
        <v>290</v>
      </c>
      <c r="L6646" t="s">
        <v>285</v>
      </c>
      <c r="M6646" t="str">
        <f t="shared" si="482"/>
        <v>06</v>
      </c>
      <c r="N6646" t="s">
        <v>12</v>
      </c>
    </row>
    <row r="6647" spans="1:14" x14ac:dyDescent="0.25">
      <c r="A6647">
        <v>20160610</v>
      </c>
      <c r="B6647" t="str">
        <f>"063796"</f>
        <v>063796</v>
      </c>
      <c r="C6647" t="str">
        <f>"54495"</f>
        <v>54495</v>
      </c>
      <c r="D6647" t="s">
        <v>2756</v>
      </c>
      <c r="E6647" s="3">
        <v>5000</v>
      </c>
      <c r="F6647">
        <v>20160608</v>
      </c>
      <c r="G6647" t="s">
        <v>5383</v>
      </c>
      <c r="H6647" t="s">
        <v>5550</v>
      </c>
      <c r="I6647">
        <v>0</v>
      </c>
      <c r="J6647" t="s">
        <v>1709</v>
      </c>
      <c r="K6647" t="s">
        <v>290</v>
      </c>
      <c r="L6647" t="s">
        <v>285</v>
      </c>
      <c r="M6647" t="str">
        <f t="shared" si="482"/>
        <v>06</v>
      </c>
      <c r="N6647" t="s">
        <v>12</v>
      </c>
    </row>
    <row r="6648" spans="1:14" x14ac:dyDescent="0.25">
      <c r="A6648">
        <v>20160610</v>
      </c>
      <c r="B6648" t="str">
        <f>"063799"</f>
        <v>063799</v>
      </c>
      <c r="C6648" t="str">
        <f>"56002"</f>
        <v>56002</v>
      </c>
      <c r="D6648" t="s">
        <v>1747</v>
      </c>
      <c r="E6648" s="3">
        <v>90082</v>
      </c>
      <c r="F6648">
        <v>20160608</v>
      </c>
      <c r="G6648" t="s">
        <v>1748</v>
      </c>
      <c r="H6648" t="s">
        <v>3365</v>
      </c>
      <c r="I6648">
        <v>0</v>
      </c>
      <c r="J6648" t="s">
        <v>1709</v>
      </c>
      <c r="K6648" t="s">
        <v>1750</v>
      </c>
      <c r="L6648" t="s">
        <v>285</v>
      </c>
      <c r="M6648" t="str">
        <f t="shared" si="482"/>
        <v>06</v>
      </c>
      <c r="N6648" t="s">
        <v>12</v>
      </c>
    </row>
    <row r="6649" spans="1:14" x14ac:dyDescent="0.25">
      <c r="A6649">
        <v>20160610</v>
      </c>
      <c r="B6649" t="str">
        <f>"063800"</f>
        <v>063800</v>
      </c>
      <c r="C6649" t="str">
        <f>"56013"</f>
        <v>56013</v>
      </c>
      <c r="D6649" t="s">
        <v>2355</v>
      </c>
      <c r="E6649" s="3">
        <v>320</v>
      </c>
      <c r="F6649">
        <v>20160608</v>
      </c>
      <c r="G6649" t="s">
        <v>2356</v>
      </c>
      <c r="H6649" t="s">
        <v>5551</v>
      </c>
      <c r="I6649">
        <v>0</v>
      </c>
      <c r="J6649" t="s">
        <v>1709</v>
      </c>
      <c r="K6649" t="s">
        <v>1861</v>
      </c>
      <c r="L6649" t="s">
        <v>285</v>
      </c>
      <c r="M6649" t="str">
        <f t="shared" si="482"/>
        <v>06</v>
      </c>
      <c r="N6649" t="s">
        <v>12</v>
      </c>
    </row>
    <row r="6650" spans="1:14" x14ac:dyDescent="0.25">
      <c r="A6650">
        <v>20160610</v>
      </c>
      <c r="B6650" t="str">
        <f>"063807"</f>
        <v>063807</v>
      </c>
      <c r="C6650" t="str">
        <f>"57329"</f>
        <v>57329</v>
      </c>
      <c r="D6650" t="s">
        <v>2362</v>
      </c>
      <c r="E6650" s="3">
        <v>394.89</v>
      </c>
      <c r="F6650">
        <v>20160608</v>
      </c>
      <c r="G6650" t="s">
        <v>2347</v>
      </c>
      <c r="H6650" t="s">
        <v>5552</v>
      </c>
      <c r="I6650">
        <v>0</v>
      </c>
      <c r="J6650" t="s">
        <v>1709</v>
      </c>
      <c r="K6650" t="s">
        <v>2194</v>
      </c>
      <c r="L6650" t="s">
        <v>285</v>
      </c>
      <c r="M6650" t="str">
        <f t="shared" si="482"/>
        <v>06</v>
      </c>
      <c r="N6650" t="s">
        <v>12</v>
      </c>
    </row>
    <row r="6651" spans="1:14" x14ac:dyDescent="0.25">
      <c r="A6651">
        <v>20160610</v>
      </c>
      <c r="B6651" t="str">
        <f>"063808"</f>
        <v>063808</v>
      </c>
      <c r="C6651" t="str">
        <f>"57697"</f>
        <v>57697</v>
      </c>
      <c r="D6651" t="s">
        <v>1897</v>
      </c>
      <c r="E6651" s="3">
        <v>218.03</v>
      </c>
      <c r="F6651">
        <v>20160608</v>
      </c>
      <c r="G6651" t="s">
        <v>5553</v>
      </c>
      <c r="H6651" t="s">
        <v>5554</v>
      </c>
      <c r="I6651">
        <v>0</v>
      </c>
      <c r="J6651" t="s">
        <v>1709</v>
      </c>
      <c r="K6651" t="s">
        <v>290</v>
      </c>
      <c r="L6651" t="s">
        <v>285</v>
      </c>
      <c r="M6651" t="str">
        <f t="shared" si="482"/>
        <v>06</v>
      </c>
      <c r="N6651" t="s">
        <v>12</v>
      </c>
    </row>
    <row r="6652" spans="1:14" x14ac:dyDescent="0.25">
      <c r="A6652">
        <v>20160610</v>
      </c>
      <c r="B6652" t="str">
        <f>"063809"</f>
        <v>063809</v>
      </c>
      <c r="C6652" t="str">
        <f>"58173"</f>
        <v>58173</v>
      </c>
      <c r="D6652" t="s">
        <v>2544</v>
      </c>
      <c r="E6652" s="3">
        <v>632.5</v>
      </c>
      <c r="F6652">
        <v>20160608</v>
      </c>
      <c r="G6652" t="s">
        <v>2545</v>
      </c>
      <c r="H6652" t="s">
        <v>4709</v>
      </c>
      <c r="I6652">
        <v>0</v>
      </c>
      <c r="J6652" t="s">
        <v>1709</v>
      </c>
      <c r="K6652" t="s">
        <v>1861</v>
      </c>
      <c r="L6652" t="s">
        <v>285</v>
      </c>
      <c r="M6652" t="str">
        <f t="shared" si="482"/>
        <v>06</v>
      </c>
      <c r="N6652" t="s">
        <v>12</v>
      </c>
    </row>
    <row r="6653" spans="1:14" x14ac:dyDescent="0.25">
      <c r="A6653">
        <v>20160610</v>
      </c>
      <c r="B6653" t="str">
        <f>"063809"</f>
        <v>063809</v>
      </c>
      <c r="C6653" t="str">
        <f>"58173"</f>
        <v>58173</v>
      </c>
      <c r="D6653" t="s">
        <v>2544</v>
      </c>
      <c r="E6653" s="3">
        <v>375</v>
      </c>
      <c r="F6653">
        <v>20160608</v>
      </c>
      <c r="G6653" t="s">
        <v>2545</v>
      </c>
      <c r="H6653" t="s">
        <v>4772</v>
      </c>
      <c r="I6653">
        <v>0</v>
      </c>
      <c r="J6653" t="s">
        <v>1709</v>
      </c>
      <c r="K6653" t="s">
        <v>1861</v>
      </c>
      <c r="L6653" t="s">
        <v>285</v>
      </c>
      <c r="M6653" t="str">
        <f t="shared" si="482"/>
        <v>06</v>
      </c>
      <c r="N6653" t="s">
        <v>12</v>
      </c>
    </row>
    <row r="6654" spans="1:14" x14ac:dyDescent="0.25">
      <c r="A6654">
        <v>20160610</v>
      </c>
      <c r="B6654" t="str">
        <f>"063811"</f>
        <v>063811</v>
      </c>
      <c r="C6654" t="str">
        <f>"58204"</f>
        <v>58204</v>
      </c>
      <c r="D6654" t="s">
        <v>1816</v>
      </c>
      <c r="E6654" s="3">
        <v>19.23</v>
      </c>
      <c r="F6654">
        <v>20160608</v>
      </c>
      <c r="G6654" t="s">
        <v>1974</v>
      </c>
      <c r="H6654" t="s">
        <v>3957</v>
      </c>
      <c r="I6654">
        <v>0</v>
      </c>
      <c r="J6654" t="s">
        <v>1709</v>
      </c>
      <c r="K6654" t="s">
        <v>290</v>
      </c>
      <c r="L6654" t="s">
        <v>285</v>
      </c>
      <c r="M6654" t="str">
        <f t="shared" si="482"/>
        <v>06</v>
      </c>
      <c r="N6654" t="s">
        <v>12</v>
      </c>
    </row>
    <row r="6655" spans="1:14" x14ac:dyDescent="0.25">
      <c r="A6655">
        <v>20160610</v>
      </c>
      <c r="B6655" t="str">
        <f>"063811"</f>
        <v>063811</v>
      </c>
      <c r="C6655" t="str">
        <f>"58204"</f>
        <v>58204</v>
      </c>
      <c r="D6655" t="s">
        <v>1816</v>
      </c>
      <c r="E6655" s="3">
        <v>109.9</v>
      </c>
      <c r="F6655">
        <v>20160608</v>
      </c>
      <c r="G6655" t="s">
        <v>1961</v>
      </c>
      <c r="H6655" t="s">
        <v>5555</v>
      </c>
      <c r="I6655">
        <v>0</v>
      </c>
      <c r="J6655" t="s">
        <v>1709</v>
      </c>
      <c r="K6655" t="s">
        <v>290</v>
      </c>
      <c r="L6655" t="s">
        <v>285</v>
      </c>
      <c r="M6655" t="str">
        <f t="shared" si="482"/>
        <v>06</v>
      </c>
      <c r="N6655" t="s">
        <v>12</v>
      </c>
    </row>
    <row r="6656" spans="1:14" x14ac:dyDescent="0.25">
      <c r="A6656">
        <v>20160610</v>
      </c>
      <c r="B6656" t="str">
        <f>"063811"</f>
        <v>063811</v>
      </c>
      <c r="C6656" t="str">
        <f>"58204"</f>
        <v>58204</v>
      </c>
      <c r="D6656" t="s">
        <v>1816</v>
      </c>
      <c r="E6656" s="3">
        <v>45.9</v>
      </c>
      <c r="F6656">
        <v>20160608</v>
      </c>
      <c r="G6656" t="s">
        <v>5181</v>
      </c>
      <c r="H6656" t="s">
        <v>5556</v>
      </c>
      <c r="I6656">
        <v>0</v>
      </c>
      <c r="J6656" t="s">
        <v>1709</v>
      </c>
      <c r="K6656" t="s">
        <v>290</v>
      </c>
      <c r="L6656" t="s">
        <v>285</v>
      </c>
      <c r="M6656" t="str">
        <f t="shared" si="482"/>
        <v>06</v>
      </c>
      <c r="N6656" t="s">
        <v>12</v>
      </c>
    </row>
    <row r="6657" spans="1:14" x14ac:dyDescent="0.25">
      <c r="A6657">
        <v>20160610</v>
      </c>
      <c r="B6657" t="str">
        <f>"063811"</f>
        <v>063811</v>
      </c>
      <c r="C6657" t="str">
        <f>"58204"</f>
        <v>58204</v>
      </c>
      <c r="D6657" t="s">
        <v>1816</v>
      </c>
      <c r="E6657" s="3">
        <v>179.11</v>
      </c>
      <c r="F6657">
        <v>20160608</v>
      </c>
      <c r="G6657" t="s">
        <v>5181</v>
      </c>
      <c r="H6657" t="s">
        <v>5182</v>
      </c>
      <c r="I6657">
        <v>0</v>
      </c>
      <c r="J6657" t="s">
        <v>1709</v>
      </c>
      <c r="K6657" t="s">
        <v>290</v>
      </c>
      <c r="L6657" t="s">
        <v>285</v>
      </c>
      <c r="M6657" t="str">
        <f t="shared" ref="M6657:M6720" si="487">"06"</f>
        <v>06</v>
      </c>
      <c r="N6657" t="s">
        <v>12</v>
      </c>
    </row>
    <row r="6658" spans="1:14" x14ac:dyDescent="0.25">
      <c r="A6658">
        <v>20160610</v>
      </c>
      <c r="B6658" t="str">
        <f>"063811"</f>
        <v>063811</v>
      </c>
      <c r="C6658" t="str">
        <f>"58204"</f>
        <v>58204</v>
      </c>
      <c r="D6658" t="s">
        <v>1816</v>
      </c>
      <c r="E6658" s="3">
        <v>72</v>
      </c>
      <c r="F6658">
        <v>20160608</v>
      </c>
      <c r="G6658" t="s">
        <v>5181</v>
      </c>
      <c r="H6658" t="s">
        <v>5182</v>
      </c>
      <c r="I6658">
        <v>0</v>
      </c>
      <c r="J6658" t="s">
        <v>1709</v>
      </c>
      <c r="K6658" t="s">
        <v>290</v>
      </c>
      <c r="L6658" t="s">
        <v>285</v>
      </c>
      <c r="M6658" t="str">
        <f t="shared" si="487"/>
        <v>06</v>
      </c>
      <c r="N6658" t="s">
        <v>12</v>
      </c>
    </row>
    <row r="6659" spans="1:14" x14ac:dyDescent="0.25">
      <c r="A6659">
        <v>20160610</v>
      </c>
      <c r="B6659" t="str">
        <f>"063812"</f>
        <v>063812</v>
      </c>
      <c r="C6659" t="str">
        <f>"59018"</f>
        <v>59018</v>
      </c>
      <c r="D6659" t="s">
        <v>5557</v>
      </c>
      <c r="E6659" s="3">
        <v>114.68</v>
      </c>
      <c r="F6659">
        <v>20160608</v>
      </c>
      <c r="G6659" t="s">
        <v>1961</v>
      </c>
      <c r="H6659" t="s">
        <v>5558</v>
      </c>
      <c r="I6659">
        <v>0</v>
      </c>
      <c r="J6659" t="s">
        <v>1709</v>
      </c>
      <c r="K6659" t="s">
        <v>290</v>
      </c>
      <c r="L6659" t="s">
        <v>285</v>
      </c>
      <c r="M6659" t="str">
        <f t="shared" si="487"/>
        <v>06</v>
      </c>
      <c r="N6659" t="s">
        <v>12</v>
      </c>
    </row>
    <row r="6660" spans="1:14" x14ac:dyDescent="0.25">
      <c r="A6660">
        <v>20160610</v>
      </c>
      <c r="B6660" t="str">
        <f>"063812"</f>
        <v>063812</v>
      </c>
      <c r="C6660" t="str">
        <f>"59018"</f>
        <v>59018</v>
      </c>
      <c r="D6660" t="s">
        <v>5557</v>
      </c>
      <c r="E6660" s="3">
        <v>83.38</v>
      </c>
      <c r="F6660">
        <v>20160608</v>
      </c>
      <c r="G6660" t="s">
        <v>5181</v>
      </c>
      <c r="H6660" t="s">
        <v>5182</v>
      </c>
      <c r="I6660">
        <v>0</v>
      </c>
      <c r="J6660" t="s">
        <v>1709</v>
      </c>
      <c r="K6660" t="s">
        <v>290</v>
      </c>
      <c r="L6660" t="s">
        <v>285</v>
      </c>
      <c r="M6660" t="str">
        <f t="shared" si="487"/>
        <v>06</v>
      </c>
      <c r="N6660" t="s">
        <v>12</v>
      </c>
    </row>
    <row r="6661" spans="1:14" x14ac:dyDescent="0.25">
      <c r="A6661">
        <v>20160610</v>
      </c>
      <c r="B6661" t="str">
        <f>"063813"</f>
        <v>063813</v>
      </c>
      <c r="C6661" t="str">
        <f>"59097"</f>
        <v>59097</v>
      </c>
      <c r="D6661" t="s">
        <v>1755</v>
      </c>
      <c r="E6661" s="3">
        <v>186.89</v>
      </c>
      <c r="F6661">
        <v>20160608</v>
      </c>
      <c r="G6661" t="s">
        <v>5181</v>
      </c>
      <c r="H6661" t="s">
        <v>5182</v>
      </c>
      <c r="I6661">
        <v>0</v>
      </c>
      <c r="J6661" t="s">
        <v>1709</v>
      </c>
      <c r="K6661" t="s">
        <v>290</v>
      </c>
      <c r="L6661" t="s">
        <v>285</v>
      </c>
      <c r="M6661" t="str">
        <f t="shared" si="487"/>
        <v>06</v>
      </c>
      <c r="N6661" t="s">
        <v>12</v>
      </c>
    </row>
    <row r="6662" spans="1:14" x14ac:dyDescent="0.25">
      <c r="A6662">
        <v>20160610</v>
      </c>
      <c r="B6662" t="str">
        <f>"063814"</f>
        <v>063814</v>
      </c>
      <c r="C6662" t="str">
        <f>"60070"</f>
        <v>60070</v>
      </c>
      <c r="D6662" t="s">
        <v>5216</v>
      </c>
      <c r="E6662" s="3">
        <v>2053.19</v>
      </c>
      <c r="F6662">
        <v>20160608</v>
      </c>
      <c r="G6662" t="s">
        <v>2731</v>
      </c>
      <c r="H6662" t="s">
        <v>5559</v>
      </c>
      <c r="I6662">
        <v>0</v>
      </c>
      <c r="J6662" t="s">
        <v>1709</v>
      </c>
      <c r="K6662" t="s">
        <v>290</v>
      </c>
      <c r="L6662" t="s">
        <v>285</v>
      </c>
      <c r="M6662" t="str">
        <f t="shared" si="487"/>
        <v>06</v>
      </c>
      <c r="N6662" t="s">
        <v>12</v>
      </c>
    </row>
    <row r="6663" spans="1:14" x14ac:dyDescent="0.25">
      <c r="A6663">
        <v>20160610</v>
      </c>
      <c r="B6663" t="str">
        <f>"063814"</f>
        <v>063814</v>
      </c>
      <c r="C6663" t="str">
        <f>"60070"</f>
        <v>60070</v>
      </c>
      <c r="D6663" t="s">
        <v>5216</v>
      </c>
      <c r="E6663" s="3">
        <v>1319.96</v>
      </c>
      <c r="F6663">
        <v>20160608</v>
      </c>
      <c r="G6663" t="s">
        <v>2731</v>
      </c>
      <c r="H6663" t="s">
        <v>5559</v>
      </c>
      <c r="I6663">
        <v>0</v>
      </c>
      <c r="J6663" t="s">
        <v>1709</v>
      </c>
      <c r="K6663" t="s">
        <v>290</v>
      </c>
      <c r="L6663" t="s">
        <v>285</v>
      </c>
      <c r="M6663" t="str">
        <f t="shared" si="487"/>
        <v>06</v>
      </c>
      <c r="N6663" t="s">
        <v>12</v>
      </c>
    </row>
    <row r="6664" spans="1:14" x14ac:dyDescent="0.25">
      <c r="A6664">
        <v>20160610</v>
      </c>
      <c r="B6664" t="str">
        <f>"063815"</f>
        <v>063815</v>
      </c>
      <c r="C6664" t="str">
        <f>"60178"</f>
        <v>60178</v>
      </c>
      <c r="D6664" t="s">
        <v>2136</v>
      </c>
      <c r="E6664" s="3">
        <v>337.7</v>
      </c>
      <c r="F6664">
        <v>20160608</v>
      </c>
      <c r="G6664" t="s">
        <v>3760</v>
      </c>
      <c r="H6664" t="s">
        <v>5560</v>
      </c>
      <c r="I6664">
        <v>0</v>
      </c>
      <c r="J6664" t="s">
        <v>1709</v>
      </c>
      <c r="K6664" t="s">
        <v>290</v>
      </c>
      <c r="L6664" t="s">
        <v>285</v>
      </c>
      <c r="M6664" t="str">
        <f t="shared" si="487"/>
        <v>06</v>
      </c>
      <c r="N6664" t="s">
        <v>12</v>
      </c>
    </row>
    <row r="6665" spans="1:14" x14ac:dyDescent="0.25">
      <c r="A6665">
        <v>20160610</v>
      </c>
      <c r="B6665" t="str">
        <f>"063815"</f>
        <v>063815</v>
      </c>
      <c r="C6665" t="str">
        <f>"60178"</f>
        <v>60178</v>
      </c>
      <c r="D6665" t="s">
        <v>2136</v>
      </c>
      <c r="E6665" s="3">
        <v>75.900000000000006</v>
      </c>
      <c r="F6665">
        <v>20160608</v>
      </c>
      <c r="G6665" t="s">
        <v>5349</v>
      </c>
      <c r="H6665" t="s">
        <v>5561</v>
      </c>
      <c r="I6665">
        <v>0</v>
      </c>
      <c r="J6665" t="s">
        <v>1709</v>
      </c>
      <c r="K6665" t="s">
        <v>33</v>
      </c>
      <c r="L6665" t="s">
        <v>285</v>
      </c>
      <c r="M6665" t="str">
        <f t="shared" si="487"/>
        <v>06</v>
      </c>
      <c r="N6665" t="s">
        <v>12</v>
      </c>
    </row>
    <row r="6666" spans="1:14" x14ac:dyDescent="0.25">
      <c r="A6666">
        <v>20160610</v>
      </c>
      <c r="B6666" t="str">
        <f>"063816"</f>
        <v>063816</v>
      </c>
      <c r="C6666" t="str">
        <f>"60603"</f>
        <v>60603</v>
      </c>
      <c r="D6666" t="s">
        <v>2702</v>
      </c>
      <c r="E6666" s="3">
        <v>28.85</v>
      </c>
      <c r="F6666">
        <v>20160608</v>
      </c>
      <c r="G6666" t="s">
        <v>2127</v>
      </c>
      <c r="H6666" t="s">
        <v>5562</v>
      </c>
      <c r="I6666">
        <v>0</v>
      </c>
      <c r="J6666" t="s">
        <v>1709</v>
      </c>
      <c r="K6666" t="s">
        <v>33</v>
      </c>
      <c r="L6666" t="s">
        <v>285</v>
      </c>
      <c r="M6666" t="str">
        <f t="shared" si="487"/>
        <v>06</v>
      </c>
      <c r="N6666" t="s">
        <v>12</v>
      </c>
    </row>
    <row r="6667" spans="1:14" x14ac:dyDescent="0.25">
      <c r="A6667">
        <v>20160610</v>
      </c>
      <c r="B6667" t="str">
        <f>"063816"</f>
        <v>063816</v>
      </c>
      <c r="C6667" t="str">
        <f>"60603"</f>
        <v>60603</v>
      </c>
      <c r="D6667" t="s">
        <v>2702</v>
      </c>
      <c r="E6667" s="3">
        <v>75.63</v>
      </c>
      <c r="F6667">
        <v>20160608</v>
      </c>
      <c r="G6667" t="s">
        <v>2127</v>
      </c>
      <c r="H6667" t="s">
        <v>5563</v>
      </c>
      <c r="I6667">
        <v>0</v>
      </c>
      <c r="J6667" t="s">
        <v>1709</v>
      </c>
      <c r="K6667" t="s">
        <v>33</v>
      </c>
      <c r="L6667" t="s">
        <v>285</v>
      </c>
      <c r="M6667" t="str">
        <f t="shared" si="487"/>
        <v>06</v>
      </c>
      <c r="N6667" t="s">
        <v>12</v>
      </c>
    </row>
    <row r="6668" spans="1:14" x14ac:dyDescent="0.25">
      <c r="A6668">
        <v>20160610</v>
      </c>
      <c r="B6668" t="str">
        <f>"063817"</f>
        <v>063817</v>
      </c>
      <c r="C6668" t="str">
        <f>"60835"</f>
        <v>60835</v>
      </c>
      <c r="D6668" t="s">
        <v>1904</v>
      </c>
      <c r="E6668" s="3">
        <v>365</v>
      </c>
      <c r="F6668">
        <v>20160608</v>
      </c>
      <c r="G6668" t="s">
        <v>4682</v>
      </c>
      <c r="H6668" t="s">
        <v>5564</v>
      </c>
      <c r="I6668">
        <v>0</v>
      </c>
      <c r="J6668" t="s">
        <v>1709</v>
      </c>
      <c r="K6668" t="s">
        <v>290</v>
      </c>
      <c r="L6668" t="s">
        <v>285</v>
      </c>
      <c r="M6668" t="str">
        <f t="shared" si="487"/>
        <v>06</v>
      </c>
      <c r="N6668" t="s">
        <v>12</v>
      </c>
    </row>
    <row r="6669" spans="1:14" x14ac:dyDescent="0.25">
      <c r="A6669">
        <v>20160610</v>
      </c>
      <c r="B6669" t="str">
        <f>"063817"</f>
        <v>063817</v>
      </c>
      <c r="C6669" t="str">
        <f>"60835"</f>
        <v>60835</v>
      </c>
      <c r="D6669" t="s">
        <v>1904</v>
      </c>
      <c r="E6669" s="3">
        <v>745</v>
      </c>
      <c r="F6669">
        <v>20160608</v>
      </c>
      <c r="G6669" t="s">
        <v>4685</v>
      </c>
      <c r="H6669" t="s">
        <v>5564</v>
      </c>
      <c r="I6669">
        <v>0</v>
      </c>
      <c r="J6669" t="s">
        <v>1709</v>
      </c>
      <c r="K6669" t="s">
        <v>290</v>
      </c>
      <c r="L6669" t="s">
        <v>285</v>
      </c>
      <c r="M6669" t="str">
        <f t="shared" si="487"/>
        <v>06</v>
      </c>
      <c r="N6669" t="s">
        <v>12</v>
      </c>
    </row>
    <row r="6670" spans="1:14" x14ac:dyDescent="0.25">
      <c r="A6670">
        <v>20160610</v>
      </c>
      <c r="B6670" t="str">
        <f>"063817"</f>
        <v>063817</v>
      </c>
      <c r="C6670" t="str">
        <f>"60835"</f>
        <v>60835</v>
      </c>
      <c r="D6670" t="s">
        <v>1904</v>
      </c>
      <c r="E6670" s="3">
        <v>860</v>
      </c>
      <c r="F6670">
        <v>20160608</v>
      </c>
      <c r="G6670" t="s">
        <v>5565</v>
      </c>
      <c r="H6670" t="s">
        <v>5566</v>
      </c>
      <c r="I6670">
        <v>0</v>
      </c>
      <c r="J6670" t="s">
        <v>1709</v>
      </c>
      <c r="K6670" t="s">
        <v>33</v>
      </c>
      <c r="L6670" t="s">
        <v>285</v>
      </c>
      <c r="M6670" t="str">
        <f t="shared" si="487"/>
        <v>06</v>
      </c>
      <c r="N6670" t="s">
        <v>12</v>
      </c>
    </row>
    <row r="6671" spans="1:14" x14ac:dyDescent="0.25">
      <c r="A6671">
        <v>20160610</v>
      </c>
      <c r="B6671" t="str">
        <f>"063819"</f>
        <v>063819</v>
      </c>
      <c r="C6671" t="str">
        <f>"62686"</f>
        <v>62686</v>
      </c>
      <c r="D6671" t="s">
        <v>1468</v>
      </c>
      <c r="E6671" s="3">
        <v>162.87</v>
      </c>
      <c r="F6671">
        <v>20160608</v>
      </c>
      <c r="G6671" t="s">
        <v>2742</v>
      </c>
      <c r="H6671" t="s">
        <v>5567</v>
      </c>
      <c r="I6671">
        <v>0</v>
      </c>
      <c r="J6671" t="s">
        <v>1709</v>
      </c>
      <c r="K6671" t="s">
        <v>1558</v>
      </c>
      <c r="L6671" t="s">
        <v>285</v>
      </c>
      <c r="M6671" t="str">
        <f t="shared" si="487"/>
        <v>06</v>
      </c>
      <c r="N6671" t="s">
        <v>12</v>
      </c>
    </row>
    <row r="6672" spans="1:14" x14ac:dyDescent="0.25">
      <c r="A6672">
        <v>20160610</v>
      </c>
      <c r="B6672" t="str">
        <f>"063823"</f>
        <v>063823</v>
      </c>
      <c r="C6672" t="str">
        <f>"64610"</f>
        <v>64610</v>
      </c>
      <c r="D6672" t="s">
        <v>678</v>
      </c>
      <c r="E6672" s="3">
        <v>18</v>
      </c>
      <c r="F6672">
        <v>20160608</v>
      </c>
      <c r="G6672" t="s">
        <v>2762</v>
      </c>
      <c r="H6672" t="s">
        <v>4983</v>
      </c>
      <c r="I6672">
        <v>0</v>
      </c>
      <c r="J6672" t="s">
        <v>1709</v>
      </c>
      <c r="K6672" t="s">
        <v>2764</v>
      </c>
      <c r="L6672" t="s">
        <v>285</v>
      </c>
      <c r="M6672" t="str">
        <f t="shared" si="487"/>
        <v>06</v>
      </c>
      <c r="N6672" t="s">
        <v>12</v>
      </c>
    </row>
    <row r="6673" spans="1:14" x14ac:dyDescent="0.25">
      <c r="A6673">
        <v>20160610</v>
      </c>
      <c r="B6673" t="str">
        <f>"063823"</f>
        <v>063823</v>
      </c>
      <c r="C6673" t="str">
        <f>"64610"</f>
        <v>64610</v>
      </c>
      <c r="D6673" t="s">
        <v>678</v>
      </c>
      <c r="E6673" s="3">
        <v>102</v>
      </c>
      <c r="F6673">
        <v>20160608</v>
      </c>
      <c r="G6673" t="s">
        <v>2565</v>
      </c>
      <c r="H6673" t="s">
        <v>5568</v>
      </c>
      <c r="I6673">
        <v>0</v>
      </c>
      <c r="J6673" t="s">
        <v>1709</v>
      </c>
      <c r="K6673" t="s">
        <v>1558</v>
      </c>
      <c r="L6673" t="s">
        <v>285</v>
      </c>
      <c r="M6673" t="str">
        <f t="shared" si="487"/>
        <v>06</v>
      </c>
      <c r="N6673" t="s">
        <v>12</v>
      </c>
    </row>
    <row r="6674" spans="1:14" x14ac:dyDescent="0.25">
      <c r="A6674">
        <v>20160610</v>
      </c>
      <c r="B6674" t="str">
        <f>"063823"</f>
        <v>063823</v>
      </c>
      <c r="C6674" t="str">
        <f>"64610"</f>
        <v>64610</v>
      </c>
      <c r="D6674" t="s">
        <v>678</v>
      </c>
      <c r="E6674" s="3">
        <v>172.5</v>
      </c>
      <c r="F6674">
        <v>20160608</v>
      </c>
      <c r="G6674" t="s">
        <v>4328</v>
      </c>
      <c r="H6674" t="s">
        <v>5101</v>
      </c>
      <c r="I6674">
        <v>0</v>
      </c>
      <c r="J6674" t="s">
        <v>1709</v>
      </c>
      <c r="K6674" t="s">
        <v>290</v>
      </c>
      <c r="L6674" t="s">
        <v>285</v>
      </c>
      <c r="M6674" t="str">
        <f t="shared" si="487"/>
        <v>06</v>
      </c>
      <c r="N6674" t="s">
        <v>12</v>
      </c>
    </row>
    <row r="6675" spans="1:14" x14ac:dyDescent="0.25">
      <c r="A6675">
        <v>20160610</v>
      </c>
      <c r="B6675" t="str">
        <f>"063823"</f>
        <v>063823</v>
      </c>
      <c r="C6675" t="str">
        <f>"64610"</f>
        <v>64610</v>
      </c>
      <c r="D6675" t="s">
        <v>678</v>
      </c>
      <c r="E6675" s="3">
        <v>80.75</v>
      </c>
      <c r="F6675">
        <v>20160608</v>
      </c>
      <c r="G6675" t="s">
        <v>1916</v>
      </c>
      <c r="H6675" t="s">
        <v>5569</v>
      </c>
      <c r="I6675">
        <v>0</v>
      </c>
      <c r="J6675" t="s">
        <v>1709</v>
      </c>
      <c r="K6675" t="s">
        <v>1782</v>
      </c>
      <c r="L6675" t="s">
        <v>285</v>
      </c>
      <c r="M6675" t="str">
        <f t="shared" si="487"/>
        <v>06</v>
      </c>
      <c r="N6675" t="s">
        <v>12</v>
      </c>
    </row>
    <row r="6676" spans="1:14" x14ac:dyDescent="0.25">
      <c r="A6676">
        <v>20160610</v>
      </c>
      <c r="B6676" t="str">
        <f>"063824"</f>
        <v>063824</v>
      </c>
      <c r="C6676" t="str">
        <f>"64789"</f>
        <v>64789</v>
      </c>
      <c r="D6676" t="s">
        <v>2555</v>
      </c>
      <c r="E6676" s="3">
        <v>277.5</v>
      </c>
      <c r="F6676">
        <v>20160608</v>
      </c>
      <c r="G6676" t="s">
        <v>4090</v>
      </c>
      <c r="H6676" t="s">
        <v>5570</v>
      </c>
      <c r="I6676">
        <v>0</v>
      </c>
      <c r="J6676" t="s">
        <v>1709</v>
      </c>
      <c r="K6676" t="s">
        <v>1861</v>
      </c>
      <c r="L6676" t="s">
        <v>285</v>
      </c>
      <c r="M6676" t="str">
        <f t="shared" si="487"/>
        <v>06</v>
      </c>
      <c r="N6676" t="s">
        <v>12</v>
      </c>
    </row>
    <row r="6677" spans="1:14" x14ac:dyDescent="0.25">
      <c r="A6677">
        <v>20160610</v>
      </c>
      <c r="B6677" t="str">
        <f>"063828"</f>
        <v>063828</v>
      </c>
      <c r="C6677" t="str">
        <f>"65212"</f>
        <v>65212</v>
      </c>
      <c r="D6677" t="s">
        <v>2017</v>
      </c>
      <c r="E6677" s="3">
        <v>11290.83</v>
      </c>
      <c r="F6677">
        <v>20160608</v>
      </c>
      <c r="G6677" t="s">
        <v>2018</v>
      </c>
      <c r="H6677" t="s">
        <v>5571</v>
      </c>
      <c r="I6677">
        <v>0</v>
      </c>
      <c r="J6677" t="s">
        <v>1709</v>
      </c>
      <c r="K6677" t="s">
        <v>1856</v>
      </c>
      <c r="L6677" t="s">
        <v>285</v>
      </c>
      <c r="M6677" t="str">
        <f t="shared" si="487"/>
        <v>06</v>
      </c>
      <c r="N6677" t="s">
        <v>12</v>
      </c>
    </row>
    <row r="6678" spans="1:14" x14ac:dyDescent="0.25">
      <c r="A6678">
        <v>20160610</v>
      </c>
      <c r="B6678" t="str">
        <f t="shared" ref="B6678:B6683" si="488">"063830"</f>
        <v>063830</v>
      </c>
      <c r="C6678" t="str">
        <f t="shared" ref="C6678:C6683" si="489">"65826"</f>
        <v>65826</v>
      </c>
      <c r="D6678" t="s">
        <v>2386</v>
      </c>
      <c r="E6678" s="3">
        <v>520.6</v>
      </c>
      <c r="F6678">
        <v>20160608</v>
      </c>
      <c r="G6678" t="s">
        <v>1758</v>
      </c>
      <c r="H6678" t="s">
        <v>595</v>
      </c>
      <c r="I6678">
        <v>0</v>
      </c>
      <c r="J6678" t="s">
        <v>1709</v>
      </c>
      <c r="K6678" t="s">
        <v>1643</v>
      </c>
      <c r="L6678" t="s">
        <v>285</v>
      </c>
      <c r="M6678" t="str">
        <f t="shared" si="487"/>
        <v>06</v>
      </c>
      <c r="N6678" t="s">
        <v>12</v>
      </c>
    </row>
    <row r="6679" spans="1:14" x14ac:dyDescent="0.25">
      <c r="A6679">
        <v>20160610</v>
      </c>
      <c r="B6679" t="str">
        <f t="shared" si="488"/>
        <v>063830</v>
      </c>
      <c r="C6679" t="str">
        <f t="shared" si="489"/>
        <v>65826</v>
      </c>
      <c r="D6679" t="s">
        <v>2386</v>
      </c>
      <c r="E6679" s="3">
        <v>34.1</v>
      </c>
      <c r="F6679">
        <v>20160608</v>
      </c>
      <c r="G6679" t="s">
        <v>1758</v>
      </c>
      <c r="H6679" t="s">
        <v>2050</v>
      </c>
      <c r="I6679">
        <v>0</v>
      </c>
      <c r="J6679" t="s">
        <v>1709</v>
      </c>
      <c r="K6679" t="s">
        <v>1643</v>
      </c>
      <c r="L6679" t="s">
        <v>285</v>
      </c>
      <c r="M6679" t="str">
        <f t="shared" si="487"/>
        <v>06</v>
      </c>
      <c r="N6679" t="s">
        <v>12</v>
      </c>
    </row>
    <row r="6680" spans="1:14" x14ac:dyDescent="0.25">
      <c r="A6680">
        <v>20160610</v>
      </c>
      <c r="B6680" t="str">
        <f t="shared" si="488"/>
        <v>063830</v>
      </c>
      <c r="C6680" t="str">
        <f t="shared" si="489"/>
        <v>65826</v>
      </c>
      <c r="D6680" t="s">
        <v>2386</v>
      </c>
      <c r="E6680" s="3">
        <v>599.42999999999995</v>
      </c>
      <c r="F6680">
        <v>20160608</v>
      </c>
      <c r="G6680" t="s">
        <v>1758</v>
      </c>
      <c r="H6680" t="s">
        <v>595</v>
      </c>
      <c r="I6680">
        <v>0</v>
      </c>
      <c r="J6680" t="s">
        <v>1709</v>
      </c>
      <c r="K6680" t="s">
        <v>1643</v>
      </c>
      <c r="L6680" t="s">
        <v>285</v>
      </c>
      <c r="M6680" t="str">
        <f t="shared" si="487"/>
        <v>06</v>
      </c>
      <c r="N6680" t="s">
        <v>12</v>
      </c>
    </row>
    <row r="6681" spans="1:14" x14ac:dyDescent="0.25">
      <c r="A6681">
        <v>20160610</v>
      </c>
      <c r="B6681" t="str">
        <f t="shared" si="488"/>
        <v>063830</v>
      </c>
      <c r="C6681" t="str">
        <f t="shared" si="489"/>
        <v>65826</v>
      </c>
      <c r="D6681" t="s">
        <v>2386</v>
      </c>
      <c r="E6681" s="3">
        <v>253.19</v>
      </c>
      <c r="F6681">
        <v>20160608</v>
      </c>
      <c r="G6681" t="s">
        <v>1758</v>
      </c>
      <c r="H6681" t="s">
        <v>595</v>
      </c>
      <c r="I6681">
        <v>0</v>
      </c>
      <c r="J6681" t="s">
        <v>1709</v>
      </c>
      <c r="K6681" t="s">
        <v>1643</v>
      </c>
      <c r="L6681" t="s">
        <v>285</v>
      </c>
      <c r="M6681" t="str">
        <f t="shared" si="487"/>
        <v>06</v>
      </c>
      <c r="N6681" t="s">
        <v>12</v>
      </c>
    </row>
    <row r="6682" spans="1:14" x14ac:dyDescent="0.25">
      <c r="A6682">
        <v>20160610</v>
      </c>
      <c r="B6682" t="str">
        <f t="shared" si="488"/>
        <v>063830</v>
      </c>
      <c r="C6682" t="str">
        <f t="shared" si="489"/>
        <v>65826</v>
      </c>
      <c r="D6682" t="s">
        <v>2386</v>
      </c>
      <c r="E6682" s="3">
        <v>174.94</v>
      </c>
      <c r="F6682">
        <v>20160608</v>
      </c>
      <c r="G6682" t="s">
        <v>2714</v>
      </c>
      <c r="H6682" t="s">
        <v>5572</v>
      </c>
      <c r="I6682">
        <v>0</v>
      </c>
      <c r="J6682" t="s">
        <v>1709</v>
      </c>
      <c r="K6682" t="s">
        <v>33</v>
      </c>
      <c r="L6682" t="s">
        <v>285</v>
      </c>
      <c r="M6682" t="str">
        <f t="shared" si="487"/>
        <v>06</v>
      </c>
      <c r="N6682" t="s">
        <v>12</v>
      </c>
    </row>
    <row r="6683" spans="1:14" x14ac:dyDescent="0.25">
      <c r="A6683">
        <v>20160610</v>
      </c>
      <c r="B6683" t="str">
        <f t="shared" si="488"/>
        <v>063830</v>
      </c>
      <c r="C6683" t="str">
        <f t="shared" si="489"/>
        <v>65826</v>
      </c>
      <c r="D6683" t="s">
        <v>2386</v>
      </c>
      <c r="E6683" s="3">
        <v>-58.02</v>
      </c>
      <c r="F6683">
        <v>20160119</v>
      </c>
      <c r="G6683" t="s">
        <v>3293</v>
      </c>
      <c r="H6683" t="s">
        <v>5573</v>
      </c>
      <c r="I6683">
        <v>0</v>
      </c>
      <c r="J6683" t="s">
        <v>1709</v>
      </c>
      <c r="K6683" t="s">
        <v>95</v>
      </c>
      <c r="L6683" t="s">
        <v>1385</v>
      </c>
      <c r="M6683" t="str">
        <f t="shared" si="487"/>
        <v>06</v>
      </c>
      <c r="N6683" t="s">
        <v>12</v>
      </c>
    </row>
    <row r="6684" spans="1:14" x14ac:dyDescent="0.25">
      <c r="A6684">
        <v>20160610</v>
      </c>
      <c r="B6684" t="str">
        <f>"063831"</f>
        <v>063831</v>
      </c>
      <c r="C6684" t="str">
        <f>"66911"</f>
        <v>66911</v>
      </c>
      <c r="D6684" t="s">
        <v>5574</v>
      </c>
      <c r="E6684" s="3">
        <v>700</v>
      </c>
      <c r="F6684">
        <v>20160608</v>
      </c>
      <c r="G6684" t="s">
        <v>3461</v>
      </c>
      <c r="H6684" t="s">
        <v>5575</v>
      </c>
      <c r="I6684">
        <v>0</v>
      </c>
      <c r="J6684" t="s">
        <v>1709</v>
      </c>
      <c r="K6684" t="s">
        <v>290</v>
      </c>
      <c r="L6684" t="s">
        <v>285</v>
      </c>
      <c r="M6684" t="str">
        <f t="shared" si="487"/>
        <v>06</v>
      </c>
      <c r="N6684" t="s">
        <v>12</v>
      </c>
    </row>
    <row r="6685" spans="1:14" x14ac:dyDescent="0.25">
      <c r="A6685">
        <v>20160610</v>
      </c>
      <c r="B6685" t="str">
        <f>"063831"</f>
        <v>063831</v>
      </c>
      <c r="C6685" t="str">
        <f>"66911"</f>
        <v>66911</v>
      </c>
      <c r="D6685" t="s">
        <v>5574</v>
      </c>
      <c r="E6685" s="3">
        <v>1748</v>
      </c>
      <c r="F6685">
        <v>20160608</v>
      </c>
      <c r="G6685" t="s">
        <v>3463</v>
      </c>
      <c r="H6685" t="s">
        <v>5575</v>
      </c>
      <c r="I6685">
        <v>0</v>
      </c>
      <c r="J6685" t="s">
        <v>1709</v>
      </c>
      <c r="K6685" t="s">
        <v>95</v>
      </c>
      <c r="L6685" t="s">
        <v>285</v>
      </c>
      <c r="M6685" t="str">
        <f t="shared" si="487"/>
        <v>06</v>
      </c>
      <c r="N6685" t="s">
        <v>12</v>
      </c>
    </row>
    <row r="6686" spans="1:14" x14ac:dyDescent="0.25">
      <c r="A6686">
        <v>20160610</v>
      </c>
      <c r="B6686" t="str">
        <f>"063831"</f>
        <v>063831</v>
      </c>
      <c r="C6686" t="str">
        <f>"66911"</f>
        <v>66911</v>
      </c>
      <c r="D6686" t="s">
        <v>5574</v>
      </c>
      <c r="E6686" s="3">
        <v>800</v>
      </c>
      <c r="F6686">
        <v>20160608</v>
      </c>
      <c r="G6686" t="s">
        <v>3464</v>
      </c>
      <c r="H6686" t="s">
        <v>5575</v>
      </c>
      <c r="I6686">
        <v>0</v>
      </c>
      <c r="J6686" t="s">
        <v>1709</v>
      </c>
      <c r="K6686" t="s">
        <v>1643</v>
      </c>
      <c r="L6686" t="s">
        <v>285</v>
      </c>
      <c r="M6686" t="str">
        <f t="shared" si="487"/>
        <v>06</v>
      </c>
      <c r="N6686" t="s">
        <v>12</v>
      </c>
    </row>
    <row r="6687" spans="1:14" x14ac:dyDescent="0.25">
      <c r="A6687">
        <v>20160610</v>
      </c>
      <c r="B6687" t="str">
        <f>"063831"</f>
        <v>063831</v>
      </c>
      <c r="C6687" t="str">
        <f>"66911"</f>
        <v>66911</v>
      </c>
      <c r="D6687" t="s">
        <v>5574</v>
      </c>
      <c r="E6687" s="3">
        <v>700</v>
      </c>
      <c r="F6687">
        <v>20160608</v>
      </c>
      <c r="G6687" t="s">
        <v>3465</v>
      </c>
      <c r="H6687" t="s">
        <v>5575</v>
      </c>
      <c r="I6687">
        <v>0</v>
      </c>
      <c r="J6687" t="s">
        <v>1709</v>
      </c>
      <c r="K6687" t="s">
        <v>33</v>
      </c>
      <c r="L6687" t="s">
        <v>285</v>
      </c>
      <c r="M6687" t="str">
        <f t="shared" si="487"/>
        <v>06</v>
      </c>
      <c r="N6687" t="s">
        <v>12</v>
      </c>
    </row>
    <row r="6688" spans="1:14" x14ac:dyDescent="0.25">
      <c r="A6688">
        <v>20160610</v>
      </c>
      <c r="B6688" t="str">
        <f>"063832"</f>
        <v>063832</v>
      </c>
      <c r="C6688" t="str">
        <f>"67615"</f>
        <v>67615</v>
      </c>
      <c r="D6688" t="s">
        <v>5576</v>
      </c>
      <c r="E6688" s="3">
        <v>84.86</v>
      </c>
      <c r="F6688">
        <v>20160608</v>
      </c>
      <c r="G6688" t="s">
        <v>4770</v>
      </c>
      <c r="H6688" t="s">
        <v>5577</v>
      </c>
      <c r="I6688">
        <v>0</v>
      </c>
      <c r="J6688" t="s">
        <v>1709</v>
      </c>
      <c r="K6688" t="s">
        <v>33</v>
      </c>
      <c r="L6688" t="s">
        <v>285</v>
      </c>
      <c r="M6688" t="str">
        <f t="shared" si="487"/>
        <v>06</v>
      </c>
      <c r="N6688" t="s">
        <v>12</v>
      </c>
    </row>
    <row r="6689" spans="1:14" x14ac:dyDescent="0.25">
      <c r="A6689">
        <v>20160610</v>
      </c>
      <c r="B6689" t="str">
        <f>"063832"</f>
        <v>063832</v>
      </c>
      <c r="C6689" t="str">
        <f>"67615"</f>
        <v>67615</v>
      </c>
      <c r="D6689" t="s">
        <v>5576</v>
      </c>
      <c r="E6689" s="3">
        <v>17.93</v>
      </c>
      <c r="F6689">
        <v>20160608</v>
      </c>
      <c r="G6689" t="s">
        <v>4770</v>
      </c>
      <c r="H6689" t="s">
        <v>5577</v>
      </c>
      <c r="I6689">
        <v>0</v>
      </c>
      <c r="J6689" t="s">
        <v>1709</v>
      </c>
      <c r="K6689" t="s">
        <v>33</v>
      </c>
      <c r="L6689" t="s">
        <v>285</v>
      </c>
      <c r="M6689" t="str">
        <f t="shared" si="487"/>
        <v>06</v>
      </c>
      <c r="N6689" t="s">
        <v>12</v>
      </c>
    </row>
    <row r="6690" spans="1:14" x14ac:dyDescent="0.25">
      <c r="A6690">
        <v>20160610</v>
      </c>
      <c r="B6690" t="str">
        <f>"063835"</f>
        <v>063835</v>
      </c>
      <c r="C6690" t="str">
        <f>"70052"</f>
        <v>70052</v>
      </c>
      <c r="D6690" t="s">
        <v>5578</v>
      </c>
      <c r="E6690" s="3">
        <v>83.93</v>
      </c>
      <c r="F6690">
        <v>20160608</v>
      </c>
      <c r="G6690" t="s">
        <v>3293</v>
      </c>
      <c r="H6690" t="s">
        <v>5579</v>
      </c>
      <c r="I6690">
        <v>0</v>
      </c>
      <c r="J6690" t="s">
        <v>1709</v>
      </c>
      <c r="K6690" t="s">
        <v>95</v>
      </c>
      <c r="L6690" t="s">
        <v>285</v>
      </c>
      <c r="M6690" t="str">
        <f t="shared" si="487"/>
        <v>06</v>
      </c>
      <c r="N6690" t="s">
        <v>12</v>
      </c>
    </row>
    <row r="6691" spans="1:14" x14ac:dyDescent="0.25">
      <c r="A6691">
        <v>20160610</v>
      </c>
      <c r="B6691" t="str">
        <f>"063835"</f>
        <v>063835</v>
      </c>
      <c r="C6691" t="str">
        <f>"70052"</f>
        <v>70052</v>
      </c>
      <c r="D6691" t="s">
        <v>5578</v>
      </c>
      <c r="E6691" s="3">
        <v>33.54</v>
      </c>
      <c r="F6691">
        <v>20160608</v>
      </c>
      <c r="G6691" t="s">
        <v>3293</v>
      </c>
      <c r="H6691" t="s">
        <v>5580</v>
      </c>
      <c r="I6691">
        <v>0</v>
      </c>
      <c r="J6691" t="s">
        <v>1709</v>
      </c>
      <c r="K6691" t="s">
        <v>95</v>
      </c>
      <c r="L6691" t="s">
        <v>285</v>
      </c>
      <c r="M6691" t="str">
        <f t="shared" si="487"/>
        <v>06</v>
      </c>
      <c r="N6691" t="s">
        <v>12</v>
      </c>
    </row>
    <row r="6692" spans="1:14" x14ac:dyDescent="0.25">
      <c r="A6692">
        <v>20160610</v>
      </c>
      <c r="B6692" t="str">
        <f>"063836"</f>
        <v>063836</v>
      </c>
      <c r="C6692" t="str">
        <f>"70650"</f>
        <v>70650</v>
      </c>
      <c r="D6692" t="s">
        <v>3379</v>
      </c>
      <c r="E6692" s="3">
        <v>1505</v>
      </c>
      <c r="F6692">
        <v>20160608</v>
      </c>
      <c r="G6692" t="s">
        <v>3380</v>
      </c>
      <c r="H6692" t="s">
        <v>5581</v>
      </c>
      <c r="I6692">
        <v>0</v>
      </c>
      <c r="J6692" t="s">
        <v>1709</v>
      </c>
      <c r="K6692" t="s">
        <v>95</v>
      </c>
      <c r="L6692" t="s">
        <v>285</v>
      </c>
      <c r="M6692" t="str">
        <f t="shared" si="487"/>
        <v>06</v>
      </c>
      <c r="N6692" t="s">
        <v>12</v>
      </c>
    </row>
    <row r="6693" spans="1:14" x14ac:dyDescent="0.25">
      <c r="A6693">
        <v>20160610</v>
      </c>
      <c r="B6693" t="str">
        <f>"063837"</f>
        <v>063837</v>
      </c>
      <c r="C6693" t="str">
        <f>"71250"</f>
        <v>71250</v>
      </c>
      <c r="D6693" t="s">
        <v>2574</v>
      </c>
      <c r="E6693" s="3">
        <v>338</v>
      </c>
      <c r="F6693">
        <v>20160608</v>
      </c>
      <c r="G6693" t="s">
        <v>2333</v>
      </c>
      <c r="H6693" t="s">
        <v>5582</v>
      </c>
      <c r="I6693">
        <v>0</v>
      </c>
      <c r="J6693" t="s">
        <v>1709</v>
      </c>
      <c r="K6693" t="s">
        <v>290</v>
      </c>
      <c r="L6693" t="s">
        <v>285</v>
      </c>
      <c r="M6693" t="str">
        <f t="shared" si="487"/>
        <v>06</v>
      </c>
      <c r="N6693" t="s">
        <v>12</v>
      </c>
    </row>
    <row r="6694" spans="1:14" x14ac:dyDescent="0.25">
      <c r="A6694">
        <v>20160610</v>
      </c>
      <c r="B6694" t="str">
        <f>"063837"</f>
        <v>063837</v>
      </c>
      <c r="C6694" t="str">
        <f>"71250"</f>
        <v>71250</v>
      </c>
      <c r="D6694" t="s">
        <v>2574</v>
      </c>
      <c r="E6694" s="3">
        <v>264.14</v>
      </c>
      <c r="F6694">
        <v>20160608</v>
      </c>
      <c r="G6694" t="s">
        <v>2333</v>
      </c>
      <c r="H6694" t="s">
        <v>5583</v>
      </c>
      <c r="I6694">
        <v>0</v>
      </c>
      <c r="J6694" t="s">
        <v>1709</v>
      </c>
      <c r="K6694" t="s">
        <v>290</v>
      </c>
      <c r="L6694" t="s">
        <v>285</v>
      </c>
      <c r="M6694" t="str">
        <f t="shared" si="487"/>
        <v>06</v>
      </c>
      <c r="N6694" t="s">
        <v>12</v>
      </c>
    </row>
    <row r="6695" spans="1:14" x14ac:dyDescent="0.25">
      <c r="A6695">
        <v>20160610</v>
      </c>
      <c r="B6695" t="str">
        <f>"063837"</f>
        <v>063837</v>
      </c>
      <c r="C6695" t="str">
        <f>"71250"</f>
        <v>71250</v>
      </c>
      <c r="D6695" t="s">
        <v>2574</v>
      </c>
      <c r="E6695" s="3">
        <v>89.18</v>
      </c>
      <c r="F6695">
        <v>20160608</v>
      </c>
      <c r="G6695" t="s">
        <v>4328</v>
      </c>
      <c r="H6695" t="s">
        <v>5584</v>
      </c>
      <c r="I6695">
        <v>0</v>
      </c>
      <c r="J6695" t="s">
        <v>1709</v>
      </c>
      <c r="K6695" t="s">
        <v>290</v>
      </c>
      <c r="L6695" t="s">
        <v>285</v>
      </c>
      <c r="M6695" t="str">
        <f t="shared" si="487"/>
        <v>06</v>
      </c>
      <c r="N6695" t="s">
        <v>12</v>
      </c>
    </row>
    <row r="6696" spans="1:14" x14ac:dyDescent="0.25">
      <c r="A6696">
        <v>20160610</v>
      </c>
      <c r="B6696" t="str">
        <f>"063837"</f>
        <v>063837</v>
      </c>
      <c r="C6696" t="str">
        <f>"71250"</f>
        <v>71250</v>
      </c>
      <c r="D6696" t="s">
        <v>2574</v>
      </c>
      <c r="E6696" s="3">
        <v>201.55</v>
      </c>
      <c r="F6696">
        <v>20160608</v>
      </c>
      <c r="G6696" t="s">
        <v>4328</v>
      </c>
      <c r="H6696" t="s">
        <v>5584</v>
      </c>
      <c r="I6696">
        <v>0</v>
      </c>
      <c r="J6696" t="s">
        <v>1709</v>
      </c>
      <c r="K6696" t="s">
        <v>290</v>
      </c>
      <c r="L6696" t="s">
        <v>285</v>
      </c>
      <c r="M6696" t="str">
        <f t="shared" si="487"/>
        <v>06</v>
      </c>
      <c r="N6696" t="s">
        <v>12</v>
      </c>
    </row>
    <row r="6697" spans="1:14" x14ac:dyDescent="0.25">
      <c r="A6697">
        <v>20160610</v>
      </c>
      <c r="B6697" t="str">
        <f t="shared" ref="B6697:B6706" si="490">"063838"</f>
        <v>063838</v>
      </c>
      <c r="C6697" t="str">
        <f t="shared" ref="C6697:C6706" si="491">"71225"</f>
        <v>71225</v>
      </c>
      <c r="D6697" t="s">
        <v>1920</v>
      </c>
      <c r="E6697" s="3">
        <v>1547.2</v>
      </c>
      <c r="F6697">
        <v>20160608</v>
      </c>
      <c r="G6697" t="s">
        <v>1854</v>
      </c>
      <c r="H6697" t="s">
        <v>5585</v>
      </c>
      <c r="I6697">
        <v>0</v>
      </c>
      <c r="J6697" t="s">
        <v>1709</v>
      </c>
      <c r="K6697" t="s">
        <v>1856</v>
      </c>
      <c r="L6697" t="s">
        <v>285</v>
      </c>
      <c r="M6697" t="str">
        <f t="shared" si="487"/>
        <v>06</v>
      </c>
      <c r="N6697" t="s">
        <v>12</v>
      </c>
    </row>
    <row r="6698" spans="1:14" x14ac:dyDescent="0.25">
      <c r="A6698">
        <v>20160610</v>
      </c>
      <c r="B6698" t="str">
        <f t="shared" si="490"/>
        <v>063838</v>
      </c>
      <c r="C6698" t="str">
        <f t="shared" si="491"/>
        <v>71225</v>
      </c>
      <c r="D6698" t="s">
        <v>1920</v>
      </c>
      <c r="E6698" s="3">
        <v>1547.8</v>
      </c>
      <c r="F6698">
        <v>20160608</v>
      </c>
      <c r="G6698" t="s">
        <v>1854</v>
      </c>
      <c r="H6698" t="s">
        <v>3383</v>
      </c>
      <c r="I6698">
        <v>0</v>
      </c>
      <c r="J6698" t="s">
        <v>1709</v>
      </c>
      <c r="K6698" t="s">
        <v>1856</v>
      </c>
      <c r="L6698" t="s">
        <v>285</v>
      </c>
      <c r="M6698" t="str">
        <f t="shared" si="487"/>
        <v>06</v>
      </c>
      <c r="N6698" t="s">
        <v>12</v>
      </c>
    </row>
    <row r="6699" spans="1:14" x14ac:dyDescent="0.25">
      <c r="A6699">
        <v>20160610</v>
      </c>
      <c r="B6699" t="str">
        <f t="shared" si="490"/>
        <v>063838</v>
      </c>
      <c r="C6699" t="str">
        <f t="shared" si="491"/>
        <v>71225</v>
      </c>
      <c r="D6699" t="s">
        <v>1920</v>
      </c>
      <c r="E6699" s="3">
        <v>1733.68</v>
      </c>
      <c r="F6699">
        <v>20160608</v>
      </c>
      <c r="G6699" t="s">
        <v>1854</v>
      </c>
      <c r="H6699" t="s">
        <v>3975</v>
      </c>
      <c r="I6699">
        <v>0</v>
      </c>
      <c r="J6699" t="s">
        <v>1709</v>
      </c>
      <c r="K6699" t="s">
        <v>1856</v>
      </c>
      <c r="L6699" t="s">
        <v>285</v>
      </c>
      <c r="M6699" t="str">
        <f t="shared" si="487"/>
        <v>06</v>
      </c>
      <c r="N6699" t="s">
        <v>12</v>
      </c>
    </row>
    <row r="6700" spans="1:14" x14ac:dyDescent="0.25">
      <c r="A6700">
        <v>20160610</v>
      </c>
      <c r="B6700" t="str">
        <f t="shared" si="490"/>
        <v>063838</v>
      </c>
      <c r="C6700" t="str">
        <f t="shared" si="491"/>
        <v>71225</v>
      </c>
      <c r="D6700" t="s">
        <v>1920</v>
      </c>
      <c r="E6700" s="3">
        <v>2873.88</v>
      </c>
      <c r="F6700">
        <v>20160608</v>
      </c>
      <c r="G6700" t="s">
        <v>1854</v>
      </c>
      <c r="H6700" t="s">
        <v>5586</v>
      </c>
      <c r="I6700">
        <v>0</v>
      </c>
      <c r="J6700" t="s">
        <v>1709</v>
      </c>
      <c r="K6700" t="s">
        <v>1856</v>
      </c>
      <c r="L6700" t="s">
        <v>285</v>
      </c>
      <c r="M6700" t="str">
        <f t="shared" si="487"/>
        <v>06</v>
      </c>
      <c r="N6700" t="s">
        <v>12</v>
      </c>
    </row>
    <row r="6701" spans="1:14" x14ac:dyDescent="0.25">
      <c r="A6701">
        <v>20160610</v>
      </c>
      <c r="B6701" t="str">
        <f t="shared" si="490"/>
        <v>063838</v>
      </c>
      <c r="C6701" t="str">
        <f t="shared" si="491"/>
        <v>71225</v>
      </c>
      <c r="D6701" t="s">
        <v>1920</v>
      </c>
      <c r="E6701" s="3">
        <v>1632.28</v>
      </c>
      <c r="F6701">
        <v>20160608</v>
      </c>
      <c r="G6701" t="s">
        <v>1854</v>
      </c>
      <c r="H6701" t="s">
        <v>5587</v>
      </c>
      <c r="I6701">
        <v>0</v>
      </c>
      <c r="J6701" t="s">
        <v>1709</v>
      </c>
      <c r="K6701" t="s">
        <v>1856</v>
      </c>
      <c r="L6701" t="s">
        <v>285</v>
      </c>
      <c r="M6701" t="str">
        <f t="shared" si="487"/>
        <v>06</v>
      </c>
      <c r="N6701" t="s">
        <v>12</v>
      </c>
    </row>
    <row r="6702" spans="1:14" x14ac:dyDescent="0.25">
      <c r="A6702">
        <v>20160610</v>
      </c>
      <c r="B6702" t="str">
        <f t="shared" si="490"/>
        <v>063838</v>
      </c>
      <c r="C6702" t="str">
        <f t="shared" si="491"/>
        <v>71225</v>
      </c>
      <c r="D6702" t="s">
        <v>1920</v>
      </c>
      <c r="E6702" s="3">
        <v>2768.7</v>
      </c>
      <c r="F6702">
        <v>20160608</v>
      </c>
      <c r="G6702" t="s">
        <v>1854</v>
      </c>
      <c r="H6702" t="s">
        <v>5588</v>
      </c>
      <c r="I6702">
        <v>0</v>
      </c>
      <c r="J6702" t="s">
        <v>1709</v>
      </c>
      <c r="K6702" t="s">
        <v>1856</v>
      </c>
      <c r="L6702" t="s">
        <v>285</v>
      </c>
      <c r="M6702" t="str">
        <f t="shared" si="487"/>
        <v>06</v>
      </c>
      <c r="N6702" t="s">
        <v>12</v>
      </c>
    </row>
    <row r="6703" spans="1:14" x14ac:dyDescent="0.25">
      <c r="A6703">
        <v>20160610</v>
      </c>
      <c r="B6703" t="str">
        <f t="shared" si="490"/>
        <v>063838</v>
      </c>
      <c r="C6703" t="str">
        <f t="shared" si="491"/>
        <v>71225</v>
      </c>
      <c r="D6703" t="s">
        <v>1920</v>
      </c>
      <c r="E6703" s="3">
        <v>40</v>
      </c>
      <c r="F6703">
        <v>20160608</v>
      </c>
      <c r="G6703" t="s">
        <v>1854</v>
      </c>
      <c r="H6703" t="s">
        <v>5589</v>
      </c>
      <c r="I6703">
        <v>0</v>
      </c>
      <c r="J6703" t="s">
        <v>1709</v>
      </c>
      <c r="K6703" t="s">
        <v>1856</v>
      </c>
      <c r="L6703" t="s">
        <v>285</v>
      </c>
      <c r="M6703" t="str">
        <f t="shared" si="487"/>
        <v>06</v>
      </c>
      <c r="N6703" t="s">
        <v>12</v>
      </c>
    </row>
    <row r="6704" spans="1:14" x14ac:dyDescent="0.25">
      <c r="A6704">
        <v>20160610</v>
      </c>
      <c r="B6704" t="str">
        <f t="shared" si="490"/>
        <v>063838</v>
      </c>
      <c r="C6704" t="str">
        <f t="shared" si="491"/>
        <v>71225</v>
      </c>
      <c r="D6704" t="s">
        <v>1920</v>
      </c>
      <c r="E6704" s="3">
        <v>40</v>
      </c>
      <c r="F6704">
        <v>20160608</v>
      </c>
      <c r="G6704" t="s">
        <v>1854</v>
      </c>
      <c r="H6704" t="s">
        <v>5590</v>
      </c>
      <c r="I6704">
        <v>0</v>
      </c>
      <c r="J6704" t="s">
        <v>1709</v>
      </c>
      <c r="K6704" t="s">
        <v>1856</v>
      </c>
      <c r="L6704" t="s">
        <v>285</v>
      </c>
      <c r="M6704" t="str">
        <f t="shared" si="487"/>
        <v>06</v>
      </c>
      <c r="N6704" t="s">
        <v>12</v>
      </c>
    </row>
    <row r="6705" spans="1:14" x14ac:dyDescent="0.25">
      <c r="A6705">
        <v>20160610</v>
      </c>
      <c r="B6705" t="str">
        <f t="shared" si="490"/>
        <v>063838</v>
      </c>
      <c r="C6705" t="str">
        <f t="shared" si="491"/>
        <v>71225</v>
      </c>
      <c r="D6705" t="s">
        <v>1920</v>
      </c>
      <c r="E6705" s="3">
        <v>57.49</v>
      </c>
      <c r="F6705">
        <v>20160608</v>
      </c>
      <c r="G6705" t="s">
        <v>1854</v>
      </c>
      <c r="H6705" t="s">
        <v>5591</v>
      </c>
      <c r="I6705">
        <v>0</v>
      </c>
      <c r="J6705" t="s">
        <v>1709</v>
      </c>
      <c r="K6705" t="s">
        <v>1856</v>
      </c>
      <c r="L6705" t="s">
        <v>285</v>
      </c>
      <c r="M6705" t="str">
        <f t="shared" si="487"/>
        <v>06</v>
      </c>
      <c r="N6705" t="s">
        <v>12</v>
      </c>
    </row>
    <row r="6706" spans="1:14" x14ac:dyDescent="0.25">
      <c r="A6706">
        <v>20160610</v>
      </c>
      <c r="B6706" t="str">
        <f t="shared" si="490"/>
        <v>063838</v>
      </c>
      <c r="C6706" t="str">
        <f t="shared" si="491"/>
        <v>71225</v>
      </c>
      <c r="D6706" t="s">
        <v>1920</v>
      </c>
      <c r="E6706" s="3">
        <v>353.72</v>
      </c>
      <c r="F6706">
        <v>20160608</v>
      </c>
      <c r="G6706" t="s">
        <v>2164</v>
      </c>
      <c r="H6706" t="s">
        <v>3978</v>
      </c>
      <c r="I6706">
        <v>0</v>
      </c>
      <c r="J6706" t="s">
        <v>1709</v>
      </c>
      <c r="K6706" t="s">
        <v>1861</v>
      </c>
      <c r="L6706" t="s">
        <v>285</v>
      </c>
      <c r="M6706" t="str">
        <f t="shared" si="487"/>
        <v>06</v>
      </c>
      <c r="N6706" t="s">
        <v>12</v>
      </c>
    </row>
    <row r="6707" spans="1:14" x14ac:dyDescent="0.25">
      <c r="A6707">
        <v>20160610</v>
      </c>
      <c r="B6707" t="str">
        <f>"063840"</f>
        <v>063840</v>
      </c>
      <c r="C6707" t="str">
        <f>"72340"</f>
        <v>72340</v>
      </c>
      <c r="D6707" t="s">
        <v>1762</v>
      </c>
      <c r="E6707" s="3">
        <v>305.35000000000002</v>
      </c>
      <c r="F6707">
        <v>20160608</v>
      </c>
      <c r="G6707" t="s">
        <v>2768</v>
      </c>
      <c r="H6707" t="s">
        <v>5592</v>
      </c>
      <c r="I6707">
        <v>0</v>
      </c>
      <c r="J6707" t="s">
        <v>1709</v>
      </c>
      <c r="K6707" t="s">
        <v>1861</v>
      </c>
      <c r="L6707" t="s">
        <v>285</v>
      </c>
      <c r="M6707" t="str">
        <f t="shared" si="487"/>
        <v>06</v>
      </c>
      <c r="N6707" t="s">
        <v>12</v>
      </c>
    </row>
    <row r="6708" spans="1:14" x14ac:dyDescent="0.25">
      <c r="A6708">
        <v>20160610</v>
      </c>
      <c r="B6708" t="str">
        <f t="shared" ref="B6708:B6718" si="492">"063841"</f>
        <v>063841</v>
      </c>
      <c r="C6708" t="str">
        <f t="shared" ref="C6708:C6718" si="493">"72730"</f>
        <v>72730</v>
      </c>
      <c r="D6708" t="s">
        <v>1400</v>
      </c>
      <c r="E6708" s="3">
        <v>27</v>
      </c>
      <c r="F6708">
        <v>20160608</v>
      </c>
      <c r="G6708" t="s">
        <v>1974</v>
      </c>
      <c r="H6708" t="s">
        <v>5593</v>
      </c>
      <c r="I6708">
        <v>0</v>
      </c>
      <c r="J6708" t="s">
        <v>1709</v>
      </c>
      <c r="K6708" t="s">
        <v>290</v>
      </c>
      <c r="L6708" t="s">
        <v>285</v>
      </c>
      <c r="M6708" t="str">
        <f t="shared" si="487"/>
        <v>06</v>
      </c>
      <c r="N6708" t="s">
        <v>12</v>
      </c>
    </row>
    <row r="6709" spans="1:14" x14ac:dyDescent="0.25">
      <c r="A6709">
        <v>20160610</v>
      </c>
      <c r="B6709" t="str">
        <f t="shared" si="492"/>
        <v>063841</v>
      </c>
      <c r="C6709" t="str">
        <f t="shared" si="493"/>
        <v>72730</v>
      </c>
      <c r="D6709" t="s">
        <v>1400</v>
      </c>
      <c r="E6709" s="3">
        <v>124.5</v>
      </c>
      <c r="F6709">
        <v>20160608</v>
      </c>
      <c r="G6709" t="s">
        <v>1974</v>
      </c>
      <c r="H6709" t="s">
        <v>2169</v>
      </c>
      <c r="I6709">
        <v>0</v>
      </c>
      <c r="J6709" t="s">
        <v>1709</v>
      </c>
      <c r="K6709" t="s">
        <v>290</v>
      </c>
      <c r="L6709" t="s">
        <v>285</v>
      </c>
      <c r="M6709" t="str">
        <f t="shared" si="487"/>
        <v>06</v>
      </c>
      <c r="N6709" t="s">
        <v>12</v>
      </c>
    </row>
    <row r="6710" spans="1:14" x14ac:dyDescent="0.25">
      <c r="A6710">
        <v>20160610</v>
      </c>
      <c r="B6710" t="str">
        <f t="shared" si="492"/>
        <v>063841</v>
      </c>
      <c r="C6710" t="str">
        <f t="shared" si="493"/>
        <v>72730</v>
      </c>
      <c r="D6710" t="s">
        <v>1400</v>
      </c>
      <c r="E6710" s="3">
        <v>80.02</v>
      </c>
      <c r="F6710">
        <v>20160608</v>
      </c>
      <c r="G6710" t="s">
        <v>2714</v>
      </c>
      <c r="H6710" t="s">
        <v>595</v>
      </c>
      <c r="I6710">
        <v>0</v>
      </c>
      <c r="J6710" t="s">
        <v>1709</v>
      </c>
      <c r="K6710" t="s">
        <v>33</v>
      </c>
      <c r="L6710" t="s">
        <v>285</v>
      </c>
      <c r="M6710" t="str">
        <f t="shared" si="487"/>
        <v>06</v>
      </c>
      <c r="N6710" t="s">
        <v>12</v>
      </c>
    </row>
    <row r="6711" spans="1:14" x14ac:dyDescent="0.25">
      <c r="A6711">
        <v>20160610</v>
      </c>
      <c r="B6711" t="str">
        <f t="shared" si="492"/>
        <v>063841</v>
      </c>
      <c r="C6711" t="str">
        <f t="shared" si="493"/>
        <v>72730</v>
      </c>
      <c r="D6711" t="s">
        <v>1400</v>
      </c>
      <c r="E6711" s="3">
        <v>36.46</v>
      </c>
      <c r="F6711">
        <v>20160608</v>
      </c>
      <c r="G6711" t="s">
        <v>2714</v>
      </c>
      <c r="H6711" t="s">
        <v>5594</v>
      </c>
      <c r="I6711">
        <v>0</v>
      </c>
      <c r="J6711" t="s">
        <v>1709</v>
      </c>
      <c r="K6711" t="s">
        <v>33</v>
      </c>
      <c r="L6711" t="s">
        <v>285</v>
      </c>
      <c r="M6711" t="str">
        <f t="shared" si="487"/>
        <v>06</v>
      </c>
      <c r="N6711" t="s">
        <v>12</v>
      </c>
    </row>
    <row r="6712" spans="1:14" x14ac:dyDescent="0.25">
      <c r="A6712">
        <v>20160610</v>
      </c>
      <c r="B6712" t="str">
        <f t="shared" si="492"/>
        <v>063841</v>
      </c>
      <c r="C6712" t="str">
        <f t="shared" si="493"/>
        <v>72730</v>
      </c>
      <c r="D6712" t="s">
        <v>1400</v>
      </c>
      <c r="E6712" s="3">
        <v>992.36</v>
      </c>
      <c r="F6712">
        <v>20160608</v>
      </c>
      <c r="G6712" t="s">
        <v>2133</v>
      </c>
      <c r="H6712" t="s">
        <v>5595</v>
      </c>
      <c r="I6712">
        <v>0</v>
      </c>
      <c r="J6712" t="s">
        <v>1709</v>
      </c>
      <c r="K6712" t="s">
        <v>290</v>
      </c>
      <c r="L6712" t="s">
        <v>285</v>
      </c>
      <c r="M6712" t="str">
        <f t="shared" si="487"/>
        <v>06</v>
      </c>
      <c r="N6712" t="s">
        <v>12</v>
      </c>
    </row>
    <row r="6713" spans="1:14" x14ac:dyDescent="0.25">
      <c r="A6713">
        <v>20160610</v>
      </c>
      <c r="B6713" t="str">
        <f t="shared" si="492"/>
        <v>063841</v>
      </c>
      <c r="C6713" t="str">
        <f t="shared" si="493"/>
        <v>72730</v>
      </c>
      <c r="D6713" t="s">
        <v>1400</v>
      </c>
      <c r="E6713" s="3">
        <v>2255.8200000000002</v>
      </c>
      <c r="F6713">
        <v>20160608</v>
      </c>
      <c r="G6713" t="s">
        <v>4299</v>
      </c>
      <c r="H6713" t="s">
        <v>5369</v>
      </c>
      <c r="I6713">
        <v>0</v>
      </c>
      <c r="J6713" t="s">
        <v>1709</v>
      </c>
      <c r="K6713" t="s">
        <v>290</v>
      </c>
      <c r="L6713" t="s">
        <v>285</v>
      </c>
      <c r="M6713" t="str">
        <f t="shared" si="487"/>
        <v>06</v>
      </c>
      <c r="N6713" t="s">
        <v>12</v>
      </c>
    </row>
    <row r="6714" spans="1:14" x14ac:dyDescent="0.25">
      <c r="A6714">
        <v>20160610</v>
      </c>
      <c r="B6714" t="str">
        <f t="shared" si="492"/>
        <v>063841</v>
      </c>
      <c r="C6714" t="str">
        <f t="shared" si="493"/>
        <v>72730</v>
      </c>
      <c r="D6714" t="s">
        <v>1400</v>
      </c>
      <c r="E6714" s="3">
        <v>208</v>
      </c>
      <c r="F6714">
        <v>20160608</v>
      </c>
      <c r="G6714" t="s">
        <v>5383</v>
      </c>
      <c r="H6714" t="s">
        <v>5596</v>
      </c>
      <c r="I6714">
        <v>0</v>
      </c>
      <c r="J6714" t="s">
        <v>1709</v>
      </c>
      <c r="K6714" t="s">
        <v>290</v>
      </c>
      <c r="L6714" t="s">
        <v>285</v>
      </c>
      <c r="M6714" t="str">
        <f t="shared" si="487"/>
        <v>06</v>
      </c>
      <c r="N6714" t="s">
        <v>12</v>
      </c>
    </row>
    <row r="6715" spans="1:14" x14ac:dyDescent="0.25">
      <c r="A6715">
        <v>20160610</v>
      </c>
      <c r="B6715" t="str">
        <f t="shared" si="492"/>
        <v>063841</v>
      </c>
      <c r="C6715" t="str">
        <f t="shared" si="493"/>
        <v>72730</v>
      </c>
      <c r="D6715" t="s">
        <v>1400</v>
      </c>
      <c r="E6715" s="3">
        <v>126.28</v>
      </c>
      <c r="F6715">
        <v>20160608</v>
      </c>
      <c r="G6715" t="s">
        <v>5383</v>
      </c>
      <c r="H6715" t="s">
        <v>5597</v>
      </c>
      <c r="I6715">
        <v>0</v>
      </c>
      <c r="J6715" t="s">
        <v>1709</v>
      </c>
      <c r="K6715" t="s">
        <v>290</v>
      </c>
      <c r="L6715" t="s">
        <v>285</v>
      </c>
      <c r="M6715" t="str">
        <f t="shared" si="487"/>
        <v>06</v>
      </c>
      <c r="N6715" t="s">
        <v>12</v>
      </c>
    </row>
    <row r="6716" spans="1:14" x14ac:dyDescent="0.25">
      <c r="A6716">
        <v>20160610</v>
      </c>
      <c r="B6716" t="str">
        <f t="shared" si="492"/>
        <v>063841</v>
      </c>
      <c r="C6716" t="str">
        <f t="shared" si="493"/>
        <v>72730</v>
      </c>
      <c r="D6716" t="s">
        <v>1400</v>
      </c>
      <c r="E6716" s="3">
        <v>151.04</v>
      </c>
      <c r="F6716">
        <v>20160608</v>
      </c>
      <c r="G6716" t="s">
        <v>2368</v>
      </c>
      <c r="H6716" t="s">
        <v>2169</v>
      </c>
      <c r="I6716">
        <v>0</v>
      </c>
      <c r="J6716" t="s">
        <v>1709</v>
      </c>
      <c r="K6716" t="s">
        <v>290</v>
      </c>
      <c r="L6716" t="s">
        <v>285</v>
      </c>
      <c r="M6716" t="str">
        <f t="shared" si="487"/>
        <v>06</v>
      </c>
      <c r="N6716" t="s">
        <v>12</v>
      </c>
    </row>
    <row r="6717" spans="1:14" x14ac:dyDescent="0.25">
      <c r="A6717">
        <v>20160610</v>
      </c>
      <c r="B6717" t="str">
        <f t="shared" si="492"/>
        <v>063841</v>
      </c>
      <c r="C6717" t="str">
        <f t="shared" si="493"/>
        <v>72730</v>
      </c>
      <c r="D6717" t="s">
        <v>1400</v>
      </c>
      <c r="E6717" s="3">
        <v>317.04000000000002</v>
      </c>
      <c r="F6717">
        <v>20160608</v>
      </c>
      <c r="G6717" t="s">
        <v>5236</v>
      </c>
      <c r="H6717" t="s">
        <v>2169</v>
      </c>
      <c r="I6717">
        <v>0</v>
      </c>
      <c r="J6717" t="s">
        <v>1709</v>
      </c>
      <c r="K6717" t="s">
        <v>290</v>
      </c>
      <c r="L6717" t="s">
        <v>285</v>
      </c>
      <c r="M6717" t="str">
        <f t="shared" si="487"/>
        <v>06</v>
      </c>
      <c r="N6717" t="s">
        <v>12</v>
      </c>
    </row>
    <row r="6718" spans="1:14" x14ac:dyDescent="0.25">
      <c r="A6718">
        <v>20160610</v>
      </c>
      <c r="B6718" t="str">
        <f t="shared" si="492"/>
        <v>063841</v>
      </c>
      <c r="C6718" t="str">
        <f t="shared" si="493"/>
        <v>72730</v>
      </c>
      <c r="D6718" t="s">
        <v>1400</v>
      </c>
      <c r="E6718" s="3">
        <v>151.5</v>
      </c>
      <c r="F6718">
        <v>20160608</v>
      </c>
      <c r="G6718" t="s">
        <v>5446</v>
      </c>
      <c r="H6718" t="s">
        <v>2169</v>
      </c>
      <c r="I6718">
        <v>0</v>
      </c>
      <c r="J6718" t="s">
        <v>1709</v>
      </c>
      <c r="K6718" t="s">
        <v>290</v>
      </c>
      <c r="L6718" t="s">
        <v>285</v>
      </c>
      <c r="M6718" t="str">
        <f t="shared" si="487"/>
        <v>06</v>
      </c>
      <c r="N6718" t="s">
        <v>12</v>
      </c>
    </row>
    <row r="6719" spans="1:14" x14ac:dyDescent="0.25">
      <c r="A6719">
        <v>20160610</v>
      </c>
      <c r="B6719" t="str">
        <f>"063842"</f>
        <v>063842</v>
      </c>
      <c r="C6719" t="str">
        <f>"73643"</f>
        <v>73643</v>
      </c>
      <c r="D6719" t="s">
        <v>5385</v>
      </c>
      <c r="E6719" s="3">
        <v>360</v>
      </c>
      <c r="F6719">
        <v>20160608</v>
      </c>
      <c r="G6719" t="s">
        <v>2941</v>
      </c>
      <c r="H6719" t="s">
        <v>5598</v>
      </c>
      <c r="I6719">
        <v>0</v>
      </c>
      <c r="J6719" t="s">
        <v>1709</v>
      </c>
      <c r="K6719" t="s">
        <v>95</v>
      </c>
      <c r="L6719" t="s">
        <v>285</v>
      </c>
      <c r="M6719" t="str">
        <f t="shared" si="487"/>
        <v>06</v>
      </c>
      <c r="N6719" t="s">
        <v>12</v>
      </c>
    </row>
    <row r="6720" spans="1:14" x14ac:dyDescent="0.25">
      <c r="A6720">
        <v>20160610</v>
      </c>
      <c r="B6720" t="str">
        <f>"063843"</f>
        <v>063843</v>
      </c>
      <c r="C6720" t="str">
        <f>"74244"</f>
        <v>74244</v>
      </c>
      <c r="D6720" t="s">
        <v>3510</v>
      </c>
      <c r="E6720" s="3">
        <v>72.680000000000007</v>
      </c>
      <c r="F6720">
        <v>20160608</v>
      </c>
      <c r="G6720" t="s">
        <v>3469</v>
      </c>
      <c r="H6720" t="s">
        <v>5599</v>
      </c>
      <c r="I6720">
        <v>0</v>
      </c>
      <c r="J6720" t="s">
        <v>1709</v>
      </c>
      <c r="K6720" t="s">
        <v>95</v>
      </c>
      <c r="L6720" t="s">
        <v>285</v>
      </c>
      <c r="M6720" t="str">
        <f t="shared" si="487"/>
        <v>06</v>
      </c>
      <c r="N6720" t="s">
        <v>12</v>
      </c>
    </row>
    <row r="6721" spans="1:14" x14ac:dyDescent="0.25">
      <c r="A6721">
        <v>20160610</v>
      </c>
      <c r="B6721" t="str">
        <f>"063844"</f>
        <v>063844</v>
      </c>
      <c r="C6721" t="str">
        <f>"74385"</f>
        <v>74385</v>
      </c>
      <c r="D6721" t="s">
        <v>1767</v>
      </c>
      <c r="E6721" s="3">
        <v>350</v>
      </c>
      <c r="F6721">
        <v>20160608</v>
      </c>
      <c r="G6721" t="s">
        <v>1765</v>
      </c>
      <c r="H6721" t="s">
        <v>5600</v>
      </c>
      <c r="I6721">
        <v>0</v>
      </c>
      <c r="J6721" t="s">
        <v>1709</v>
      </c>
      <c r="K6721" t="s">
        <v>1744</v>
      </c>
      <c r="L6721" t="s">
        <v>285</v>
      </c>
      <c r="M6721" t="str">
        <f t="shared" ref="M6721:M6784" si="494">"06"</f>
        <v>06</v>
      </c>
      <c r="N6721" t="s">
        <v>12</v>
      </c>
    </row>
    <row r="6722" spans="1:14" x14ac:dyDescent="0.25">
      <c r="A6722">
        <v>20160610</v>
      </c>
      <c r="B6722" t="str">
        <f>"063845"</f>
        <v>063845</v>
      </c>
      <c r="C6722" t="str">
        <f>"75735"</f>
        <v>75735</v>
      </c>
      <c r="D6722" t="s">
        <v>3146</v>
      </c>
      <c r="E6722" s="3">
        <v>48.1</v>
      </c>
      <c r="F6722">
        <v>20160608</v>
      </c>
      <c r="G6722" t="s">
        <v>2718</v>
      </c>
      <c r="H6722" t="s">
        <v>5601</v>
      </c>
      <c r="I6722">
        <v>0</v>
      </c>
      <c r="J6722" t="s">
        <v>1709</v>
      </c>
      <c r="K6722" t="s">
        <v>290</v>
      </c>
      <c r="L6722" t="s">
        <v>285</v>
      </c>
      <c r="M6722" t="str">
        <f t="shared" si="494"/>
        <v>06</v>
      </c>
      <c r="N6722" t="s">
        <v>12</v>
      </c>
    </row>
    <row r="6723" spans="1:14" x14ac:dyDescent="0.25">
      <c r="A6723">
        <v>20160610</v>
      </c>
      <c r="B6723" t="str">
        <f>"063846"</f>
        <v>063846</v>
      </c>
      <c r="C6723" t="str">
        <f>"78345"</f>
        <v>78345</v>
      </c>
      <c r="D6723" t="s">
        <v>2735</v>
      </c>
      <c r="E6723" s="3">
        <v>100</v>
      </c>
      <c r="F6723">
        <v>20160608</v>
      </c>
      <c r="G6723" t="s">
        <v>2888</v>
      </c>
      <c r="H6723" t="s">
        <v>5390</v>
      </c>
      <c r="I6723">
        <v>0</v>
      </c>
      <c r="J6723" t="s">
        <v>1709</v>
      </c>
      <c r="K6723" t="s">
        <v>290</v>
      </c>
      <c r="L6723" t="s">
        <v>285</v>
      </c>
      <c r="M6723" t="str">
        <f t="shared" si="494"/>
        <v>06</v>
      </c>
      <c r="N6723" t="s">
        <v>12</v>
      </c>
    </row>
    <row r="6724" spans="1:14" x14ac:dyDescent="0.25">
      <c r="A6724">
        <v>20160610</v>
      </c>
      <c r="B6724" t="str">
        <f>"063847"</f>
        <v>063847</v>
      </c>
      <c r="C6724" t="str">
        <f>"80757"</f>
        <v>80757</v>
      </c>
      <c r="D6724" t="s">
        <v>5602</v>
      </c>
      <c r="E6724" s="3">
        <v>200</v>
      </c>
      <c r="F6724">
        <v>20160608</v>
      </c>
      <c r="G6724" t="s">
        <v>1732</v>
      </c>
      <c r="H6724" t="s">
        <v>5603</v>
      </c>
      <c r="I6724">
        <v>0</v>
      </c>
      <c r="J6724" t="s">
        <v>1709</v>
      </c>
      <c r="K6724" t="s">
        <v>290</v>
      </c>
      <c r="L6724" t="s">
        <v>285</v>
      </c>
      <c r="M6724" t="str">
        <f t="shared" si="494"/>
        <v>06</v>
      </c>
      <c r="N6724" t="s">
        <v>12</v>
      </c>
    </row>
    <row r="6725" spans="1:14" x14ac:dyDescent="0.25">
      <c r="A6725">
        <v>20160610</v>
      </c>
      <c r="B6725" t="str">
        <f>"063848"</f>
        <v>063848</v>
      </c>
      <c r="C6725" t="str">
        <f>"80175"</f>
        <v>80175</v>
      </c>
      <c r="D6725" t="s">
        <v>5604</v>
      </c>
      <c r="E6725" s="3">
        <v>150</v>
      </c>
      <c r="F6725">
        <v>20160608</v>
      </c>
      <c r="G6725" t="s">
        <v>2449</v>
      </c>
      <c r="H6725" t="s">
        <v>5512</v>
      </c>
      <c r="I6725">
        <v>0</v>
      </c>
      <c r="J6725" t="s">
        <v>1709</v>
      </c>
      <c r="K6725" t="s">
        <v>290</v>
      </c>
      <c r="L6725" t="s">
        <v>285</v>
      </c>
      <c r="M6725" t="str">
        <f t="shared" si="494"/>
        <v>06</v>
      </c>
      <c r="N6725" t="s">
        <v>12</v>
      </c>
    </row>
    <row r="6726" spans="1:14" x14ac:dyDescent="0.25">
      <c r="A6726">
        <v>20160610</v>
      </c>
      <c r="B6726" t="str">
        <f>"063849"</f>
        <v>063849</v>
      </c>
      <c r="C6726" t="str">
        <f>"80500"</f>
        <v>80500</v>
      </c>
      <c r="D6726" t="s">
        <v>2409</v>
      </c>
      <c r="E6726" s="3">
        <v>149.05000000000001</v>
      </c>
      <c r="F6726">
        <v>20160608</v>
      </c>
      <c r="G6726" t="s">
        <v>2333</v>
      </c>
      <c r="H6726" t="s">
        <v>3258</v>
      </c>
      <c r="I6726">
        <v>0</v>
      </c>
      <c r="J6726" t="s">
        <v>1709</v>
      </c>
      <c r="K6726" t="s">
        <v>290</v>
      </c>
      <c r="L6726" t="s">
        <v>285</v>
      </c>
      <c r="M6726" t="str">
        <f t="shared" si="494"/>
        <v>06</v>
      </c>
      <c r="N6726" t="s">
        <v>12</v>
      </c>
    </row>
    <row r="6727" spans="1:14" x14ac:dyDescent="0.25">
      <c r="A6727">
        <v>20160610</v>
      </c>
      <c r="B6727" t="str">
        <f>"063850"</f>
        <v>063850</v>
      </c>
      <c r="C6727" t="str">
        <f>"80611"</f>
        <v>80611</v>
      </c>
      <c r="D6727" t="s">
        <v>1796</v>
      </c>
      <c r="E6727" s="3">
        <v>2208.33</v>
      </c>
      <c r="F6727">
        <v>20160608</v>
      </c>
      <c r="G6727" t="s">
        <v>2414</v>
      </c>
      <c r="H6727" t="s">
        <v>4772</v>
      </c>
      <c r="I6727">
        <v>0</v>
      </c>
      <c r="J6727" t="s">
        <v>1709</v>
      </c>
      <c r="K6727" t="s">
        <v>133</v>
      </c>
      <c r="L6727" t="s">
        <v>285</v>
      </c>
      <c r="M6727" t="str">
        <f t="shared" si="494"/>
        <v>06</v>
      </c>
      <c r="N6727" t="s">
        <v>12</v>
      </c>
    </row>
    <row r="6728" spans="1:14" x14ac:dyDescent="0.25">
      <c r="A6728">
        <v>20160610</v>
      </c>
      <c r="B6728" t="str">
        <f>"063851"</f>
        <v>063851</v>
      </c>
      <c r="C6728" t="str">
        <f>"80755"</f>
        <v>80755</v>
      </c>
      <c r="D6728" t="s">
        <v>723</v>
      </c>
      <c r="E6728" s="3">
        <v>48.4</v>
      </c>
      <c r="F6728">
        <v>20160608</v>
      </c>
      <c r="G6728" t="s">
        <v>5059</v>
      </c>
      <c r="H6728" t="s">
        <v>1416</v>
      </c>
      <c r="I6728">
        <v>0</v>
      </c>
      <c r="J6728" t="s">
        <v>1709</v>
      </c>
      <c r="K6728" t="s">
        <v>1519</v>
      </c>
      <c r="L6728" t="s">
        <v>285</v>
      </c>
      <c r="M6728" t="str">
        <f t="shared" si="494"/>
        <v>06</v>
      </c>
      <c r="N6728" t="s">
        <v>12</v>
      </c>
    </row>
    <row r="6729" spans="1:14" x14ac:dyDescent="0.25">
      <c r="A6729">
        <v>20160610</v>
      </c>
      <c r="B6729" t="str">
        <f>"063851"</f>
        <v>063851</v>
      </c>
      <c r="C6729" t="str">
        <f>"80755"</f>
        <v>80755</v>
      </c>
      <c r="D6729" t="s">
        <v>723</v>
      </c>
      <c r="E6729" s="3">
        <v>1547.5</v>
      </c>
      <c r="F6729">
        <v>20160608</v>
      </c>
      <c r="G6729" t="s">
        <v>5059</v>
      </c>
      <c r="H6729" t="s">
        <v>5605</v>
      </c>
      <c r="I6729">
        <v>0</v>
      </c>
      <c r="J6729" t="s">
        <v>1709</v>
      </c>
      <c r="K6729" t="s">
        <v>1519</v>
      </c>
      <c r="L6729" t="s">
        <v>285</v>
      </c>
      <c r="M6729" t="str">
        <f t="shared" si="494"/>
        <v>06</v>
      </c>
      <c r="N6729" t="s">
        <v>12</v>
      </c>
    </row>
    <row r="6730" spans="1:14" x14ac:dyDescent="0.25">
      <c r="A6730">
        <v>20160610</v>
      </c>
      <c r="B6730" t="str">
        <f>"063851"</f>
        <v>063851</v>
      </c>
      <c r="C6730" t="str">
        <f>"80755"</f>
        <v>80755</v>
      </c>
      <c r="D6730" t="s">
        <v>723</v>
      </c>
      <c r="E6730" s="3">
        <v>609.70000000000005</v>
      </c>
      <c r="F6730">
        <v>20160608</v>
      </c>
      <c r="G6730" t="s">
        <v>5230</v>
      </c>
      <c r="H6730" t="s">
        <v>5606</v>
      </c>
      <c r="I6730">
        <v>0</v>
      </c>
      <c r="J6730" t="s">
        <v>1709</v>
      </c>
      <c r="K6730" t="s">
        <v>290</v>
      </c>
      <c r="L6730" t="s">
        <v>285</v>
      </c>
      <c r="M6730" t="str">
        <f t="shared" si="494"/>
        <v>06</v>
      </c>
      <c r="N6730" t="s">
        <v>12</v>
      </c>
    </row>
    <row r="6731" spans="1:14" x14ac:dyDescent="0.25">
      <c r="A6731">
        <v>20160610</v>
      </c>
      <c r="B6731" t="str">
        <f>"063853"</f>
        <v>063853</v>
      </c>
      <c r="C6731" t="str">
        <f>"81779"</f>
        <v>81779</v>
      </c>
      <c r="D6731" t="s">
        <v>4697</v>
      </c>
      <c r="E6731" s="3">
        <v>761.07</v>
      </c>
      <c r="F6731">
        <v>20160608</v>
      </c>
      <c r="G6731" t="s">
        <v>1859</v>
      </c>
      <c r="H6731" t="s">
        <v>5607</v>
      </c>
      <c r="I6731">
        <v>0</v>
      </c>
      <c r="J6731" t="s">
        <v>1709</v>
      </c>
      <c r="K6731" t="s">
        <v>1861</v>
      </c>
      <c r="L6731" t="s">
        <v>285</v>
      </c>
      <c r="M6731" t="str">
        <f t="shared" si="494"/>
        <v>06</v>
      </c>
      <c r="N6731" t="s">
        <v>12</v>
      </c>
    </row>
    <row r="6732" spans="1:14" x14ac:dyDescent="0.25">
      <c r="A6732">
        <v>20160610</v>
      </c>
      <c r="B6732" t="str">
        <f>"063854"</f>
        <v>063854</v>
      </c>
      <c r="C6732" t="str">
        <f>"82381"</f>
        <v>82381</v>
      </c>
      <c r="D6732" t="s">
        <v>5608</v>
      </c>
      <c r="E6732" s="3">
        <v>572</v>
      </c>
      <c r="F6732">
        <v>20160608</v>
      </c>
      <c r="G6732" t="s">
        <v>1888</v>
      </c>
      <c r="H6732" t="s">
        <v>5609</v>
      </c>
      <c r="I6732">
        <v>0</v>
      </c>
      <c r="J6732" t="s">
        <v>1709</v>
      </c>
      <c r="K6732" t="s">
        <v>290</v>
      </c>
      <c r="L6732" t="s">
        <v>285</v>
      </c>
      <c r="M6732" t="str">
        <f t="shared" si="494"/>
        <v>06</v>
      </c>
      <c r="N6732" t="s">
        <v>12</v>
      </c>
    </row>
    <row r="6733" spans="1:14" x14ac:dyDescent="0.25">
      <c r="A6733">
        <v>20160610</v>
      </c>
      <c r="B6733" t="str">
        <f>"063855"</f>
        <v>063855</v>
      </c>
      <c r="C6733" t="str">
        <f>"82886"</f>
        <v>82886</v>
      </c>
      <c r="D6733" t="s">
        <v>5610</v>
      </c>
      <c r="E6733" s="3">
        <v>400</v>
      </c>
      <c r="F6733">
        <v>20160608</v>
      </c>
      <c r="G6733" t="s">
        <v>4884</v>
      </c>
      <c r="H6733" t="s">
        <v>5611</v>
      </c>
      <c r="I6733">
        <v>0</v>
      </c>
      <c r="J6733" t="s">
        <v>1709</v>
      </c>
      <c r="K6733" t="s">
        <v>290</v>
      </c>
      <c r="L6733" t="s">
        <v>285</v>
      </c>
      <c r="M6733" t="str">
        <f t="shared" si="494"/>
        <v>06</v>
      </c>
      <c r="N6733" t="s">
        <v>12</v>
      </c>
    </row>
    <row r="6734" spans="1:14" x14ac:dyDescent="0.25">
      <c r="A6734">
        <v>20160610</v>
      </c>
      <c r="B6734" t="str">
        <f>"063856"</f>
        <v>063856</v>
      </c>
      <c r="C6734" t="str">
        <f>"84323"</f>
        <v>84323</v>
      </c>
      <c r="D6734" t="s">
        <v>3399</v>
      </c>
      <c r="E6734" s="3">
        <v>450</v>
      </c>
      <c r="F6734">
        <v>20160608</v>
      </c>
      <c r="G6734" t="s">
        <v>2449</v>
      </c>
      <c r="H6734" t="s">
        <v>4885</v>
      </c>
      <c r="I6734">
        <v>0</v>
      </c>
      <c r="J6734" t="s">
        <v>1709</v>
      </c>
      <c r="K6734" t="s">
        <v>290</v>
      </c>
      <c r="L6734" t="s">
        <v>285</v>
      </c>
      <c r="M6734" t="str">
        <f t="shared" si="494"/>
        <v>06</v>
      </c>
      <c r="N6734" t="s">
        <v>12</v>
      </c>
    </row>
    <row r="6735" spans="1:14" x14ac:dyDescent="0.25">
      <c r="A6735">
        <v>20160617</v>
      </c>
      <c r="B6735" t="str">
        <f>"063860"</f>
        <v>063860</v>
      </c>
      <c r="C6735" t="str">
        <f>"01530"</f>
        <v>01530</v>
      </c>
      <c r="D6735" t="s">
        <v>1943</v>
      </c>
      <c r="E6735" s="3">
        <v>141</v>
      </c>
      <c r="F6735">
        <v>20160615</v>
      </c>
      <c r="G6735" t="s">
        <v>2424</v>
      </c>
      <c r="H6735" t="s">
        <v>5612</v>
      </c>
      <c r="I6735">
        <v>0</v>
      </c>
      <c r="J6735" t="s">
        <v>1709</v>
      </c>
      <c r="K6735" t="s">
        <v>1775</v>
      </c>
      <c r="L6735" t="s">
        <v>285</v>
      </c>
      <c r="M6735" t="str">
        <f t="shared" si="494"/>
        <v>06</v>
      </c>
      <c r="N6735" t="s">
        <v>12</v>
      </c>
    </row>
    <row r="6736" spans="1:14" x14ac:dyDescent="0.25">
      <c r="A6736">
        <v>20160617</v>
      </c>
      <c r="B6736" t="str">
        <f>"063861"</f>
        <v>063861</v>
      </c>
      <c r="C6736" t="str">
        <f>"02230"</f>
        <v>02230</v>
      </c>
      <c r="D6736" t="s">
        <v>1945</v>
      </c>
      <c r="E6736" s="3">
        <v>63.19</v>
      </c>
      <c r="F6736">
        <v>20160615</v>
      </c>
      <c r="G6736" t="s">
        <v>2333</v>
      </c>
      <c r="H6736" t="s">
        <v>4772</v>
      </c>
      <c r="I6736">
        <v>0</v>
      </c>
      <c r="J6736" t="s">
        <v>1709</v>
      </c>
      <c r="K6736" t="s">
        <v>290</v>
      </c>
      <c r="L6736" t="s">
        <v>285</v>
      </c>
      <c r="M6736" t="str">
        <f t="shared" si="494"/>
        <v>06</v>
      </c>
      <c r="N6736" t="s">
        <v>12</v>
      </c>
    </row>
    <row r="6737" spans="1:14" x14ac:dyDescent="0.25">
      <c r="A6737">
        <v>20160617</v>
      </c>
      <c r="B6737" t="str">
        <f>"063862"</f>
        <v>063862</v>
      </c>
      <c r="C6737" t="str">
        <f>"03694"</f>
        <v>03694</v>
      </c>
      <c r="D6737" t="s">
        <v>550</v>
      </c>
      <c r="E6737" s="3">
        <v>315.12</v>
      </c>
      <c r="F6737">
        <v>20160615</v>
      </c>
      <c r="G6737" t="s">
        <v>5613</v>
      </c>
      <c r="H6737" t="s">
        <v>5614</v>
      </c>
      <c r="I6737">
        <v>0</v>
      </c>
      <c r="J6737" t="s">
        <v>1709</v>
      </c>
      <c r="K6737" t="s">
        <v>290</v>
      </c>
      <c r="L6737" t="s">
        <v>285</v>
      </c>
      <c r="M6737" t="str">
        <f t="shared" si="494"/>
        <v>06</v>
      </c>
      <c r="N6737" t="s">
        <v>12</v>
      </c>
    </row>
    <row r="6738" spans="1:14" x14ac:dyDescent="0.25">
      <c r="A6738">
        <v>20160617</v>
      </c>
      <c r="B6738" t="str">
        <f>"063863"</f>
        <v>063863</v>
      </c>
      <c r="C6738" t="str">
        <f>"06465"</f>
        <v>06465</v>
      </c>
      <c r="D6738" t="s">
        <v>5615</v>
      </c>
      <c r="E6738" s="3">
        <v>335</v>
      </c>
      <c r="F6738">
        <v>20160615</v>
      </c>
      <c r="G6738" t="s">
        <v>4328</v>
      </c>
      <c r="H6738" t="s">
        <v>5616</v>
      </c>
      <c r="I6738">
        <v>0</v>
      </c>
      <c r="J6738" t="s">
        <v>1709</v>
      </c>
      <c r="K6738" t="s">
        <v>290</v>
      </c>
      <c r="L6738" t="s">
        <v>285</v>
      </c>
      <c r="M6738" t="str">
        <f t="shared" si="494"/>
        <v>06</v>
      </c>
      <c r="N6738" t="s">
        <v>12</v>
      </c>
    </row>
    <row r="6739" spans="1:14" x14ac:dyDescent="0.25">
      <c r="A6739">
        <v>20160617</v>
      </c>
      <c r="B6739" t="str">
        <f>"063864"</f>
        <v>063864</v>
      </c>
      <c r="C6739" t="str">
        <f>"08196"</f>
        <v>08196</v>
      </c>
      <c r="D6739" t="s">
        <v>2438</v>
      </c>
      <c r="E6739" s="3">
        <v>10.5</v>
      </c>
      <c r="F6739">
        <v>20160615</v>
      </c>
      <c r="G6739" t="s">
        <v>2422</v>
      </c>
      <c r="H6739" t="s">
        <v>5617</v>
      </c>
      <c r="I6739">
        <v>0</v>
      </c>
      <c r="J6739" t="s">
        <v>1709</v>
      </c>
      <c r="K6739" t="s">
        <v>290</v>
      </c>
      <c r="L6739" t="s">
        <v>285</v>
      </c>
      <c r="M6739" t="str">
        <f t="shared" si="494"/>
        <v>06</v>
      </c>
      <c r="N6739" t="s">
        <v>12</v>
      </c>
    </row>
    <row r="6740" spans="1:14" x14ac:dyDescent="0.25">
      <c r="A6740">
        <v>20160617</v>
      </c>
      <c r="B6740" t="str">
        <f>"063864"</f>
        <v>063864</v>
      </c>
      <c r="C6740" t="str">
        <f>"08196"</f>
        <v>08196</v>
      </c>
      <c r="D6740" t="s">
        <v>2438</v>
      </c>
      <c r="E6740" s="3">
        <v>31.04</v>
      </c>
      <c r="F6740">
        <v>20160615</v>
      </c>
      <c r="G6740" t="s">
        <v>2422</v>
      </c>
      <c r="H6740" t="s">
        <v>5618</v>
      </c>
      <c r="I6740">
        <v>0</v>
      </c>
      <c r="J6740" t="s">
        <v>1709</v>
      </c>
      <c r="K6740" t="s">
        <v>290</v>
      </c>
      <c r="L6740" t="s">
        <v>285</v>
      </c>
      <c r="M6740" t="str">
        <f t="shared" si="494"/>
        <v>06</v>
      </c>
      <c r="N6740" t="s">
        <v>12</v>
      </c>
    </row>
    <row r="6741" spans="1:14" x14ac:dyDescent="0.25">
      <c r="A6741">
        <v>20160617</v>
      </c>
      <c r="B6741" t="str">
        <f>"063864"</f>
        <v>063864</v>
      </c>
      <c r="C6741" t="str">
        <f>"08196"</f>
        <v>08196</v>
      </c>
      <c r="D6741" t="s">
        <v>2438</v>
      </c>
      <c r="E6741" s="3">
        <v>2.95</v>
      </c>
      <c r="F6741">
        <v>20160615</v>
      </c>
      <c r="G6741" t="s">
        <v>2422</v>
      </c>
      <c r="H6741" t="s">
        <v>5619</v>
      </c>
      <c r="I6741">
        <v>0</v>
      </c>
      <c r="J6741" t="s">
        <v>1709</v>
      </c>
      <c r="K6741" t="s">
        <v>290</v>
      </c>
      <c r="L6741" t="s">
        <v>285</v>
      </c>
      <c r="M6741" t="str">
        <f t="shared" si="494"/>
        <v>06</v>
      </c>
      <c r="N6741" t="s">
        <v>12</v>
      </c>
    </row>
    <row r="6742" spans="1:14" x14ac:dyDescent="0.25">
      <c r="A6742">
        <v>20160617</v>
      </c>
      <c r="B6742" t="str">
        <f>"063866"</f>
        <v>063866</v>
      </c>
      <c r="C6742" t="str">
        <f>"13880"</f>
        <v>13880</v>
      </c>
      <c r="D6742" t="s">
        <v>4118</v>
      </c>
      <c r="E6742" s="3">
        <v>146.69999999999999</v>
      </c>
      <c r="F6742">
        <v>20160615</v>
      </c>
      <c r="G6742" t="s">
        <v>5620</v>
      </c>
      <c r="H6742" t="s">
        <v>5621</v>
      </c>
      <c r="I6742">
        <v>0</v>
      </c>
      <c r="J6742" t="s">
        <v>1709</v>
      </c>
      <c r="K6742" t="s">
        <v>2923</v>
      </c>
      <c r="L6742" t="s">
        <v>285</v>
      </c>
      <c r="M6742" t="str">
        <f t="shared" si="494"/>
        <v>06</v>
      </c>
      <c r="N6742" t="s">
        <v>12</v>
      </c>
    </row>
    <row r="6743" spans="1:14" x14ac:dyDescent="0.25">
      <c r="A6743">
        <v>20160617</v>
      </c>
      <c r="B6743" t="str">
        <f>"063868"</f>
        <v>063868</v>
      </c>
      <c r="C6743" t="str">
        <f>"16807"</f>
        <v>16807</v>
      </c>
      <c r="D6743" t="s">
        <v>1560</v>
      </c>
      <c r="E6743" s="3">
        <v>124.95</v>
      </c>
      <c r="F6743">
        <v>20160615</v>
      </c>
      <c r="G6743" t="s">
        <v>2275</v>
      </c>
      <c r="H6743" t="s">
        <v>1661</v>
      </c>
      <c r="I6743">
        <v>0</v>
      </c>
      <c r="J6743" t="s">
        <v>1709</v>
      </c>
      <c r="K6743" t="s">
        <v>95</v>
      </c>
      <c r="L6743" t="s">
        <v>285</v>
      </c>
      <c r="M6743" t="str">
        <f t="shared" si="494"/>
        <v>06</v>
      </c>
      <c r="N6743" t="s">
        <v>12</v>
      </c>
    </row>
    <row r="6744" spans="1:14" x14ac:dyDescent="0.25">
      <c r="A6744">
        <v>20160617</v>
      </c>
      <c r="B6744" t="str">
        <f>"063868"</f>
        <v>063868</v>
      </c>
      <c r="C6744" t="str">
        <f>"16807"</f>
        <v>16807</v>
      </c>
      <c r="D6744" t="s">
        <v>1560</v>
      </c>
      <c r="E6744" s="3">
        <v>388.01</v>
      </c>
      <c r="F6744">
        <v>20160615</v>
      </c>
      <c r="G6744" t="s">
        <v>2831</v>
      </c>
      <c r="H6744" t="s">
        <v>1661</v>
      </c>
      <c r="I6744">
        <v>0</v>
      </c>
      <c r="J6744" t="s">
        <v>1709</v>
      </c>
      <c r="K6744" t="s">
        <v>95</v>
      </c>
      <c r="L6744" t="s">
        <v>285</v>
      </c>
      <c r="M6744" t="str">
        <f t="shared" si="494"/>
        <v>06</v>
      </c>
      <c r="N6744" t="s">
        <v>12</v>
      </c>
    </row>
    <row r="6745" spans="1:14" x14ac:dyDescent="0.25">
      <c r="A6745">
        <v>20160617</v>
      </c>
      <c r="B6745" t="str">
        <f>"063868"</f>
        <v>063868</v>
      </c>
      <c r="C6745" t="str">
        <f>"16807"</f>
        <v>16807</v>
      </c>
      <c r="D6745" t="s">
        <v>1560</v>
      </c>
      <c r="E6745" s="3">
        <v>463.28</v>
      </c>
      <c r="F6745">
        <v>20160615</v>
      </c>
      <c r="G6745" t="s">
        <v>3476</v>
      </c>
      <c r="H6745" t="s">
        <v>5622</v>
      </c>
      <c r="I6745">
        <v>0</v>
      </c>
      <c r="J6745" t="s">
        <v>1709</v>
      </c>
      <c r="K6745" t="s">
        <v>290</v>
      </c>
      <c r="L6745" t="s">
        <v>285</v>
      </c>
      <c r="M6745" t="str">
        <f t="shared" si="494"/>
        <v>06</v>
      </c>
      <c r="N6745" t="s">
        <v>12</v>
      </c>
    </row>
    <row r="6746" spans="1:14" x14ac:dyDescent="0.25">
      <c r="A6746">
        <v>20160617</v>
      </c>
      <c r="B6746" t="str">
        <f>"063869"</f>
        <v>063869</v>
      </c>
      <c r="C6746" t="str">
        <f>"21091"</f>
        <v>21091</v>
      </c>
      <c r="D6746" t="s">
        <v>2855</v>
      </c>
      <c r="E6746" s="3">
        <v>1272.8900000000001</v>
      </c>
      <c r="F6746">
        <v>20160615</v>
      </c>
      <c r="G6746" t="s">
        <v>1854</v>
      </c>
      <c r="H6746" t="s">
        <v>5623</v>
      </c>
      <c r="I6746">
        <v>0</v>
      </c>
      <c r="J6746" t="s">
        <v>1709</v>
      </c>
      <c r="K6746" t="s">
        <v>1856</v>
      </c>
      <c r="L6746" t="s">
        <v>285</v>
      </c>
      <c r="M6746" t="str">
        <f t="shared" si="494"/>
        <v>06</v>
      </c>
      <c r="N6746" t="s">
        <v>12</v>
      </c>
    </row>
    <row r="6747" spans="1:14" x14ac:dyDescent="0.25">
      <c r="A6747">
        <v>20160617</v>
      </c>
      <c r="B6747" t="str">
        <f>"063869"</f>
        <v>063869</v>
      </c>
      <c r="C6747" t="str">
        <f>"21091"</f>
        <v>21091</v>
      </c>
      <c r="D6747" t="s">
        <v>2855</v>
      </c>
      <c r="E6747" s="3">
        <v>255.91</v>
      </c>
      <c r="F6747">
        <v>20160615</v>
      </c>
      <c r="G6747" t="s">
        <v>1854</v>
      </c>
      <c r="H6747" t="s">
        <v>5624</v>
      </c>
      <c r="I6747">
        <v>0</v>
      </c>
      <c r="J6747" t="s">
        <v>1709</v>
      </c>
      <c r="K6747" t="s">
        <v>1856</v>
      </c>
      <c r="L6747" t="s">
        <v>285</v>
      </c>
      <c r="M6747" t="str">
        <f t="shared" si="494"/>
        <v>06</v>
      </c>
      <c r="N6747" t="s">
        <v>12</v>
      </c>
    </row>
    <row r="6748" spans="1:14" x14ac:dyDescent="0.25">
      <c r="A6748">
        <v>20160617</v>
      </c>
      <c r="B6748" t="str">
        <f>"063870"</f>
        <v>063870</v>
      </c>
      <c r="C6748" t="str">
        <f>"21099"</f>
        <v>21099</v>
      </c>
      <c r="D6748" t="s">
        <v>5625</v>
      </c>
      <c r="E6748" s="3">
        <v>561.95000000000005</v>
      </c>
      <c r="F6748">
        <v>20160615</v>
      </c>
      <c r="G6748" t="s">
        <v>2049</v>
      </c>
      <c r="H6748" t="s">
        <v>5626</v>
      </c>
      <c r="I6748">
        <v>0</v>
      </c>
      <c r="J6748" t="s">
        <v>1709</v>
      </c>
      <c r="K6748" t="s">
        <v>1775</v>
      </c>
      <c r="L6748" t="s">
        <v>285</v>
      </c>
      <c r="M6748" t="str">
        <f t="shared" si="494"/>
        <v>06</v>
      </c>
      <c r="N6748" t="s">
        <v>12</v>
      </c>
    </row>
    <row r="6749" spans="1:14" x14ac:dyDescent="0.25">
      <c r="A6749">
        <v>20160617</v>
      </c>
      <c r="B6749" t="str">
        <f>"063872"</f>
        <v>063872</v>
      </c>
      <c r="C6749" t="str">
        <f>"22251"</f>
        <v>22251</v>
      </c>
      <c r="D6749" t="s">
        <v>5627</v>
      </c>
      <c r="E6749" s="3">
        <v>3012.24</v>
      </c>
      <c r="F6749">
        <v>20160615</v>
      </c>
      <c r="G6749" t="s">
        <v>1712</v>
      </c>
      <c r="H6749" t="s">
        <v>5390</v>
      </c>
      <c r="I6749">
        <v>0</v>
      </c>
      <c r="J6749" t="s">
        <v>1709</v>
      </c>
      <c r="K6749" t="s">
        <v>290</v>
      </c>
      <c r="L6749" t="s">
        <v>285</v>
      </c>
      <c r="M6749" t="str">
        <f t="shared" si="494"/>
        <v>06</v>
      </c>
      <c r="N6749" t="s">
        <v>12</v>
      </c>
    </row>
    <row r="6750" spans="1:14" x14ac:dyDescent="0.25">
      <c r="A6750">
        <v>20160617</v>
      </c>
      <c r="B6750" t="str">
        <f>"063872"</f>
        <v>063872</v>
      </c>
      <c r="C6750" t="str">
        <f>"22251"</f>
        <v>22251</v>
      </c>
      <c r="D6750" t="s">
        <v>5627</v>
      </c>
      <c r="E6750" s="3">
        <v>-3012.24</v>
      </c>
      <c r="F6750">
        <v>20160714</v>
      </c>
      <c r="G6750" t="s">
        <v>1712</v>
      </c>
      <c r="H6750" t="s">
        <v>5628</v>
      </c>
      <c r="I6750">
        <v>0</v>
      </c>
      <c r="J6750" t="s">
        <v>1709</v>
      </c>
      <c r="K6750" t="s">
        <v>290</v>
      </c>
      <c r="L6750" t="s">
        <v>17</v>
      </c>
      <c r="M6750" t="str">
        <f t="shared" si="494"/>
        <v>06</v>
      </c>
      <c r="N6750" t="s">
        <v>12</v>
      </c>
    </row>
    <row r="6751" spans="1:14" x14ac:dyDescent="0.25">
      <c r="A6751">
        <v>20160617</v>
      </c>
      <c r="B6751" t="str">
        <f>"063872"</f>
        <v>063872</v>
      </c>
      <c r="C6751" t="str">
        <f>"22251"</f>
        <v>22251</v>
      </c>
      <c r="D6751" t="s">
        <v>5627</v>
      </c>
      <c r="E6751" s="3">
        <v>1004.08</v>
      </c>
      <c r="F6751">
        <v>20160615</v>
      </c>
      <c r="G6751" t="s">
        <v>4159</v>
      </c>
      <c r="H6751" t="s">
        <v>5390</v>
      </c>
      <c r="I6751">
        <v>0</v>
      </c>
      <c r="J6751" t="s">
        <v>1709</v>
      </c>
      <c r="K6751" t="s">
        <v>290</v>
      </c>
      <c r="L6751" t="s">
        <v>285</v>
      </c>
      <c r="M6751" t="str">
        <f t="shared" si="494"/>
        <v>06</v>
      </c>
      <c r="N6751" t="s">
        <v>12</v>
      </c>
    </row>
    <row r="6752" spans="1:14" x14ac:dyDescent="0.25">
      <c r="A6752">
        <v>20160617</v>
      </c>
      <c r="B6752" t="str">
        <f>"063872"</f>
        <v>063872</v>
      </c>
      <c r="C6752" t="str">
        <f>"22251"</f>
        <v>22251</v>
      </c>
      <c r="D6752" t="s">
        <v>5627</v>
      </c>
      <c r="E6752" s="3">
        <v>-1004.08</v>
      </c>
      <c r="F6752">
        <v>20160714</v>
      </c>
      <c r="G6752" t="s">
        <v>4159</v>
      </c>
      <c r="H6752" t="s">
        <v>5628</v>
      </c>
      <c r="I6752">
        <v>0</v>
      </c>
      <c r="J6752" t="s">
        <v>1709</v>
      </c>
      <c r="K6752" t="s">
        <v>290</v>
      </c>
      <c r="L6752" t="s">
        <v>17</v>
      </c>
      <c r="M6752" t="str">
        <f t="shared" si="494"/>
        <v>06</v>
      </c>
      <c r="N6752" t="s">
        <v>12</v>
      </c>
    </row>
    <row r="6753" spans="1:14" x14ac:dyDescent="0.25">
      <c r="A6753">
        <v>20160617</v>
      </c>
      <c r="B6753" t="str">
        <f>"063873"</f>
        <v>063873</v>
      </c>
      <c r="C6753" t="str">
        <f>"25165"</f>
        <v>25165</v>
      </c>
      <c r="D6753" t="s">
        <v>1563</v>
      </c>
      <c r="E6753" s="3">
        <v>1953.97</v>
      </c>
      <c r="F6753">
        <v>20160615</v>
      </c>
      <c r="G6753" t="s">
        <v>5383</v>
      </c>
      <c r="H6753" t="s">
        <v>5629</v>
      </c>
      <c r="I6753">
        <v>0</v>
      </c>
      <c r="J6753" t="s">
        <v>1709</v>
      </c>
      <c r="K6753" t="s">
        <v>290</v>
      </c>
      <c r="L6753" t="s">
        <v>285</v>
      </c>
      <c r="M6753" t="str">
        <f t="shared" si="494"/>
        <v>06</v>
      </c>
      <c r="N6753" t="s">
        <v>12</v>
      </c>
    </row>
    <row r="6754" spans="1:14" x14ac:dyDescent="0.25">
      <c r="A6754">
        <v>20160617</v>
      </c>
      <c r="B6754" t="str">
        <f>"063873"</f>
        <v>063873</v>
      </c>
      <c r="C6754" t="str">
        <f>"25165"</f>
        <v>25165</v>
      </c>
      <c r="D6754" t="s">
        <v>1563</v>
      </c>
      <c r="E6754" s="3">
        <v>1077.47</v>
      </c>
      <c r="F6754">
        <v>20160615</v>
      </c>
      <c r="G6754" t="s">
        <v>5630</v>
      </c>
      <c r="H6754" t="s">
        <v>1682</v>
      </c>
      <c r="I6754">
        <v>0</v>
      </c>
      <c r="J6754" t="s">
        <v>1709</v>
      </c>
      <c r="K6754" t="s">
        <v>290</v>
      </c>
      <c r="L6754" t="s">
        <v>285</v>
      </c>
      <c r="M6754" t="str">
        <f t="shared" si="494"/>
        <v>06</v>
      </c>
      <c r="N6754" t="s">
        <v>12</v>
      </c>
    </row>
    <row r="6755" spans="1:14" x14ac:dyDescent="0.25">
      <c r="A6755">
        <v>20160617</v>
      </c>
      <c r="B6755" t="str">
        <f>"063874"</f>
        <v>063874</v>
      </c>
      <c r="C6755" t="str">
        <f>"27900"</f>
        <v>27900</v>
      </c>
      <c r="D6755" t="s">
        <v>1596</v>
      </c>
      <c r="E6755" s="3">
        <v>110</v>
      </c>
      <c r="F6755">
        <v>20160615</v>
      </c>
      <c r="G6755" t="s">
        <v>5631</v>
      </c>
      <c r="H6755" t="s">
        <v>5632</v>
      </c>
      <c r="I6755">
        <v>0</v>
      </c>
      <c r="J6755" t="s">
        <v>1709</v>
      </c>
      <c r="K6755" t="s">
        <v>1643</v>
      </c>
      <c r="L6755" t="s">
        <v>285</v>
      </c>
      <c r="M6755" t="str">
        <f t="shared" si="494"/>
        <v>06</v>
      </c>
      <c r="N6755" t="s">
        <v>12</v>
      </c>
    </row>
    <row r="6756" spans="1:14" x14ac:dyDescent="0.25">
      <c r="A6756">
        <v>20160617</v>
      </c>
      <c r="B6756" t="str">
        <f>"063874"</f>
        <v>063874</v>
      </c>
      <c r="C6756" t="str">
        <f>"27900"</f>
        <v>27900</v>
      </c>
      <c r="D6756" t="s">
        <v>1596</v>
      </c>
      <c r="E6756" s="3">
        <v>55</v>
      </c>
      <c r="F6756">
        <v>20160615</v>
      </c>
      <c r="G6756" t="s">
        <v>2490</v>
      </c>
      <c r="H6756" t="s">
        <v>5633</v>
      </c>
      <c r="I6756">
        <v>0</v>
      </c>
      <c r="J6756" t="s">
        <v>1709</v>
      </c>
      <c r="K6756" t="s">
        <v>1856</v>
      </c>
      <c r="L6756" t="s">
        <v>285</v>
      </c>
      <c r="M6756" t="str">
        <f t="shared" si="494"/>
        <v>06</v>
      </c>
      <c r="N6756" t="s">
        <v>12</v>
      </c>
    </row>
    <row r="6757" spans="1:14" x14ac:dyDescent="0.25">
      <c r="A6757">
        <v>20160617</v>
      </c>
      <c r="B6757" t="str">
        <f>"063875"</f>
        <v>063875</v>
      </c>
      <c r="C6757" t="str">
        <f>"28680"</f>
        <v>28680</v>
      </c>
      <c r="D6757" t="s">
        <v>422</v>
      </c>
      <c r="E6757" s="3">
        <v>632.6</v>
      </c>
      <c r="F6757">
        <v>20160615</v>
      </c>
      <c r="G6757" t="s">
        <v>5181</v>
      </c>
      <c r="H6757" t="s">
        <v>4778</v>
      </c>
      <c r="I6757">
        <v>0</v>
      </c>
      <c r="J6757" t="s">
        <v>1709</v>
      </c>
      <c r="K6757" t="s">
        <v>290</v>
      </c>
      <c r="L6757" t="s">
        <v>285</v>
      </c>
      <c r="M6757" t="str">
        <f t="shared" si="494"/>
        <v>06</v>
      </c>
      <c r="N6757" t="s">
        <v>12</v>
      </c>
    </row>
    <row r="6758" spans="1:14" x14ac:dyDescent="0.25">
      <c r="A6758">
        <v>20160617</v>
      </c>
      <c r="B6758" t="str">
        <f>"063875"</f>
        <v>063875</v>
      </c>
      <c r="C6758" t="str">
        <f>"28680"</f>
        <v>28680</v>
      </c>
      <c r="D6758" t="s">
        <v>422</v>
      </c>
      <c r="E6758" s="3">
        <v>107.98</v>
      </c>
      <c r="F6758">
        <v>20160615</v>
      </c>
      <c r="G6758" t="s">
        <v>5181</v>
      </c>
      <c r="H6758" t="s">
        <v>5634</v>
      </c>
      <c r="I6758">
        <v>0</v>
      </c>
      <c r="J6758" t="s">
        <v>1709</v>
      </c>
      <c r="K6758" t="s">
        <v>290</v>
      </c>
      <c r="L6758" t="s">
        <v>285</v>
      </c>
      <c r="M6758" t="str">
        <f t="shared" si="494"/>
        <v>06</v>
      </c>
      <c r="N6758" t="s">
        <v>12</v>
      </c>
    </row>
    <row r="6759" spans="1:14" x14ac:dyDescent="0.25">
      <c r="A6759">
        <v>20160617</v>
      </c>
      <c r="B6759" t="str">
        <f>"063876"</f>
        <v>063876</v>
      </c>
      <c r="C6759" t="str">
        <f>"29611"</f>
        <v>29611</v>
      </c>
      <c r="D6759" t="s">
        <v>5635</v>
      </c>
      <c r="E6759" s="3">
        <v>78.400000000000006</v>
      </c>
      <c r="F6759">
        <v>20160615</v>
      </c>
      <c r="G6759" t="s">
        <v>2547</v>
      </c>
      <c r="H6759" t="s">
        <v>5636</v>
      </c>
      <c r="I6759">
        <v>0</v>
      </c>
      <c r="J6759" t="s">
        <v>1709</v>
      </c>
      <c r="K6759" t="s">
        <v>1643</v>
      </c>
      <c r="L6759" t="s">
        <v>285</v>
      </c>
      <c r="M6759" t="str">
        <f t="shared" si="494"/>
        <v>06</v>
      </c>
      <c r="N6759" t="s">
        <v>12</v>
      </c>
    </row>
    <row r="6760" spans="1:14" x14ac:dyDescent="0.25">
      <c r="A6760">
        <v>20160617</v>
      </c>
      <c r="B6760" t="str">
        <f>"063877"</f>
        <v>063877</v>
      </c>
      <c r="C6760" t="str">
        <f>"29633"</f>
        <v>29633</v>
      </c>
      <c r="D6760" t="s">
        <v>2107</v>
      </c>
      <c r="E6760" s="3">
        <v>24.68</v>
      </c>
      <c r="F6760">
        <v>20160615</v>
      </c>
      <c r="G6760" t="s">
        <v>1859</v>
      </c>
      <c r="H6760" t="s">
        <v>5506</v>
      </c>
      <c r="I6760">
        <v>0</v>
      </c>
      <c r="J6760" t="s">
        <v>1709</v>
      </c>
      <c r="K6760" t="s">
        <v>1861</v>
      </c>
      <c r="L6760" t="s">
        <v>285</v>
      </c>
      <c r="M6760" t="str">
        <f t="shared" si="494"/>
        <v>06</v>
      </c>
      <c r="N6760" t="s">
        <v>12</v>
      </c>
    </row>
    <row r="6761" spans="1:14" x14ac:dyDescent="0.25">
      <c r="A6761">
        <v>20160617</v>
      </c>
      <c r="B6761" t="str">
        <f t="shared" ref="B6761:B6769" si="495">"063878"</f>
        <v>063878</v>
      </c>
      <c r="C6761" t="str">
        <f t="shared" ref="C6761:C6769" si="496">"30130"</f>
        <v>30130</v>
      </c>
      <c r="D6761" t="s">
        <v>3082</v>
      </c>
      <c r="E6761" s="3">
        <v>40</v>
      </c>
      <c r="F6761">
        <v>20160615</v>
      </c>
      <c r="G6761" t="s">
        <v>1854</v>
      </c>
      <c r="H6761" t="s">
        <v>5637</v>
      </c>
      <c r="I6761">
        <v>0</v>
      </c>
      <c r="J6761" t="s">
        <v>1709</v>
      </c>
      <c r="K6761" t="s">
        <v>1856</v>
      </c>
      <c r="L6761" t="s">
        <v>285</v>
      </c>
      <c r="M6761" t="str">
        <f t="shared" si="494"/>
        <v>06</v>
      </c>
      <c r="N6761" t="s">
        <v>12</v>
      </c>
    </row>
    <row r="6762" spans="1:14" x14ac:dyDescent="0.25">
      <c r="A6762">
        <v>20160617</v>
      </c>
      <c r="B6762" t="str">
        <f t="shared" si="495"/>
        <v>063878</v>
      </c>
      <c r="C6762" t="str">
        <f t="shared" si="496"/>
        <v>30130</v>
      </c>
      <c r="D6762" t="s">
        <v>3082</v>
      </c>
      <c r="E6762" s="3">
        <v>40</v>
      </c>
      <c r="F6762">
        <v>20160615</v>
      </c>
      <c r="G6762" t="s">
        <v>1854</v>
      </c>
      <c r="H6762" t="s">
        <v>5638</v>
      </c>
      <c r="I6762">
        <v>0</v>
      </c>
      <c r="J6762" t="s">
        <v>1709</v>
      </c>
      <c r="K6762" t="s">
        <v>1856</v>
      </c>
      <c r="L6762" t="s">
        <v>285</v>
      </c>
      <c r="M6762" t="str">
        <f t="shared" si="494"/>
        <v>06</v>
      </c>
      <c r="N6762" t="s">
        <v>12</v>
      </c>
    </row>
    <row r="6763" spans="1:14" x14ac:dyDescent="0.25">
      <c r="A6763">
        <v>20160617</v>
      </c>
      <c r="B6763" t="str">
        <f t="shared" si="495"/>
        <v>063878</v>
      </c>
      <c r="C6763" t="str">
        <f t="shared" si="496"/>
        <v>30130</v>
      </c>
      <c r="D6763" t="s">
        <v>3082</v>
      </c>
      <c r="E6763" s="3">
        <v>40</v>
      </c>
      <c r="F6763">
        <v>20160615</v>
      </c>
      <c r="G6763" t="s">
        <v>1854</v>
      </c>
      <c r="H6763" t="s">
        <v>5639</v>
      </c>
      <c r="I6763">
        <v>0</v>
      </c>
      <c r="J6763" t="s">
        <v>1709</v>
      </c>
      <c r="K6763" t="s">
        <v>1856</v>
      </c>
      <c r="L6763" t="s">
        <v>285</v>
      </c>
      <c r="M6763" t="str">
        <f t="shared" si="494"/>
        <v>06</v>
      </c>
      <c r="N6763" t="s">
        <v>12</v>
      </c>
    </row>
    <row r="6764" spans="1:14" x14ac:dyDescent="0.25">
      <c r="A6764">
        <v>20160617</v>
      </c>
      <c r="B6764" t="str">
        <f t="shared" si="495"/>
        <v>063878</v>
      </c>
      <c r="C6764" t="str">
        <f t="shared" si="496"/>
        <v>30130</v>
      </c>
      <c r="D6764" t="s">
        <v>3082</v>
      </c>
      <c r="E6764" s="3">
        <v>40</v>
      </c>
      <c r="F6764">
        <v>20160615</v>
      </c>
      <c r="G6764" t="s">
        <v>1854</v>
      </c>
      <c r="H6764" t="s">
        <v>5640</v>
      </c>
      <c r="I6764">
        <v>0</v>
      </c>
      <c r="J6764" t="s">
        <v>1709</v>
      </c>
      <c r="K6764" t="s">
        <v>1856</v>
      </c>
      <c r="L6764" t="s">
        <v>285</v>
      </c>
      <c r="M6764" t="str">
        <f t="shared" si="494"/>
        <v>06</v>
      </c>
      <c r="N6764" t="s">
        <v>12</v>
      </c>
    </row>
    <row r="6765" spans="1:14" x14ac:dyDescent="0.25">
      <c r="A6765">
        <v>20160617</v>
      </c>
      <c r="B6765" t="str">
        <f t="shared" si="495"/>
        <v>063878</v>
      </c>
      <c r="C6765" t="str">
        <f t="shared" si="496"/>
        <v>30130</v>
      </c>
      <c r="D6765" t="s">
        <v>3082</v>
      </c>
      <c r="E6765" s="3">
        <v>565.97</v>
      </c>
      <c r="F6765">
        <v>20160615</v>
      </c>
      <c r="G6765" t="s">
        <v>1854</v>
      </c>
      <c r="H6765" t="s">
        <v>5641</v>
      </c>
      <c r="I6765">
        <v>0</v>
      </c>
      <c r="J6765" t="s">
        <v>1709</v>
      </c>
      <c r="K6765" t="s">
        <v>1856</v>
      </c>
      <c r="L6765" t="s">
        <v>285</v>
      </c>
      <c r="M6765" t="str">
        <f t="shared" si="494"/>
        <v>06</v>
      </c>
      <c r="N6765" t="s">
        <v>12</v>
      </c>
    </row>
    <row r="6766" spans="1:14" x14ac:dyDescent="0.25">
      <c r="A6766">
        <v>20160617</v>
      </c>
      <c r="B6766" t="str">
        <f t="shared" si="495"/>
        <v>063878</v>
      </c>
      <c r="C6766" t="str">
        <f t="shared" si="496"/>
        <v>30130</v>
      </c>
      <c r="D6766" t="s">
        <v>3082</v>
      </c>
      <c r="E6766" s="3">
        <v>243.8</v>
      </c>
      <c r="F6766">
        <v>20160615</v>
      </c>
      <c r="G6766" t="s">
        <v>1854</v>
      </c>
      <c r="H6766" t="s">
        <v>5642</v>
      </c>
      <c r="I6766">
        <v>0</v>
      </c>
      <c r="J6766" t="s">
        <v>1709</v>
      </c>
      <c r="K6766" t="s">
        <v>1856</v>
      </c>
      <c r="L6766" t="s">
        <v>285</v>
      </c>
      <c r="M6766" t="str">
        <f t="shared" si="494"/>
        <v>06</v>
      </c>
      <c r="N6766" t="s">
        <v>12</v>
      </c>
    </row>
    <row r="6767" spans="1:14" x14ac:dyDescent="0.25">
      <c r="A6767">
        <v>20160617</v>
      </c>
      <c r="B6767" t="str">
        <f t="shared" si="495"/>
        <v>063878</v>
      </c>
      <c r="C6767" t="str">
        <f t="shared" si="496"/>
        <v>30130</v>
      </c>
      <c r="D6767" t="s">
        <v>3082</v>
      </c>
      <c r="E6767" s="3">
        <v>1440.3</v>
      </c>
      <c r="F6767">
        <v>20160615</v>
      </c>
      <c r="G6767" t="s">
        <v>1854</v>
      </c>
      <c r="H6767" t="s">
        <v>5643</v>
      </c>
      <c r="I6767">
        <v>0</v>
      </c>
      <c r="J6767" t="s">
        <v>1709</v>
      </c>
      <c r="K6767" t="s">
        <v>1856</v>
      </c>
      <c r="L6767" t="s">
        <v>285</v>
      </c>
      <c r="M6767" t="str">
        <f t="shared" si="494"/>
        <v>06</v>
      </c>
      <c r="N6767" t="s">
        <v>12</v>
      </c>
    </row>
    <row r="6768" spans="1:14" x14ac:dyDescent="0.25">
      <c r="A6768">
        <v>20160617</v>
      </c>
      <c r="B6768" t="str">
        <f t="shared" si="495"/>
        <v>063878</v>
      </c>
      <c r="C6768" t="str">
        <f t="shared" si="496"/>
        <v>30130</v>
      </c>
      <c r="D6768" t="s">
        <v>3082</v>
      </c>
      <c r="E6768" s="3">
        <v>182.85</v>
      </c>
      <c r="F6768">
        <v>20160615</v>
      </c>
      <c r="G6768" t="s">
        <v>1854</v>
      </c>
      <c r="H6768" t="s">
        <v>5644</v>
      </c>
      <c r="I6768">
        <v>0</v>
      </c>
      <c r="J6768" t="s">
        <v>1709</v>
      </c>
      <c r="K6768" t="s">
        <v>1856</v>
      </c>
      <c r="L6768" t="s">
        <v>285</v>
      </c>
      <c r="M6768" t="str">
        <f t="shared" si="494"/>
        <v>06</v>
      </c>
      <c r="N6768" t="s">
        <v>12</v>
      </c>
    </row>
    <row r="6769" spans="1:14" x14ac:dyDescent="0.25">
      <c r="A6769">
        <v>20160617</v>
      </c>
      <c r="B6769" t="str">
        <f t="shared" si="495"/>
        <v>063878</v>
      </c>
      <c r="C6769" t="str">
        <f t="shared" si="496"/>
        <v>30130</v>
      </c>
      <c r="D6769" t="s">
        <v>3082</v>
      </c>
      <c r="E6769" s="3">
        <v>67.2</v>
      </c>
      <c r="F6769">
        <v>20160615</v>
      </c>
      <c r="G6769" t="s">
        <v>2360</v>
      </c>
      <c r="H6769" t="s">
        <v>5645</v>
      </c>
      <c r="I6769">
        <v>0</v>
      </c>
      <c r="J6769" t="s">
        <v>1709</v>
      </c>
      <c r="K6769" t="s">
        <v>1856</v>
      </c>
      <c r="L6769" t="s">
        <v>285</v>
      </c>
      <c r="M6769" t="str">
        <f t="shared" si="494"/>
        <v>06</v>
      </c>
      <c r="N6769" t="s">
        <v>12</v>
      </c>
    </row>
    <row r="6770" spans="1:14" x14ac:dyDescent="0.25">
      <c r="A6770">
        <v>20160617</v>
      </c>
      <c r="B6770" t="str">
        <f>"063879"</f>
        <v>063879</v>
      </c>
      <c r="C6770" t="str">
        <f>"30155"</f>
        <v>30155</v>
      </c>
      <c r="D6770" t="s">
        <v>944</v>
      </c>
      <c r="E6770" s="3">
        <v>1130.6600000000001</v>
      </c>
      <c r="F6770">
        <v>20160615</v>
      </c>
      <c r="G6770" t="s">
        <v>5613</v>
      </c>
      <c r="H6770" t="s">
        <v>5646</v>
      </c>
      <c r="I6770">
        <v>0</v>
      </c>
      <c r="J6770" t="s">
        <v>1709</v>
      </c>
      <c r="K6770" t="s">
        <v>290</v>
      </c>
      <c r="L6770" t="s">
        <v>285</v>
      </c>
      <c r="M6770" t="str">
        <f t="shared" si="494"/>
        <v>06</v>
      </c>
      <c r="N6770" t="s">
        <v>12</v>
      </c>
    </row>
    <row r="6771" spans="1:14" x14ac:dyDescent="0.25">
      <c r="A6771">
        <v>20160617</v>
      </c>
      <c r="B6771" t="str">
        <f>"063880"</f>
        <v>063880</v>
      </c>
      <c r="C6771" t="str">
        <f>"30502"</f>
        <v>30502</v>
      </c>
      <c r="D6771" t="s">
        <v>5647</v>
      </c>
      <c r="E6771" s="3">
        <v>80.25</v>
      </c>
      <c r="F6771">
        <v>20160615</v>
      </c>
      <c r="G6771" t="s">
        <v>2983</v>
      </c>
      <c r="H6771" t="s">
        <v>5648</v>
      </c>
      <c r="I6771">
        <v>0</v>
      </c>
      <c r="J6771" t="s">
        <v>1709</v>
      </c>
      <c r="K6771" t="s">
        <v>290</v>
      </c>
      <c r="L6771" t="s">
        <v>285</v>
      </c>
      <c r="M6771" t="str">
        <f t="shared" si="494"/>
        <v>06</v>
      </c>
      <c r="N6771" t="s">
        <v>12</v>
      </c>
    </row>
    <row r="6772" spans="1:14" x14ac:dyDescent="0.25">
      <c r="A6772">
        <v>20160617</v>
      </c>
      <c r="B6772" t="str">
        <f>"063881"</f>
        <v>063881</v>
      </c>
      <c r="C6772" t="str">
        <f>"31367"</f>
        <v>31367</v>
      </c>
      <c r="D6772" t="s">
        <v>4916</v>
      </c>
      <c r="E6772" s="3">
        <v>50</v>
      </c>
      <c r="F6772">
        <v>20160615</v>
      </c>
      <c r="G6772" t="s">
        <v>2587</v>
      </c>
      <c r="H6772" t="s">
        <v>4979</v>
      </c>
      <c r="I6772">
        <v>0</v>
      </c>
      <c r="J6772" t="s">
        <v>1709</v>
      </c>
      <c r="K6772" t="s">
        <v>290</v>
      </c>
      <c r="L6772" t="s">
        <v>285</v>
      </c>
      <c r="M6772" t="str">
        <f t="shared" si="494"/>
        <v>06</v>
      </c>
      <c r="N6772" t="s">
        <v>12</v>
      </c>
    </row>
    <row r="6773" spans="1:14" x14ac:dyDescent="0.25">
      <c r="A6773">
        <v>20160617</v>
      </c>
      <c r="B6773" t="str">
        <f>"063882"</f>
        <v>063882</v>
      </c>
      <c r="C6773" t="str">
        <f>"45665"</f>
        <v>45665</v>
      </c>
      <c r="D6773" t="s">
        <v>2887</v>
      </c>
      <c r="E6773" s="3">
        <v>967.24</v>
      </c>
      <c r="F6773">
        <v>20160615</v>
      </c>
      <c r="G6773" t="s">
        <v>1712</v>
      </c>
      <c r="H6773" t="s">
        <v>5390</v>
      </c>
      <c r="I6773">
        <v>0</v>
      </c>
      <c r="J6773" t="s">
        <v>1709</v>
      </c>
      <c r="K6773" t="s">
        <v>290</v>
      </c>
      <c r="L6773" t="s">
        <v>285</v>
      </c>
      <c r="M6773" t="str">
        <f t="shared" si="494"/>
        <v>06</v>
      </c>
      <c r="N6773" t="s">
        <v>12</v>
      </c>
    </row>
    <row r="6774" spans="1:14" x14ac:dyDescent="0.25">
      <c r="A6774">
        <v>20160617</v>
      </c>
      <c r="B6774" t="str">
        <f>"063882"</f>
        <v>063882</v>
      </c>
      <c r="C6774" t="str">
        <f>"45665"</f>
        <v>45665</v>
      </c>
      <c r="D6774" t="s">
        <v>2887</v>
      </c>
      <c r="E6774" s="3">
        <v>556.76</v>
      </c>
      <c r="F6774">
        <v>20160615</v>
      </c>
      <c r="G6774" t="s">
        <v>2888</v>
      </c>
      <c r="H6774" t="s">
        <v>5390</v>
      </c>
      <c r="I6774">
        <v>0</v>
      </c>
      <c r="J6774" t="s">
        <v>1709</v>
      </c>
      <c r="K6774" t="s">
        <v>290</v>
      </c>
      <c r="L6774" t="s">
        <v>285</v>
      </c>
      <c r="M6774" t="str">
        <f t="shared" si="494"/>
        <v>06</v>
      </c>
      <c r="N6774" t="s">
        <v>12</v>
      </c>
    </row>
    <row r="6775" spans="1:14" x14ac:dyDescent="0.25">
      <c r="A6775">
        <v>20160617</v>
      </c>
      <c r="B6775" t="str">
        <f>"063883"</f>
        <v>063883</v>
      </c>
      <c r="C6775" t="str">
        <f>"39135"</f>
        <v>39135</v>
      </c>
      <c r="D6775" t="s">
        <v>5649</v>
      </c>
      <c r="E6775" s="3">
        <v>63</v>
      </c>
      <c r="F6775">
        <v>20160615</v>
      </c>
      <c r="G6775" t="s">
        <v>3760</v>
      </c>
      <c r="H6775" t="s">
        <v>5650</v>
      </c>
      <c r="I6775">
        <v>0</v>
      </c>
      <c r="J6775" t="s">
        <v>1709</v>
      </c>
      <c r="K6775" t="s">
        <v>290</v>
      </c>
      <c r="L6775" t="s">
        <v>285</v>
      </c>
      <c r="M6775" t="str">
        <f t="shared" si="494"/>
        <v>06</v>
      </c>
      <c r="N6775" t="s">
        <v>12</v>
      </c>
    </row>
    <row r="6776" spans="1:14" x14ac:dyDescent="0.25">
      <c r="A6776">
        <v>20160617</v>
      </c>
      <c r="B6776" t="str">
        <f>"063883"</f>
        <v>063883</v>
      </c>
      <c r="C6776" t="str">
        <f>"39135"</f>
        <v>39135</v>
      </c>
      <c r="D6776" t="s">
        <v>5649</v>
      </c>
      <c r="E6776" s="3">
        <v>63</v>
      </c>
      <c r="F6776">
        <v>20160615</v>
      </c>
      <c r="G6776" t="s">
        <v>5343</v>
      </c>
      <c r="H6776" t="s">
        <v>5650</v>
      </c>
      <c r="I6776">
        <v>0</v>
      </c>
      <c r="J6776" t="s">
        <v>1709</v>
      </c>
      <c r="K6776" t="s">
        <v>95</v>
      </c>
      <c r="L6776" t="s">
        <v>285</v>
      </c>
      <c r="M6776" t="str">
        <f t="shared" si="494"/>
        <v>06</v>
      </c>
      <c r="N6776" t="s">
        <v>12</v>
      </c>
    </row>
    <row r="6777" spans="1:14" x14ac:dyDescent="0.25">
      <c r="A6777">
        <v>20160617</v>
      </c>
      <c r="B6777" t="str">
        <f>"063883"</f>
        <v>063883</v>
      </c>
      <c r="C6777" t="str">
        <f>"39135"</f>
        <v>39135</v>
      </c>
      <c r="D6777" t="s">
        <v>5649</v>
      </c>
      <c r="E6777" s="3">
        <v>63</v>
      </c>
      <c r="F6777">
        <v>20160615</v>
      </c>
      <c r="G6777" t="s">
        <v>3165</v>
      </c>
      <c r="H6777" t="s">
        <v>5650</v>
      </c>
      <c r="I6777">
        <v>0</v>
      </c>
      <c r="J6777" t="s">
        <v>1709</v>
      </c>
      <c r="K6777" t="s">
        <v>1643</v>
      </c>
      <c r="L6777" t="s">
        <v>285</v>
      </c>
      <c r="M6777" t="str">
        <f t="shared" si="494"/>
        <v>06</v>
      </c>
      <c r="N6777" t="s">
        <v>12</v>
      </c>
    </row>
    <row r="6778" spans="1:14" x14ac:dyDescent="0.25">
      <c r="A6778">
        <v>20160617</v>
      </c>
      <c r="B6778" t="str">
        <f>"063883"</f>
        <v>063883</v>
      </c>
      <c r="C6778" t="str">
        <f>"39135"</f>
        <v>39135</v>
      </c>
      <c r="D6778" t="s">
        <v>5649</v>
      </c>
      <c r="E6778" s="3">
        <v>63</v>
      </c>
      <c r="F6778">
        <v>20160615</v>
      </c>
      <c r="G6778" t="s">
        <v>5413</v>
      </c>
      <c r="H6778" t="s">
        <v>5650</v>
      </c>
      <c r="I6778">
        <v>0</v>
      </c>
      <c r="J6778" t="s">
        <v>1709</v>
      </c>
      <c r="K6778" t="s">
        <v>33</v>
      </c>
      <c r="L6778" t="s">
        <v>285</v>
      </c>
      <c r="M6778" t="str">
        <f t="shared" si="494"/>
        <v>06</v>
      </c>
      <c r="N6778" t="s">
        <v>12</v>
      </c>
    </row>
    <row r="6779" spans="1:14" x14ac:dyDescent="0.25">
      <c r="A6779">
        <v>20160617</v>
      </c>
      <c r="B6779" t="str">
        <f t="shared" ref="B6779:B6792" si="497">"063884"</f>
        <v>063884</v>
      </c>
      <c r="C6779" t="str">
        <f t="shared" ref="C6779:C6792" si="498">"37500"</f>
        <v>37500</v>
      </c>
      <c r="D6779" t="s">
        <v>1652</v>
      </c>
      <c r="E6779" s="3">
        <v>128.88</v>
      </c>
      <c r="F6779">
        <v>20160615</v>
      </c>
      <c r="G6779" t="s">
        <v>2791</v>
      </c>
      <c r="H6779" t="s">
        <v>2310</v>
      </c>
      <c r="I6779">
        <v>0</v>
      </c>
      <c r="J6779" t="s">
        <v>1709</v>
      </c>
      <c r="K6779" t="s">
        <v>290</v>
      </c>
      <c r="L6779" t="s">
        <v>285</v>
      </c>
      <c r="M6779" t="str">
        <f t="shared" si="494"/>
        <v>06</v>
      </c>
      <c r="N6779" t="s">
        <v>12</v>
      </c>
    </row>
    <row r="6780" spans="1:14" x14ac:dyDescent="0.25">
      <c r="A6780">
        <v>20160617</v>
      </c>
      <c r="B6780" t="str">
        <f t="shared" si="497"/>
        <v>063884</v>
      </c>
      <c r="C6780" t="str">
        <f t="shared" si="498"/>
        <v>37500</v>
      </c>
      <c r="D6780" t="s">
        <v>1652</v>
      </c>
      <c r="E6780" s="3">
        <v>21.3</v>
      </c>
      <c r="F6780">
        <v>20160615</v>
      </c>
      <c r="G6780" t="s">
        <v>2791</v>
      </c>
      <c r="H6780" t="s">
        <v>2310</v>
      </c>
      <c r="I6780">
        <v>0</v>
      </c>
      <c r="J6780" t="s">
        <v>1709</v>
      </c>
      <c r="K6780" t="s">
        <v>290</v>
      </c>
      <c r="L6780" t="s">
        <v>285</v>
      </c>
      <c r="M6780" t="str">
        <f t="shared" si="494"/>
        <v>06</v>
      </c>
      <c r="N6780" t="s">
        <v>12</v>
      </c>
    </row>
    <row r="6781" spans="1:14" x14ac:dyDescent="0.25">
      <c r="A6781">
        <v>20160617</v>
      </c>
      <c r="B6781" t="str">
        <f t="shared" si="497"/>
        <v>063884</v>
      </c>
      <c r="C6781" t="str">
        <f t="shared" si="498"/>
        <v>37500</v>
      </c>
      <c r="D6781" t="s">
        <v>1652</v>
      </c>
      <c r="E6781" s="3">
        <v>340.97</v>
      </c>
      <c r="F6781">
        <v>20160615</v>
      </c>
      <c r="G6781" t="s">
        <v>2791</v>
      </c>
      <c r="H6781" t="s">
        <v>2310</v>
      </c>
      <c r="I6781">
        <v>0</v>
      </c>
      <c r="J6781" t="s">
        <v>1709</v>
      </c>
      <c r="K6781" t="s">
        <v>290</v>
      </c>
      <c r="L6781" t="s">
        <v>285</v>
      </c>
      <c r="M6781" t="str">
        <f t="shared" si="494"/>
        <v>06</v>
      </c>
      <c r="N6781" t="s">
        <v>12</v>
      </c>
    </row>
    <row r="6782" spans="1:14" x14ac:dyDescent="0.25">
      <c r="A6782">
        <v>20160617</v>
      </c>
      <c r="B6782" t="str">
        <f t="shared" si="497"/>
        <v>063884</v>
      </c>
      <c r="C6782" t="str">
        <f t="shared" si="498"/>
        <v>37500</v>
      </c>
      <c r="D6782" t="s">
        <v>1652</v>
      </c>
      <c r="E6782" s="3">
        <v>87.4</v>
      </c>
      <c r="F6782">
        <v>20160615</v>
      </c>
      <c r="G6782" t="s">
        <v>2791</v>
      </c>
      <c r="H6782" t="s">
        <v>2310</v>
      </c>
      <c r="I6782">
        <v>0</v>
      </c>
      <c r="J6782" t="s">
        <v>1709</v>
      </c>
      <c r="K6782" t="s">
        <v>290</v>
      </c>
      <c r="L6782" t="s">
        <v>285</v>
      </c>
      <c r="M6782" t="str">
        <f t="shared" si="494"/>
        <v>06</v>
      </c>
      <c r="N6782" t="s">
        <v>12</v>
      </c>
    </row>
    <row r="6783" spans="1:14" x14ac:dyDescent="0.25">
      <c r="A6783">
        <v>20160617</v>
      </c>
      <c r="B6783" t="str">
        <f t="shared" si="497"/>
        <v>063884</v>
      </c>
      <c r="C6783" t="str">
        <f t="shared" si="498"/>
        <v>37500</v>
      </c>
      <c r="D6783" t="s">
        <v>1652</v>
      </c>
      <c r="E6783" s="3">
        <v>38.11</v>
      </c>
      <c r="F6783">
        <v>20160615</v>
      </c>
      <c r="G6783" t="s">
        <v>2791</v>
      </c>
      <c r="H6783" t="s">
        <v>2310</v>
      </c>
      <c r="I6783">
        <v>0</v>
      </c>
      <c r="J6783" t="s">
        <v>1709</v>
      </c>
      <c r="K6783" t="s">
        <v>290</v>
      </c>
      <c r="L6783" t="s">
        <v>285</v>
      </c>
      <c r="M6783" t="str">
        <f t="shared" si="494"/>
        <v>06</v>
      </c>
      <c r="N6783" t="s">
        <v>12</v>
      </c>
    </row>
    <row r="6784" spans="1:14" x14ac:dyDescent="0.25">
      <c r="A6784">
        <v>20160617</v>
      </c>
      <c r="B6784" t="str">
        <f t="shared" si="497"/>
        <v>063884</v>
      </c>
      <c r="C6784" t="str">
        <f t="shared" si="498"/>
        <v>37500</v>
      </c>
      <c r="D6784" t="s">
        <v>1652</v>
      </c>
      <c r="E6784" s="3">
        <v>44.81</v>
      </c>
      <c r="F6784">
        <v>20160615</v>
      </c>
      <c r="G6784" t="s">
        <v>2762</v>
      </c>
      <c r="H6784" t="s">
        <v>5651</v>
      </c>
      <c r="I6784">
        <v>0</v>
      </c>
      <c r="J6784" t="s">
        <v>1709</v>
      </c>
      <c r="K6784" t="s">
        <v>2764</v>
      </c>
      <c r="L6784" t="s">
        <v>285</v>
      </c>
      <c r="M6784" t="str">
        <f t="shared" si="494"/>
        <v>06</v>
      </c>
      <c r="N6784" t="s">
        <v>12</v>
      </c>
    </row>
    <row r="6785" spans="1:14" x14ac:dyDescent="0.25">
      <c r="A6785">
        <v>20160617</v>
      </c>
      <c r="B6785" t="str">
        <f t="shared" si="497"/>
        <v>063884</v>
      </c>
      <c r="C6785" t="str">
        <f t="shared" si="498"/>
        <v>37500</v>
      </c>
      <c r="D6785" t="s">
        <v>1652</v>
      </c>
      <c r="E6785" s="3">
        <v>11.28</v>
      </c>
      <c r="F6785">
        <v>20160615</v>
      </c>
      <c r="G6785" t="s">
        <v>2565</v>
      </c>
      <c r="H6785" t="s">
        <v>5652</v>
      </c>
      <c r="I6785">
        <v>0</v>
      </c>
      <c r="J6785" t="s">
        <v>1709</v>
      </c>
      <c r="K6785" t="s">
        <v>1558</v>
      </c>
      <c r="L6785" t="s">
        <v>285</v>
      </c>
      <c r="M6785" t="str">
        <f t="shared" ref="M6785:M6848" si="499">"06"</f>
        <v>06</v>
      </c>
      <c r="N6785" t="s">
        <v>12</v>
      </c>
    </row>
    <row r="6786" spans="1:14" x14ac:dyDescent="0.25">
      <c r="A6786">
        <v>20160617</v>
      </c>
      <c r="B6786" t="str">
        <f t="shared" si="497"/>
        <v>063884</v>
      </c>
      <c r="C6786" t="str">
        <f t="shared" si="498"/>
        <v>37500</v>
      </c>
      <c r="D6786" t="s">
        <v>1652</v>
      </c>
      <c r="E6786" s="3">
        <v>75.959999999999994</v>
      </c>
      <c r="F6786">
        <v>20160615</v>
      </c>
      <c r="G6786" t="s">
        <v>3114</v>
      </c>
      <c r="H6786" t="s">
        <v>5653</v>
      </c>
      <c r="I6786">
        <v>0</v>
      </c>
      <c r="J6786" t="s">
        <v>1709</v>
      </c>
      <c r="K6786" t="s">
        <v>33</v>
      </c>
      <c r="L6786" t="s">
        <v>285</v>
      </c>
      <c r="M6786" t="str">
        <f t="shared" si="499"/>
        <v>06</v>
      </c>
      <c r="N6786" t="s">
        <v>12</v>
      </c>
    </row>
    <row r="6787" spans="1:14" x14ac:dyDescent="0.25">
      <c r="A6787">
        <v>20160617</v>
      </c>
      <c r="B6787" t="str">
        <f t="shared" si="497"/>
        <v>063884</v>
      </c>
      <c r="C6787" t="str">
        <f t="shared" si="498"/>
        <v>37500</v>
      </c>
      <c r="D6787" t="s">
        <v>1652</v>
      </c>
      <c r="E6787" s="3">
        <v>122.21</v>
      </c>
      <c r="F6787">
        <v>20160615</v>
      </c>
      <c r="G6787" t="s">
        <v>2172</v>
      </c>
      <c r="H6787" t="s">
        <v>5654</v>
      </c>
      <c r="I6787">
        <v>0</v>
      </c>
      <c r="J6787" t="s">
        <v>1709</v>
      </c>
      <c r="K6787" t="s">
        <v>95</v>
      </c>
      <c r="L6787" t="s">
        <v>285</v>
      </c>
      <c r="M6787" t="str">
        <f t="shared" si="499"/>
        <v>06</v>
      </c>
      <c r="N6787" t="s">
        <v>12</v>
      </c>
    </row>
    <row r="6788" spans="1:14" x14ac:dyDescent="0.25">
      <c r="A6788">
        <v>20160617</v>
      </c>
      <c r="B6788" t="str">
        <f t="shared" si="497"/>
        <v>063884</v>
      </c>
      <c r="C6788" t="str">
        <f t="shared" si="498"/>
        <v>37500</v>
      </c>
      <c r="D6788" t="s">
        <v>1652</v>
      </c>
      <c r="E6788" s="3">
        <v>53.22</v>
      </c>
      <c r="F6788">
        <v>20160615</v>
      </c>
      <c r="G6788" t="s">
        <v>5358</v>
      </c>
      <c r="H6788" t="s">
        <v>5655</v>
      </c>
      <c r="I6788">
        <v>0</v>
      </c>
      <c r="J6788" t="s">
        <v>1709</v>
      </c>
      <c r="K6788" t="s">
        <v>2194</v>
      </c>
      <c r="L6788" t="s">
        <v>285</v>
      </c>
      <c r="M6788" t="str">
        <f t="shared" si="499"/>
        <v>06</v>
      </c>
      <c r="N6788" t="s">
        <v>12</v>
      </c>
    </row>
    <row r="6789" spans="1:14" x14ac:dyDescent="0.25">
      <c r="A6789">
        <v>20160617</v>
      </c>
      <c r="B6789" t="str">
        <f t="shared" si="497"/>
        <v>063884</v>
      </c>
      <c r="C6789" t="str">
        <f t="shared" si="498"/>
        <v>37500</v>
      </c>
      <c r="D6789" t="s">
        <v>1652</v>
      </c>
      <c r="E6789" s="3">
        <v>43.15</v>
      </c>
      <c r="F6789">
        <v>20160615</v>
      </c>
      <c r="G6789" t="s">
        <v>5358</v>
      </c>
      <c r="H6789" t="s">
        <v>5655</v>
      </c>
      <c r="I6789">
        <v>0</v>
      </c>
      <c r="J6789" t="s">
        <v>1709</v>
      </c>
      <c r="K6789" t="s">
        <v>2194</v>
      </c>
      <c r="L6789" t="s">
        <v>285</v>
      </c>
      <c r="M6789" t="str">
        <f t="shared" si="499"/>
        <v>06</v>
      </c>
      <c r="N6789" t="s">
        <v>12</v>
      </c>
    </row>
    <row r="6790" spans="1:14" x14ac:dyDescent="0.25">
      <c r="A6790">
        <v>20160617</v>
      </c>
      <c r="B6790" t="str">
        <f t="shared" si="497"/>
        <v>063884</v>
      </c>
      <c r="C6790" t="str">
        <f t="shared" si="498"/>
        <v>37500</v>
      </c>
      <c r="D6790" t="s">
        <v>1652</v>
      </c>
      <c r="E6790" s="3">
        <v>79.64</v>
      </c>
      <c r="F6790">
        <v>20160615</v>
      </c>
      <c r="G6790" t="s">
        <v>4061</v>
      </c>
      <c r="H6790" t="s">
        <v>595</v>
      </c>
      <c r="I6790">
        <v>0</v>
      </c>
      <c r="J6790" t="s">
        <v>1709</v>
      </c>
      <c r="K6790" t="s">
        <v>2923</v>
      </c>
      <c r="L6790" t="s">
        <v>285</v>
      </c>
      <c r="M6790" t="str">
        <f t="shared" si="499"/>
        <v>06</v>
      </c>
      <c r="N6790" t="s">
        <v>12</v>
      </c>
    </row>
    <row r="6791" spans="1:14" x14ac:dyDescent="0.25">
      <c r="A6791">
        <v>20160617</v>
      </c>
      <c r="B6791" t="str">
        <f t="shared" si="497"/>
        <v>063884</v>
      </c>
      <c r="C6791" t="str">
        <f t="shared" si="498"/>
        <v>37500</v>
      </c>
      <c r="D6791" t="s">
        <v>1652</v>
      </c>
      <c r="E6791" s="3">
        <v>120.49</v>
      </c>
      <c r="F6791">
        <v>20160615</v>
      </c>
      <c r="G6791" t="s">
        <v>2990</v>
      </c>
      <c r="H6791" t="s">
        <v>5656</v>
      </c>
      <c r="I6791">
        <v>0</v>
      </c>
      <c r="J6791" t="s">
        <v>1709</v>
      </c>
      <c r="K6791" t="s">
        <v>1779</v>
      </c>
      <c r="L6791" t="s">
        <v>285</v>
      </c>
      <c r="M6791" t="str">
        <f t="shared" si="499"/>
        <v>06</v>
      </c>
      <c r="N6791" t="s">
        <v>12</v>
      </c>
    </row>
    <row r="6792" spans="1:14" x14ac:dyDescent="0.25">
      <c r="A6792">
        <v>20160617</v>
      </c>
      <c r="B6792" t="str">
        <f t="shared" si="497"/>
        <v>063884</v>
      </c>
      <c r="C6792" t="str">
        <f t="shared" si="498"/>
        <v>37500</v>
      </c>
      <c r="D6792" t="s">
        <v>1652</v>
      </c>
      <c r="E6792" s="3">
        <v>36.130000000000003</v>
      </c>
      <c r="F6792">
        <v>20160615</v>
      </c>
      <c r="G6792" t="s">
        <v>3013</v>
      </c>
      <c r="H6792" t="s">
        <v>1661</v>
      </c>
      <c r="I6792">
        <v>0</v>
      </c>
      <c r="J6792" t="s">
        <v>1709</v>
      </c>
      <c r="K6792" t="s">
        <v>1984</v>
      </c>
      <c r="L6792" t="s">
        <v>285</v>
      </c>
      <c r="M6792" t="str">
        <f t="shared" si="499"/>
        <v>06</v>
      </c>
      <c r="N6792" t="s">
        <v>12</v>
      </c>
    </row>
    <row r="6793" spans="1:14" x14ac:dyDescent="0.25">
      <c r="A6793">
        <v>20160617</v>
      </c>
      <c r="B6793" t="str">
        <f>"063885"</f>
        <v>063885</v>
      </c>
      <c r="C6793" t="str">
        <f>"39933"</f>
        <v>39933</v>
      </c>
      <c r="D6793" t="s">
        <v>5657</v>
      </c>
      <c r="E6793" s="3">
        <v>167.63</v>
      </c>
      <c r="F6793">
        <v>20160615</v>
      </c>
      <c r="G6793" t="s">
        <v>2587</v>
      </c>
      <c r="H6793" t="s">
        <v>4979</v>
      </c>
      <c r="I6793">
        <v>0</v>
      </c>
      <c r="J6793" t="s">
        <v>1709</v>
      </c>
      <c r="K6793" t="s">
        <v>290</v>
      </c>
      <c r="L6793" t="s">
        <v>285</v>
      </c>
      <c r="M6793" t="str">
        <f t="shared" si="499"/>
        <v>06</v>
      </c>
      <c r="N6793" t="s">
        <v>12</v>
      </c>
    </row>
    <row r="6794" spans="1:14" x14ac:dyDescent="0.25">
      <c r="A6794">
        <v>20160617</v>
      </c>
      <c r="B6794" t="str">
        <f>"063886"</f>
        <v>063886</v>
      </c>
      <c r="C6794" t="str">
        <f>"42194"</f>
        <v>42194</v>
      </c>
      <c r="D6794" t="s">
        <v>1874</v>
      </c>
      <c r="E6794" s="3">
        <v>81024.78</v>
      </c>
      <c r="F6794">
        <v>20160615</v>
      </c>
      <c r="G6794" t="s">
        <v>2890</v>
      </c>
      <c r="H6794" t="s">
        <v>5658</v>
      </c>
      <c r="I6794">
        <v>0</v>
      </c>
      <c r="J6794" t="s">
        <v>1709</v>
      </c>
      <c r="K6794" t="s">
        <v>1861</v>
      </c>
      <c r="L6794" t="s">
        <v>285</v>
      </c>
      <c r="M6794" t="str">
        <f t="shared" si="499"/>
        <v>06</v>
      </c>
      <c r="N6794" t="s">
        <v>12</v>
      </c>
    </row>
    <row r="6795" spans="1:14" x14ac:dyDescent="0.25">
      <c r="A6795">
        <v>20160617</v>
      </c>
      <c r="B6795" t="str">
        <f>"063887"</f>
        <v>063887</v>
      </c>
      <c r="C6795" t="str">
        <f>"45179"</f>
        <v>45179</v>
      </c>
      <c r="D6795" t="s">
        <v>262</v>
      </c>
      <c r="E6795" s="3">
        <v>50</v>
      </c>
      <c r="F6795">
        <v>20160615</v>
      </c>
      <c r="G6795" t="s">
        <v>2587</v>
      </c>
      <c r="H6795" t="s">
        <v>4979</v>
      </c>
      <c r="I6795">
        <v>0</v>
      </c>
      <c r="J6795" t="s">
        <v>1709</v>
      </c>
      <c r="K6795" t="s">
        <v>290</v>
      </c>
      <c r="L6795" t="s">
        <v>285</v>
      </c>
      <c r="M6795" t="str">
        <f t="shared" si="499"/>
        <v>06</v>
      </c>
      <c r="N6795" t="s">
        <v>12</v>
      </c>
    </row>
    <row r="6796" spans="1:14" x14ac:dyDescent="0.25">
      <c r="A6796">
        <v>20160617</v>
      </c>
      <c r="B6796" t="str">
        <f>"063888"</f>
        <v>063888</v>
      </c>
      <c r="C6796" t="str">
        <f>"14186"</f>
        <v>14186</v>
      </c>
      <c r="D6796" t="s">
        <v>5659</v>
      </c>
      <c r="E6796" s="3">
        <v>3000</v>
      </c>
      <c r="F6796">
        <v>20160615</v>
      </c>
      <c r="G6796" t="s">
        <v>3597</v>
      </c>
      <c r="H6796" t="s">
        <v>5660</v>
      </c>
      <c r="I6796">
        <v>0</v>
      </c>
      <c r="J6796" t="s">
        <v>1709</v>
      </c>
      <c r="K6796" t="s">
        <v>290</v>
      </c>
      <c r="L6796" t="s">
        <v>285</v>
      </c>
      <c r="M6796" t="str">
        <f t="shared" si="499"/>
        <v>06</v>
      </c>
      <c r="N6796" t="s">
        <v>12</v>
      </c>
    </row>
    <row r="6797" spans="1:14" x14ac:dyDescent="0.25">
      <c r="A6797">
        <v>20160617</v>
      </c>
      <c r="B6797" t="str">
        <f>"063890"</f>
        <v>063890</v>
      </c>
      <c r="C6797" t="str">
        <f>"46221"</f>
        <v>46221</v>
      </c>
      <c r="D6797" t="s">
        <v>5021</v>
      </c>
      <c r="E6797" s="3">
        <v>125</v>
      </c>
      <c r="F6797">
        <v>20160615</v>
      </c>
      <c r="G6797" t="s">
        <v>4701</v>
      </c>
      <c r="H6797" t="s">
        <v>4652</v>
      </c>
      <c r="I6797">
        <v>0</v>
      </c>
      <c r="J6797" t="s">
        <v>1709</v>
      </c>
      <c r="K6797" t="s">
        <v>95</v>
      </c>
      <c r="L6797" t="s">
        <v>285</v>
      </c>
      <c r="M6797" t="str">
        <f t="shared" si="499"/>
        <v>06</v>
      </c>
      <c r="N6797" t="s">
        <v>12</v>
      </c>
    </row>
    <row r="6798" spans="1:14" x14ac:dyDescent="0.25">
      <c r="A6798">
        <v>20160617</v>
      </c>
      <c r="B6798" t="str">
        <f>"063892"</f>
        <v>063892</v>
      </c>
      <c r="C6798" t="str">
        <f>"46351"</f>
        <v>46351</v>
      </c>
      <c r="D6798" t="s">
        <v>2518</v>
      </c>
      <c r="E6798" s="3">
        <v>10363.49</v>
      </c>
      <c r="F6798">
        <v>20160615</v>
      </c>
      <c r="G6798" t="s">
        <v>1995</v>
      </c>
      <c r="H6798" t="s">
        <v>5661</v>
      </c>
      <c r="I6798">
        <v>0</v>
      </c>
      <c r="J6798" t="s">
        <v>1709</v>
      </c>
      <c r="K6798" t="s">
        <v>235</v>
      </c>
      <c r="L6798" t="s">
        <v>285</v>
      </c>
      <c r="M6798" t="str">
        <f t="shared" si="499"/>
        <v>06</v>
      </c>
      <c r="N6798" t="s">
        <v>12</v>
      </c>
    </row>
    <row r="6799" spans="1:14" x14ac:dyDescent="0.25">
      <c r="A6799">
        <v>20160617</v>
      </c>
      <c r="B6799" t="str">
        <f>"063892"</f>
        <v>063892</v>
      </c>
      <c r="C6799" t="str">
        <f>"46351"</f>
        <v>46351</v>
      </c>
      <c r="D6799" t="s">
        <v>2518</v>
      </c>
      <c r="E6799" s="3">
        <v>4248.04</v>
      </c>
      <c r="F6799">
        <v>20160615</v>
      </c>
      <c r="G6799" t="s">
        <v>2523</v>
      </c>
      <c r="H6799" t="s">
        <v>5662</v>
      </c>
      <c r="I6799">
        <v>0</v>
      </c>
      <c r="J6799" t="s">
        <v>1709</v>
      </c>
      <c r="K6799" t="s">
        <v>1942</v>
      </c>
      <c r="L6799" t="s">
        <v>285</v>
      </c>
      <c r="M6799" t="str">
        <f t="shared" si="499"/>
        <v>06</v>
      </c>
      <c r="N6799" t="s">
        <v>12</v>
      </c>
    </row>
    <row r="6800" spans="1:14" x14ac:dyDescent="0.25">
      <c r="A6800">
        <v>20160617</v>
      </c>
      <c r="B6800" t="str">
        <f>"063893"</f>
        <v>063893</v>
      </c>
      <c r="C6800" t="str">
        <f>"80056"</f>
        <v>80056</v>
      </c>
      <c r="D6800" t="s">
        <v>2751</v>
      </c>
      <c r="E6800" s="3">
        <v>249.84</v>
      </c>
      <c r="F6800">
        <v>20160615</v>
      </c>
      <c r="G6800" t="s">
        <v>3551</v>
      </c>
      <c r="H6800" t="s">
        <v>5663</v>
      </c>
      <c r="I6800">
        <v>0</v>
      </c>
      <c r="J6800" t="s">
        <v>1709</v>
      </c>
      <c r="K6800" t="s">
        <v>1558</v>
      </c>
      <c r="L6800" t="s">
        <v>285</v>
      </c>
      <c r="M6800" t="str">
        <f t="shared" si="499"/>
        <v>06</v>
      </c>
      <c r="N6800" t="s">
        <v>12</v>
      </c>
    </row>
    <row r="6801" spans="1:14" x14ac:dyDescent="0.25">
      <c r="A6801">
        <v>20160617</v>
      </c>
      <c r="B6801" t="str">
        <f>"063894"</f>
        <v>063894</v>
      </c>
      <c r="C6801" t="str">
        <f>"47997"</f>
        <v>47997</v>
      </c>
      <c r="D6801" t="s">
        <v>5664</v>
      </c>
      <c r="E6801" s="3">
        <v>2385</v>
      </c>
      <c r="F6801">
        <v>20160615</v>
      </c>
      <c r="G6801" t="s">
        <v>3551</v>
      </c>
      <c r="H6801" t="s">
        <v>5665</v>
      </c>
      <c r="I6801">
        <v>0</v>
      </c>
      <c r="J6801" t="s">
        <v>1709</v>
      </c>
      <c r="K6801" t="s">
        <v>1558</v>
      </c>
      <c r="L6801" t="s">
        <v>285</v>
      </c>
      <c r="M6801" t="str">
        <f t="shared" si="499"/>
        <v>06</v>
      </c>
      <c r="N6801" t="s">
        <v>12</v>
      </c>
    </row>
    <row r="6802" spans="1:14" x14ac:dyDescent="0.25">
      <c r="A6802">
        <v>20160617</v>
      </c>
      <c r="B6802" t="str">
        <f>"063895"</f>
        <v>063895</v>
      </c>
      <c r="C6802" t="str">
        <f>"49898"</f>
        <v>49898</v>
      </c>
      <c r="D6802" t="s">
        <v>2342</v>
      </c>
      <c r="E6802" s="3">
        <v>74.989999999999995</v>
      </c>
      <c r="F6802">
        <v>20160615</v>
      </c>
      <c r="G6802" t="s">
        <v>1859</v>
      </c>
      <c r="H6802" t="s">
        <v>5666</v>
      </c>
      <c r="I6802">
        <v>0</v>
      </c>
      <c r="J6802" t="s">
        <v>1709</v>
      </c>
      <c r="K6802" t="s">
        <v>1861</v>
      </c>
      <c r="L6802" t="s">
        <v>285</v>
      </c>
      <c r="M6802" t="str">
        <f t="shared" si="499"/>
        <v>06</v>
      </c>
      <c r="N6802" t="s">
        <v>12</v>
      </c>
    </row>
    <row r="6803" spans="1:14" x14ac:dyDescent="0.25">
      <c r="A6803">
        <v>20160617</v>
      </c>
      <c r="B6803" t="str">
        <f>"063896"</f>
        <v>063896</v>
      </c>
      <c r="C6803" t="str">
        <f>"50825"</f>
        <v>50825</v>
      </c>
      <c r="D6803" t="s">
        <v>5667</v>
      </c>
      <c r="E6803" s="3">
        <v>2984.62</v>
      </c>
      <c r="F6803">
        <v>20160615</v>
      </c>
      <c r="G6803" t="s">
        <v>2731</v>
      </c>
      <c r="H6803" t="s">
        <v>5668</v>
      </c>
      <c r="I6803">
        <v>0</v>
      </c>
      <c r="J6803" t="s">
        <v>1709</v>
      </c>
      <c r="K6803" t="s">
        <v>290</v>
      </c>
      <c r="L6803" t="s">
        <v>285</v>
      </c>
      <c r="M6803" t="str">
        <f t="shared" si="499"/>
        <v>06</v>
      </c>
      <c r="N6803" t="s">
        <v>12</v>
      </c>
    </row>
    <row r="6804" spans="1:14" x14ac:dyDescent="0.25">
      <c r="A6804">
        <v>20160617</v>
      </c>
      <c r="B6804" t="str">
        <f>"063898"</f>
        <v>063898</v>
      </c>
      <c r="C6804" t="str">
        <f>"55918"</f>
        <v>55918</v>
      </c>
      <c r="D6804" t="s">
        <v>4408</v>
      </c>
      <c r="E6804" s="3">
        <v>101.75</v>
      </c>
      <c r="F6804">
        <v>20160615</v>
      </c>
      <c r="G6804" t="s">
        <v>5450</v>
      </c>
      <c r="H6804" t="s">
        <v>5669</v>
      </c>
      <c r="I6804">
        <v>0</v>
      </c>
      <c r="J6804" t="s">
        <v>1709</v>
      </c>
      <c r="K6804" t="s">
        <v>1744</v>
      </c>
      <c r="L6804" t="s">
        <v>285</v>
      </c>
      <c r="M6804" t="str">
        <f t="shared" si="499"/>
        <v>06</v>
      </c>
      <c r="N6804" t="s">
        <v>12</v>
      </c>
    </row>
    <row r="6805" spans="1:14" x14ac:dyDescent="0.25">
      <c r="A6805">
        <v>20160617</v>
      </c>
      <c r="B6805" t="str">
        <f>"063899"</f>
        <v>063899</v>
      </c>
      <c r="C6805" t="str">
        <f>"61166"</f>
        <v>61166</v>
      </c>
      <c r="D6805" t="s">
        <v>3269</v>
      </c>
      <c r="E6805" s="3">
        <v>78.88</v>
      </c>
      <c r="F6805">
        <v>20160615</v>
      </c>
      <c r="G6805" t="s">
        <v>3270</v>
      </c>
      <c r="H6805" t="s">
        <v>3271</v>
      </c>
      <c r="I6805">
        <v>0</v>
      </c>
      <c r="J6805" t="s">
        <v>1709</v>
      </c>
      <c r="K6805" t="s">
        <v>1750</v>
      </c>
      <c r="L6805" t="s">
        <v>285</v>
      </c>
      <c r="M6805" t="str">
        <f t="shared" si="499"/>
        <v>06</v>
      </c>
      <c r="N6805" t="s">
        <v>12</v>
      </c>
    </row>
    <row r="6806" spans="1:14" x14ac:dyDescent="0.25">
      <c r="A6806">
        <v>20160617</v>
      </c>
      <c r="B6806" t="str">
        <f>"063900"</f>
        <v>063900</v>
      </c>
      <c r="C6806" t="str">
        <f>"57662"</f>
        <v>57662</v>
      </c>
      <c r="D6806" t="s">
        <v>2364</v>
      </c>
      <c r="E6806" s="3">
        <v>175.9</v>
      </c>
      <c r="F6806">
        <v>20160615</v>
      </c>
      <c r="G6806" t="s">
        <v>5670</v>
      </c>
      <c r="H6806" t="s">
        <v>5671</v>
      </c>
      <c r="I6806">
        <v>0</v>
      </c>
      <c r="J6806" t="s">
        <v>1709</v>
      </c>
      <c r="K6806" t="s">
        <v>95</v>
      </c>
      <c r="L6806" t="s">
        <v>285</v>
      </c>
      <c r="M6806" t="str">
        <f t="shared" si="499"/>
        <v>06</v>
      </c>
      <c r="N6806" t="s">
        <v>12</v>
      </c>
    </row>
    <row r="6807" spans="1:14" x14ac:dyDescent="0.25">
      <c r="A6807">
        <v>20160617</v>
      </c>
      <c r="B6807" t="str">
        <f>"063901"</f>
        <v>063901</v>
      </c>
      <c r="C6807" t="str">
        <f>"57994"</f>
        <v>57994</v>
      </c>
      <c r="D6807" t="s">
        <v>1898</v>
      </c>
      <c r="E6807" s="3">
        <v>75.349999999999994</v>
      </c>
      <c r="F6807">
        <v>20160615</v>
      </c>
      <c r="G6807" t="s">
        <v>1961</v>
      </c>
      <c r="H6807" t="s">
        <v>5672</v>
      </c>
      <c r="I6807">
        <v>0</v>
      </c>
      <c r="J6807" t="s">
        <v>1709</v>
      </c>
      <c r="K6807" t="s">
        <v>290</v>
      </c>
      <c r="L6807" t="s">
        <v>285</v>
      </c>
      <c r="M6807" t="str">
        <f t="shared" si="499"/>
        <v>06</v>
      </c>
      <c r="N6807" t="s">
        <v>12</v>
      </c>
    </row>
    <row r="6808" spans="1:14" x14ac:dyDescent="0.25">
      <c r="A6808">
        <v>20160617</v>
      </c>
      <c r="B6808" t="str">
        <f>"063902"</f>
        <v>063902</v>
      </c>
      <c r="C6808" t="str">
        <f>"58202"</f>
        <v>58202</v>
      </c>
      <c r="D6808" t="s">
        <v>2695</v>
      </c>
      <c r="E6808" s="3">
        <v>150</v>
      </c>
      <c r="F6808">
        <v>20160615</v>
      </c>
      <c r="G6808" t="s">
        <v>2727</v>
      </c>
      <c r="H6808" t="s">
        <v>3355</v>
      </c>
      <c r="I6808">
        <v>0</v>
      </c>
      <c r="J6808" t="s">
        <v>1709</v>
      </c>
      <c r="K6808" t="s">
        <v>95</v>
      </c>
      <c r="L6808" t="s">
        <v>285</v>
      </c>
      <c r="M6808" t="str">
        <f t="shared" si="499"/>
        <v>06</v>
      </c>
      <c r="N6808" t="s">
        <v>12</v>
      </c>
    </row>
    <row r="6809" spans="1:14" x14ac:dyDescent="0.25">
      <c r="A6809">
        <v>20160617</v>
      </c>
      <c r="B6809" t="str">
        <f>"063903"</f>
        <v>063903</v>
      </c>
      <c r="C6809" t="str">
        <f>"58203"</f>
        <v>58203</v>
      </c>
      <c r="D6809" t="s">
        <v>2371</v>
      </c>
      <c r="E6809" s="3">
        <v>12.39</v>
      </c>
      <c r="F6809">
        <v>20160615</v>
      </c>
      <c r="G6809" t="s">
        <v>1758</v>
      </c>
      <c r="H6809" t="s">
        <v>5673</v>
      </c>
      <c r="I6809">
        <v>0</v>
      </c>
      <c r="J6809" t="s">
        <v>1709</v>
      </c>
      <c r="K6809" t="s">
        <v>1643</v>
      </c>
      <c r="L6809" t="s">
        <v>285</v>
      </c>
      <c r="M6809" t="str">
        <f t="shared" si="499"/>
        <v>06</v>
      </c>
      <c r="N6809" t="s">
        <v>12</v>
      </c>
    </row>
    <row r="6810" spans="1:14" x14ac:dyDescent="0.25">
      <c r="A6810">
        <v>20160617</v>
      </c>
      <c r="B6810" t="str">
        <f>"063903"</f>
        <v>063903</v>
      </c>
      <c r="C6810" t="str">
        <f>"58203"</f>
        <v>58203</v>
      </c>
      <c r="D6810" t="s">
        <v>2371</v>
      </c>
      <c r="E6810" s="3">
        <v>60</v>
      </c>
      <c r="F6810">
        <v>20160615</v>
      </c>
      <c r="G6810" t="s">
        <v>5631</v>
      </c>
      <c r="H6810" t="s">
        <v>5674</v>
      </c>
      <c r="I6810">
        <v>0</v>
      </c>
      <c r="J6810" t="s">
        <v>1709</v>
      </c>
      <c r="K6810" t="s">
        <v>1643</v>
      </c>
      <c r="L6810" t="s">
        <v>285</v>
      </c>
      <c r="M6810" t="str">
        <f t="shared" si="499"/>
        <v>06</v>
      </c>
      <c r="N6810" t="s">
        <v>12</v>
      </c>
    </row>
    <row r="6811" spans="1:14" x14ac:dyDescent="0.25">
      <c r="A6811">
        <v>20160617</v>
      </c>
      <c r="B6811" t="str">
        <f>"063903"</f>
        <v>063903</v>
      </c>
      <c r="C6811" t="str">
        <f>"58203"</f>
        <v>58203</v>
      </c>
      <c r="D6811" t="s">
        <v>2371</v>
      </c>
      <c r="E6811" s="3">
        <v>84.95</v>
      </c>
      <c r="F6811">
        <v>20160615</v>
      </c>
      <c r="G6811" t="s">
        <v>5631</v>
      </c>
      <c r="H6811" t="s">
        <v>5674</v>
      </c>
      <c r="I6811">
        <v>0</v>
      </c>
      <c r="J6811" t="s">
        <v>1709</v>
      </c>
      <c r="K6811" t="s">
        <v>1643</v>
      </c>
      <c r="L6811" t="s">
        <v>285</v>
      </c>
      <c r="M6811" t="str">
        <f t="shared" si="499"/>
        <v>06</v>
      </c>
      <c r="N6811" t="s">
        <v>12</v>
      </c>
    </row>
    <row r="6812" spans="1:14" x14ac:dyDescent="0.25">
      <c r="A6812">
        <v>20160617</v>
      </c>
      <c r="B6812" t="str">
        <f>"063903"</f>
        <v>063903</v>
      </c>
      <c r="C6812" t="str">
        <f>"58203"</f>
        <v>58203</v>
      </c>
      <c r="D6812" t="s">
        <v>2371</v>
      </c>
      <c r="E6812" s="3">
        <v>197.9</v>
      </c>
      <c r="F6812">
        <v>20160615</v>
      </c>
      <c r="G6812" t="s">
        <v>2162</v>
      </c>
      <c r="H6812" t="s">
        <v>5675</v>
      </c>
      <c r="I6812">
        <v>0</v>
      </c>
      <c r="J6812" t="s">
        <v>1709</v>
      </c>
      <c r="K6812" t="s">
        <v>1643</v>
      </c>
      <c r="L6812" t="s">
        <v>285</v>
      </c>
      <c r="M6812" t="str">
        <f t="shared" si="499"/>
        <v>06</v>
      </c>
      <c r="N6812" t="s">
        <v>12</v>
      </c>
    </row>
    <row r="6813" spans="1:14" x14ac:dyDescent="0.25">
      <c r="A6813">
        <v>20160617</v>
      </c>
      <c r="B6813" t="str">
        <f>"063904"</f>
        <v>063904</v>
      </c>
      <c r="C6813" t="str">
        <f>"58927"</f>
        <v>58927</v>
      </c>
      <c r="D6813" t="s">
        <v>1899</v>
      </c>
      <c r="E6813" s="3">
        <v>335</v>
      </c>
      <c r="F6813">
        <v>20160615</v>
      </c>
      <c r="G6813" t="s">
        <v>2699</v>
      </c>
      <c r="H6813" t="s">
        <v>2135</v>
      </c>
      <c r="I6813">
        <v>0</v>
      </c>
      <c r="J6813" t="s">
        <v>1709</v>
      </c>
      <c r="K6813" t="s">
        <v>1856</v>
      </c>
      <c r="L6813" t="s">
        <v>285</v>
      </c>
      <c r="M6813" t="str">
        <f t="shared" si="499"/>
        <v>06</v>
      </c>
      <c r="N6813" t="s">
        <v>12</v>
      </c>
    </row>
    <row r="6814" spans="1:14" x14ac:dyDescent="0.25">
      <c r="A6814">
        <v>20160617</v>
      </c>
      <c r="B6814" t="str">
        <f>"063904"</f>
        <v>063904</v>
      </c>
      <c r="C6814" t="str">
        <f>"58927"</f>
        <v>58927</v>
      </c>
      <c r="D6814" t="s">
        <v>1899</v>
      </c>
      <c r="E6814" s="3">
        <v>150</v>
      </c>
      <c r="F6814">
        <v>20160615</v>
      </c>
      <c r="G6814" t="s">
        <v>2699</v>
      </c>
      <c r="H6814" t="s">
        <v>1901</v>
      </c>
      <c r="I6814">
        <v>0</v>
      </c>
      <c r="J6814" t="s">
        <v>1709</v>
      </c>
      <c r="K6814" t="s">
        <v>1856</v>
      </c>
      <c r="L6814" t="s">
        <v>285</v>
      </c>
      <c r="M6814" t="str">
        <f t="shared" si="499"/>
        <v>06</v>
      </c>
      <c r="N6814" t="s">
        <v>12</v>
      </c>
    </row>
    <row r="6815" spans="1:14" x14ac:dyDescent="0.25">
      <c r="A6815">
        <v>20160617</v>
      </c>
      <c r="B6815" t="str">
        <f>"063904"</f>
        <v>063904</v>
      </c>
      <c r="C6815" t="str">
        <f>"58927"</f>
        <v>58927</v>
      </c>
      <c r="D6815" t="s">
        <v>1899</v>
      </c>
      <c r="E6815" s="3">
        <v>1375</v>
      </c>
      <c r="F6815">
        <v>20160615</v>
      </c>
      <c r="G6815" t="s">
        <v>2699</v>
      </c>
      <c r="H6815" t="s">
        <v>1900</v>
      </c>
      <c r="I6815">
        <v>0</v>
      </c>
      <c r="J6815" t="s">
        <v>1709</v>
      </c>
      <c r="K6815" t="s">
        <v>1856</v>
      </c>
      <c r="L6815" t="s">
        <v>285</v>
      </c>
      <c r="M6815" t="str">
        <f t="shared" si="499"/>
        <v>06</v>
      </c>
      <c r="N6815" t="s">
        <v>12</v>
      </c>
    </row>
    <row r="6816" spans="1:14" x14ac:dyDescent="0.25">
      <c r="A6816">
        <v>20160617</v>
      </c>
      <c r="B6816" t="str">
        <f>"063904"</f>
        <v>063904</v>
      </c>
      <c r="C6816" t="str">
        <f>"58927"</f>
        <v>58927</v>
      </c>
      <c r="D6816" t="s">
        <v>1899</v>
      </c>
      <c r="E6816" s="3">
        <v>495</v>
      </c>
      <c r="F6816">
        <v>20160615</v>
      </c>
      <c r="G6816" t="s">
        <v>2699</v>
      </c>
      <c r="H6816" t="s">
        <v>1900</v>
      </c>
      <c r="I6816">
        <v>0</v>
      </c>
      <c r="J6816" t="s">
        <v>1709</v>
      </c>
      <c r="K6816" t="s">
        <v>1856</v>
      </c>
      <c r="L6816" t="s">
        <v>285</v>
      </c>
      <c r="M6816" t="str">
        <f t="shared" si="499"/>
        <v>06</v>
      </c>
      <c r="N6816" t="s">
        <v>12</v>
      </c>
    </row>
    <row r="6817" spans="1:14" x14ac:dyDescent="0.25">
      <c r="A6817">
        <v>20160617</v>
      </c>
      <c r="B6817" t="str">
        <f>"063906"</f>
        <v>063906</v>
      </c>
      <c r="C6817" t="str">
        <f>"60362"</f>
        <v>60362</v>
      </c>
      <c r="D6817" t="s">
        <v>2006</v>
      </c>
      <c r="E6817" s="3">
        <v>4040</v>
      </c>
      <c r="F6817">
        <v>20160615</v>
      </c>
      <c r="G6817" t="s">
        <v>2007</v>
      </c>
      <c r="H6817" t="s">
        <v>5676</v>
      </c>
      <c r="I6817">
        <v>0</v>
      </c>
      <c r="J6817" t="s">
        <v>1709</v>
      </c>
      <c r="K6817" t="s">
        <v>235</v>
      </c>
      <c r="L6817" t="s">
        <v>285</v>
      </c>
      <c r="M6817" t="str">
        <f t="shared" si="499"/>
        <v>06</v>
      </c>
      <c r="N6817" t="s">
        <v>12</v>
      </c>
    </row>
    <row r="6818" spans="1:14" x14ac:dyDescent="0.25">
      <c r="A6818">
        <v>20160617</v>
      </c>
      <c r="B6818" t="str">
        <f>"063911"</f>
        <v>063911</v>
      </c>
      <c r="C6818" t="str">
        <f>"62340"</f>
        <v>62340</v>
      </c>
      <c r="D6818" t="s">
        <v>1911</v>
      </c>
      <c r="E6818" s="3">
        <v>4968.1499999999996</v>
      </c>
      <c r="F6818">
        <v>20160615</v>
      </c>
      <c r="G6818" t="s">
        <v>1912</v>
      </c>
      <c r="H6818" t="s">
        <v>5172</v>
      </c>
      <c r="I6818">
        <v>0</v>
      </c>
      <c r="J6818" t="s">
        <v>1709</v>
      </c>
      <c r="K6818" t="s">
        <v>1861</v>
      </c>
      <c r="L6818" t="s">
        <v>285</v>
      </c>
      <c r="M6818" t="str">
        <f t="shared" si="499"/>
        <v>06</v>
      </c>
      <c r="N6818" t="s">
        <v>12</v>
      </c>
    </row>
    <row r="6819" spans="1:14" x14ac:dyDescent="0.25">
      <c r="A6819">
        <v>20160617</v>
      </c>
      <c r="B6819" t="str">
        <f t="shared" ref="B6819:B6838" si="500">"063914"</f>
        <v>063914</v>
      </c>
      <c r="C6819" t="str">
        <f t="shared" ref="C6819:C6838" si="501">"65106"</f>
        <v>65106</v>
      </c>
      <c r="D6819" t="s">
        <v>1568</v>
      </c>
      <c r="E6819" s="3">
        <v>590.67999999999995</v>
      </c>
      <c r="F6819">
        <v>20160615</v>
      </c>
      <c r="G6819" t="s">
        <v>1974</v>
      </c>
      <c r="H6819" t="s">
        <v>2169</v>
      </c>
      <c r="I6819">
        <v>0</v>
      </c>
      <c r="J6819" t="s">
        <v>1709</v>
      </c>
      <c r="K6819" t="s">
        <v>290</v>
      </c>
      <c r="L6819" t="s">
        <v>285</v>
      </c>
      <c r="M6819" t="str">
        <f t="shared" si="499"/>
        <v>06</v>
      </c>
      <c r="N6819" t="s">
        <v>12</v>
      </c>
    </row>
    <row r="6820" spans="1:14" x14ac:dyDescent="0.25">
      <c r="A6820">
        <v>20160617</v>
      </c>
      <c r="B6820" t="str">
        <f t="shared" si="500"/>
        <v>063914</v>
      </c>
      <c r="C6820" t="str">
        <f t="shared" si="501"/>
        <v>65106</v>
      </c>
      <c r="D6820" t="s">
        <v>1568</v>
      </c>
      <c r="E6820" s="3">
        <v>479.72</v>
      </c>
      <c r="F6820">
        <v>20160615</v>
      </c>
      <c r="G6820" t="s">
        <v>1974</v>
      </c>
      <c r="H6820" t="s">
        <v>5677</v>
      </c>
      <c r="I6820">
        <v>0</v>
      </c>
      <c r="J6820" t="s">
        <v>1709</v>
      </c>
      <c r="K6820" t="s">
        <v>290</v>
      </c>
      <c r="L6820" t="s">
        <v>285</v>
      </c>
      <c r="M6820" t="str">
        <f t="shared" si="499"/>
        <v>06</v>
      </c>
      <c r="N6820" t="s">
        <v>12</v>
      </c>
    </row>
    <row r="6821" spans="1:14" x14ac:dyDescent="0.25">
      <c r="A6821">
        <v>20160617</v>
      </c>
      <c r="B6821" t="str">
        <f t="shared" si="500"/>
        <v>063914</v>
      </c>
      <c r="C6821" t="str">
        <f t="shared" si="501"/>
        <v>65106</v>
      </c>
      <c r="D6821" t="s">
        <v>1568</v>
      </c>
      <c r="E6821" s="3">
        <v>289.86</v>
      </c>
      <c r="F6821">
        <v>20160615</v>
      </c>
      <c r="G6821" t="s">
        <v>2115</v>
      </c>
      <c r="H6821" t="s">
        <v>2169</v>
      </c>
      <c r="I6821">
        <v>0</v>
      </c>
      <c r="J6821" t="s">
        <v>1709</v>
      </c>
      <c r="K6821" t="s">
        <v>290</v>
      </c>
      <c r="L6821" t="s">
        <v>285</v>
      </c>
      <c r="M6821" t="str">
        <f t="shared" si="499"/>
        <v>06</v>
      </c>
      <c r="N6821" t="s">
        <v>12</v>
      </c>
    </row>
    <row r="6822" spans="1:14" x14ac:dyDescent="0.25">
      <c r="A6822">
        <v>20160617</v>
      </c>
      <c r="B6822" t="str">
        <f t="shared" si="500"/>
        <v>063914</v>
      </c>
      <c r="C6822" t="str">
        <f t="shared" si="501"/>
        <v>65106</v>
      </c>
      <c r="D6822" t="s">
        <v>1568</v>
      </c>
      <c r="E6822" s="3">
        <v>450.36</v>
      </c>
      <c r="F6822">
        <v>20160615</v>
      </c>
      <c r="G6822" t="s">
        <v>2317</v>
      </c>
      <c r="H6822" t="s">
        <v>2563</v>
      </c>
      <c r="I6822">
        <v>0</v>
      </c>
      <c r="J6822" t="s">
        <v>1709</v>
      </c>
      <c r="K6822" t="s">
        <v>290</v>
      </c>
      <c r="L6822" t="s">
        <v>285</v>
      </c>
      <c r="M6822" t="str">
        <f t="shared" si="499"/>
        <v>06</v>
      </c>
      <c r="N6822" t="s">
        <v>12</v>
      </c>
    </row>
    <row r="6823" spans="1:14" x14ac:dyDescent="0.25">
      <c r="A6823">
        <v>20160617</v>
      </c>
      <c r="B6823" t="str">
        <f t="shared" si="500"/>
        <v>063914</v>
      </c>
      <c r="C6823" t="str">
        <f t="shared" si="501"/>
        <v>65106</v>
      </c>
      <c r="D6823" t="s">
        <v>1568</v>
      </c>
      <c r="E6823" s="3">
        <v>198.33</v>
      </c>
      <c r="F6823">
        <v>20160615</v>
      </c>
      <c r="G6823" t="s">
        <v>2317</v>
      </c>
      <c r="H6823" t="s">
        <v>5678</v>
      </c>
      <c r="I6823">
        <v>0</v>
      </c>
      <c r="J6823" t="s">
        <v>1709</v>
      </c>
      <c r="K6823" t="s">
        <v>290</v>
      </c>
      <c r="L6823" t="s">
        <v>285</v>
      </c>
      <c r="M6823" t="str">
        <f t="shared" si="499"/>
        <v>06</v>
      </c>
      <c r="N6823" t="s">
        <v>12</v>
      </c>
    </row>
    <row r="6824" spans="1:14" x14ac:dyDescent="0.25">
      <c r="A6824">
        <v>20160617</v>
      </c>
      <c r="B6824" t="str">
        <f t="shared" si="500"/>
        <v>063914</v>
      </c>
      <c r="C6824" t="str">
        <f t="shared" si="501"/>
        <v>65106</v>
      </c>
      <c r="D6824" t="s">
        <v>1568</v>
      </c>
      <c r="E6824" s="3">
        <v>244.34</v>
      </c>
      <c r="F6824">
        <v>20160615</v>
      </c>
      <c r="G6824" t="s">
        <v>2626</v>
      </c>
      <c r="H6824" t="s">
        <v>5679</v>
      </c>
      <c r="I6824">
        <v>0</v>
      </c>
      <c r="J6824" t="s">
        <v>1709</v>
      </c>
      <c r="K6824" t="s">
        <v>290</v>
      </c>
      <c r="L6824" t="s">
        <v>285</v>
      </c>
      <c r="M6824" t="str">
        <f t="shared" si="499"/>
        <v>06</v>
      </c>
      <c r="N6824" t="s">
        <v>12</v>
      </c>
    </row>
    <row r="6825" spans="1:14" x14ac:dyDescent="0.25">
      <c r="A6825">
        <v>20160617</v>
      </c>
      <c r="B6825" t="str">
        <f t="shared" si="500"/>
        <v>063914</v>
      </c>
      <c r="C6825" t="str">
        <f t="shared" si="501"/>
        <v>65106</v>
      </c>
      <c r="D6825" t="s">
        <v>1568</v>
      </c>
      <c r="E6825" s="3">
        <v>429</v>
      </c>
      <c r="F6825">
        <v>20160615</v>
      </c>
      <c r="G6825" t="s">
        <v>4328</v>
      </c>
      <c r="H6825" t="s">
        <v>5680</v>
      </c>
      <c r="I6825">
        <v>0</v>
      </c>
      <c r="J6825" t="s">
        <v>1709</v>
      </c>
      <c r="K6825" t="s">
        <v>290</v>
      </c>
      <c r="L6825" t="s">
        <v>285</v>
      </c>
      <c r="M6825" t="str">
        <f t="shared" si="499"/>
        <v>06</v>
      </c>
      <c r="N6825" t="s">
        <v>12</v>
      </c>
    </row>
    <row r="6826" spans="1:14" x14ac:dyDescent="0.25">
      <c r="A6826">
        <v>20160617</v>
      </c>
      <c r="B6826" t="str">
        <f t="shared" si="500"/>
        <v>063914</v>
      </c>
      <c r="C6826" t="str">
        <f t="shared" si="501"/>
        <v>65106</v>
      </c>
      <c r="D6826" t="s">
        <v>1568</v>
      </c>
      <c r="E6826" s="3">
        <v>674.95</v>
      </c>
      <c r="F6826">
        <v>20160615</v>
      </c>
      <c r="G6826" t="s">
        <v>4328</v>
      </c>
      <c r="H6826" t="s">
        <v>5678</v>
      </c>
      <c r="I6826">
        <v>0</v>
      </c>
      <c r="J6826" t="s">
        <v>1709</v>
      </c>
      <c r="K6826" t="s">
        <v>290</v>
      </c>
      <c r="L6826" t="s">
        <v>285</v>
      </c>
      <c r="M6826" t="str">
        <f t="shared" si="499"/>
        <v>06</v>
      </c>
      <c r="N6826" t="s">
        <v>12</v>
      </c>
    </row>
    <row r="6827" spans="1:14" x14ac:dyDescent="0.25">
      <c r="A6827">
        <v>20160617</v>
      </c>
      <c r="B6827" t="str">
        <f t="shared" si="500"/>
        <v>063914</v>
      </c>
      <c r="C6827" t="str">
        <f t="shared" si="501"/>
        <v>65106</v>
      </c>
      <c r="D6827" t="s">
        <v>1568</v>
      </c>
      <c r="E6827" s="3">
        <v>82</v>
      </c>
      <c r="F6827">
        <v>20160615</v>
      </c>
      <c r="G6827" t="s">
        <v>2368</v>
      </c>
      <c r="H6827" t="s">
        <v>5678</v>
      </c>
      <c r="I6827">
        <v>0</v>
      </c>
      <c r="J6827" t="s">
        <v>1709</v>
      </c>
      <c r="K6827" t="s">
        <v>290</v>
      </c>
      <c r="L6827" t="s">
        <v>285</v>
      </c>
      <c r="M6827" t="str">
        <f t="shared" si="499"/>
        <v>06</v>
      </c>
      <c r="N6827" t="s">
        <v>12</v>
      </c>
    </row>
    <row r="6828" spans="1:14" x14ac:dyDescent="0.25">
      <c r="A6828">
        <v>20160617</v>
      </c>
      <c r="B6828" t="str">
        <f t="shared" si="500"/>
        <v>063914</v>
      </c>
      <c r="C6828" t="str">
        <f t="shared" si="501"/>
        <v>65106</v>
      </c>
      <c r="D6828" t="s">
        <v>1568</v>
      </c>
      <c r="E6828" s="3">
        <v>113.68</v>
      </c>
      <c r="F6828">
        <v>20160615</v>
      </c>
      <c r="G6828" t="s">
        <v>2368</v>
      </c>
      <c r="H6828" t="s">
        <v>5679</v>
      </c>
      <c r="I6828">
        <v>0</v>
      </c>
      <c r="J6828" t="s">
        <v>1709</v>
      </c>
      <c r="K6828" t="s">
        <v>290</v>
      </c>
      <c r="L6828" t="s">
        <v>285</v>
      </c>
      <c r="M6828" t="str">
        <f t="shared" si="499"/>
        <v>06</v>
      </c>
      <c r="N6828" t="s">
        <v>12</v>
      </c>
    </row>
    <row r="6829" spans="1:14" x14ac:dyDescent="0.25">
      <c r="A6829">
        <v>20160617</v>
      </c>
      <c r="B6829" t="str">
        <f t="shared" si="500"/>
        <v>063914</v>
      </c>
      <c r="C6829" t="str">
        <f t="shared" si="501"/>
        <v>65106</v>
      </c>
      <c r="D6829" t="s">
        <v>1568</v>
      </c>
      <c r="E6829" s="3">
        <v>149.88</v>
      </c>
      <c r="F6829">
        <v>20160615</v>
      </c>
      <c r="G6829" t="s">
        <v>1888</v>
      </c>
      <c r="H6829" t="s">
        <v>2169</v>
      </c>
      <c r="I6829">
        <v>0</v>
      </c>
      <c r="J6829" t="s">
        <v>1709</v>
      </c>
      <c r="K6829" t="s">
        <v>290</v>
      </c>
      <c r="L6829" t="s">
        <v>285</v>
      </c>
      <c r="M6829" t="str">
        <f t="shared" si="499"/>
        <v>06</v>
      </c>
      <c r="N6829" t="s">
        <v>12</v>
      </c>
    </row>
    <row r="6830" spans="1:14" x14ac:dyDescent="0.25">
      <c r="A6830">
        <v>20160617</v>
      </c>
      <c r="B6830" t="str">
        <f t="shared" si="500"/>
        <v>063914</v>
      </c>
      <c r="C6830" t="str">
        <f t="shared" si="501"/>
        <v>65106</v>
      </c>
      <c r="D6830" t="s">
        <v>1568</v>
      </c>
      <c r="E6830" s="3">
        <v>269.76</v>
      </c>
      <c r="F6830">
        <v>20160615</v>
      </c>
      <c r="G6830" t="s">
        <v>1888</v>
      </c>
      <c r="H6830" t="s">
        <v>5681</v>
      </c>
      <c r="I6830">
        <v>0</v>
      </c>
      <c r="J6830" t="s">
        <v>1709</v>
      </c>
      <c r="K6830" t="s">
        <v>290</v>
      </c>
      <c r="L6830" t="s">
        <v>285</v>
      </c>
      <c r="M6830" t="str">
        <f t="shared" si="499"/>
        <v>06</v>
      </c>
      <c r="N6830" t="s">
        <v>12</v>
      </c>
    </row>
    <row r="6831" spans="1:14" x14ac:dyDescent="0.25">
      <c r="A6831">
        <v>20160617</v>
      </c>
      <c r="B6831" t="str">
        <f t="shared" si="500"/>
        <v>063914</v>
      </c>
      <c r="C6831" t="str">
        <f t="shared" si="501"/>
        <v>65106</v>
      </c>
      <c r="D6831" t="s">
        <v>1568</v>
      </c>
      <c r="E6831" s="3">
        <v>699.44</v>
      </c>
      <c r="F6831">
        <v>20160615</v>
      </c>
      <c r="G6831" t="s">
        <v>3478</v>
      </c>
      <c r="H6831" t="s">
        <v>2169</v>
      </c>
      <c r="I6831">
        <v>0</v>
      </c>
      <c r="J6831" t="s">
        <v>1709</v>
      </c>
      <c r="K6831" t="s">
        <v>290</v>
      </c>
      <c r="L6831" t="s">
        <v>285</v>
      </c>
      <c r="M6831" t="str">
        <f t="shared" si="499"/>
        <v>06</v>
      </c>
      <c r="N6831" t="s">
        <v>12</v>
      </c>
    </row>
    <row r="6832" spans="1:14" x14ac:dyDescent="0.25">
      <c r="A6832">
        <v>20160617</v>
      </c>
      <c r="B6832" t="str">
        <f t="shared" si="500"/>
        <v>063914</v>
      </c>
      <c r="C6832" t="str">
        <f t="shared" si="501"/>
        <v>65106</v>
      </c>
      <c r="D6832" t="s">
        <v>1568</v>
      </c>
      <c r="E6832" s="3">
        <v>448.08</v>
      </c>
      <c r="F6832">
        <v>20160615</v>
      </c>
      <c r="G6832" t="s">
        <v>3478</v>
      </c>
      <c r="H6832" t="s">
        <v>2169</v>
      </c>
      <c r="I6832">
        <v>0</v>
      </c>
      <c r="J6832" t="s">
        <v>1709</v>
      </c>
      <c r="K6832" t="s">
        <v>290</v>
      </c>
      <c r="L6832" t="s">
        <v>285</v>
      </c>
      <c r="M6832" t="str">
        <f t="shared" si="499"/>
        <v>06</v>
      </c>
      <c r="N6832" t="s">
        <v>12</v>
      </c>
    </row>
    <row r="6833" spans="1:14" x14ac:dyDescent="0.25">
      <c r="A6833">
        <v>20160617</v>
      </c>
      <c r="B6833" t="str">
        <f t="shared" si="500"/>
        <v>063914</v>
      </c>
      <c r="C6833" t="str">
        <f t="shared" si="501"/>
        <v>65106</v>
      </c>
      <c r="D6833" t="s">
        <v>1568</v>
      </c>
      <c r="E6833" s="3">
        <v>1082.94</v>
      </c>
      <c r="F6833">
        <v>20160615</v>
      </c>
      <c r="G6833" t="s">
        <v>2155</v>
      </c>
      <c r="H6833" t="s">
        <v>2752</v>
      </c>
      <c r="I6833">
        <v>0</v>
      </c>
      <c r="J6833" t="s">
        <v>1709</v>
      </c>
      <c r="K6833" t="s">
        <v>290</v>
      </c>
      <c r="L6833" t="s">
        <v>285</v>
      </c>
      <c r="M6833" t="str">
        <f t="shared" si="499"/>
        <v>06</v>
      </c>
      <c r="N6833" t="s">
        <v>12</v>
      </c>
    </row>
    <row r="6834" spans="1:14" x14ac:dyDescent="0.25">
      <c r="A6834">
        <v>20160617</v>
      </c>
      <c r="B6834" t="str">
        <f t="shared" si="500"/>
        <v>063914</v>
      </c>
      <c r="C6834" t="str">
        <f t="shared" si="501"/>
        <v>65106</v>
      </c>
      <c r="D6834" t="s">
        <v>1568</v>
      </c>
      <c r="E6834" s="3">
        <v>170.7</v>
      </c>
      <c r="F6834">
        <v>20160615</v>
      </c>
      <c r="G6834" t="s">
        <v>5236</v>
      </c>
      <c r="H6834" t="s">
        <v>5679</v>
      </c>
      <c r="I6834">
        <v>0</v>
      </c>
      <c r="J6834" t="s">
        <v>1709</v>
      </c>
      <c r="K6834" t="s">
        <v>290</v>
      </c>
      <c r="L6834" t="s">
        <v>285</v>
      </c>
      <c r="M6834" t="str">
        <f t="shared" si="499"/>
        <v>06</v>
      </c>
      <c r="N6834" t="s">
        <v>12</v>
      </c>
    </row>
    <row r="6835" spans="1:14" x14ac:dyDescent="0.25">
      <c r="A6835">
        <v>20160617</v>
      </c>
      <c r="B6835" t="str">
        <f t="shared" si="500"/>
        <v>063914</v>
      </c>
      <c r="C6835" t="str">
        <f t="shared" si="501"/>
        <v>65106</v>
      </c>
      <c r="D6835" t="s">
        <v>1568</v>
      </c>
      <c r="E6835" s="3">
        <v>2775.8</v>
      </c>
      <c r="F6835">
        <v>20160615</v>
      </c>
      <c r="G6835" t="s">
        <v>1728</v>
      </c>
      <c r="H6835" t="s">
        <v>5682</v>
      </c>
      <c r="I6835">
        <v>0</v>
      </c>
      <c r="J6835" t="s">
        <v>1709</v>
      </c>
      <c r="K6835" t="s">
        <v>290</v>
      </c>
      <c r="L6835" t="s">
        <v>285</v>
      </c>
      <c r="M6835" t="str">
        <f t="shared" si="499"/>
        <v>06</v>
      </c>
      <c r="N6835" t="s">
        <v>12</v>
      </c>
    </row>
    <row r="6836" spans="1:14" x14ac:dyDescent="0.25">
      <c r="A6836">
        <v>20160617</v>
      </c>
      <c r="B6836" t="str">
        <f t="shared" si="500"/>
        <v>063914</v>
      </c>
      <c r="C6836" t="str">
        <f t="shared" si="501"/>
        <v>65106</v>
      </c>
      <c r="D6836" t="s">
        <v>1568</v>
      </c>
      <c r="E6836" s="3">
        <v>798</v>
      </c>
      <c r="F6836">
        <v>20160615</v>
      </c>
      <c r="G6836" t="s">
        <v>2693</v>
      </c>
      <c r="H6836" t="s">
        <v>5683</v>
      </c>
      <c r="I6836">
        <v>0</v>
      </c>
      <c r="J6836" t="s">
        <v>1709</v>
      </c>
      <c r="K6836" t="s">
        <v>290</v>
      </c>
      <c r="L6836" t="s">
        <v>285</v>
      </c>
      <c r="M6836" t="str">
        <f t="shared" si="499"/>
        <v>06</v>
      </c>
      <c r="N6836" t="s">
        <v>12</v>
      </c>
    </row>
    <row r="6837" spans="1:14" x14ac:dyDescent="0.25">
      <c r="A6837">
        <v>20160617</v>
      </c>
      <c r="B6837" t="str">
        <f t="shared" si="500"/>
        <v>063914</v>
      </c>
      <c r="C6837" t="str">
        <f t="shared" si="501"/>
        <v>65106</v>
      </c>
      <c r="D6837" t="s">
        <v>1568</v>
      </c>
      <c r="E6837" s="3">
        <v>798</v>
      </c>
      <c r="F6837">
        <v>20160615</v>
      </c>
      <c r="G6837" t="s">
        <v>4497</v>
      </c>
      <c r="H6837" t="s">
        <v>5683</v>
      </c>
      <c r="I6837">
        <v>0</v>
      </c>
      <c r="J6837" t="s">
        <v>1709</v>
      </c>
      <c r="K6837" t="s">
        <v>290</v>
      </c>
      <c r="L6837" t="s">
        <v>285</v>
      </c>
      <c r="M6837" t="str">
        <f t="shared" si="499"/>
        <v>06</v>
      </c>
      <c r="N6837" t="s">
        <v>12</v>
      </c>
    </row>
    <row r="6838" spans="1:14" x14ac:dyDescent="0.25">
      <c r="A6838">
        <v>20160617</v>
      </c>
      <c r="B6838" t="str">
        <f t="shared" si="500"/>
        <v>063914</v>
      </c>
      <c r="C6838" t="str">
        <f t="shared" si="501"/>
        <v>65106</v>
      </c>
      <c r="D6838" t="s">
        <v>1568</v>
      </c>
      <c r="E6838" s="3">
        <v>399</v>
      </c>
      <c r="F6838">
        <v>20160615</v>
      </c>
      <c r="G6838" t="s">
        <v>1739</v>
      </c>
      <c r="H6838" t="s">
        <v>5683</v>
      </c>
      <c r="I6838">
        <v>0</v>
      </c>
      <c r="J6838" t="s">
        <v>1709</v>
      </c>
      <c r="K6838" t="s">
        <v>290</v>
      </c>
      <c r="L6838" t="s">
        <v>285</v>
      </c>
      <c r="M6838" t="str">
        <f t="shared" si="499"/>
        <v>06</v>
      </c>
      <c r="N6838" t="s">
        <v>12</v>
      </c>
    </row>
    <row r="6839" spans="1:14" x14ac:dyDescent="0.25">
      <c r="A6839">
        <v>20160617</v>
      </c>
      <c r="B6839" t="str">
        <f>"063915"</f>
        <v>063915</v>
      </c>
      <c r="C6839" t="str">
        <f>"65197"</f>
        <v>65197</v>
      </c>
      <c r="D6839" t="s">
        <v>3874</v>
      </c>
      <c r="E6839" s="3">
        <v>2196.56</v>
      </c>
      <c r="F6839">
        <v>20160615</v>
      </c>
      <c r="G6839" t="s">
        <v>1732</v>
      </c>
      <c r="H6839" t="s">
        <v>5684</v>
      </c>
      <c r="I6839">
        <v>0</v>
      </c>
      <c r="J6839" t="s">
        <v>1709</v>
      </c>
      <c r="K6839" t="s">
        <v>290</v>
      </c>
      <c r="L6839" t="s">
        <v>285</v>
      </c>
      <c r="M6839" t="str">
        <f t="shared" si="499"/>
        <v>06</v>
      </c>
      <c r="N6839" t="s">
        <v>12</v>
      </c>
    </row>
    <row r="6840" spans="1:14" x14ac:dyDescent="0.25">
      <c r="A6840">
        <v>20160617</v>
      </c>
      <c r="B6840" t="str">
        <f>"063916"</f>
        <v>063916</v>
      </c>
      <c r="C6840" t="str">
        <f>"65235"</f>
        <v>65235</v>
      </c>
      <c r="D6840" t="s">
        <v>3126</v>
      </c>
      <c r="E6840" s="3">
        <v>298.38</v>
      </c>
      <c r="F6840">
        <v>20160615</v>
      </c>
      <c r="G6840" t="s">
        <v>3127</v>
      </c>
      <c r="H6840" t="s">
        <v>5685</v>
      </c>
      <c r="I6840">
        <v>0</v>
      </c>
      <c r="J6840" t="s">
        <v>1709</v>
      </c>
      <c r="K6840" t="s">
        <v>95</v>
      </c>
      <c r="L6840" t="s">
        <v>285</v>
      </c>
      <c r="M6840" t="str">
        <f t="shared" si="499"/>
        <v>06</v>
      </c>
      <c r="N6840" t="s">
        <v>12</v>
      </c>
    </row>
    <row r="6841" spans="1:14" x14ac:dyDescent="0.25">
      <c r="A6841">
        <v>20160617</v>
      </c>
      <c r="B6841" t="str">
        <f>"063917"</f>
        <v>063917</v>
      </c>
      <c r="C6841" t="str">
        <f>"65809"</f>
        <v>65809</v>
      </c>
      <c r="D6841" t="s">
        <v>2766</v>
      </c>
      <c r="E6841" s="3">
        <v>151.74</v>
      </c>
      <c r="F6841">
        <v>20160615</v>
      </c>
      <c r="G6841" t="s">
        <v>2767</v>
      </c>
      <c r="H6841" t="s">
        <v>2023</v>
      </c>
      <c r="I6841">
        <v>0</v>
      </c>
      <c r="J6841" t="s">
        <v>1709</v>
      </c>
      <c r="K6841" t="s">
        <v>95</v>
      </c>
      <c r="L6841" t="s">
        <v>285</v>
      </c>
      <c r="M6841" t="str">
        <f t="shared" si="499"/>
        <v>06</v>
      </c>
      <c r="N6841" t="s">
        <v>12</v>
      </c>
    </row>
    <row r="6842" spans="1:14" x14ac:dyDescent="0.25">
      <c r="A6842">
        <v>20160617</v>
      </c>
      <c r="B6842" t="str">
        <f>"063918"</f>
        <v>063918</v>
      </c>
      <c r="C6842" t="str">
        <f>"65826"</f>
        <v>65826</v>
      </c>
      <c r="D6842" t="s">
        <v>2386</v>
      </c>
      <c r="E6842" s="3">
        <v>251.55</v>
      </c>
      <c r="F6842">
        <v>20160615</v>
      </c>
      <c r="G6842" t="s">
        <v>1758</v>
      </c>
      <c r="H6842" t="s">
        <v>595</v>
      </c>
      <c r="I6842">
        <v>0</v>
      </c>
      <c r="J6842" t="s">
        <v>1709</v>
      </c>
      <c r="K6842" t="s">
        <v>1643</v>
      </c>
      <c r="L6842" t="s">
        <v>285</v>
      </c>
      <c r="M6842" t="str">
        <f t="shared" si="499"/>
        <v>06</v>
      </c>
      <c r="N6842" t="s">
        <v>12</v>
      </c>
    </row>
    <row r="6843" spans="1:14" x14ac:dyDescent="0.25">
      <c r="A6843">
        <v>20160617</v>
      </c>
      <c r="B6843" t="str">
        <f>"063918"</f>
        <v>063918</v>
      </c>
      <c r="C6843" t="str">
        <f>"65826"</f>
        <v>65826</v>
      </c>
      <c r="D6843" t="s">
        <v>2386</v>
      </c>
      <c r="E6843" s="3">
        <v>576.04</v>
      </c>
      <c r="F6843">
        <v>20160615</v>
      </c>
      <c r="G6843" t="s">
        <v>1758</v>
      </c>
      <c r="H6843" t="s">
        <v>595</v>
      </c>
      <c r="I6843">
        <v>0</v>
      </c>
      <c r="J6843" t="s">
        <v>1709</v>
      </c>
      <c r="K6843" t="s">
        <v>1643</v>
      </c>
      <c r="L6843" t="s">
        <v>285</v>
      </c>
      <c r="M6843" t="str">
        <f t="shared" si="499"/>
        <v>06</v>
      </c>
      <c r="N6843" t="s">
        <v>12</v>
      </c>
    </row>
    <row r="6844" spans="1:14" x14ac:dyDescent="0.25">
      <c r="A6844">
        <v>20160617</v>
      </c>
      <c r="B6844" t="str">
        <f>"063920"</f>
        <v>063920</v>
      </c>
      <c r="C6844" t="str">
        <f>"64650"</f>
        <v>64650</v>
      </c>
      <c r="D6844" t="s">
        <v>1918</v>
      </c>
      <c r="E6844" s="3">
        <v>950</v>
      </c>
      <c r="F6844">
        <v>20160615</v>
      </c>
      <c r="G6844" t="s">
        <v>2083</v>
      </c>
      <c r="H6844" t="s">
        <v>5686</v>
      </c>
      <c r="I6844">
        <v>0</v>
      </c>
      <c r="J6844" t="s">
        <v>1709</v>
      </c>
      <c r="K6844" t="s">
        <v>290</v>
      </c>
      <c r="L6844" t="s">
        <v>285</v>
      </c>
      <c r="M6844" t="str">
        <f t="shared" si="499"/>
        <v>06</v>
      </c>
      <c r="N6844" t="s">
        <v>12</v>
      </c>
    </row>
    <row r="6845" spans="1:14" x14ac:dyDescent="0.25">
      <c r="A6845">
        <v>20160617</v>
      </c>
      <c r="B6845" t="str">
        <f>"063920"</f>
        <v>063920</v>
      </c>
      <c r="C6845" t="str">
        <f>"64650"</f>
        <v>64650</v>
      </c>
      <c r="D6845" t="s">
        <v>1918</v>
      </c>
      <c r="E6845" s="3">
        <v>950</v>
      </c>
      <c r="F6845">
        <v>20160615</v>
      </c>
      <c r="G6845" t="s">
        <v>2086</v>
      </c>
      <c r="H6845" t="s">
        <v>5686</v>
      </c>
      <c r="I6845">
        <v>0</v>
      </c>
      <c r="J6845" t="s">
        <v>1709</v>
      </c>
      <c r="K6845" t="s">
        <v>95</v>
      </c>
      <c r="L6845" t="s">
        <v>285</v>
      </c>
      <c r="M6845" t="str">
        <f t="shared" si="499"/>
        <v>06</v>
      </c>
      <c r="N6845" t="s">
        <v>12</v>
      </c>
    </row>
    <row r="6846" spans="1:14" x14ac:dyDescent="0.25">
      <c r="A6846">
        <v>20160617</v>
      </c>
      <c r="B6846" t="str">
        <f>"063920"</f>
        <v>063920</v>
      </c>
      <c r="C6846" t="str">
        <f>"64650"</f>
        <v>64650</v>
      </c>
      <c r="D6846" t="s">
        <v>1918</v>
      </c>
      <c r="E6846" s="3">
        <v>950</v>
      </c>
      <c r="F6846">
        <v>20160615</v>
      </c>
      <c r="G6846" t="s">
        <v>2087</v>
      </c>
      <c r="H6846" t="s">
        <v>5686</v>
      </c>
      <c r="I6846">
        <v>0</v>
      </c>
      <c r="J6846" t="s">
        <v>1709</v>
      </c>
      <c r="K6846" t="s">
        <v>1643</v>
      </c>
      <c r="L6846" t="s">
        <v>285</v>
      </c>
      <c r="M6846" t="str">
        <f t="shared" si="499"/>
        <v>06</v>
      </c>
      <c r="N6846" t="s">
        <v>12</v>
      </c>
    </row>
    <row r="6847" spans="1:14" x14ac:dyDescent="0.25">
      <c r="A6847">
        <v>20160617</v>
      </c>
      <c r="B6847" t="str">
        <f>"063920"</f>
        <v>063920</v>
      </c>
      <c r="C6847" t="str">
        <f>"64650"</f>
        <v>64650</v>
      </c>
      <c r="D6847" t="s">
        <v>1918</v>
      </c>
      <c r="E6847" s="3">
        <v>950</v>
      </c>
      <c r="F6847">
        <v>20160615</v>
      </c>
      <c r="G6847" t="s">
        <v>2088</v>
      </c>
      <c r="H6847" t="s">
        <v>5686</v>
      </c>
      <c r="I6847">
        <v>0</v>
      </c>
      <c r="J6847" t="s">
        <v>1709</v>
      </c>
      <c r="K6847" t="s">
        <v>33</v>
      </c>
      <c r="L6847" t="s">
        <v>285</v>
      </c>
      <c r="M6847" t="str">
        <f t="shared" si="499"/>
        <v>06</v>
      </c>
      <c r="N6847" t="s">
        <v>12</v>
      </c>
    </row>
    <row r="6848" spans="1:14" x14ac:dyDescent="0.25">
      <c r="A6848">
        <v>20160617</v>
      </c>
      <c r="B6848" t="str">
        <f t="shared" ref="B6848:B6875" si="502">"063921"</f>
        <v>063921</v>
      </c>
      <c r="C6848" t="str">
        <f t="shared" ref="C6848:C6875" si="503">"72730"</f>
        <v>72730</v>
      </c>
      <c r="D6848" t="s">
        <v>1400</v>
      </c>
      <c r="E6848" s="3">
        <v>15.85</v>
      </c>
      <c r="F6848">
        <v>20160615</v>
      </c>
      <c r="G6848" t="s">
        <v>4208</v>
      </c>
      <c r="H6848" t="s">
        <v>2169</v>
      </c>
      <c r="I6848">
        <v>0</v>
      </c>
      <c r="J6848" t="s">
        <v>1709</v>
      </c>
      <c r="K6848" t="s">
        <v>290</v>
      </c>
      <c r="L6848" t="s">
        <v>285</v>
      </c>
      <c r="M6848" t="str">
        <f t="shared" si="499"/>
        <v>06</v>
      </c>
      <c r="N6848" t="s">
        <v>12</v>
      </c>
    </row>
    <row r="6849" spans="1:14" x14ac:dyDescent="0.25">
      <c r="A6849">
        <v>20160617</v>
      </c>
      <c r="B6849" t="str">
        <f t="shared" si="502"/>
        <v>063921</v>
      </c>
      <c r="C6849" t="str">
        <f t="shared" si="503"/>
        <v>72730</v>
      </c>
      <c r="D6849" t="s">
        <v>1400</v>
      </c>
      <c r="E6849" s="3">
        <v>42.23</v>
      </c>
      <c r="F6849">
        <v>20160615</v>
      </c>
      <c r="G6849" t="s">
        <v>4208</v>
      </c>
      <c r="H6849" t="s">
        <v>2169</v>
      </c>
      <c r="I6849">
        <v>0</v>
      </c>
      <c r="J6849" t="s">
        <v>1709</v>
      </c>
      <c r="K6849" t="s">
        <v>290</v>
      </c>
      <c r="L6849" t="s">
        <v>285</v>
      </c>
      <c r="M6849" t="str">
        <f t="shared" ref="M6849:M6912" si="504">"06"</f>
        <v>06</v>
      </c>
      <c r="N6849" t="s">
        <v>12</v>
      </c>
    </row>
    <row r="6850" spans="1:14" x14ac:dyDescent="0.25">
      <c r="A6850">
        <v>20160617</v>
      </c>
      <c r="B6850" t="str">
        <f t="shared" si="502"/>
        <v>063921</v>
      </c>
      <c r="C6850" t="str">
        <f t="shared" si="503"/>
        <v>72730</v>
      </c>
      <c r="D6850" t="s">
        <v>1400</v>
      </c>
      <c r="E6850" s="3">
        <v>1530.65</v>
      </c>
      <c r="F6850">
        <v>20160615</v>
      </c>
      <c r="G6850" t="s">
        <v>2100</v>
      </c>
      <c r="H6850" t="s">
        <v>5398</v>
      </c>
      <c r="I6850">
        <v>0</v>
      </c>
      <c r="J6850" t="s">
        <v>1709</v>
      </c>
      <c r="K6850" t="s">
        <v>33</v>
      </c>
      <c r="L6850" t="s">
        <v>285</v>
      </c>
      <c r="M6850" t="str">
        <f t="shared" si="504"/>
        <v>06</v>
      </c>
      <c r="N6850" t="s">
        <v>12</v>
      </c>
    </row>
    <row r="6851" spans="1:14" x14ac:dyDescent="0.25">
      <c r="A6851">
        <v>20160617</v>
      </c>
      <c r="B6851" t="str">
        <f t="shared" si="502"/>
        <v>063921</v>
      </c>
      <c r="C6851" t="str">
        <f t="shared" si="503"/>
        <v>72730</v>
      </c>
      <c r="D6851" t="s">
        <v>1400</v>
      </c>
      <c r="E6851" s="3">
        <v>69.06</v>
      </c>
      <c r="F6851">
        <v>20160615</v>
      </c>
      <c r="G6851" t="s">
        <v>2100</v>
      </c>
      <c r="H6851" t="s">
        <v>5398</v>
      </c>
      <c r="I6851">
        <v>0</v>
      </c>
      <c r="J6851" t="s">
        <v>1709</v>
      </c>
      <c r="K6851" t="s">
        <v>33</v>
      </c>
      <c r="L6851" t="s">
        <v>285</v>
      </c>
      <c r="M6851" t="str">
        <f t="shared" si="504"/>
        <v>06</v>
      </c>
      <c r="N6851" t="s">
        <v>12</v>
      </c>
    </row>
    <row r="6852" spans="1:14" x14ac:dyDescent="0.25">
      <c r="A6852">
        <v>20160617</v>
      </c>
      <c r="B6852" t="str">
        <f t="shared" si="502"/>
        <v>063921</v>
      </c>
      <c r="C6852" t="str">
        <f t="shared" si="503"/>
        <v>72730</v>
      </c>
      <c r="D6852" t="s">
        <v>1400</v>
      </c>
      <c r="E6852" s="3">
        <v>2.14</v>
      </c>
      <c r="F6852">
        <v>20160615</v>
      </c>
      <c r="G6852" t="s">
        <v>2100</v>
      </c>
      <c r="H6852" t="s">
        <v>5398</v>
      </c>
      <c r="I6852">
        <v>0</v>
      </c>
      <c r="J6852" t="s">
        <v>1709</v>
      </c>
      <c r="K6852" t="s">
        <v>33</v>
      </c>
      <c r="L6852" t="s">
        <v>285</v>
      </c>
      <c r="M6852" t="str">
        <f t="shared" si="504"/>
        <v>06</v>
      </c>
      <c r="N6852" t="s">
        <v>12</v>
      </c>
    </row>
    <row r="6853" spans="1:14" x14ac:dyDescent="0.25">
      <c r="A6853">
        <v>20160617</v>
      </c>
      <c r="B6853" t="str">
        <f t="shared" si="502"/>
        <v>063921</v>
      </c>
      <c r="C6853" t="str">
        <f t="shared" si="503"/>
        <v>72730</v>
      </c>
      <c r="D6853" t="s">
        <v>1400</v>
      </c>
      <c r="E6853" s="3">
        <v>68.64</v>
      </c>
      <c r="F6853">
        <v>20160615</v>
      </c>
      <c r="G6853" t="s">
        <v>2100</v>
      </c>
      <c r="H6853" t="s">
        <v>5398</v>
      </c>
      <c r="I6853">
        <v>0</v>
      </c>
      <c r="J6853" t="s">
        <v>1709</v>
      </c>
      <c r="K6853" t="s">
        <v>33</v>
      </c>
      <c r="L6853" t="s">
        <v>285</v>
      </c>
      <c r="M6853" t="str">
        <f t="shared" si="504"/>
        <v>06</v>
      </c>
      <c r="N6853" t="s">
        <v>12</v>
      </c>
    </row>
    <row r="6854" spans="1:14" x14ac:dyDescent="0.25">
      <c r="A6854">
        <v>20160617</v>
      </c>
      <c r="B6854" t="str">
        <f t="shared" si="502"/>
        <v>063921</v>
      </c>
      <c r="C6854" t="str">
        <f t="shared" si="503"/>
        <v>72730</v>
      </c>
      <c r="D6854" t="s">
        <v>1400</v>
      </c>
      <c r="E6854" s="3">
        <v>958.65</v>
      </c>
      <c r="F6854">
        <v>20160615</v>
      </c>
      <c r="G6854" t="s">
        <v>1974</v>
      </c>
      <c r="H6854" t="s">
        <v>2169</v>
      </c>
      <c r="I6854">
        <v>0</v>
      </c>
      <c r="J6854" t="s">
        <v>1709</v>
      </c>
      <c r="K6854" t="s">
        <v>290</v>
      </c>
      <c r="L6854" t="s">
        <v>285</v>
      </c>
      <c r="M6854" t="str">
        <f t="shared" si="504"/>
        <v>06</v>
      </c>
      <c r="N6854" t="s">
        <v>12</v>
      </c>
    </row>
    <row r="6855" spans="1:14" x14ac:dyDescent="0.25">
      <c r="A6855">
        <v>20160617</v>
      </c>
      <c r="B6855" t="str">
        <f t="shared" si="502"/>
        <v>063921</v>
      </c>
      <c r="C6855" t="str">
        <f t="shared" si="503"/>
        <v>72730</v>
      </c>
      <c r="D6855" t="s">
        <v>1400</v>
      </c>
      <c r="E6855" s="3">
        <v>204</v>
      </c>
      <c r="F6855">
        <v>20160615</v>
      </c>
      <c r="G6855" t="s">
        <v>1974</v>
      </c>
      <c r="H6855" t="s">
        <v>2169</v>
      </c>
      <c r="I6855">
        <v>0</v>
      </c>
      <c r="J6855" t="s">
        <v>1709</v>
      </c>
      <c r="K6855" t="s">
        <v>290</v>
      </c>
      <c r="L6855" t="s">
        <v>285</v>
      </c>
      <c r="M6855" t="str">
        <f t="shared" si="504"/>
        <v>06</v>
      </c>
      <c r="N6855" t="s">
        <v>12</v>
      </c>
    </row>
    <row r="6856" spans="1:14" x14ac:dyDescent="0.25">
      <c r="A6856">
        <v>20160617</v>
      </c>
      <c r="B6856" t="str">
        <f t="shared" si="502"/>
        <v>063921</v>
      </c>
      <c r="C6856" t="str">
        <f t="shared" si="503"/>
        <v>72730</v>
      </c>
      <c r="D6856" t="s">
        <v>1400</v>
      </c>
      <c r="E6856" s="3">
        <v>1451.17</v>
      </c>
      <c r="F6856">
        <v>20160615</v>
      </c>
      <c r="G6856" t="s">
        <v>1974</v>
      </c>
      <c r="H6856" t="s">
        <v>2169</v>
      </c>
      <c r="I6856">
        <v>0</v>
      </c>
      <c r="J6856" t="s">
        <v>1709</v>
      </c>
      <c r="K6856" t="s">
        <v>290</v>
      </c>
      <c r="L6856" t="s">
        <v>285</v>
      </c>
      <c r="M6856" t="str">
        <f t="shared" si="504"/>
        <v>06</v>
      </c>
      <c r="N6856" t="s">
        <v>12</v>
      </c>
    </row>
    <row r="6857" spans="1:14" x14ac:dyDescent="0.25">
      <c r="A6857">
        <v>20160617</v>
      </c>
      <c r="B6857" t="str">
        <f t="shared" si="502"/>
        <v>063921</v>
      </c>
      <c r="C6857" t="str">
        <f t="shared" si="503"/>
        <v>72730</v>
      </c>
      <c r="D6857" t="s">
        <v>1400</v>
      </c>
      <c r="E6857" s="3">
        <v>88.36</v>
      </c>
      <c r="F6857">
        <v>20160615</v>
      </c>
      <c r="G6857" t="s">
        <v>1974</v>
      </c>
      <c r="H6857" t="s">
        <v>5687</v>
      </c>
      <c r="I6857">
        <v>0</v>
      </c>
      <c r="J6857" t="s">
        <v>1709</v>
      </c>
      <c r="K6857" t="s">
        <v>290</v>
      </c>
      <c r="L6857" t="s">
        <v>285</v>
      </c>
      <c r="M6857" t="str">
        <f t="shared" si="504"/>
        <v>06</v>
      </c>
      <c r="N6857" t="s">
        <v>12</v>
      </c>
    </row>
    <row r="6858" spans="1:14" x14ac:dyDescent="0.25">
      <c r="A6858">
        <v>20160617</v>
      </c>
      <c r="B6858" t="str">
        <f t="shared" si="502"/>
        <v>063921</v>
      </c>
      <c r="C6858" t="str">
        <f t="shared" si="503"/>
        <v>72730</v>
      </c>
      <c r="D6858" t="s">
        <v>1400</v>
      </c>
      <c r="E6858" s="3">
        <v>63.75</v>
      </c>
      <c r="F6858">
        <v>20160615</v>
      </c>
      <c r="G6858" t="s">
        <v>1974</v>
      </c>
      <c r="H6858" t="s">
        <v>5687</v>
      </c>
      <c r="I6858">
        <v>0</v>
      </c>
      <c r="J6858" t="s">
        <v>1709</v>
      </c>
      <c r="K6858" t="s">
        <v>290</v>
      </c>
      <c r="L6858" t="s">
        <v>285</v>
      </c>
      <c r="M6858" t="str">
        <f t="shared" si="504"/>
        <v>06</v>
      </c>
      <c r="N6858" t="s">
        <v>12</v>
      </c>
    </row>
    <row r="6859" spans="1:14" x14ac:dyDescent="0.25">
      <c r="A6859">
        <v>20160617</v>
      </c>
      <c r="B6859" t="str">
        <f t="shared" si="502"/>
        <v>063921</v>
      </c>
      <c r="C6859" t="str">
        <f t="shared" si="503"/>
        <v>72730</v>
      </c>
      <c r="D6859" t="s">
        <v>1400</v>
      </c>
      <c r="E6859" s="3">
        <v>54.45</v>
      </c>
      <c r="F6859">
        <v>20160615</v>
      </c>
      <c r="G6859" t="s">
        <v>3031</v>
      </c>
      <c r="H6859" t="s">
        <v>1618</v>
      </c>
      <c r="I6859">
        <v>0</v>
      </c>
      <c r="J6859" t="s">
        <v>1709</v>
      </c>
      <c r="K6859" t="s">
        <v>290</v>
      </c>
      <c r="L6859" t="s">
        <v>285</v>
      </c>
      <c r="M6859" t="str">
        <f t="shared" si="504"/>
        <v>06</v>
      </c>
      <c r="N6859" t="s">
        <v>12</v>
      </c>
    </row>
    <row r="6860" spans="1:14" x14ac:dyDescent="0.25">
      <c r="A6860">
        <v>20160617</v>
      </c>
      <c r="B6860" t="str">
        <f t="shared" si="502"/>
        <v>063921</v>
      </c>
      <c r="C6860" t="str">
        <f t="shared" si="503"/>
        <v>72730</v>
      </c>
      <c r="D6860" t="s">
        <v>1400</v>
      </c>
      <c r="E6860" s="3">
        <v>405.9</v>
      </c>
      <c r="F6860">
        <v>20160615</v>
      </c>
      <c r="G6860" t="s">
        <v>2133</v>
      </c>
      <c r="H6860" t="s">
        <v>5688</v>
      </c>
      <c r="I6860">
        <v>0</v>
      </c>
      <c r="J6860" t="s">
        <v>1709</v>
      </c>
      <c r="K6860" t="s">
        <v>290</v>
      </c>
      <c r="L6860" t="s">
        <v>285</v>
      </c>
      <c r="M6860" t="str">
        <f t="shared" si="504"/>
        <v>06</v>
      </c>
      <c r="N6860" t="s">
        <v>12</v>
      </c>
    </row>
    <row r="6861" spans="1:14" x14ac:dyDescent="0.25">
      <c r="A6861">
        <v>20160617</v>
      </c>
      <c r="B6861" t="str">
        <f t="shared" si="502"/>
        <v>063921</v>
      </c>
      <c r="C6861" t="str">
        <f t="shared" si="503"/>
        <v>72730</v>
      </c>
      <c r="D6861" t="s">
        <v>1400</v>
      </c>
      <c r="E6861" s="3">
        <v>28.74</v>
      </c>
      <c r="F6861">
        <v>20160615</v>
      </c>
      <c r="G6861" t="s">
        <v>2133</v>
      </c>
      <c r="H6861" t="s">
        <v>5688</v>
      </c>
      <c r="I6861">
        <v>0</v>
      </c>
      <c r="J6861" t="s">
        <v>1709</v>
      </c>
      <c r="K6861" t="s">
        <v>290</v>
      </c>
      <c r="L6861" t="s">
        <v>285</v>
      </c>
      <c r="M6861" t="str">
        <f t="shared" si="504"/>
        <v>06</v>
      </c>
      <c r="N6861" t="s">
        <v>12</v>
      </c>
    </row>
    <row r="6862" spans="1:14" x14ac:dyDescent="0.25">
      <c r="A6862">
        <v>20160617</v>
      </c>
      <c r="B6862" t="str">
        <f t="shared" si="502"/>
        <v>063921</v>
      </c>
      <c r="C6862" t="str">
        <f t="shared" si="503"/>
        <v>72730</v>
      </c>
      <c r="D6862" t="s">
        <v>1400</v>
      </c>
      <c r="E6862" s="3">
        <v>764.4</v>
      </c>
      <c r="F6862">
        <v>20160615</v>
      </c>
      <c r="G6862" t="s">
        <v>2133</v>
      </c>
      <c r="H6862" t="s">
        <v>5689</v>
      </c>
      <c r="I6862">
        <v>0</v>
      </c>
      <c r="J6862" t="s">
        <v>1709</v>
      </c>
      <c r="K6862" t="s">
        <v>290</v>
      </c>
      <c r="L6862" t="s">
        <v>285</v>
      </c>
      <c r="M6862" t="str">
        <f t="shared" si="504"/>
        <v>06</v>
      </c>
      <c r="N6862" t="s">
        <v>12</v>
      </c>
    </row>
    <row r="6863" spans="1:14" x14ac:dyDescent="0.25">
      <c r="A6863">
        <v>20160617</v>
      </c>
      <c r="B6863" t="str">
        <f t="shared" si="502"/>
        <v>063921</v>
      </c>
      <c r="C6863" t="str">
        <f t="shared" si="503"/>
        <v>72730</v>
      </c>
      <c r="D6863" t="s">
        <v>1400</v>
      </c>
      <c r="E6863" s="3">
        <v>147.28</v>
      </c>
      <c r="F6863">
        <v>20160615</v>
      </c>
      <c r="G6863" t="s">
        <v>4007</v>
      </c>
      <c r="H6863" t="s">
        <v>2169</v>
      </c>
      <c r="I6863">
        <v>0</v>
      </c>
      <c r="J6863" t="s">
        <v>1709</v>
      </c>
      <c r="K6863" t="s">
        <v>290</v>
      </c>
      <c r="L6863" t="s">
        <v>285</v>
      </c>
      <c r="M6863" t="str">
        <f t="shared" si="504"/>
        <v>06</v>
      </c>
      <c r="N6863" t="s">
        <v>12</v>
      </c>
    </row>
    <row r="6864" spans="1:14" x14ac:dyDescent="0.25">
      <c r="A6864">
        <v>20160617</v>
      </c>
      <c r="B6864" t="str">
        <f t="shared" si="502"/>
        <v>063921</v>
      </c>
      <c r="C6864" t="str">
        <f t="shared" si="503"/>
        <v>72730</v>
      </c>
      <c r="D6864" t="s">
        <v>1400</v>
      </c>
      <c r="E6864" s="3">
        <v>325.44</v>
      </c>
      <c r="F6864">
        <v>20160615</v>
      </c>
      <c r="G6864" t="s">
        <v>2718</v>
      </c>
      <c r="H6864" t="s">
        <v>2169</v>
      </c>
      <c r="I6864">
        <v>0</v>
      </c>
      <c r="J6864" t="s">
        <v>1709</v>
      </c>
      <c r="K6864" t="s">
        <v>290</v>
      </c>
      <c r="L6864" t="s">
        <v>285</v>
      </c>
      <c r="M6864" t="str">
        <f t="shared" si="504"/>
        <v>06</v>
      </c>
      <c r="N6864" t="s">
        <v>12</v>
      </c>
    </row>
    <row r="6865" spans="1:14" x14ac:dyDescent="0.25">
      <c r="A6865">
        <v>20160617</v>
      </c>
      <c r="B6865" t="str">
        <f t="shared" si="502"/>
        <v>063921</v>
      </c>
      <c r="C6865" t="str">
        <f t="shared" si="503"/>
        <v>72730</v>
      </c>
      <c r="D6865" t="s">
        <v>1400</v>
      </c>
      <c r="E6865" s="3">
        <v>127.4</v>
      </c>
      <c r="F6865">
        <v>20160615</v>
      </c>
      <c r="G6865" t="s">
        <v>2817</v>
      </c>
      <c r="H6865" t="s">
        <v>5689</v>
      </c>
      <c r="I6865">
        <v>0</v>
      </c>
      <c r="J6865" t="s">
        <v>1709</v>
      </c>
      <c r="K6865" t="s">
        <v>290</v>
      </c>
      <c r="L6865" t="s">
        <v>285</v>
      </c>
      <c r="M6865" t="str">
        <f t="shared" si="504"/>
        <v>06</v>
      </c>
      <c r="N6865" t="s">
        <v>12</v>
      </c>
    </row>
    <row r="6866" spans="1:14" x14ac:dyDescent="0.25">
      <c r="A6866">
        <v>20160617</v>
      </c>
      <c r="B6866" t="str">
        <f t="shared" si="502"/>
        <v>063921</v>
      </c>
      <c r="C6866" t="str">
        <f t="shared" si="503"/>
        <v>72730</v>
      </c>
      <c r="D6866" t="s">
        <v>1400</v>
      </c>
      <c r="E6866" s="3">
        <v>239.74</v>
      </c>
      <c r="F6866">
        <v>20160615</v>
      </c>
      <c r="G6866" t="s">
        <v>3845</v>
      </c>
      <c r="H6866" t="s">
        <v>5398</v>
      </c>
      <c r="I6866">
        <v>0</v>
      </c>
      <c r="J6866" t="s">
        <v>1709</v>
      </c>
      <c r="K6866" t="s">
        <v>290</v>
      </c>
      <c r="L6866" t="s">
        <v>285</v>
      </c>
      <c r="M6866" t="str">
        <f t="shared" si="504"/>
        <v>06</v>
      </c>
      <c r="N6866" t="s">
        <v>12</v>
      </c>
    </row>
    <row r="6867" spans="1:14" x14ac:dyDescent="0.25">
      <c r="A6867">
        <v>20160617</v>
      </c>
      <c r="B6867" t="str">
        <f t="shared" si="502"/>
        <v>063921</v>
      </c>
      <c r="C6867" t="str">
        <f t="shared" si="503"/>
        <v>72730</v>
      </c>
      <c r="D6867" t="s">
        <v>1400</v>
      </c>
      <c r="E6867" s="3">
        <v>110.66</v>
      </c>
      <c r="F6867">
        <v>20160615</v>
      </c>
      <c r="G6867" t="s">
        <v>3476</v>
      </c>
      <c r="H6867" t="s">
        <v>2644</v>
      </c>
      <c r="I6867">
        <v>0</v>
      </c>
      <c r="J6867" t="s">
        <v>1709</v>
      </c>
      <c r="K6867" t="s">
        <v>290</v>
      </c>
      <c r="L6867" t="s">
        <v>285</v>
      </c>
      <c r="M6867" t="str">
        <f t="shared" si="504"/>
        <v>06</v>
      </c>
      <c r="N6867" t="s">
        <v>12</v>
      </c>
    </row>
    <row r="6868" spans="1:14" x14ac:dyDescent="0.25">
      <c r="A6868">
        <v>20160617</v>
      </c>
      <c r="B6868" t="str">
        <f t="shared" si="502"/>
        <v>063921</v>
      </c>
      <c r="C6868" t="str">
        <f t="shared" si="503"/>
        <v>72730</v>
      </c>
      <c r="D6868" t="s">
        <v>1400</v>
      </c>
      <c r="E6868" s="3">
        <v>381.43</v>
      </c>
      <c r="F6868">
        <v>20160615</v>
      </c>
      <c r="G6868" t="s">
        <v>3476</v>
      </c>
      <c r="H6868" t="s">
        <v>2644</v>
      </c>
      <c r="I6868">
        <v>0</v>
      </c>
      <c r="J6868" t="s">
        <v>1709</v>
      </c>
      <c r="K6868" t="s">
        <v>290</v>
      </c>
      <c r="L6868" t="s">
        <v>285</v>
      </c>
      <c r="M6868" t="str">
        <f t="shared" si="504"/>
        <v>06</v>
      </c>
      <c r="N6868" t="s">
        <v>12</v>
      </c>
    </row>
    <row r="6869" spans="1:14" x14ac:dyDescent="0.25">
      <c r="A6869">
        <v>20160617</v>
      </c>
      <c r="B6869" t="str">
        <f t="shared" si="502"/>
        <v>063921</v>
      </c>
      <c r="C6869" t="str">
        <f t="shared" si="503"/>
        <v>72730</v>
      </c>
      <c r="D6869" t="s">
        <v>1400</v>
      </c>
      <c r="E6869" s="3">
        <v>111.84</v>
      </c>
      <c r="F6869">
        <v>20160615</v>
      </c>
      <c r="G6869" t="s">
        <v>3476</v>
      </c>
      <c r="H6869" t="s">
        <v>2644</v>
      </c>
      <c r="I6869">
        <v>0</v>
      </c>
      <c r="J6869" t="s">
        <v>1709</v>
      </c>
      <c r="K6869" t="s">
        <v>290</v>
      </c>
      <c r="L6869" t="s">
        <v>285</v>
      </c>
      <c r="M6869" t="str">
        <f t="shared" si="504"/>
        <v>06</v>
      </c>
      <c r="N6869" t="s">
        <v>12</v>
      </c>
    </row>
    <row r="6870" spans="1:14" x14ac:dyDescent="0.25">
      <c r="A6870">
        <v>20160617</v>
      </c>
      <c r="B6870" t="str">
        <f t="shared" si="502"/>
        <v>063921</v>
      </c>
      <c r="C6870" t="str">
        <f t="shared" si="503"/>
        <v>72730</v>
      </c>
      <c r="D6870" t="s">
        <v>1400</v>
      </c>
      <c r="E6870" s="3">
        <v>214.79</v>
      </c>
      <c r="F6870">
        <v>20160615</v>
      </c>
      <c r="G6870" t="s">
        <v>1886</v>
      </c>
      <c r="H6870" t="s">
        <v>2169</v>
      </c>
      <c r="I6870">
        <v>0</v>
      </c>
      <c r="J6870" t="s">
        <v>1709</v>
      </c>
      <c r="K6870" t="s">
        <v>290</v>
      </c>
      <c r="L6870" t="s">
        <v>285</v>
      </c>
      <c r="M6870" t="str">
        <f t="shared" si="504"/>
        <v>06</v>
      </c>
      <c r="N6870" t="s">
        <v>12</v>
      </c>
    </row>
    <row r="6871" spans="1:14" x14ac:dyDescent="0.25">
      <c r="A6871">
        <v>20160617</v>
      </c>
      <c r="B6871" t="str">
        <f t="shared" si="502"/>
        <v>063921</v>
      </c>
      <c r="C6871" t="str">
        <f t="shared" si="503"/>
        <v>72730</v>
      </c>
      <c r="D6871" t="s">
        <v>1400</v>
      </c>
      <c r="E6871" s="3">
        <v>1250.3800000000001</v>
      </c>
      <c r="F6871">
        <v>20160615</v>
      </c>
      <c r="G6871" t="s">
        <v>3006</v>
      </c>
      <c r="H6871" t="s">
        <v>3614</v>
      </c>
      <c r="I6871">
        <v>0</v>
      </c>
      <c r="J6871" t="s">
        <v>1709</v>
      </c>
      <c r="K6871" t="s">
        <v>290</v>
      </c>
      <c r="L6871" t="s">
        <v>285</v>
      </c>
      <c r="M6871" t="str">
        <f t="shared" si="504"/>
        <v>06</v>
      </c>
      <c r="N6871" t="s">
        <v>12</v>
      </c>
    </row>
    <row r="6872" spans="1:14" x14ac:dyDescent="0.25">
      <c r="A6872">
        <v>20160617</v>
      </c>
      <c r="B6872" t="str">
        <f t="shared" si="502"/>
        <v>063921</v>
      </c>
      <c r="C6872" t="str">
        <f t="shared" si="503"/>
        <v>72730</v>
      </c>
      <c r="D6872" t="s">
        <v>1400</v>
      </c>
      <c r="E6872" s="3">
        <v>103.79</v>
      </c>
      <c r="F6872">
        <v>20160615</v>
      </c>
      <c r="G6872" t="s">
        <v>2155</v>
      </c>
      <c r="H6872" t="s">
        <v>2752</v>
      </c>
      <c r="I6872">
        <v>0</v>
      </c>
      <c r="J6872" t="s">
        <v>1709</v>
      </c>
      <c r="K6872" t="s">
        <v>290</v>
      </c>
      <c r="L6872" t="s">
        <v>285</v>
      </c>
      <c r="M6872" t="str">
        <f t="shared" si="504"/>
        <v>06</v>
      </c>
      <c r="N6872" t="s">
        <v>12</v>
      </c>
    </row>
    <row r="6873" spans="1:14" x14ac:dyDescent="0.25">
      <c r="A6873">
        <v>20160617</v>
      </c>
      <c r="B6873" t="str">
        <f t="shared" si="502"/>
        <v>063921</v>
      </c>
      <c r="C6873" t="str">
        <f t="shared" si="503"/>
        <v>72730</v>
      </c>
      <c r="D6873" t="s">
        <v>1400</v>
      </c>
      <c r="E6873" s="3">
        <v>89.49</v>
      </c>
      <c r="F6873">
        <v>20160615</v>
      </c>
      <c r="G6873" t="s">
        <v>2155</v>
      </c>
      <c r="H6873" t="s">
        <v>2752</v>
      </c>
      <c r="I6873">
        <v>0</v>
      </c>
      <c r="J6873" t="s">
        <v>1709</v>
      </c>
      <c r="K6873" t="s">
        <v>290</v>
      </c>
      <c r="L6873" t="s">
        <v>285</v>
      </c>
      <c r="M6873" t="str">
        <f t="shared" si="504"/>
        <v>06</v>
      </c>
      <c r="N6873" t="s">
        <v>12</v>
      </c>
    </row>
    <row r="6874" spans="1:14" x14ac:dyDescent="0.25">
      <c r="A6874">
        <v>20160617</v>
      </c>
      <c r="B6874" t="str">
        <f t="shared" si="502"/>
        <v>063921</v>
      </c>
      <c r="C6874" t="str">
        <f t="shared" si="503"/>
        <v>72730</v>
      </c>
      <c r="D6874" t="s">
        <v>1400</v>
      </c>
      <c r="E6874" s="3">
        <v>117.88</v>
      </c>
      <c r="F6874">
        <v>20160615</v>
      </c>
      <c r="G6874" t="s">
        <v>2155</v>
      </c>
      <c r="H6874" t="s">
        <v>2752</v>
      </c>
      <c r="I6874">
        <v>0</v>
      </c>
      <c r="J6874" t="s">
        <v>1709</v>
      </c>
      <c r="K6874" t="s">
        <v>290</v>
      </c>
      <c r="L6874" t="s">
        <v>285</v>
      </c>
      <c r="M6874" t="str">
        <f t="shared" si="504"/>
        <v>06</v>
      </c>
      <c r="N6874" t="s">
        <v>12</v>
      </c>
    </row>
    <row r="6875" spans="1:14" x14ac:dyDescent="0.25">
      <c r="A6875">
        <v>20160617</v>
      </c>
      <c r="B6875" t="str">
        <f t="shared" si="502"/>
        <v>063921</v>
      </c>
      <c r="C6875" t="str">
        <f t="shared" si="503"/>
        <v>72730</v>
      </c>
      <c r="D6875" t="s">
        <v>1400</v>
      </c>
      <c r="E6875" s="3">
        <v>567.16999999999996</v>
      </c>
      <c r="F6875">
        <v>20160615</v>
      </c>
      <c r="G6875" t="s">
        <v>2155</v>
      </c>
      <c r="H6875" t="s">
        <v>2752</v>
      </c>
      <c r="I6875">
        <v>0</v>
      </c>
      <c r="J6875" t="s">
        <v>1709</v>
      </c>
      <c r="K6875" t="s">
        <v>290</v>
      </c>
      <c r="L6875" t="s">
        <v>285</v>
      </c>
      <c r="M6875" t="str">
        <f t="shared" si="504"/>
        <v>06</v>
      </c>
      <c r="N6875" t="s">
        <v>12</v>
      </c>
    </row>
    <row r="6876" spans="1:14" x14ac:dyDescent="0.25">
      <c r="A6876">
        <v>20160617</v>
      </c>
      <c r="B6876" t="str">
        <f>"063922"</f>
        <v>063922</v>
      </c>
      <c r="C6876" t="str">
        <f>"75451"</f>
        <v>75451</v>
      </c>
      <c r="D6876" t="s">
        <v>56</v>
      </c>
      <c r="E6876" s="3">
        <v>290</v>
      </c>
      <c r="F6876">
        <v>20160615</v>
      </c>
      <c r="G6876" t="s">
        <v>5690</v>
      </c>
      <c r="H6876" t="s">
        <v>5691</v>
      </c>
      <c r="I6876">
        <v>0</v>
      </c>
      <c r="J6876" t="s">
        <v>1709</v>
      </c>
      <c r="K6876" t="s">
        <v>290</v>
      </c>
      <c r="L6876" t="s">
        <v>285</v>
      </c>
      <c r="M6876" t="str">
        <f t="shared" si="504"/>
        <v>06</v>
      </c>
      <c r="N6876" t="s">
        <v>12</v>
      </c>
    </row>
    <row r="6877" spans="1:14" x14ac:dyDescent="0.25">
      <c r="A6877">
        <v>20160617</v>
      </c>
      <c r="B6877" t="str">
        <f>"063923"</f>
        <v>063923</v>
      </c>
      <c r="C6877" t="str">
        <f>"77400"</f>
        <v>77400</v>
      </c>
      <c r="D6877" t="s">
        <v>1665</v>
      </c>
      <c r="E6877" s="3">
        <v>729.81</v>
      </c>
      <c r="F6877">
        <v>20160615</v>
      </c>
      <c r="G6877" t="s">
        <v>2731</v>
      </c>
      <c r="H6877" t="s">
        <v>5692</v>
      </c>
      <c r="I6877">
        <v>0</v>
      </c>
      <c r="J6877" t="s">
        <v>1709</v>
      </c>
      <c r="K6877" t="s">
        <v>290</v>
      </c>
      <c r="L6877" t="s">
        <v>285</v>
      </c>
      <c r="M6877" t="str">
        <f t="shared" si="504"/>
        <v>06</v>
      </c>
      <c r="N6877" t="s">
        <v>12</v>
      </c>
    </row>
    <row r="6878" spans="1:14" x14ac:dyDescent="0.25">
      <c r="A6878">
        <v>20160617</v>
      </c>
      <c r="B6878" t="str">
        <f>"063924"</f>
        <v>063924</v>
      </c>
      <c r="C6878" t="str">
        <f>"78311"</f>
        <v>78311</v>
      </c>
      <c r="D6878" t="s">
        <v>458</v>
      </c>
      <c r="E6878" s="3">
        <v>31.77</v>
      </c>
      <c r="F6878">
        <v>20160615</v>
      </c>
      <c r="G6878" t="s">
        <v>2018</v>
      </c>
      <c r="H6878" t="s">
        <v>5693</v>
      </c>
      <c r="I6878">
        <v>0</v>
      </c>
      <c r="J6878" t="s">
        <v>1709</v>
      </c>
      <c r="K6878" t="s">
        <v>1856</v>
      </c>
      <c r="L6878" t="s">
        <v>285</v>
      </c>
      <c r="M6878" t="str">
        <f t="shared" si="504"/>
        <v>06</v>
      </c>
      <c r="N6878" t="s">
        <v>12</v>
      </c>
    </row>
    <row r="6879" spans="1:14" x14ac:dyDescent="0.25">
      <c r="A6879">
        <v>20160617</v>
      </c>
      <c r="B6879" t="str">
        <f>"063924"</f>
        <v>063924</v>
      </c>
      <c r="C6879" t="str">
        <f>"78311"</f>
        <v>78311</v>
      </c>
      <c r="D6879" t="s">
        <v>458</v>
      </c>
      <c r="E6879" s="3">
        <v>26.5</v>
      </c>
      <c r="F6879">
        <v>20160615</v>
      </c>
      <c r="G6879" t="s">
        <v>2018</v>
      </c>
      <c r="H6879" t="s">
        <v>5693</v>
      </c>
      <c r="I6879">
        <v>0</v>
      </c>
      <c r="J6879" t="s">
        <v>1709</v>
      </c>
      <c r="K6879" t="s">
        <v>1856</v>
      </c>
      <c r="L6879" t="s">
        <v>285</v>
      </c>
      <c r="M6879" t="str">
        <f t="shared" si="504"/>
        <v>06</v>
      </c>
      <c r="N6879" t="s">
        <v>12</v>
      </c>
    </row>
    <row r="6880" spans="1:14" x14ac:dyDescent="0.25">
      <c r="A6880">
        <v>20160617</v>
      </c>
      <c r="B6880" t="str">
        <f>"063925"</f>
        <v>063925</v>
      </c>
      <c r="C6880" t="str">
        <f>"78726"</f>
        <v>78726</v>
      </c>
      <c r="D6880" t="s">
        <v>2772</v>
      </c>
      <c r="E6880" s="3">
        <v>2115.5</v>
      </c>
      <c r="F6880">
        <v>20160615</v>
      </c>
      <c r="G6880" t="s">
        <v>2773</v>
      </c>
      <c r="H6880" t="s">
        <v>5694</v>
      </c>
      <c r="I6880">
        <v>0</v>
      </c>
      <c r="J6880" t="s">
        <v>1709</v>
      </c>
      <c r="K6880" t="s">
        <v>2252</v>
      </c>
      <c r="L6880" t="s">
        <v>285</v>
      </c>
      <c r="M6880" t="str">
        <f t="shared" si="504"/>
        <v>06</v>
      </c>
      <c r="N6880" t="s">
        <v>12</v>
      </c>
    </row>
    <row r="6881" spans="1:14" x14ac:dyDescent="0.25">
      <c r="A6881">
        <v>20160617</v>
      </c>
      <c r="B6881" t="str">
        <f t="shared" ref="B6881:B6886" si="505">"063926"</f>
        <v>063926</v>
      </c>
      <c r="C6881" t="str">
        <f t="shared" ref="C6881:C6886" si="506">"80481"</f>
        <v>80481</v>
      </c>
      <c r="D6881" t="s">
        <v>1935</v>
      </c>
      <c r="E6881" s="3">
        <v>74</v>
      </c>
      <c r="F6881">
        <v>20160615</v>
      </c>
      <c r="G6881" t="s">
        <v>1938</v>
      </c>
      <c r="H6881" t="s">
        <v>5172</v>
      </c>
      <c r="I6881">
        <v>0</v>
      </c>
      <c r="J6881" t="s">
        <v>1709</v>
      </c>
      <c r="K6881" t="s">
        <v>1643</v>
      </c>
      <c r="L6881" t="s">
        <v>285</v>
      </c>
      <c r="M6881" t="str">
        <f t="shared" si="504"/>
        <v>06</v>
      </c>
      <c r="N6881" t="s">
        <v>12</v>
      </c>
    </row>
    <row r="6882" spans="1:14" x14ac:dyDescent="0.25">
      <c r="A6882">
        <v>20160617</v>
      </c>
      <c r="B6882" t="str">
        <f t="shared" si="505"/>
        <v>063926</v>
      </c>
      <c r="C6882" t="str">
        <f t="shared" si="506"/>
        <v>80481</v>
      </c>
      <c r="D6882" t="s">
        <v>1935</v>
      </c>
      <c r="E6882" s="3">
        <v>74</v>
      </c>
      <c r="F6882">
        <v>20160615</v>
      </c>
      <c r="G6882" t="s">
        <v>1939</v>
      </c>
      <c r="H6882" t="s">
        <v>5695</v>
      </c>
      <c r="I6882">
        <v>0</v>
      </c>
      <c r="J6882" t="s">
        <v>1709</v>
      </c>
      <c r="K6882" t="s">
        <v>33</v>
      </c>
      <c r="L6882" t="s">
        <v>285</v>
      </c>
      <c r="M6882" t="str">
        <f t="shared" si="504"/>
        <v>06</v>
      </c>
      <c r="N6882" t="s">
        <v>12</v>
      </c>
    </row>
    <row r="6883" spans="1:14" x14ac:dyDescent="0.25">
      <c r="A6883">
        <v>20160617</v>
      </c>
      <c r="B6883" t="str">
        <f t="shared" si="505"/>
        <v>063926</v>
      </c>
      <c r="C6883" t="str">
        <f t="shared" si="506"/>
        <v>80481</v>
      </c>
      <c r="D6883" t="s">
        <v>1935</v>
      </c>
      <c r="E6883" s="3">
        <v>74</v>
      </c>
      <c r="F6883">
        <v>20160615</v>
      </c>
      <c r="G6883" t="s">
        <v>1940</v>
      </c>
      <c r="H6883" t="s">
        <v>5172</v>
      </c>
      <c r="I6883">
        <v>0</v>
      </c>
      <c r="J6883" t="s">
        <v>1709</v>
      </c>
      <c r="K6883" t="s">
        <v>290</v>
      </c>
      <c r="L6883" t="s">
        <v>285</v>
      </c>
      <c r="M6883" t="str">
        <f t="shared" si="504"/>
        <v>06</v>
      </c>
      <c r="N6883" t="s">
        <v>12</v>
      </c>
    </row>
    <row r="6884" spans="1:14" x14ac:dyDescent="0.25">
      <c r="A6884">
        <v>20160617</v>
      </c>
      <c r="B6884" t="str">
        <f t="shared" si="505"/>
        <v>063926</v>
      </c>
      <c r="C6884" t="str">
        <f t="shared" si="506"/>
        <v>80481</v>
      </c>
      <c r="D6884" t="s">
        <v>1935</v>
      </c>
      <c r="E6884" s="3">
        <v>74</v>
      </c>
      <c r="F6884">
        <v>20160615</v>
      </c>
      <c r="G6884" t="s">
        <v>1940</v>
      </c>
      <c r="H6884" t="s">
        <v>5172</v>
      </c>
      <c r="I6884">
        <v>0</v>
      </c>
      <c r="J6884" t="s">
        <v>1709</v>
      </c>
      <c r="K6884" t="s">
        <v>290</v>
      </c>
      <c r="L6884" t="s">
        <v>285</v>
      </c>
      <c r="M6884" t="str">
        <f t="shared" si="504"/>
        <v>06</v>
      </c>
      <c r="N6884" t="s">
        <v>12</v>
      </c>
    </row>
    <row r="6885" spans="1:14" x14ac:dyDescent="0.25">
      <c r="A6885">
        <v>20160617</v>
      </c>
      <c r="B6885" t="str">
        <f t="shared" si="505"/>
        <v>063926</v>
      </c>
      <c r="C6885" t="str">
        <f t="shared" si="506"/>
        <v>80481</v>
      </c>
      <c r="D6885" t="s">
        <v>1935</v>
      </c>
      <c r="E6885" s="3">
        <v>158.34</v>
      </c>
      <c r="F6885">
        <v>20160615</v>
      </c>
      <c r="G6885" t="s">
        <v>1941</v>
      </c>
      <c r="H6885" t="s">
        <v>5696</v>
      </c>
      <c r="I6885">
        <v>0</v>
      </c>
      <c r="J6885" t="s">
        <v>1709</v>
      </c>
      <c r="K6885" t="s">
        <v>1942</v>
      </c>
      <c r="L6885" t="s">
        <v>285</v>
      </c>
      <c r="M6885" t="str">
        <f t="shared" si="504"/>
        <v>06</v>
      </c>
      <c r="N6885" t="s">
        <v>12</v>
      </c>
    </row>
    <row r="6886" spans="1:14" x14ac:dyDescent="0.25">
      <c r="A6886">
        <v>20160617</v>
      </c>
      <c r="B6886" t="str">
        <f t="shared" si="505"/>
        <v>063926</v>
      </c>
      <c r="C6886" t="str">
        <f t="shared" si="506"/>
        <v>80481</v>
      </c>
      <c r="D6886" t="s">
        <v>1935</v>
      </c>
      <c r="E6886" s="3">
        <v>218.63</v>
      </c>
      <c r="F6886">
        <v>20160615</v>
      </c>
      <c r="G6886" t="s">
        <v>1941</v>
      </c>
      <c r="H6886" t="s">
        <v>5172</v>
      </c>
      <c r="I6886">
        <v>0</v>
      </c>
      <c r="J6886" t="s">
        <v>1709</v>
      </c>
      <c r="K6886" t="s">
        <v>1942</v>
      </c>
      <c r="L6886" t="s">
        <v>285</v>
      </c>
      <c r="M6886" t="str">
        <f t="shared" si="504"/>
        <v>06</v>
      </c>
      <c r="N6886" t="s">
        <v>12</v>
      </c>
    </row>
    <row r="6887" spans="1:14" x14ac:dyDescent="0.25">
      <c r="A6887">
        <v>20160617</v>
      </c>
      <c r="B6887" t="str">
        <f>"063927"</f>
        <v>063927</v>
      </c>
      <c r="C6887" t="str">
        <f>"80497"</f>
        <v>80497</v>
      </c>
      <c r="D6887" t="s">
        <v>3742</v>
      </c>
      <c r="E6887" s="3">
        <v>969.68</v>
      </c>
      <c r="F6887">
        <v>20160615</v>
      </c>
      <c r="G6887" t="s">
        <v>3743</v>
      </c>
      <c r="H6887" t="s">
        <v>5697</v>
      </c>
      <c r="I6887">
        <v>0</v>
      </c>
      <c r="J6887" t="s">
        <v>1709</v>
      </c>
      <c r="K6887" t="s">
        <v>1861</v>
      </c>
      <c r="L6887" t="s">
        <v>285</v>
      </c>
      <c r="M6887" t="str">
        <f t="shared" si="504"/>
        <v>06</v>
      </c>
      <c r="N6887" t="s">
        <v>12</v>
      </c>
    </row>
    <row r="6888" spans="1:14" x14ac:dyDescent="0.25">
      <c r="A6888">
        <v>20160617</v>
      </c>
      <c r="B6888" t="str">
        <f>"063928"</f>
        <v>063928</v>
      </c>
      <c r="C6888" t="str">
        <f>"81779"</f>
        <v>81779</v>
      </c>
      <c r="D6888" t="s">
        <v>4697</v>
      </c>
      <c r="E6888" s="3">
        <v>68.31</v>
      </c>
      <c r="F6888">
        <v>20160615</v>
      </c>
      <c r="G6888" t="s">
        <v>2495</v>
      </c>
      <c r="H6888" t="s">
        <v>5698</v>
      </c>
      <c r="I6888">
        <v>0</v>
      </c>
      <c r="J6888" t="s">
        <v>1709</v>
      </c>
      <c r="K6888" t="s">
        <v>235</v>
      </c>
      <c r="L6888" t="s">
        <v>285</v>
      </c>
      <c r="M6888" t="str">
        <f t="shared" si="504"/>
        <v>06</v>
      </c>
      <c r="N6888" t="s">
        <v>12</v>
      </c>
    </row>
    <row r="6889" spans="1:14" x14ac:dyDescent="0.25">
      <c r="A6889">
        <v>20160617</v>
      </c>
      <c r="B6889" t="str">
        <f>"063928"</f>
        <v>063928</v>
      </c>
      <c r="C6889" t="str">
        <f>"81779"</f>
        <v>81779</v>
      </c>
      <c r="D6889" t="s">
        <v>4697</v>
      </c>
      <c r="E6889" s="3">
        <v>226.1</v>
      </c>
      <c r="F6889">
        <v>20160615</v>
      </c>
      <c r="G6889" t="s">
        <v>3960</v>
      </c>
      <c r="H6889" t="s">
        <v>5607</v>
      </c>
      <c r="I6889">
        <v>0</v>
      </c>
      <c r="J6889" t="s">
        <v>1709</v>
      </c>
      <c r="K6889" t="s">
        <v>95</v>
      </c>
      <c r="L6889" t="s">
        <v>285</v>
      </c>
      <c r="M6889" t="str">
        <f t="shared" si="504"/>
        <v>06</v>
      </c>
      <c r="N6889" t="s">
        <v>12</v>
      </c>
    </row>
    <row r="6890" spans="1:14" x14ac:dyDescent="0.25">
      <c r="A6890">
        <v>20160617</v>
      </c>
      <c r="B6890" t="str">
        <f>"063929"</f>
        <v>063929</v>
      </c>
      <c r="C6890" t="str">
        <f>"58985"</f>
        <v>58985</v>
      </c>
      <c r="D6890" t="s">
        <v>3985</v>
      </c>
      <c r="E6890" s="3">
        <v>150</v>
      </c>
      <c r="F6890">
        <v>20160615</v>
      </c>
      <c r="G6890" t="s">
        <v>4966</v>
      </c>
      <c r="H6890" t="s">
        <v>5699</v>
      </c>
      <c r="I6890">
        <v>0</v>
      </c>
      <c r="J6890" t="s">
        <v>1709</v>
      </c>
      <c r="K6890" t="s">
        <v>235</v>
      </c>
      <c r="L6890" t="s">
        <v>285</v>
      </c>
      <c r="M6890" t="str">
        <f t="shared" si="504"/>
        <v>06</v>
      </c>
      <c r="N6890" t="s">
        <v>12</v>
      </c>
    </row>
    <row r="6891" spans="1:14" x14ac:dyDescent="0.25">
      <c r="A6891">
        <v>20160617</v>
      </c>
      <c r="B6891" t="str">
        <f>"063931"</f>
        <v>063931</v>
      </c>
      <c r="C6891" t="str">
        <f>"65426"</f>
        <v>65426</v>
      </c>
      <c r="D6891" t="s">
        <v>3392</v>
      </c>
      <c r="E6891" s="3">
        <v>1000.97</v>
      </c>
      <c r="F6891">
        <v>20160615</v>
      </c>
      <c r="G6891" t="s">
        <v>3393</v>
      </c>
      <c r="H6891" t="s">
        <v>5700</v>
      </c>
      <c r="I6891">
        <v>0</v>
      </c>
      <c r="J6891" t="s">
        <v>1709</v>
      </c>
      <c r="K6891" t="s">
        <v>290</v>
      </c>
      <c r="L6891" t="s">
        <v>285</v>
      </c>
      <c r="M6891" t="str">
        <f t="shared" si="504"/>
        <v>06</v>
      </c>
      <c r="N6891" t="s">
        <v>12</v>
      </c>
    </row>
    <row r="6892" spans="1:14" x14ac:dyDescent="0.25">
      <c r="A6892">
        <v>20160617</v>
      </c>
      <c r="B6892" t="str">
        <f>"063931"</f>
        <v>063931</v>
      </c>
      <c r="C6892" t="str">
        <f>"65426"</f>
        <v>65426</v>
      </c>
      <c r="D6892" t="s">
        <v>3392</v>
      </c>
      <c r="E6892" s="3">
        <v>154.63999999999999</v>
      </c>
      <c r="F6892">
        <v>20160615</v>
      </c>
      <c r="G6892" t="s">
        <v>3393</v>
      </c>
      <c r="H6892" t="s">
        <v>5700</v>
      </c>
      <c r="I6892">
        <v>0</v>
      </c>
      <c r="J6892" t="s">
        <v>1709</v>
      </c>
      <c r="K6892" t="s">
        <v>290</v>
      </c>
      <c r="L6892" t="s">
        <v>285</v>
      </c>
      <c r="M6892" t="str">
        <f t="shared" si="504"/>
        <v>06</v>
      </c>
      <c r="N6892" t="s">
        <v>12</v>
      </c>
    </row>
    <row r="6893" spans="1:14" x14ac:dyDescent="0.25">
      <c r="A6893">
        <v>20160617</v>
      </c>
      <c r="B6893" t="str">
        <f>"063931"</f>
        <v>063931</v>
      </c>
      <c r="C6893" t="str">
        <f>"65426"</f>
        <v>65426</v>
      </c>
      <c r="D6893" t="s">
        <v>3392</v>
      </c>
      <c r="E6893" s="3">
        <v>913.29</v>
      </c>
      <c r="F6893">
        <v>20160615</v>
      </c>
      <c r="G6893" t="s">
        <v>3393</v>
      </c>
      <c r="H6893" t="s">
        <v>5700</v>
      </c>
      <c r="I6893">
        <v>0</v>
      </c>
      <c r="J6893" t="s">
        <v>1709</v>
      </c>
      <c r="K6893" t="s">
        <v>290</v>
      </c>
      <c r="L6893" t="s">
        <v>285</v>
      </c>
      <c r="M6893" t="str">
        <f t="shared" si="504"/>
        <v>06</v>
      </c>
      <c r="N6893" t="s">
        <v>12</v>
      </c>
    </row>
    <row r="6894" spans="1:14" x14ac:dyDescent="0.25">
      <c r="A6894">
        <v>20160617</v>
      </c>
      <c r="B6894" t="str">
        <f>"063931"</f>
        <v>063931</v>
      </c>
      <c r="C6894" t="str">
        <f>"65426"</f>
        <v>65426</v>
      </c>
      <c r="D6894" t="s">
        <v>3392</v>
      </c>
      <c r="E6894" s="3">
        <v>28.68</v>
      </c>
      <c r="F6894">
        <v>20160615</v>
      </c>
      <c r="G6894" t="s">
        <v>3393</v>
      </c>
      <c r="H6894" t="s">
        <v>5700</v>
      </c>
      <c r="I6894">
        <v>0</v>
      </c>
      <c r="J6894" t="s">
        <v>1709</v>
      </c>
      <c r="K6894" t="s">
        <v>290</v>
      </c>
      <c r="L6894" t="s">
        <v>285</v>
      </c>
      <c r="M6894" t="str">
        <f t="shared" si="504"/>
        <v>06</v>
      </c>
      <c r="N6894" t="s">
        <v>12</v>
      </c>
    </row>
    <row r="6895" spans="1:14" x14ac:dyDescent="0.25">
      <c r="A6895">
        <v>20160617</v>
      </c>
      <c r="B6895" t="str">
        <f>"063932"</f>
        <v>063932</v>
      </c>
      <c r="C6895" t="str">
        <f>"49589"</f>
        <v>49589</v>
      </c>
      <c r="D6895" t="s">
        <v>4700</v>
      </c>
      <c r="E6895" s="3">
        <v>285.52999999999997</v>
      </c>
      <c r="F6895">
        <v>20160615</v>
      </c>
      <c r="G6895" t="s">
        <v>2767</v>
      </c>
      <c r="H6895" t="s">
        <v>2023</v>
      </c>
      <c r="I6895">
        <v>0</v>
      </c>
      <c r="J6895" t="s">
        <v>1709</v>
      </c>
      <c r="K6895" t="s">
        <v>95</v>
      </c>
      <c r="L6895" t="s">
        <v>285</v>
      </c>
      <c r="M6895" t="str">
        <f t="shared" si="504"/>
        <v>06</v>
      </c>
      <c r="N6895" t="s">
        <v>12</v>
      </c>
    </row>
    <row r="6896" spans="1:14" x14ac:dyDescent="0.25">
      <c r="A6896">
        <v>20160623</v>
      </c>
      <c r="B6896" t="str">
        <f>"063933"</f>
        <v>063933</v>
      </c>
      <c r="C6896" t="str">
        <f>"03710"</f>
        <v>03710</v>
      </c>
      <c r="D6896" t="s">
        <v>1553</v>
      </c>
      <c r="E6896" s="3">
        <v>246.98</v>
      </c>
      <c r="F6896">
        <v>20160622</v>
      </c>
      <c r="G6896" t="s">
        <v>2303</v>
      </c>
      <c r="H6896" t="s">
        <v>595</v>
      </c>
      <c r="I6896">
        <v>0</v>
      </c>
      <c r="J6896" t="s">
        <v>1709</v>
      </c>
      <c r="K6896" t="s">
        <v>235</v>
      </c>
      <c r="L6896" t="s">
        <v>285</v>
      </c>
      <c r="M6896" t="str">
        <f t="shared" si="504"/>
        <v>06</v>
      </c>
      <c r="N6896" t="s">
        <v>12</v>
      </c>
    </row>
    <row r="6897" spans="1:14" x14ac:dyDescent="0.25">
      <c r="A6897">
        <v>20160623</v>
      </c>
      <c r="B6897" t="str">
        <f>"063933"</f>
        <v>063933</v>
      </c>
      <c r="C6897" t="str">
        <f>"03710"</f>
        <v>03710</v>
      </c>
      <c r="D6897" t="s">
        <v>1553</v>
      </c>
      <c r="E6897" s="3">
        <v>57.72</v>
      </c>
      <c r="F6897">
        <v>20160622</v>
      </c>
      <c r="G6897" t="s">
        <v>2303</v>
      </c>
      <c r="H6897" t="s">
        <v>2786</v>
      </c>
      <c r="I6897">
        <v>0</v>
      </c>
      <c r="J6897" t="s">
        <v>1709</v>
      </c>
      <c r="K6897" t="s">
        <v>235</v>
      </c>
      <c r="L6897" t="s">
        <v>285</v>
      </c>
      <c r="M6897" t="str">
        <f t="shared" si="504"/>
        <v>06</v>
      </c>
      <c r="N6897" t="s">
        <v>12</v>
      </c>
    </row>
    <row r="6898" spans="1:14" x14ac:dyDescent="0.25">
      <c r="A6898">
        <v>20160623</v>
      </c>
      <c r="B6898" t="str">
        <f>"063933"</f>
        <v>063933</v>
      </c>
      <c r="C6898" t="str">
        <f>"03710"</f>
        <v>03710</v>
      </c>
      <c r="D6898" t="s">
        <v>1553</v>
      </c>
      <c r="E6898" s="3">
        <v>697.21</v>
      </c>
      <c r="F6898">
        <v>20160622</v>
      </c>
      <c r="G6898" t="s">
        <v>2049</v>
      </c>
      <c r="H6898" t="s">
        <v>595</v>
      </c>
      <c r="I6898">
        <v>0</v>
      </c>
      <c r="J6898" t="s">
        <v>1709</v>
      </c>
      <c r="K6898" t="s">
        <v>1775</v>
      </c>
      <c r="L6898" t="s">
        <v>285</v>
      </c>
      <c r="M6898" t="str">
        <f t="shared" si="504"/>
        <v>06</v>
      </c>
      <c r="N6898" t="s">
        <v>12</v>
      </c>
    </row>
    <row r="6899" spans="1:14" x14ac:dyDescent="0.25">
      <c r="A6899">
        <v>20160623</v>
      </c>
      <c r="B6899" t="str">
        <f>"063933"</f>
        <v>063933</v>
      </c>
      <c r="C6899" t="str">
        <f>"03710"</f>
        <v>03710</v>
      </c>
      <c r="D6899" t="s">
        <v>1553</v>
      </c>
      <c r="E6899" s="3">
        <v>53.61</v>
      </c>
      <c r="F6899">
        <v>20160622</v>
      </c>
      <c r="G6899" t="s">
        <v>2049</v>
      </c>
      <c r="H6899" t="s">
        <v>595</v>
      </c>
      <c r="I6899">
        <v>0</v>
      </c>
      <c r="J6899" t="s">
        <v>1709</v>
      </c>
      <c r="K6899" t="s">
        <v>1775</v>
      </c>
      <c r="L6899" t="s">
        <v>285</v>
      </c>
      <c r="M6899" t="str">
        <f t="shared" si="504"/>
        <v>06</v>
      </c>
      <c r="N6899" t="s">
        <v>12</v>
      </c>
    </row>
    <row r="6900" spans="1:14" x14ac:dyDescent="0.25">
      <c r="A6900">
        <v>20160623</v>
      </c>
      <c r="B6900" t="str">
        <f>"063934"</f>
        <v>063934</v>
      </c>
      <c r="C6900" t="str">
        <f>"29779"</f>
        <v>29779</v>
      </c>
      <c r="D6900" t="s">
        <v>1806</v>
      </c>
      <c r="E6900" s="3">
        <v>587.48</v>
      </c>
      <c r="F6900">
        <v>20160622</v>
      </c>
      <c r="G6900" t="s">
        <v>2192</v>
      </c>
      <c r="H6900" t="s">
        <v>2051</v>
      </c>
      <c r="I6900">
        <v>0</v>
      </c>
      <c r="J6900" t="s">
        <v>1709</v>
      </c>
      <c r="K6900" t="s">
        <v>2194</v>
      </c>
      <c r="L6900" t="s">
        <v>285</v>
      </c>
      <c r="M6900" t="str">
        <f t="shared" si="504"/>
        <v>06</v>
      </c>
      <c r="N6900" t="s">
        <v>12</v>
      </c>
    </row>
    <row r="6901" spans="1:14" x14ac:dyDescent="0.25">
      <c r="A6901">
        <v>20160623</v>
      </c>
      <c r="B6901" t="str">
        <f>"063935"</f>
        <v>063935</v>
      </c>
      <c r="C6901" t="str">
        <f>"64653"</f>
        <v>64653</v>
      </c>
      <c r="D6901" t="s">
        <v>1946</v>
      </c>
      <c r="E6901" s="3">
        <v>5581.38</v>
      </c>
      <c r="F6901">
        <v>20160622</v>
      </c>
      <c r="G6901" t="s">
        <v>4884</v>
      </c>
      <c r="H6901" t="s">
        <v>4885</v>
      </c>
      <c r="I6901">
        <v>0</v>
      </c>
      <c r="J6901" t="s">
        <v>1709</v>
      </c>
      <c r="K6901" t="s">
        <v>290</v>
      </c>
      <c r="L6901" t="s">
        <v>285</v>
      </c>
      <c r="M6901" t="str">
        <f t="shared" si="504"/>
        <v>06</v>
      </c>
      <c r="N6901" t="s">
        <v>12</v>
      </c>
    </row>
    <row r="6902" spans="1:14" x14ac:dyDescent="0.25">
      <c r="A6902">
        <v>20160623</v>
      </c>
      <c r="B6902" t="str">
        <f>"063936"</f>
        <v>063936</v>
      </c>
      <c r="C6902" t="str">
        <f>"07685"</f>
        <v>07685</v>
      </c>
      <c r="D6902" t="s">
        <v>1813</v>
      </c>
      <c r="E6902" s="3">
        <v>6145</v>
      </c>
      <c r="F6902">
        <v>20160622</v>
      </c>
      <c r="G6902" t="s">
        <v>3668</v>
      </c>
      <c r="H6902" t="s">
        <v>5701</v>
      </c>
      <c r="I6902">
        <v>0</v>
      </c>
      <c r="J6902" t="s">
        <v>1709</v>
      </c>
      <c r="K6902" t="s">
        <v>2820</v>
      </c>
      <c r="L6902" t="s">
        <v>285</v>
      </c>
      <c r="M6902" t="str">
        <f t="shared" si="504"/>
        <v>06</v>
      </c>
      <c r="N6902" t="s">
        <v>12</v>
      </c>
    </row>
    <row r="6903" spans="1:14" x14ac:dyDescent="0.25">
      <c r="A6903">
        <v>20160623</v>
      </c>
      <c r="B6903" t="str">
        <f t="shared" ref="B6903:B6934" si="507">"063937"</f>
        <v>063937</v>
      </c>
      <c r="C6903" t="str">
        <f t="shared" ref="C6903:C6934" si="508">"09170"</f>
        <v>09170</v>
      </c>
      <c r="D6903" t="s">
        <v>596</v>
      </c>
      <c r="E6903" s="3">
        <v>103.89</v>
      </c>
      <c r="F6903">
        <v>20160622</v>
      </c>
      <c r="G6903" t="s">
        <v>2731</v>
      </c>
      <c r="H6903" t="s">
        <v>5398</v>
      </c>
      <c r="I6903">
        <v>0</v>
      </c>
      <c r="J6903" t="s">
        <v>1709</v>
      </c>
      <c r="K6903" t="s">
        <v>290</v>
      </c>
      <c r="L6903" t="s">
        <v>285</v>
      </c>
      <c r="M6903" t="str">
        <f t="shared" si="504"/>
        <v>06</v>
      </c>
      <c r="N6903" t="s">
        <v>12</v>
      </c>
    </row>
    <row r="6904" spans="1:14" x14ac:dyDescent="0.25">
      <c r="A6904">
        <v>20160623</v>
      </c>
      <c r="B6904" t="str">
        <f t="shared" si="507"/>
        <v>063937</v>
      </c>
      <c r="C6904" t="str">
        <f t="shared" si="508"/>
        <v>09170</v>
      </c>
      <c r="D6904" t="s">
        <v>596</v>
      </c>
      <c r="E6904" s="3">
        <v>171</v>
      </c>
      <c r="F6904">
        <v>20160622</v>
      </c>
      <c r="G6904" t="s">
        <v>2829</v>
      </c>
      <c r="H6904" t="s">
        <v>5702</v>
      </c>
      <c r="I6904">
        <v>0</v>
      </c>
      <c r="J6904" t="s">
        <v>1709</v>
      </c>
      <c r="K6904" t="s">
        <v>290</v>
      </c>
      <c r="L6904" t="s">
        <v>285</v>
      </c>
      <c r="M6904" t="str">
        <f t="shared" si="504"/>
        <v>06</v>
      </c>
      <c r="N6904" t="s">
        <v>12</v>
      </c>
    </row>
    <row r="6905" spans="1:14" x14ac:dyDescent="0.25">
      <c r="A6905">
        <v>20160623</v>
      </c>
      <c r="B6905" t="str">
        <f t="shared" si="507"/>
        <v>063937</v>
      </c>
      <c r="C6905" t="str">
        <f t="shared" si="508"/>
        <v>09170</v>
      </c>
      <c r="D6905" t="s">
        <v>596</v>
      </c>
      <c r="E6905" s="3">
        <v>516</v>
      </c>
      <c r="F6905">
        <v>20160622</v>
      </c>
      <c r="G6905" t="s">
        <v>2829</v>
      </c>
      <c r="H6905" t="s">
        <v>5703</v>
      </c>
      <c r="I6905">
        <v>0</v>
      </c>
      <c r="J6905" t="s">
        <v>1709</v>
      </c>
      <c r="K6905" t="s">
        <v>290</v>
      </c>
      <c r="L6905" t="s">
        <v>285</v>
      </c>
      <c r="M6905" t="str">
        <f t="shared" si="504"/>
        <v>06</v>
      </c>
      <c r="N6905" t="s">
        <v>12</v>
      </c>
    </row>
    <row r="6906" spans="1:14" x14ac:dyDescent="0.25">
      <c r="A6906">
        <v>20160623</v>
      </c>
      <c r="B6906" t="str">
        <f t="shared" si="507"/>
        <v>063937</v>
      </c>
      <c r="C6906" t="str">
        <f t="shared" si="508"/>
        <v>09170</v>
      </c>
      <c r="D6906" t="s">
        <v>596</v>
      </c>
      <c r="E6906" s="3">
        <v>1200</v>
      </c>
      <c r="F6906">
        <v>20160622</v>
      </c>
      <c r="G6906" t="s">
        <v>2325</v>
      </c>
      <c r="H6906" t="s">
        <v>5408</v>
      </c>
      <c r="I6906">
        <v>0</v>
      </c>
      <c r="J6906" t="s">
        <v>1709</v>
      </c>
      <c r="K6906" t="s">
        <v>1643</v>
      </c>
      <c r="L6906" t="s">
        <v>285</v>
      </c>
      <c r="M6906" t="str">
        <f t="shared" si="504"/>
        <v>06</v>
      </c>
      <c r="N6906" t="s">
        <v>12</v>
      </c>
    </row>
    <row r="6907" spans="1:14" x14ac:dyDescent="0.25">
      <c r="A6907">
        <v>20160623</v>
      </c>
      <c r="B6907" t="str">
        <f t="shared" si="507"/>
        <v>063937</v>
      </c>
      <c r="C6907" t="str">
        <f t="shared" si="508"/>
        <v>09170</v>
      </c>
      <c r="D6907" t="s">
        <v>596</v>
      </c>
      <c r="E6907" s="3">
        <v>399.99</v>
      </c>
      <c r="F6907">
        <v>20160622</v>
      </c>
      <c r="G6907" t="s">
        <v>1974</v>
      </c>
      <c r="H6907" t="s">
        <v>5440</v>
      </c>
      <c r="I6907">
        <v>0</v>
      </c>
      <c r="J6907" t="s">
        <v>1709</v>
      </c>
      <c r="K6907" t="s">
        <v>290</v>
      </c>
      <c r="L6907" t="s">
        <v>285</v>
      </c>
      <c r="M6907" t="str">
        <f t="shared" si="504"/>
        <v>06</v>
      </c>
      <c r="N6907" t="s">
        <v>12</v>
      </c>
    </row>
    <row r="6908" spans="1:14" x14ac:dyDescent="0.25">
      <c r="A6908">
        <v>20160623</v>
      </c>
      <c r="B6908" t="str">
        <f t="shared" si="507"/>
        <v>063937</v>
      </c>
      <c r="C6908" t="str">
        <f t="shared" si="508"/>
        <v>09170</v>
      </c>
      <c r="D6908" t="s">
        <v>596</v>
      </c>
      <c r="E6908" s="3">
        <v>116.31</v>
      </c>
      <c r="F6908">
        <v>20160622</v>
      </c>
      <c r="G6908" t="s">
        <v>1974</v>
      </c>
      <c r="H6908" t="s">
        <v>5398</v>
      </c>
      <c r="I6908">
        <v>0</v>
      </c>
      <c r="J6908" t="s">
        <v>1709</v>
      </c>
      <c r="K6908" t="s">
        <v>290</v>
      </c>
      <c r="L6908" t="s">
        <v>285</v>
      </c>
      <c r="M6908" t="str">
        <f t="shared" si="504"/>
        <v>06</v>
      </c>
      <c r="N6908" t="s">
        <v>12</v>
      </c>
    </row>
    <row r="6909" spans="1:14" x14ac:dyDescent="0.25">
      <c r="A6909">
        <v>20160623</v>
      </c>
      <c r="B6909" t="str">
        <f t="shared" si="507"/>
        <v>063937</v>
      </c>
      <c r="C6909" t="str">
        <f t="shared" si="508"/>
        <v>09170</v>
      </c>
      <c r="D6909" t="s">
        <v>596</v>
      </c>
      <c r="E6909" s="3">
        <v>355.07</v>
      </c>
      <c r="F6909">
        <v>20160622</v>
      </c>
      <c r="G6909" t="s">
        <v>1974</v>
      </c>
      <c r="H6909" t="s">
        <v>5704</v>
      </c>
      <c r="I6909">
        <v>0</v>
      </c>
      <c r="J6909" t="s">
        <v>1709</v>
      </c>
      <c r="K6909" t="s">
        <v>290</v>
      </c>
      <c r="L6909" t="s">
        <v>285</v>
      </c>
      <c r="M6909" t="str">
        <f t="shared" si="504"/>
        <v>06</v>
      </c>
      <c r="N6909" t="s">
        <v>12</v>
      </c>
    </row>
    <row r="6910" spans="1:14" x14ac:dyDescent="0.25">
      <c r="A6910">
        <v>20160623</v>
      </c>
      <c r="B6910" t="str">
        <f t="shared" si="507"/>
        <v>063937</v>
      </c>
      <c r="C6910" t="str">
        <f t="shared" si="508"/>
        <v>09170</v>
      </c>
      <c r="D6910" t="s">
        <v>596</v>
      </c>
      <c r="E6910" s="3">
        <v>151.43</v>
      </c>
      <c r="F6910">
        <v>20160622</v>
      </c>
      <c r="G6910" t="s">
        <v>1974</v>
      </c>
      <c r="H6910" t="s">
        <v>5705</v>
      </c>
      <c r="I6910">
        <v>0</v>
      </c>
      <c r="J6910" t="s">
        <v>1709</v>
      </c>
      <c r="K6910" t="s">
        <v>290</v>
      </c>
      <c r="L6910" t="s">
        <v>285</v>
      </c>
      <c r="M6910" t="str">
        <f t="shared" si="504"/>
        <v>06</v>
      </c>
      <c r="N6910" t="s">
        <v>12</v>
      </c>
    </row>
    <row r="6911" spans="1:14" x14ac:dyDescent="0.25">
      <c r="A6911">
        <v>20160623</v>
      </c>
      <c r="B6911" t="str">
        <f t="shared" si="507"/>
        <v>063937</v>
      </c>
      <c r="C6911" t="str">
        <f t="shared" si="508"/>
        <v>09170</v>
      </c>
      <c r="D6911" t="s">
        <v>596</v>
      </c>
      <c r="E6911" s="3">
        <v>85.27</v>
      </c>
      <c r="F6911">
        <v>20160622</v>
      </c>
      <c r="G6911" t="s">
        <v>1974</v>
      </c>
      <c r="H6911" t="s">
        <v>595</v>
      </c>
      <c r="I6911">
        <v>0</v>
      </c>
      <c r="J6911" t="s">
        <v>1709</v>
      </c>
      <c r="K6911" t="s">
        <v>290</v>
      </c>
      <c r="L6911" t="s">
        <v>285</v>
      </c>
      <c r="M6911" t="str">
        <f t="shared" si="504"/>
        <v>06</v>
      </c>
      <c r="N6911" t="s">
        <v>12</v>
      </c>
    </row>
    <row r="6912" spans="1:14" x14ac:dyDescent="0.25">
      <c r="A6912">
        <v>20160623</v>
      </c>
      <c r="B6912" t="str">
        <f t="shared" si="507"/>
        <v>063937</v>
      </c>
      <c r="C6912" t="str">
        <f t="shared" si="508"/>
        <v>09170</v>
      </c>
      <c r="D6912" t="s">
        <v>596</v>
      </c>
      <c r="E6912" s="3">
        <v>114.29</v>
      </c>
      <c r="F6912">
        <v>20160622</v>
      </c>
      <c r="G6912" t="s">
        <v>2412</v>
      </c>
      <c r="H6912" t="s">
        <v>5398</v>
      </c>
      <c r="I6912">
        <v>0</v>
      </c>
      <c r="J6912" t="s">
        <v>1709</v>
      </c>
      <c r="K6912" t="s">
        <v>290</v>
      </c>
      <c r="L6912" t="s">
        <v>285</v>
      </c>
      <c r="M6912" t="str">
        <f t="shared" si="504"/>
        <v>06</v>
      </c>
      <c r="N6912" t="s">
        <v>12</v>
      </c>
    </row>
    <row r="6913" spans="1:14" x14ac:dyDescent="0.25">
      <c r="A6913">
        <v>20160623</v>
      </c>
      <c r="B6913" t="str">
        <f t="shared" si="507"/>
        <v>063937</v>
      </c>
      <c r="C6913" t="str">
        <f t="shared" si="508"/>
        <v>09170</v>
      </c>
      <c r="D6913" t="s">
        <v>596</v>
      </c>
      <c r="E6913" s="3">
        <v>89.99</v>
      </c>
      <c r="F6913">
        <v>20160622</v>
      </c>
      <c r="G6913" t="s">
        <v>2133</v>
      </c>
      <c r="H6913" t="s">
        <v>5398</v>
      </c>
      <c r="I6913">
        <v>0</v>
      </c>
      <c r="J6913" t="s">
        <v>1709</v>
      </c>
      <c r="K6913" t="s">
        <v>290</v>
      </c>
      <c r="L6913" t="s">
        <v>285</v>
      </c>
      <c r="M6913" t="str">
        <f t="shared" ref="M6913:M6976" si="509">"06"</f>
        <v>06</v>
      </c>
      <c r="N6913" t="s">
        <v>12</v>
      </c>
    </row>
    <row r="6914" spans="1:14" x14ac:dyDescent="0.25">
      <c r="A6914">
        <v>20160623</v>
      </c>
      <c r="B6914" t="str">
        <f t="shared" si="507"/>
        <v>063937</v>
      </c>
      <c r="C6914" t="str">
        <f t="shared" si="508"/>
        <v>09170</v>
      </c>
      <c r="D6914" t="s">
        <v>596</v>
      </c>
      <c r="E6914" s="3">
        <v>269.98</v>
      </c>
      <c r="F6914">
        <v>20160622</v>
      </c>
      <c r="G6914" t="s">
        <v>2199</v>
      </c>
      <c r="H6914" t="s">
        <v>5706</v>
      </c>
      <c r="I6914">
        <v>0</v>
      </c>
      <c r="J6914" t="s">
        <v>1709</v>
      </c>
      <c r="K6914" t="s">
        <v>290</v>
      </c>
      <c r="L6914" t="s">
        <v>285</v>
      </c>
      <c r="M6914" t="str">
        <f t="shared" si="509"/>
        <v>06</v>
      </c>
      <c r="N6914" t="s">
        <v>12</v>
      </c>
    </row>
    <row r="6915" spans="1:14" x14ac:dyDescent="0.25">
      <c r="A6915">
        <v>20160623</v>
      </c>
      <c r="B6915" t="str">
        <f t="shared" si="507"/>
        <v>063937</v>
      </c>
      <c r="C6915" t="str">
        <f t="shared" si="508"/>
        <v>09170</v>
      </c>
      <c r="D6915" t="s">
        <v>596</v>
      </c>
      <c r="E6915" s="3">
        <v>992.27</v>
      </c>
      <c r="F6915">
        <v>20160622</v>
      </c>
      <c r="G6915" t="s">
        <v>2199</v>
      </c>
      <c r="H6915" t="s">
        <v>5707</v>
      </c>
      <c r="I6915">
        <v>0</v>
      </c>
      <c r="J6915" t="s">
        <v>1709</v>
      </c>
      <c r="K6915" t="s">
        <v>290</v>
      </c>
      <c r="L6915" t="s">
        <v>285</v>
      </c>
      <c r="M6915" t="str">
        <f t="shared" si="509"/>
        <v>06</v>
      </c>
      <c r="N6915" t="s">
        <v>12</v>
      </c>
    </row>
    <row r="6916" spans="1:14" x14ac:dyDescent="0.25">
      <c r="A6916">
        <v>20160623</v>
      </c>
      <c r="B6916" t="str">
        <f t="shared" si="507"/>
        <v>063937</v>
      </c>
      <c r="C6916" t="str">
        <f t="shared" si="508"/>
        <v>09170</v>
      </c>
      <c r="D6916" t="s">
        <v>596</v>
      </c>
      <c r="E6916" s="3">
        <v>255.2</v>
      </c>
      <c r="F6916">
        <v>20160622</v>
      </c>
      <c r="G6916" t="s">
        <v>2027</v>
      </c>
      <c r="H6916" t="s">
        <v>5708</v>
      </c>
      <c r="I6916">
        <v>0</v>
      </c>
      <c r="J6916" t="s">
        <v>1709</v>
      </c>
      <c r="K6916" t="s">
        <v>290</v>
      </c>
      <c r="L6916" t="s">
        <v>285</v>
      </c>
      <c r="M6916" t="str">
        <f t="shared" si="509"/>
        <v>06</v>
      </c>
      <c r="N6916" t="s">
        <v>12</v>
      </c>
    </row>
    <row r="6917" spans="1:14" x14ac:dyDescent="0.25">
      <c r="A6917">
        <v>20160623</v>
      </c>
      <c r="B6917" t="str">
        <f t="shared" si="507"/>
        <v>063937</v>
      </c>
      <c r="C6917" t="str">
        <f t="shared" si="508"/>
        <v>09170</v>
      </c>
      <c r="D6917" t="s">
        <v>596</v>
      </c>
      <c r="E6917" s="3">
        <v>740</v>
      </c>
      <c r="F6917">
        <v>20160622</v>
      </c>
      <c r="G6917" t="s">
        <v>2027</v>
      </c>
      <c r="H6917" t="s">
        <v>5708</v>
      </c>
      <c r="I6917">
        <v>0</v>
      </c>
      <c r="J6917" t="s">
        <v>1709</v>
      </c>
      <c r="K6917" t="s">
        <v>290</v>
      </c>
      <c r="L6917" t="s">
        <v>285</v>
      </c>
      <c r="M6917" t="str">
        <f t="shared" si="509"/>
        <v>06</v>
      </c>
      <c r="N6917" t="s">
        <v>12</v>
      </c>
    </row>
    <row r="6918" spans="1:14" x14ac:dyDescent="0.25">
      <c r="A6918">
        <v>20160623</v>
      </c>
      <c r="B6918" t="str">
        <f t="shared" si="507"/>
        <v>063937</v>
      </c>
      <c r="C6918" t="str">
        <f t="shared" si="508"/>
        <v>09170</v>
      </c>
      <c r="D6918" t="s">
        <v>596</v>
      </c>
      <c r="E6918" s="3">
        <v>85.68</v>
      </c>
      <c r="F6918">
        <v>20160622</v>
      </c>
      <c r="G6918" t="s">
        <v>2027</v>
      </c>
      <c r="H6918" t="s">
        <v>5708</v>
      </c>
      <c r="I6918">
        <v>0</v>
      </c>
      <c r="J6918" t="s">
        <v>1709</v>
      </c>
      <c r="K6918" t="s">
        <v>290</v>
      </c>
      <c r="L6918" t="s">
        <v>285</v>
      </c>
      <c r="M6918" t="str">
        <f t="shared" si="509"/>
        <v>06</v>
      </c>
      <c r="N6918" t="s">
        <v>12</v>
      </c>
    </row>
    <row r="6919" spans="1:14" x14ac:dyDescent="0.25">
      <c r="A6919">
        <v>20160623</v>
      </c>
      <c r="B6919" t="str">
        <f t="shared" si="507"/>
        <v>063937</v>
      </c>
      <c r="C6919" t="str">
        <f t="shared" si="508"/>
        <v>09170</v>
      </c>
      <c r="D6919" t="s">
        <v>596</v>
      </c>
      <c r="E6919" s="3">
        <v>39</v>
      </c>
      <c r="F6919">
        <v>20160622</v>
      </c>
      <c r="G6919" t="s">
        <v>5709</v>
      </c>
      <c r="H6919" t="s">
        <v>5710</v>
      </c>
      <c r="I6919">
        <v>0</v>
      </c>
      <c r="J6919" t="s">
        <v>1709</v>
      </c>
      <c r="K6919" t="s">
        <v>290</v>
      </c>
      <c r="L6919" t="s">
        <v>285</v>
      </c>
      <c r="M6919" t="str">
        <f t="shared" si="509"/>
        <v>06</v>
      </c>
      <c r="N6919" t="s">
        <v>12</v>
      </c>
    </row>
    <row r="6920" spans="1:14" x14ac:dyDescent="0.25">
      <c r="A6920">
        <v>20160623</v>
      </c>
      <c r="B6920" t="str">
        <f t="shared" si="507"/>
        <v>063937</v>
      </c>
      <c r="C6920" t="str">
        <f t="shared" si="508"/>
        <v>09170</v>
      </c>
      <c r="D6920" t="s">
        <v>596</v>
      </c>
      <c r="E6920" s="3">
        <v>325</v>
      </c>
      <c r="F6920">
        <v>20160622</v>
      </c>
      <c r="G6920" t="s">
        <v>1794</v>
      </c>
      <c r="H6920" t="s">
        <v>5711</v>
      </c>
      <c r="I6920">
        <v>0</v>
      </c>
      <c r="J6920" t="s">
        <v>1709</v>
      </c>
      <c r="K6920" t="s">
        <v>290</v>
      </c>
      <c r="L6920" t="s">
        <v>285</v>
      </c>
      <c r="M6920" t="str">
        <f t="shared" si="509"/>
        <v>06</v>
      </c>
      <c r="N6920" t="s">
        <v>12</v>
      </c>
    </row>
    <row r="6921" spans="1:14" x14ac:dyDescent="0.25">
      <c r="A6921">
        <v>20160623</v>
      </c>
      <c r="B6921" t="str">
        <f t="shared" si="507"/>
        <v>063937</v>
      </c>
      <c r="C6921" t="str">
        <f t="shared" si="508"/>
        <v>09170</v>
      </c>
      <c r="D6921" t="s">
        <v>596</v>
      </c>
      <c r="E6921" s="3">
        <v>255.21</v>
      </c>
      <c r="F6921">
        <v>20160623</v>
      </c>
      <c r="G6921" t="s">
        <v>2360</v>
      </c>
      <c r="H6921" t="s">
        <v>2632</v>
      </c>
      <c r="I6921">
        <v>0</v>
      </c>
      <c r="J6921" t="s">
        <v>1709</v>
      </c>
      <c r="K6921" t="s">
        <v>1856</v>
      </c>
      <c r="L6921" t="s">
        <v>285</v>
      </c>
      <c r="M6921" t="str">
        <f t="shared" si="509"/>
        <v>06</v>
      </c>
      <c r="N6921" t="s">
        <v>12</v>
      </c>
    </row>
    <row r="6922" spans="1:14" x14ac:dyDescent="0.25">
      <c r="A6922">
        <v>20160623</v>
      </c>
      <c r="B6922" t="str">
        <f t="shared" si="507"/>
        <v>063937</v>
      </c>
      <c r="C6922" t="str">
        <f t="shared" si="508"/>
        <v>09170</v>
      </c>
      <c r="D6922" t="s">
        <v>596</v>
      </c>
      <c r="E6922" s="3">
        <v>98.23</v>
      </c>
      <c r="F6922">
        <v>20160622</v>
      </c>
      <c r="G6922" t="s">
        <v>2155</v>
      </c>
      <c r="H6922" t="s">
        <v>2752</v>
      </c>
      <c r="I6922">
        <v>0</v>
      </c>
      <c r="J6922" t="s">
        <v>1709</v>
      </c>
      <c r="K6922" t="s">
        <v>290</v>
      </c>
      <c r="L6922" t="s">
        <v>285</v>
      </c>
      <c r="M6922" t="str">
        <f t="shared" si="509"/>
        <v>06</v>
      </c>
      <c r="N6922" t="s">
        <v>12</v>
      </c>
    </row>
    <row r="6923" spans="1:14" x14ac:dyDescent="0.25">
      <c r="A6923">
        <v>20160623</v>
      </c>
      <c r="B6923" t="str">
        <f t="shared" si="507"/>
        <v>063937</v>
      </c>
      <c r="C6923" t="str">
        <f t="shared" si="508"/>
        <v>09170</v>
      </c>
      <c r="D6923" t="s">
        <v>596</v>
      </c>
      <c r="E6923" s="3">
        <v>229.99</v>
      </c>
      <c r="F6923">
        <v>20160622</v>
      </c>
      <c r="G6923" t="s">
        <v>2155</v>
      </c>
      <c r="H6923" t="s">
        <v>5712</v>
      </c>
      <c r="I6923">
        <v>0</v>
      </c>
      <c r="J6923" t="s">
        <v>1709</v>
      </c>
      <c r="K6923" t="s">
        <v>290</v>
      </c>
      <c r="L6923" t="s">
        <v>285</v>
      </c>
      <c r="M6923" t="str">
        <f t="shared" si="509"/>
        <v>06</v>
      </c>
      <c r="N6923" t="s">
        <v>12</v>
      </c>
    </row>
    <row r="6924" spans="1:14" x14ac:dyDescent="0.25">
      <c r="A6924">
        <v>20160623</v>
      </c>
      <c r="B6924" t="str">
        <f t="shared" si="507"/>
        <v>063937</v>
      </c>
      <c r="C6924" t="str">
        <f t="shared" si="508"/>
        <v>09170</v>
      </c>
      <c r="D6924" t="s">
        <v>596</v>
      </c>
      <c r="E6924" s="3">
        <v>21.55</v>
      </c>
      <c r="F6924">
        <v>20160622</v>
      </c>
      <c r="G6924" t="s">
        <v>2155</v>
      </c>
      <c r="H6924" t="s">
        <v>5713</v>
      </c>
      <c r="I6924">
        <v>0</v>
      </c>
      <c r="J6924" t="s">
        <v>1709</v>
      </c>
      <c r="K6924" t="s">
        <v>290</v>
      </c>
      <c r="L6924" t="s">
        <v>285</v>
      </c>
      <c r="M6924" t="str">
        <f t="shared" si="509"/>
        <v>06</v>
      </c>
      <c r="N6924" t="s">
        <v>12</v>
      </c>
    </row>
    <row r="6925" spans="1:14" x14ac:dyDescent="0.25">
      <c r="A6925">
        <v>20160623</v>
      </c>
      <c r="B6925" t="str">
        <f t="shared" si="507"/>
        <v>063937</v>
      </c>
      <c r="C6925" t="str">
        <f t="shared" si="508"/>
        <v>09170</v>
      </c>
      <c r="D6925" t="s">
        <v>596</v>
      </c>
      <c r="E6925" s="3">
        <v>28.79</v>
      </c>
      <c r="F6925">
        <v>20160622</v>
      </c>
      <c r="G6925" t="s">
        <v>2155</v>
      </c>
      <c r="H6925" t="s">
        <v>5714</v>
      </c>
      <c r="I6925">
        <v>0</v>
      </c>
      <c r="J6925" t="s">
        <v>1709</v>
      </c>
      <c r="K6925" t="s">
        <v>290</v>
      </c>
      <c r="L6925" t="s">
        <v>285</v>
      </c>
      <c r="M6925" t="str">
        <f t="shared" si="509"/>
        <v>06</v>
      </c>
      <c r="N6925" t="s">
        <v>12</v>
      </c>
    </row>
    <row r="6926" spans="1:14" x14ac:dyDescent="0.25">
      <c r="A6926">
        <v>20160623</v>
      </c>
      <c r="B6926" t="str">
        <f t="shared" si="507"/>
        <v>063937</v>
      </c>
      <c r="C6926" t="str">
        <f t="shared" si="508"/>
        <v>09170</v>
      </c>
      <c r="D6926" t="s">
        <v>596</v>
      </c>
      <c r="E6926" s="3">
        <v>46.48</v>
      </c>
      <c r="F6926">
        <v>20160622</v>
      </c>
      <c r="G6926" t="s">
        <v>2155</v>
      </c>
      <c r="H6926" t="s">
        <v>5715</v>
      </c>
      <c r="I6926">
        <v>0</v>
      </c>
      <c r="J6926" t="s">
        <v>1709</v>
      </c>
      <c r="K6926" t="s">
        <v>290</v>
      </c>
      <c r="L6926" t="s">
        <v>285</v>
      </c>
      <c r="M6926" t="str">
        <f t="shared" si="509"/>
        <v>06</v>
      </c>
      <c r="N6926" t="s">
        <v>12</v>
      </c>
    </row>
    <row r="6927" spans="1:14" x14ac:dyDescent="0.25">
      <c r="A6927">
        <v>20160623</v>
      </c>
      <c r="B6927" t="str">
        <f t="shared" si="507"/>
        <v>063937</v>
      </c>
      <c r="C6927" t="str">
        <f t="shared" si="508"/>
        <v>09170</v>
      </c>
      <c r="D6927" t="s">
        <v>596</v>
      </c>
      <c r="E6927" s="3">
        <v>173.9</v>
      </c>
      <c r="F6927">
        <v>20160622</v>
      </c>
      <c r="G6927" t="s">
        <v>2155</v>
      </c>
      <c r="H6927" t="s">
        <v>2752</v>
      </c>
      <c r="I6927">
        <v>0</v>
      </c>
      <c r="J6927" t="s">
        <v>1709</v>
      </c>
      <c r="K6927" t="s">
        <v>290</v>
      </c>
      <c r="L6927" t="s">
        <v>285</v>
      </c>
      <c r="M6927" t="str">
        <f t="shared" si="509"/>
        <v>06</v>
      </c>
      <c r="N6927" t="s">
        <v>12</v>
      </c>
    </row>
    <row r="6928" spans="1:14" x14ac:dyDescent="0.25">
      <c r="A6928">
        <v>20160623</v>
      </c>
      <c r="B6928" t="str">
        <f t="shared" si="507"/>
        <v>063937</v>
      </c>
      <c r="C6928" t="str">
        <f t="shared" si="508"/>
        <v>09170</v>
      </c>
      <c r="D6928" t="s">
        <v>596</v>
      </c>
      <c r="E6928" s="3">
        <v>51.84</v>
      </c>
      <c r="F6928">
        <v>20160622</v>
      </c>
      <c r="G6928" t="s">
        <v>5236</v>
      </c>
      <c r="H6928" t="s">
        <v>5398</v>
      </c>
      <c r="I6928">
        <v>0</v>
      </c>
      <c r="J6928" t="s">
        <v>1709</v>
      </c>
      <c r="K6928" t="s">
        <v>290</v>
      </c>
      <c r="L6928" t="s">
        <v>285</v>
      </c>
      <c r="M6928" t="str">
        <f t="shared" si="509"/>
        <v>06</v>
      </c>
      <c r="N6928" t="s">
        <v>12</v>
      </c>
    </row>
    <row r="6929" spans="1:14" x14ac:dyDescent="0.25">
      <c r="A6929">
        <v>20160623</v>
      </c>
      <c r="B6929" t="str">
        <f t="shared" si="507"/>
        <v>063937</v>
      </c>
      <c r="C6929" t="str">
        <f t="shared" si="508"/>
        <v>09170</v>
      </c>
      <c r="D6929" t="s">
        <v>596</v>
      </c>
      <c r="E6929" s="3">
        <v>198.95</v>
      </c>
      <c r="F6929">
        <v>20160622</v>
      </c>
      <c r="G6929" t="s">
        <v>5446</v>
      </c>
      <c r="H6929" t="s">
        <v>5440</v>
      </c>
      <c r="I6929">
        <v>0</v>
      </c>
      <c r="J6929" t="s">
        <v>1709</v>
      </c>
      <c r="K6929" t="s">
        <v>290</v>
      </c>
      <c r="L6929" t="s">
        <v>285</v>
      </c>
      <c r="M6929" t="str">
        <f t="shared" si="509"/>
        <v>06</v>
      </c>
      <c r="N6929" t="s">
        <v>12</v>
      </c>
    </row>
    <row r="6930" spans="1:14" x14ac:dyDescent="0.25">
      <c r="A6930">
        <v>20160623</v>
      </c>
      <c r="B6930" t="str">
        <f t="shared" si="507"/>
        <v>063937</v>
      </c>
      <c r="C6930" t="str">
        <f t="shared" si="508"/>
        <v>09170</v>
      </c>
      <c r="D6930" t="s">
        <v>596</v>
      </c>
      <c r="E6930" s="3">
        <v>206.1</v>
      </c>
      <c r="F6930">
        <v>20160622</v>
      </c>
      <c r="G6930" t="s">
        <v>5446</v>
      </c>
      <c r="H6930" t="s">
        <v>5398</v>
      </c>
      <c r="I6930">
        <v>0</v>
      </c>
      <c r="J6930" t="s">
        <v>1709</v>
      </c>
      <c r="K6930" t="s">
        <v>290</v>
      </c>
      <c r="L6930" t="s">
        <v>285</v>
      </c>
      <c r="M6930" t="str">
        <f t="shared" si="509"/>
        <v>06</v>
      </c>
      <c r="N6930" t="s">
        <v>12</v>
      </c>
    </row>
    <row r="6931" spans="1:14" x14ac:dyDescent="0.25">
      <c r="A6931">
        <v>20160623</v>
      </c>
      <c r="B6931" t="str">
        <f t="shared" si="507"/>
        <v>063937</v>
      </c>
      <c r="C6931" t="str">
        <f t="shared" si="508"/>
        <v>09170</v>
      </c>
      <c r="D6931" t="s">
        <v>596</v>
      </c>
      <c r="E6931" s="3">
        <v>150</v>
      </c>
      <c r="F6931">
        <v>20160622</v>
      </c>
      <c r="G6931" t="s">
        <v>2320</v>
      </c>
      <c r="H6931" t="s">
        <v>5708</v>
      </c>
      <c r="I6931">
        <v>0</v>
      </c>
      <c r="J6931" t="s">
        <v>1709</v>
      </c>
      <c r="K6931" t="s">
        <v>290</v>
      </c>
      <c r="L6931" t="s">
        <v>285</v>
      </c>
      <c r="M6931" t="str">
        <f t="shared" si="509"/>
        <v>06</v>
      </c>
      <c r="N6931" t="s">
        <v>12</v>
      </c>
    </row>
    <row r="6932" spans="1:14" x14ac:dyDescent="0.25">
      <c r="A6932">
        <v>20160623</v>
      </c>
      <c r="B6932" t="str">
        <f t="shared" si="507"/>
        <v>063937</v>
      </c>
      <c r="C6932" t="str">
        <f t="shared" si="508"/>
        <v>09170</v>
      </c>
      <c r="D6932" t="s">
        <v>596</v>
      </c>
      <c r="E6932" s="3">
        <v>159.43</v>
      </c>
      <c r="F6932">
        <v>20160622</v>
      </c>
      <c r="G6932" t="s">
        <v>4159</v>
      </c>
      <c r="H6932" t="s">
        <v>5716</v>
      </c>
      <c r="I6932">
        <v>0</v>
      </c>
      <c r="J6932" t="s">
        <v>1709</v>
      </c>
      <c r="K6932" t="s">
        <v>290</v>
      </c>
      <c r="L6932" t="s">
        <v>285</v>
      </c>
      <c r="M6932" t="str">
        <f t="shared" si="509"/>
        <v>06</v>
      </c>
      <c r="N6932" t="s">
        <v>12</v>
      </c>
    </row>
    <row r="6933" spans="1:14" x14ac:dyDescent="0.25">
      <c r="A6933">
        <v>20160623</v>
      </c>
      <c r="B6933" t="str">
        <f t="shared" si="507"/>
        <v>063937</v>
      </c>
      <c r="C6933" t="str">
        <f t="shared" si="508"/>
        <v>09170</v>
      </c>
      <c r="D6933" t="s">
        <v>596</v>
      </c>
      <c r="E6933" s="3">
        <v>280.5</v>
      </c>
      <c r="F6933">
        <v>20160622</v>
      </c>
      <c r="G6933" t="s">
        <v>2424</v>
      </c>
      <c r="H6933" t="s">
        <v>5717</v>
      </c>
      <c r="I6933">
        <v>0</v>
      </c>
      <c r="J6933" t="s">
        <v>1709</v>
      </c>
      <c r="K6933" t="s">
        <v>1775</v>
      </c>
      <c r="L6933" t="s">
        <v>285</v>
      </c>
      <c r="M6933" t="str">
        <f t="shared" si="509"/>
        <v>06</v>
      </c>
      <c r="N6933" t="s">
        <v>12</v>
      </c>
    </row>
    <row r="6934" spans="1:14" x14ac:dyDescent="0.25">
      <c r="A6934">
        <v>20160623</v>
      </c>
      <c r="B6934" t="str">
        <f t="shared" si="507"/>
        <v>063937</v>
      </c>
      <c r="C6934" t="str">
        <f t="shared" si="508"/>
        <v>09170</v>
      </c>
      <c r="D6934" t="s">
        <v>596</v>
      </c>
      <c r="E6934" s="3">
        <v>46.75</v>
      </c>
      <c r="F6934">
        <v>20160622</v>
      </c>
      <c r="G6934" t="s">
        <v>2424</v>
      </c>
      <c r="H6934" t="s">
        <v>2830</v>
      </c>
      <c r="I6934">
        <v>0</v>
      </c>
      <c r="J6934" t="s">
        <v>1709</v>
      </c>
      <c r="K6934" t="s">
        <v>1775</v>
      </c>
      <c r="L6934" t="s">
        <v>285</v>
      </c>
      <c r="M6934" t="str">
        <f t="shared" si="509"/>
        <v>06</v>
      </c>
      <c r="N6934" t="s">
        <v>12</v>
      </c>
    </row>
    <row r="6935" spans="1:14" x14ac:dyDescent="0.25">
      <c r="A6935">
        <v>20160623</v>
      </c>
      <c r="B6935" t="str">
        <f t="shared" ref="B6935:B6951" si="510">"063937"</f>
        <v>063937</v>
      </c>
      <c r="C6935" t="str">
        <f t="shared" ref="C6935:C6951" si="511">"09170"</f>
        <v>09170</v>
      </c>
      <c r="D6935" t="s">
        <v>596</v>
      </c>
      <c r="E6935" s="3">
        <v>220</v>
      </c>
      <c r="F6935">
        <v>20160622</v>
      </c>
      <c r="G6935" t="s">
        <v>4952</v>
      </c>
      <c r="H6935" t="s">
        <v>5718</v>
      </c>
      <c r="I6935">
        <v>0</v>
      </c>
      <c r="J6935" t="s">
        <v>1709</v>
      </c>
      <c r="K6935" t="s">
        <v>2923</v>
      </c>
      <c r="L6935" t="s">
        <v>285</v>
      </c>
      <c r="M6935" t="str">
        <f t="shared" si="509"/>
        <v>06</v>
      </c>
      <c r="N6935" t="s">
        <v>12</v>
      </c>
    </row>
    <row r="6936" spans="1:14" x14ac:dyDescent="0.25">
      <c r="A6936">
        <v>20160623</v>
      </c>
      <c r="B6936" t="str">
        <f t="shared" si="510"/>
        <v>063937</v>
      </c>
      <c r="C6936" t="str">
        <f t="shared" si="511"/>
        <v>09170</v>
      </c>
      <c r="D6936" t="s">
        <v>596</v>
      </c>
      <c r="E6936" s="3">
        <v>129.5</v>
      </c>
      <c r="F6936">
        <v>20160622</v>
      </c>
      <c r="G6936" t="s">
        <v>5154</v>
      </c>
      <c r="H6936" t="s">
        <v>5719</v>
      </c>
      <c r="I6936">
        <v>0</v>
      </c>
      <c r="J6936" t="s">
        <v>1709</v>
      </c>
      <c r="K6936" t="s">
        <v>1775</v>
      </c>
      <c r="L6936" t="s">
        <v>285</v>
      </c>
      <c r="M6936" t="str">
        <f t="shared" si="509"/>
        <v>06</v>
      </c>
      <c r="N6936" t="s">
        <v>12</v>
      </c>
    </row>
    <row r="6937" spans="1:14" x14ac:dyDescent="0.25">
      <c r="A6937">
        <v>20160623</v>
      </c>
      <c r="B6937" t="str">
        <f t="shared" si="510"/>
        <v>063937</v>
      </c>
      <c r="C6937" t="str">
        <f t="shared" si="511"/>
        <v>09170</v>
      </c>
      <c r="D6937" t="s">
        <v>596</v>
      </c>
      <c r="E6937" s="3">
        <v>12.95</v>
      </c>
      <c r="F6937">
        <v>20160622</v>
      </c>
      <c r="G6937" t="s">
        <v>5154</v>
      </c>
      <c r="H6937" t="s">
        <v>5719</v>
      </c>
      <c r="I6937">
        <v>0</v>
      </c>
      <c r="J6937" t="s">
        <v>1709</v>
      </c>
      <c r="K6937" t="s">
        <v>1775</v>
      </c>
      <c r="L6937" t="s">
        <v>285</v>
      </c>
      <c r="M6937" t="str">
        <f t="shared" si="509"/>
        <v>06</v>
      </c>
      <c r="N6937" t="s">
        <v>12</v>
      </c>
    </row>
    <row r="6938" spans="1:14" x14ac:dyDescent="0.25">
      <c r="A6938">
        <v>20160623</v>
      </c>
      <c r="B6938" t="str">
        <f t="shared" si="510"/>
        <v>063937</v>
      </c>
      <c r="C6938" t="str">
        <f t="shared" si="511"/>
        <v>09170</v>
      </c>
      <c r="D6938" t="s">
        <v>596</v>
      </c>
      <c r="E6938" s="3">
        <v>82.47</v>
      </c>
      <c r="F6938">
        <v>20160623</v>
      </c>
      <c r="G6938" t="s">
        <v>5154</v>
      </c>
      <c r="H6938" t="s">
        <v>5720</v>
      </c>
      <c r="I6938">
        <v>0</v>
      </c>
      <c r="J6938" t="s">
        <v>1709</v>
      </c>
      <c r="K6938" t="s">
        <v>1775</v>
      </c>
      <c r="L6938" t="s">
        <v>285</v>
      </c>
      <c r="M6938" t="str">
        <f t="shared" si="509"/>
        <v>06</v>
      </c>
      <c r="N6938" t="s">
        <v>12</v>
      </c>
    </row>
    <row r="6939" spans="1:14" x14ac:dyDescent="0.25">
      <c r="A6939">
        <v>20160623</v>
      </c>
      <c r="B6939" t="str">
        <f t="shared" si="510"/>
        <v>063937</v>
      </c>
      <c r="C6939" t="str">
        <f t="shared" si="511"/>
        <v>09170</v>
      </c>
      <c r="D6939" t="s">
        <v>596</v>
      </c>
      <c r="E6939" s="3">
        <v>343.2</v>
      </c>
      <c r="F6939">
        <v>20160622</v>
      </c>
      <c r="G6939" t="s">
        <v>3908</v>
      </c>
      <c r="H6939" t="s">
        <v>5721</v>
      </c>
      <c r="I6939">
        <v>0</v>
      </c>
      <c r="J6939" t="s">
        <v>1709</v>
      </c>
      <c r="K6939" t="s">
        <v>1861</v>
      </c>
      <c r="L6939" t="s">
        <v>285</v>
      </c>
      <c r="M6939" t="str">
        <f t="shared" si="509"/>
        <v>06</v>
      </c>
      <c r="N6939" t="s">
        <v>12</v>
      </c>
    </row>
    <row r="6940" spans="1:14" x14ac:dyDescent="0.25">
      <c r="A6940">
        <v>20160623</v>
      </c>
      <c r="B6940" t="str">
        <f t="shared" si="510"/>
        <v>063937</v>
      </c>
      <c r="C6940" t="str">
        <f t="shared" si="511"/>
        <v>09170</v>
      </c>
      <c r="D6940" t="s">
        <v>596</v>
      </c>
      <c r="E6940" s="3">
        <v>307.64</v>
      </c>
      <c r="F6940">
        <v>20160622</v>
      </c>
      <c r="G6940" t="s">
        <v>2074</v>
      </c>
      <c r="H6940" t="s">
        <v>2295</v>
      </c>
      <c r="I6940">
        <v>0</v>
      </c>
      <c r="J6940" t="s">
        <v>1709</v>
      </c>
      <c r="K6940" t="s">
        <v>1861</v>
      </c>
      <c r="L6940" t="s">
        <v>285</v>
      </c>
      <c r="M6940" t="str">
        <f t="shared" si="509"/>
        <v>06</v>
      </c>
      <c r="N6940" t="s">
        <v>12</v>
      </c>
    </row>
    <row r="6941" spans="1:14" x14ac:dyDescent="0.25">
      <c r="A6941">
        <v>20160623</v>
      </c>
      <c r="B6941" t="str">
        <f t="shared" si="510"/>
        <v>063937</v>
      </c>
      <c r="C6941" t="str">
        <f t="shared" si="511"/>
        <v>09170</v>
      </c>
      <c r="D6941" t="s">
        <v>596</v>
      </c>
      <c r="E6941" s="3">
        <v>752.64</v>
      </c>
      <c r="F6941">
        <v>20160622</v>
      </c>
      <c r="G6941" t="s">
        <v>1859</v>
      </c>
      <c r="H6941" t="s">
        <v>5683</v>
      </c>
      <c r="I6941">
        <v>0</v>
      </c>
      <c r="J6941" t="s">
        <v>1709</v>
      </c>
      <c r="K6941" t="s">
        <v>1861</v>
      </c>
      <c r="L6941" t="s">
        <v>285</v>
      </c>
      <c r="M6941" t="str">
        <f t="shared" si="509"/>
        <v>06</v>
      </c>
      <c r="N6941" t="s">
        <v>12</v>
      </c>
    </row>
    <row r="6942" spans="1:14" x14ac:dyDescent="0.25">
      <c r="A6942">
        <v>20160623</v>
      </c>
      <c r="B6942" t="str">
        <f t="shared" si="510"/>
        <v>063937</v>
      </c>
      <c r="C6942" t="str">
        <f t="shared" si="511"/>
        <v>09170</v>
      </c>
      <c r="D6942" t="s">
        <v>596</v>
      </c>
      <c r="E6942" s="3">
        <v>373.67</v>
      </c>
      <c r="F6942">
        <v>20160622</v>
      </c>
      <c r="G6942" t="s">
        <v>2799</v>
      </c>
      <c r="H6942" t="s">
        <v>5722</v>
      </c>
      <c r="I6942">
        <v>0</v>
      </c>
      <c r="J6942" t="s">
        <v>1709</v>
      </c>
      <c r="K6942" t="s">
        <v>1861</v>
      </c>
      <c r="L6942" t="s">
        <v>285</v>
      </c>
      <c r="M6942" t="str">
        <f t="shared" si="509"/>
        <v>06</v>
      </c>
      <c r="N6942" t="s">
        <v>12</v>
      </c>
    </row>
    <row r="6943" spans="1:14" x14ac:dyDescent="0.25">
      <c r="A6943">
        <v>20160623</v>
      </c>
      <c r="B6943" t="str">
        <f t="shared" si="510"/>
        <v>063937</v>
      </c>
      <c r="C6943" t="str">
        <f t="shared" si="511"/>
        <v>09170</v>
      </c>
      <c r="D6943" t="s">
        <v>596</v>
      </c>
      <c r="E6943" s="3">
        <v>275.56</v>
      </c>
      <c r="F6943">
        <v>20160622</v>
      </c>
      <c r="G6943" t="s">
        <v>2799</v>
      </c>
      <c r="H6943" t="s">
        <v>5722</v>
      </c>
      <c r="I6943">
        <v>0</v>
      </c>
      <c r="J6943" t="s">
        <v>1709</v>
      </c>
      <c r="K6943" t="s">
        <v>1861</v>
      </c>
      <c r="L6943" t="s">
        <v>285</v>
      </c>
      <c r="M6943" t="str">
        <f t="shared" si="509"/>
        <v>06</v>
      </c>
      <c r="N6943" t="s">
        <v>12</v>
      </c>
    </row>
    <row r="6944" spans="1:14" x14ac:dyDescent="0.25">
      <c r="A6944">
        <v>20160623</v>
      </c>
      <c r="B6944" t="str">
        <f t="shared" si="510"/>
        <v>063937</v>
      </c>
      <c r="C6944" t="str">
        <f t="shared" si="511"/>
        <v>09170</v>
      </c>
      <c r="D6944" t="s">
        <v>596</v>
      </c>
      <c r="E6944" s="3">
        <v>86.97</v>
      </c>
      <c r="F6944">
        <v>20160622</v>
      </c>
      <c r="G6944" t="s">
        <v>2799</v>
      </c>
      <c r="H6944" t="s">
        <v>5722</v>
      </c>
      <c r="I6944">
        <v>0</v>
      </c>
      <c r="J6944" t="s">
        <v>1709</v>
      </c>
      <c r="K6944" t="s">
        <v>1861</v>
      </c>
      <c r="L6944" t="s">
        <v>285</v>
      </c>
      <c r="M6944" t="str">
        <f t="shared" si="509"/>
        <v>06</v>
      </c>
      <c r="N6944" t="s">
        <v>12</v>
      </c>
    </row>
    <row r="6945" spans="1:14" x14ac:dyDescent="0.25">
      <c r="A6945">
        <v>20160623</v>
      </c>
      <c r="B6945" t="str">
        <f t="shared" si="510"/>
        <v>063937</v>
      </c>
      <c r="C6945" t="str">
        <f t="shared" si="511"/>
        <v>09170</v>
      </c>
      <c r="D6945" t="s">
        <v>596</v>
      </c>
      <c r="E6945" s="3">
        <v>115.98</v>
      </c>
      <c r="F6945">
        <v>20160622</v>
      </c>
      <c r="G6945" t="s">
        <v>2799</v>
      </c>
      <c r="H6945" t="s">
        <v>5722</v>
      </c>
      <c r="I6945">
        <v>0</v>
      </c>
      <c r="J6945" t="s">
        <v>1709</v>
      </c>
      <c r="K6945" t="s">
        <v>1861</v>
      </c>
      <c r="L6945" t="s">
        <v>285</v>
      </c>
      <c r="M6945" t="str">
        <f t="shared" si="509"/>
        <v>06</v>
      </c>
      <c r="N6945" t="s">
        <v>12</v>
      </c>
    </row>
    <row r="6946" spans="1:14" x14ac:dyDescent="0.25">
      <c r="A6946">
        <v>20160623</v>
      </c>
      <c r="B6946" t="str">
        <f t="shared" si="510"/>
        <v>063937</v>
      </c>
      <c r="C6946" t="str">
        <f t="shared" si="511"/>
        <v>09170</v>
      </c>
      <c r="D6946" t="s">
        <v>596</v>
      </c>
      <c r="E6946" s="3">
        <v>200.09</v>
      </c>
      <c r="F6946">
        <v>20160622</v>
      </c>
      <c r="G6946" t="s">
        <v>2799</v>
      </c>
      <c r="H6946" t="s">
        <v>5722</v>
      </c>
      <c r="I6946">
        <v>0</v>
      </c>
      <c r="J6946" t="s">
        <v>1709</v>
      </c>
      <c r="K6946" t="s">
        <v>1861</v>
      </c>
      <c r="L6946" t="s">
        <v>285</v>
      </c>
      <c r="M6946" t="str">
        <f t="shared" si="509"/>
        <v>06</v>
      </c>
      <c r="N6946" t="s">
        <v>12</v>
      </c>
    </row>
    <row r="6947" spans="1:14" x14ac:dyDescent="0.25">
      <c r="A6947">
        <v>20160623</v>
      </c>
      <c r="B6947" t="str">
        <f t="shared" si="510"/>
        <v>063937</v>
      </c>
      <c r="C6947" t="str">
        <f t="shared" si="511"/>
        <v>09170</v>
      </c>
      <c r="D6947" t="s">
        <v>596</v>
      </c>
      <c r="E6947" s="3">
        <v>38.840000000000003</v>
      </c>
      <c r="F6947">
        <v>20160622</v>
      </c>
      <c r="G6947" t="s">
        <v>2799</v>
      </c>
      <c r="H6947" t="s">
        <v>5722</v>
      </c>
      <c r="I6947">
        <v>0</v>
      </c>
      <c r="J6947" t="s">
        <v>1709</v>
      </c>
      <c r="K6947" t="s">
        <v>1861</v>
      </c>
      <c r="L6947" t="s">
        <v>285</v>
      </c>
      <c r="M6947" t="str">
        <f t="shared" si="509"/>
        <v>06</v>
      </c>
      <c r="N6947" t="s">
        <v>12</v>
      </c>
    </row>
    <row r="6948" spans="1:14" x14ac:dyDescent="0.25">
      <c r="A6948">
        <v>20160623</v>
      </c>
      <c r="B6948" t="str">
        <f t="shared" si="510"/>
        <v>063937</v>
      </c>
      <c r="C6948" t="str">
        <f t="shared" si="511"/>
        <v>09170</v>
      </c>
      <c r="D6948" t="s">
        <v>596</v>
      </c>
      <c r="E6948" s="3">
        <v>644</v>
      </c>
      <c r="F6948">
        <v>20160622</v>
      </c>
      <c r="G6948" t="s">
        <v>2799</v>
      </c>
      <c r="H6948" t="s">
        <v>5722</v>
      </c>
      <c r="I6948">
        <v>0</v>
      </c>
      <c r="J6948" t="s">
        <v>1709</v>
      </c>
      <c r="K6948" t="s">
        <v>1861</v>
      </c>
      <c r="L6948" t="s">
        <v>285</v>
      </c>
      <c r="M6948" t="str">
        <f t="shared" si="509"/>
        <v>06</v>
      </c>
      <c r="N6948" t="s">
        <v>12</v>
      </c>
    </row>
    <row r="6949" spans="1:14" x14ac:dyDescent="0.25">
      <c r="A6949">
        <v>20160623</v>
      </c>
      <c r="B6949" t="str">
        <f t="shared" si="510"/>
        <v>063937</v>
      </c>
      <c r="C6949" t="str">
        <f t="shared" si="511"/>
        <v>09170</v>
      </c>
      <c r="D6949" t="s">
        <v>596</v>
      </c>
      <c r="E6949" s="3">
        <v>29.17</v>
      </c>
      <c r="F6949">
        <v>20160622</v>
      </c>
      <c r="G6949" t="s">
        <v>3013</v>
      </c>
      <c r="H6949" t="s">
        <v>5723</v>
      </c>
      <c r="I6949">
        <v>0</v>
      </c>
      <c r="J6949" t="s">
        <v>1709</v>
      </c>
      <c r="K6949" t="s">
        <v>1984</v>
      </c>
      <c r="L6949" t="s">
        <v>285</v>
      </c>
      <c r="M6949" t="str">
        <f t="shared" si="509"/>
        <v>06</v>
      </c>
      <c r="N6949" t="s">
        <v>12</v>
      </c>
    </row>
    <row r="6950" spans="1:14" x14ac:dyDescent="0.25">
      <c r="A6950">
        <v>20160623</v>
      </c>
      <c r="B6950" t="str">
        <f t="shared" si="510"/>
        <v>063937</v>
      </c>
      <c r="C6950" t="str">
        <f t="shared" si="511"/>
        <v>09170</v>
      </c>
      <c r="D6950" t="s">
        <v>596</v>
      </c>
      <c r="E6950" s="3">
        <v>-199</v>
      </c>
      <c r="F6950">
        <v>20160610</v>
      </c>
      <c r="G6950" t="s">
        <v>2025</v>
      </c>
      <c r="H6950" t="s">
        <v>4989</v>
      </c>
      <c r="I6950">
        <v>0</v>
      </c>
      <c r="J6950" t="s">
        <v>1709</v>
      </c>
      <c r="K6950" t="s">
        <v>1984</v>
      </c>
      <c r="L6950" t="s">
        <v>1385</v>
      </c>
      <c r="M6950" t="str">
        <f t="shared" si="509"/>
        <v>06</v>
      </c>
      <c r="N6950" t="s">
        <v>12</v>
      </c>
    </row>
    <row r="6951" spans="1:14" x14ac:dyDescent="0.25">
      <c r="A6951">
        <v>20160623</v>
      </c>
      <c r="B6951" t="str">
        <f t="shared" si="510"/>
        <v>063937</v>
      </c>
      <c r="C6951" t="str">
        <f t="shared" si="511"/>
        <v>09170</v>
      </c>
      <c r="D6951" t="s">
        <v>596</v>
      </c>
      <c r="E6951" s="3">
        <v>-199</v>
      </c>
      <c r="F6951">
        <v>20160610</v>
      </c>
      <c r="G6951" t="s">
        <v>2025</v>
      </c>
      <c r="H6951" t="s">
        <v>4989</v>
      </c>
      <c r="I6951">
        <v>0</v>
      </c>
      <c r="J6951" t="s">
        <v>1709</v>
      </c>
      <c r="K6951" t="s">
        <v>1984</v>
      </c>
      <c r="L6951" t="s">
        <v>1385</v>
      </c>
      <c r="M6951" t="str">
        <f t="shared" si="509"/>
        <v>06</v>
      </c>
      <c r="N6951" t="s">
        <v>12</v>
      </c>
    </row>
    <row r="6952" spans="1:14" x14ac:dyDescent="0.25">
      <c r="A6952">
        <v>20160623</v>
      </c>
      <c r="B6952" t="str">
        <f>"063938"</f>
        <v>063938</v>
      </c>
      <c r="C6952" t="str">
        <f>"10063"</f>
        <v>10063</v>
      </c>
      <c r="D6952" t="s">
        <v>1816</v>
      </c>
      <c r="E6952" s="3">
        <v>60.59</v>
      </c>
      <c r="F6952">
        <v>20160622</v>
      </c>
      <c r="G6952" t="s">
        <v>1961</v>
      </c>
      <c r="H6952" t="s">
        <v>4212</v>
      </c>
      <c r="I6952">
        <v>0</v>
      </c>
      <c r="J6952" t="s">
        <v>1709</v>
      </c>
      <c r="K6952" t="s">
        <v>290</v>
      </c>
      <c r="L6952" t="s">
        <v>285</v>
      </c>
      <c r="M6952" t="str">
        <f t="shared" si="509"/>
        <v>06</v>
      </c>
      <c r="N6952" t="s">
        <v>12</v>
      </c>
    </row>
    <row r="6953" spans="1:14" x14ac:dyDescent="0.25">
      <c r="A6953">
        <v>20160623</v>
      </c>
      <c r="B6953" t="str">
        <f>"063938"</f>
        <v>063938</v>
      </c>
      <c r="C6953" t="str">
        <f>"10063"</f>
        <v>10063</v>
      </c>
      <c r="D6953" t="s">
        <v>1816</v>
      </c>
      <c r="E6953" s="3">
        <v>47.5</v>
      </c>
      <c r="F6953">
        <v>20160622</v>
      </c>
      <c r="G6953" t="s">
        <v>1961</v>
      </c>
      <c r="H6953" t="s">
        <v>5724</v>
      </c>
      <c r="I6953">
        <v>0</v>
      </c>
      <c r="J6953" t="s">
        <v>1709</v>
      </c>
      <c r="K6953" t="s">
        <v>290</v>
      </c>
      <c r="L6953" t="s">
        <v>285</v>
      </c>
      <c r="M6953" t="str">
        <f t="shared" si="509"/>
        <v>06</v>
      </c>
      <c r="N6953" t="s">
        <v>12</v>
      </c>
    </row>
    <row r="6954" spans="1:14" x14ac:dyDescent="0.25">
      <c r="A6954">
        <v>20160623</v>
      </c>
      <c r="B6954" t="str">
        <f>"063939"</f>
        <v>063939</v>
      </c>
      <c r="C6954" t="str">
        <f>"11140"</f>
        <v>11140</v>
      </c>
      <c r="D6954" t="s">
        <v>1817</v>
      </c>
      <c r="E6954" s="3">
        <v>56.47</v>
      </c>
      <c r="F6954">
        <v>20160622</v>
      </c>
      <c r="G6954" t="s">
        <v>1961</v>
      </c>
      <c r="H6954" t="s">
        <v>4212</v>
      </c>
      <c r="I6954">
        <v>0</v>
      </c>
      <c r="J6954" t="s">
        <v>1709</v>
      </c>
      <c r="K6954" t="s">
        <v>290</v>
      </c>
      <c r="L6954" t="s">
        <v>285</v>
      </c>
      <c r="M6954" t="str">
        <f t="shared" si="509"/>
        <v>06</v>
      </c>
      <c r="N6954" t="s">
        <v>12</v>
      </c>
    </row>
    <row r="6955" spans="1:14" x14ac:dyDescent="0.25">
      <c r="A6955">
        <v>20160623</v>
      </c>
      <c r="B6955" t="str">
        <f>"063939"</f>
        <v>063939</v>
      </c>
      <c r="C6955" t="str">
        <f>"11140"</f>
        <v>11140</v>
      </c>
      <c r="D6955" t="s">
        <v>1817</v>
      </c>
      <c r="E6955" s="3">
        <v>41.56</v>
      </c>
      <c r="F6955">
        <v>20160622</v>
      </c>
      <c r="G6955" t="s">
        <v>1961</v>
      </c>
      <c r="H6955" t="s">
        <v>5724</v>
      </c>
      <c r="I6955">
        <v>0</v>
      </c>
      <c r="J6955" t="s">
        <v>1709</v>
      </c>
      <c r="K6955" t="s">
        <v>290</v>
      </c>
      <c r="L6955" t="s">
        <v>285</v>
      </c>
      <c r="M6955" t="str">
        <f t="shared" si="509"/>
        <v>06</v>
      </c>
      <c r="N6955" t="s">
        <v>12</v>
      </c>
    </row>
    <row r="6956" spans="1:14" x14ac:dyDescent="0.25">
      <c r="A6956">
        <v>20160623</v>
      </c>
      <c r="B6956" t="str">
        <f>"063941"</f>
        <v>063941</v>
      </c>
      <c r="C6956" t="str">
        <f>"08788"</f>
        <v>08788</v>
      </c>
      <c r="D6956" t="s">
        <v>302</v>
      </c>
      <c r="E6956" s="3">
        <v>987.85</v>
      </c>
      <c r="F6956">
        <v>20160622</v>
      </c>
      <c r="G6956" t="s">
        <v>4297</v>
      </c>
      <c r="H6956" t="s">
        <v>5398</v>
      </c>
      <c r="I6956">
        <v>0</v>
      </c>
      <c r="J6956" t="s">
        <v>1709</v>
      </c>
      <c r="K6956" t="s">
        <v>33</v>
      </c>
      <c r="L6956" t="s">
        <v>285</v>
      </c>
      <c r="M6956" t="str">
        <f t="shared" si="509"/>
        <v>06</v>
      </c>
      <c r="N6956" t="s">
        <v>12</v>
      </c>
    </row>
    <row r="6957" spans="1:14" x14ac:dyDescent="0.25">
      <c r="A6957">
        <v>20160623</v>
      </c>
      <c r="B6957" t="str">
        <f>"063941"</f>
        <v>063941</v>
      </c>
      <c r="C6957" t="str">
        <f>"08788"</f>
        <v>08788</v>
      </c>
      <c r="D6957" t="s">
        <v>302</v>
      </c>
      <c r="E6957" s="3">
        <v>39.17</v>
      </c>
      <c r="F6957">
        <v>20160622</v>
      </c>
      <c r="G6957" t="s">
        <v>4297</v>
      </c>
      <c r="H6957" t="s">
        <v>5398</v>
      </c>
      <c r="I6957">
        <v>0</v>
      </c>
      <c r="J6957" t="s">
        <v>1709</v>
      </c>
      <c r="K6957" t="s">
        <v>33</v>
      </c>
      <c r="L6957" t="s">
        <v>285</v>
      </c>
      <c r="M6957" t="str">
        <f t="shared" si="509"/>
        <v>06</v>
      </c>
      <c r="N6957" t="s">
        <v>12</v>
      </c>
    </row>
    <row r="6958" spans="1:14" x14ac:dyDescent="0.25">
      <c r="A6958">
        <v>20160623</v>
      </c>
      <c r="B6958" t="str">
        <f>"063942"</f>
        <v>063942</v>
      </c>
      <c r="C6958" t="str">
        <f>"19283"</f>
        <v>19283</v>
      </c>
      <c r="D6958" t="s">
        <v>5725</v>
      </c>
      <c r="E6958" s="3">
        <v>53.81</v>
      </c>
      <c r="F6958">
        <v>20160622</v>
      </c>
      <c r="G6958" t="s">
        <v>5104</v>
      </c>
      <c r="H6958" t="s">
        <v>4714</v>
      </c>
      <c r="I6958">
        <v>0</v>
      </c>
      <c r="J6958" t="s">
        <v>1709</v>
      </c>
      <c r="K6958" t="s">
        <v>1856</v>
      </c>
      <c r="L6958" t="s">
        <v>285</v>
      </c>
      <c r="M6958" t="str">
        <f t="shared" si="509"/>
        <v>06</v>
      </c>
      <c r="N6958" t="s">
        <v>12</v>
      </c>
    </row>
    <row r="6959" spans="1:14" x14ac:dyDescent="0.25">
      <c r="A6959">
        <v>20160623</v>
      </c>
      <c r="B6959" t="str">
        <f>"063943"</f>
        <v>063943</v>
      </c>
      <c r="C6959" t="str">
        <f>"16807"</f>
        <v>16807</v>
      </c>
      <c r="D6959" t="s">
        <v>1560</v>
      </c>
      <c r="E6959" s="3">
        <v>2210.54</v>
      </c>
      <c r="F6959">
        <v>20160622</v>
      </c>
      <c r="G6959" t="s">
        <v>3659</v>
      </c>
      <c r="H6959" t="s">
        <v>5726</v>
      </c>
      <c r="I6959">
        <v>0</v>
      </c>
      <c r="J6959" t="s">
        <v>1709</v>
      </c>
      <c r="K6959" t="s">
        <v>290</v>
      </c>
      <c r="L6959" t="s">
        <v>285</v>
      </c>
      <c r="M6959" t="str">
        <f t="shared" si="509"/>
        <v>06</v>
      </c>
      <c r="N6959" t="s">
        <v>12</v>
      </c>
    </row>
    <row r="6960" spans="1:14" x14ac:dyDescent="0.25">
      <c r="A6960">
        <v>20160623</v>
      </c>
      <c r="B6960" t="str">
        <f>"063943"</f>
        <v>063943</v>
      </c>
      <c r="C6960" t="str">
        <f>"16807"</f>
        <v>16807</v>
      </c>
      <c r="D6960" t="s">
        <v>1560</v>
      </c>
      <c r="E6960" s="3">
        <v>292.56</v>
      </c>
      <c r="F6960">
        <v>20160622</v>
      </c>
      <c r="G6960" t="s">
        <v>3659</v>
      </c>
      <c r="H6960" t="s">
        <v>5727</v>
      </c>
      <c r="I6960">
        <v>0</v>
      </c>
      <c r="J6960" t="s">
        <v>1709</v>
      </c>
      <c r="K6960" t="s">
        <v>290</v>
      </c>
      <c r="L6960" t="s">
        <v>285</v>
      </c>
      <c r="M6960" t="str">
        <f t="shared" si="509"/>
        <v>06</v>
      </c>
      <c r="N6960" t="s">
        <v>12</v>
      </c>
    </row>
    <row r="6961" spans="1:14" x14ac:dyDescent="0.25">
      <c r="A6961">
        <v>20160623</v>
      </c>
      <c r="B6961" t="str">
        <f>"063943"</f>
        <v>063943</v>
      </c>
      <c r="C6961" t="str">
        <f>"16807"</f>
        <v>16807</v>
      </c>
      <c r="D6961" t="s">
        <v>1560</v>
      </c>
      <c r="E6961" s="3">
        <v>426.06</v>
      </c>
      <c r="F6961">
        <v>20160622</v>
      </c>
      <c r="G6961" t="s">
        <v>3659</v>
      </c>
      <c r="H6961" t="s">
        <v>5728</v>
      </c>
      <c r="I6961">
        <v>0</v>
      </c>
      <c r="J6961" t="s">
        <v>1709</v>
      </c>
      <c r="K6961" t="s">
        <v>290</v>
      </c>
      <c r="L6961" t="s">
        <v>285</v>
      </c>
      <c r="M6961" t="str">
        <f t="shared" si="509"/>
        <v>06</v>
      </c>
      <c r="N6961" t="s">
        <v>12</v>
      </c>
    </row>
    <row r="6962" spans="1:14" x14ac:dyDescent="0.25">
      <c r="A6962">
        <v>20160623</v>
      </c>
      <c r="B6962" t="str">
        <f>"063945"</f>
        <v>063945</v>
      </c>
      <c r="C6962" t="str">
        <f>"49991"</f>
        <v>49991</v>
      </c>
      <c r="D6962" t="s">
        <v>5729</v>
      </c>
      <c r="E6962" s="3">
        <v>430.53</v>
      </c>
      <c r="F6962">
        <v>20160622</v>
      </c>
      <c r="G6962" t="s">
        <v>2490</v>
      </c>
      <c r="H6962" t="s">
        <v>5730</v>
      </c>
      <c r="I6962">
        <v>0</v>
      </c>
      <c r="J6962" t="s">
        <v>1709</v>
      </c>
      <c r="K6962" t="s">
        <v>1856</v>
      </c>
      <c r="L6962" t="s">
        <v>285</v>
      </c>
      <c r="M6962" t="str">
        <f t="shared" si="509"/>
        <v>06</v>
      </c>
      <c r="N6962" t="s">
        <v>12</v>
      </c>
    </row>
    <row r="6963" spans="1:14" x14ac:dyDescent="0.25">
      <c r="A6963">
        <v>20160623</v>
      </c>
      <c r="B6963" t="str">
        <f>"063947"</f>
        <v>063947</v>
      </c>
      <c r="C6963" t="str">
        <f>"21049"</f>
        <v>21049</v>
      </c>
      <c r="D6963" t="s">
        <v>2094</v>
      </c>
      <c r="E6963" s="3">
        <v>50</v>
      </c>
      <c r="F6963">
        <v>20160622</v>
      </c>
      <c r="G6963" t="s">
        <v>2888</v>
      </c>
      <c r="H6963" t="s">
        <v>5390</v>
      </c>
      <c r="I6963">
        <v>0</v>
      </c>
      <c r="J6963" t="s">
        <v>1709</v>
      </c>
      <c r="K6963" t="s">
        <v>290</v>
      </c>
      <c r="L6963" t="s">
        <v>285</v>
      </c>
      <c r="M6963" t="str">
        <f t="shared" si="509"/>
        <v>06</v>
      </c>
      <c r="N6963" t="s">
        <v>12</v>
      </c>
    </row>
    <row r="6964" spans="1:14" x14ac:dyDescent="0.25">
      <c r="A6964">
        <v>20160623</v>
      </c>
      <c r="B6964" t="str">
        <f>"063948"</f>
        <v>063948</v>
      </c>
      <c r="C6964" t="str">
        <f>"21091"</f>
        <v>21091</v>
      </c>
      <c r="D6964" t="s">
        <v>2855</v>
      </c>
      <c r="E6964" s="3">
        <v>348.77</v>
      </c>
      <c r="F6964">
        <v>20160622</v>
      </c>
      <c r="G6964" t="s">
        <v>1854</v>
      </c>
      <c r="H6964" t="s">
        <v>5731</v>
      </c>
      <c r="I6964">
        <v>0</v>
      </c>
      <c r="J6964" t="s">
        <v>1709</v>
      </c>
      <c r="K6964" t="s">
        <v>1856</v>
      </c>
      <c r="L6964" t="s">
        <v>285</v>
      </c>
      <c r="M6964" t="str">
        <f t="shared" si="509"/>
        <v>06</v>
      </c>
      <c r="N6964" t="s">
        <v>12</v>
      </c>
    </row>
    <row r="6965" spans="1:14" x14ac:dyDescent="0.25">
      <c r="A6965">
        <v>20160623</v>
      </c>
      <c r="B6965" t="str">
        <f t="shared" ref="B6965:B6970" si="512">"063949"</f>
        <v>063949</v>
      </c>
      <c r="C6965" t="str">
        <f t="shared" ref="C6965:C6970" si="513">"21098"</f>
        <v>21098</v>
      </c>
      <c r="D6965" t="s">
        <v>2261</v>
      </c>
      <c r="E6965" s="3">
        <v>646.20000000000005</v>
      </c>
      <c r="F6965">
        <v>20160622</v>
      </c>
      <c r="G6965" t="s">
        <v>2720</v>
      </c>
      <c r="H6965" t="s">
        <v>595</v>
      </c>
      <c r="I6965">
        <v>0</v>
      </c>
      <c r="J6965" t="s">
        <v>1709</v>
      </c>
      <c r="K6965" t="s">
        <v>2194</v>
      </c>
      <c r="L6965" t="s">
        <v>285</v>
      </c>
      <c r="M6965" t="str">
        <f t="shared" si="509"/>
        <v>06</v>
      </c>
      <c r="N6965" t="s">
        <v>12</v>
      </c>
    </row>
    <row r="6966" spans="1:14" x14ac:dyDescent="0.25">
      <c r="A6966">
        <v>20160623</v>
      </c>
      <c r="B6966" t="str">
        <f t="shared" si="512"/>
        <v>063949</v>
      </c>
      <c r="C6966" t="str">
        <f t="shared" si="513"/>
        <v>21098</v>
      </c>
      <c r="D6966" t="s">
        <v>2261</v>
      </c>
      <c r="E6966" s="3">
        <v>1311.9</v>
      </c>
      <c r="F6966">
        <v>20160622</v>
      </c>
      <c r="G6966" t="s">
        <v>5324</v>
      </c>
      <c r="H6966" t="s">
        <v>5677</v>
      </c>
      <c r="I6966">
        <v>0</v>
      </c>
      <c r="J6966" t="s">
        <v>1709</v>
      </c>
      <c r="K6966" t="s">
        <v>2194</v>
      </c>
      <c r="L6966" t="s">
        <v>285</v>
      </c>
      <c r="M6966" t="str">
        <f t="shared" si="509"/>
        <v>06</v>
      </c>
      <c r="N6966" t="s">
        <v>12</v>
      </c>
    </row>
    <row r="6967" spans="1:14" x14ac:dyDescent="0.25">
      <c r="A6967">
        <v>20160623</v>
      </c>
      <c r="B6967" t="str">
        <f t="shared" si="512"/>
        <v>063949</v>
      </c>
      <c r="C6967" t="str">
        <f t="shared" si="513"/>
        <v>21098</v>
      </c>
      <c r="D6967" t="s">
        <v>2261</v>
      </c>
      <c r="E6967" s="3">
        <v>20.48</v>
      </c>
      <c r="F6967">
        <v>20160622</v>
      </c>
      <c r="G6967" t="s">
        <v>2262</v>
      </c>
      <c r="H6967" t="s">
        <v>5732</v>
      </c>
      <c r="I6967">
        <v>0</v>
      </c>
      <c r="J6967" t="s">
        <v>1709</v>
      </c>
      <c r="K6967" t="s">
        <v>1643</v>
      </c>
      <c r="L6967" t="s">
        <v>285</v>
      </c>
      <c r="M6967" t="str">
        <f t="shared" si="509"/>
        <v>06</v>
      </c>
      <c r="N6967" t="s">
        <v>12</v>
      </c>
    </row>
    <row r="6968" spans="1:14" x14ac:dyDescent="0.25">
      <c r="A6968">
        <v>20160623</v>
      </c>
      <c r="B6968" t="str">
        <f t="shared" si="512"/>
        <v>063949</v>
      </c>
      <c r="C6968" t="str">
        <f t="shared" si="513"/>
        <v>21098</v>
      </c>
      <c r="D6968" t="s">
        <v>2261</v>
      </c>
      <c r="E6968" s="3">
        <v>108.61</v>
      </c>
      <c r="F6968">
        <v>20160622</v>
      </c>
      <c r="G6968" t="s">
        <v>5358</v>
      </c>
      <c r="H6968" t="s">
        <v>5677</v>
      </c>
      <c r="I6968">
        <v>0</v>
      </c>
      <c r="J6968" t="s">
        <v>1709</v>
      </c>
      <c r="K6968" t="s">
        <v>2194</v>
      </c>
      <c r="L6968" t="s">
        <v>285</v>
      </c>
      <c r="M6968" t="str">
        <f t="shared" si="509"/>
        <v>06</v>
      </c>
      <c r="N6968" t="s">
        <v>12</v>
      </c>
    </row>
    <row r="6969" spans="1:14" x14ac:dyDescent="0.25">
      <c r="A6969">
        <v>20160623</v>
      </c>
      <c r="B6969" t="str">
        <f t="shared" si="512"/>
        <v>063949</v>
      </c>
      <c r="C6969" t="str">
        <f t="shared" si="513"/>
        <v>21098</v>
      </c>
      <c r="D6969" t="s">
        <v>2261</v>
      </c>
      <c r="E6969" s="3">
        <v>385.12</v>
      </c>
      <c r="F6969">
        <v>20160622</v>
      </c>
      <c r="G6969" t="s">
        <v>5733</v>
      </c>
      <c r="H6969" t="s">
        <v>5734</v>
      </c>
      <c r="I6969">
        <v>0</v>
      </c>
      <c r="J6969" t="s">
        <v>1709</v>
      </c>
      <c r="K6969" t="s">
        <v>2194</v>
      </c>
      <c r="L6969" t="s">
        <v>285</v>
      </c>
      <c r="M6969" t="str">
        <f t="shared" si="509"/>
        <v>06</v>
      </c>
      <c r="N6969" t="s">
        <v>12</v>
      </c>
    </row>
    <row r="6970" spans="1:14" x14ac:dyDescent="0.25">
      <c r="A6970">
        <v>20160623</v>
      </c>
      <c r="B6970" t="str">
        <f t="shared" si="512"/>
        <v>063949</v>
      </c>
      <c r="C6970" t="str">
        <f t="shared" si="513"/>
        <v>21098</v>
      </c>
      <c r="D6970" t="s">
        <v>2261</v>
      </c>
      <c r="E6970" s="3">
        <v>2885.29</v>
      </c>
      <c r="F6970">
        <v>20160622</v>
      </c>
      <c r="G6970" t="s">
        <v>5733</v>
      </c>
      <c r="H6970" t="s">
        <v>5677</v>
      </c>
      <c r="I6970">
        <v>0</v>
      </c>
      <c r="J6970" t="s">
        <v>1709</v>
      </c>
      <c r="K6970" t="s">
        <v>2194</v>
      </c>
      <c r="L6970" t="s">
        <v>285</v>
      </c>
      <c r="M6970" t="str">
        <f t="shared" si="509"/>
        <v>06</v>
      </c>
      <c r="N6970" t="s">
        <v>12</v>
      </c>
    </row>
    <row r="6971" spans="1:14" x14ac:dyDescent="0.25">
      <c r="A6971">
        <v>20160623</v>
      </c>
      <c r="B6971" t="str">
        <f>"063950"</f>
        <v>063950</v>
      </c>
      <c r="C6971" t="str">
        <f>"21861"</f>
        <v>21861</v>
      </c>
      <c r="D6971" t="s">
        <v>3333</v>
      </c>
      <c r="E6971" s="3">
        <v>318.12</v>
      </c>
      <c r="F6971">
        <v>20160622</v>
      </c>
      <c r="G6971" t="s">
        <v>2376</v>
      </c>
      <c r="H6971" t="s">
        <v>5735</v>
      </c>
      <c r="I6971">
        <v>0</v>
      </c>
      <c r="J6971" t="s">
        <v>1709</v>
      </c>
      <c r="K6971" t="s">
        <v>2377</v>
      </c>
      <c r="L6971" t="s">
        <v>285</v>
      </c>
      <c r="M6971" t="str">
        <f t="shared" si="509"/>
        <v>06</v>
      </c>
      <c r="N6971" t="s">
        <v>12</v>
      </c>
    </row>
    <row r="6972" spans="1:14" x14ac:dyDescent="0.25">
      <c r="A6972">
        <v>20160623</v>
      </c>
      <c r="B6972" t="str">
        <f>"063951"</f>
        <v>063951</v>
      </c>
      <c r="C6972" t="str">
        <f>"21901"</f>
        <v>21901</v>
      </c>
      <c r="D6972" t="s">
        <v>1965</v>
      </c>
      <c r="E6972" s="3">
        <v>853.7</v>
      </c>
      <c r="F6972">
        <v>20160622</v>
      </c>
      <c r="G6972" t="s">
        <v>1854</v>
      </c>
      <c r="H6972" t="s">
        <v>5736</v>
      </c>
      <c r="I6972">
        <v>0</v>
      </c>
      <c r="J6972" t="s">
        <v>1709</v>
      </c>
      <c r="K6972" t="s">
        <v>1856</v>
      </c>
      <c r="L6972" t="s">
        <v>285</v>
      </c>
      <c r="M6972" t="str">
        <f t="shared" si="509"/>
        <v>06</v>
      </c>
      <c r="N6972" t="s">
        <v>12</v>
      </c>
    </row>
    <row r="6973" spans="1:14" x14ac:dyDescent="0.25">
      <c r="A6973">
        <v>20160623</v>
      </c>
      <c r="B6973" t="str">
        <f>"063951"</f>
        <v>063951</v>
      </c>
      <c r="C6973" t="str">
        <f>"21901"</f>
        <v>21901</v>
      </c>
      <c r="D6973" t="s">
        <v>1965</v>
      </c>
      <c r="E6973" s="3">
        <v>183.25</v>
      </c>
      <c r="F6973">
        <v>20160622</v>
      </c>
      <c r="G6973" t="s">
        <v>2360</v>
      </c>
      <c r="H6973" t="s">
        <v>5737</v>
      </c>
      <c r="I6973">
        <v>0</v>
      </c>
      <c r="J6973" t="s">
        <v>1709</v>
      </c>
      <c r="K6973" t="s">
        <v>1856</v>
      </c>
      <c r="L6973" t="s">
        <v>285</v>
      </c>
      <c r="M6973" t="str">
        <f t="shared" si="509"/>
        <v>06</v>
      </c>
      <c r="N6973" t="s">
        <v>12</v>
      </c>
    </row>
    <row r="6974" spans="1:14" x14ac:dyDescent="0.25">
      <c r="A6974">
        <v>20160623</v>
      </c>
      <c r="B6974" t="str">
        <f>"063951"</f>
        <v>063951</v>
      </c>
      <c r="C6974" t="str">
        <f>"21901"</f>
        <v>21901</v>
      </c>
      <c r="D6974" t="s">
        <v>1965</v>
      </c>
      <c r="E6974" s="3">
        <v>359.58</v>
      </c>
      <c r="F6974">
        <v>20160622</v>
      </c>
      <c r="G6974" t="s">
        <v>2164</v>
      </c>
      <c r="H6974" t="s">
        <v>5738</v>
      </c>
      <c r="I6974">
        <v>0</v>
      </c>
      <c r="J6974" t="s">
        <v>1709</v>
      </c>
      <c r="K6974" t="s">
        <v>1861</v>
      </c>
      <c r="L6974" t="s">
        <v>285</v>
      </c>
      <c r="M6974" t="str">
        <f t="shared" si="509"/>
        <v>06</v>
      </c>
      <c r="N6974" t="s">
        <v>12</v>
      </c>
    </row>
    <row r="6975" spans="1:14" x14ac:dyDescent="0.25">
      <c r="A6975">
        <v>20160623</v>
      </c>
      <c r="B6975" t="str">
        <f>"063952"</f>
        <v>063952</v>
      </c>
      <c r="C6975" t="str">
        <f>"23754"</f>
        <v>23754</v>
      </c>
      <c r="D6975" t="s">
        <v>794</v>
      </c>
      <c r="E6975" s="3">
        <v>421</v>
      </c>
      <c r="F6975">
        <v>20160622</v>
      </c>
      <c r="G6975" t="s">
        <v>2049</v>
      </c>
      <c r="H6975" t="s">
        <v>5739</v>
      </c>
      <c r="I6975">
        <v>0</v>
      </c>
      <c r="J6975" t="s">
        <v>1709</v>
      </c>
      <c r="K6975" t="s">
        <v>1775</v>
      </c>
      <c r="L6975" t="s">
        <v>285</v>
      </c>
      <c r="M6975" t="str">
        <f t="shared" si="509"/>
        <v>06</v>
      </c>
      <c r="N6975" t="s">
        <v>12</v>
      </c>
    </row>
    <row r="6976" spans="1:14" x14ac:dyDescent="0.25">
      <c r="A6976">
        <v>20160623</v>
      </c>
      <c r="B6976" t="str">
        <f>"063953"</f>
        <v>063953</v>
      </c>
      <c r="C6976" t="str">
        <f>"77113"</f>
        <v>77113</v>
      </c>
      <c r="D6976" t="s">
        <v>3679</v>
      </c>
      <c r="E6976" s="3">
        <v>83.12</v>
      </c>
      <c r="F6976">
        <v>20160622</v>
      </c>
      <c r="G6976" t="s">
        <v>3680</v>
      </c>
      <c r="H6976" t="s">
        <v>4772</v>
      </c>
      <c r="I6976">
        <v>0</v>
      </c>
      <c r="J6976" t="s">
        <v>1709</v>
      </c>
      <c r="K6976" t="s">
        <v>1984</v>
      </c>
      <c r="L6976" t="s">
        <v>285</v>
      </c>
      <c r="M6976" t="str">
        <f t="shared" si="509"/>
        <v>06</v>
      </c>
      <c r="N6976" t="s">
        <v>12</v>
      </c>
    </row>
    <row r="6977" spans="1:14" x14ac:dyDescent="0.25">
      <c r="A6977">
        <v>20160623</v>
      </c>
      <c r="B6977" t="str">
        <f>"063955"</f>
        <v>063955</v>
      </c>
      <c r="C6977" t="str">
        <f>"54555"</f>
        <v>54555</v>
      </c>
      <c r="D6977" t="s">
        <v>2104</v>
      </c>
      <c r="E6977" s="3">
        <v>221.35</v>
      </c>
      <c r="F6977">
        <v>20160622</v>
      </c>
      <c r="G6977" t="s">
        <v>1765</v>
      </c>
      <c r="H6977" t="s">
        <v>4893</v>
      </c>
      <c r="I6977">
        <v>0</v>
      </c>
      <c r="J6977" t="s">
        <v>1709</v>
      </c>
      <c r="K6977" t="s">
        <v>1744</v>
      </c>
      <c r="L6977" t="s">
        <v>285</v>
      </c>
      <c r="M6977" t="str">
        <f t="shared" ref="M6977:M7040" si="514">"06"</f>
        <v>06</v>
      </c>
      <c r="N6977" t="s">
        <v>12</v>
      </c>
    </row>
    <row r="6978" spans="1:14" x14ac:dyDescent="0.25">
      <c r="A6978">
        <v>20160623</v>
      </c>
      <c r="B6978" t="str">
        <f>"063957"</f>
        <v>063957</v>
      </c>
      <c r="C6978" t="str">
        <f>"29500"</f>
        <v>29500</v>
      </c>
      <c r="D6978" t="s">
        <v>1698</v>
      </c>
      <c r="E6978" s="3">
        <v>520</v>
      </c>
      <c r="F6978">
        <v>20160622</v>
      </c>
      <c r="G6978" t="s">
        <v>1859</v>
      </c>
      <c r="H6978" t="s">
        <v>5740</v>
      </c>
      <c r="I6978">
        <v>0</v>
      </c>
      <c r="J6978" t="s">
        <v>1709</v>
      </c>
      <c r="K6978" t="s">
        <v>1861</v>
      </c>
      <c r="L6978" t="s">
        <v>285</v>
      </c>
      <c r="M6978" t="str">
        <f t="shared" si="514"/>
        <v>06</v>
      </c>
      <c r="N6978" t="s">
        <v>12</v>
      </c>
    </row>
    <row r="6979" spans="1:14" x14ac:dyDescent="0.25">
      <c r="A6979">
        <v>20160623</v>
      </c>
      <c r="B6979" t="str">
        <f>"063957"</f>
        <v>063957</v>
      </c>
      <c r="C6979" t="str">
        <f>"29500"</f>
        <v>29500</v>
      </c>
      <c r="D6979" t="s">
        <v>1698</v>
      </c>
      <c r="E6979" s="3">
        <v>193</v>
      </c>
      <c r="F6979">
        <v>20160622</v>
      </c>
      <c r="G6979" t="s">
        <v>1859</v>
      </c>
      <c r="H6979" t="s">
        <v>5741</v>
      </c>
      <c r="I6979">
        <v>0</v>
      </c>
      <c r="J6979" t="s">
        <v>1709</v>
      </c>
      <c r="K6979" t="s">
        <v>1861</v>
      </c>
      <c r="L6979" t="s">
        <v>285</v>
      </c>
      <c r="M6979" t="str">
        <f t="shared" si="514"/>
        <v>06</v>
      </c>
      <c r="N6979" t="s">
        <v>12</v>
      </c>
    </row>
    <row r="6980" spans="1:14" x14ac:dyDescent="0.25">
      <c r="A6980">
        <v>20160623</v>
      </c>
      <c r="B6980" t="str">
        <f>"063958"</f>
        <v>063958</v>
      </c>
      <c r="C6980" t="str">
        <f>"29548"</f>
        <v>29548</v>
      </c>
      <c r="D6980" t="s">
        <v>1862</v>
      </c>
      <c r="E6980" s="3">
        <v>279</v>
      </c>
      <c r="F6980">
        <v>20160622</v>
      </c>
      <c r="G6980" t="s">
        <v>1859</v>
      </c>
      <c r="H6980" t="s">
        <v>5742</v>
      </c>
      <c r="I6980">
        <v>0</v>
      </c>
      <c r="J6980" t="s">
        <v>1709</v>
      </c>
      <c r="K6980" t="s">
        <v>1861</v>
      </c>
      <c r="L6980" t="s">
        <v>285</v>
      </c>
      <c r="M6980" t="str">
        <f t="shared" si="514"/>
        <v>06</v>
      </c>
      <c r="N6980" t="s">
        <v>12</v>
      </c>
    </row>
    <row r="6981" spans="1:14" x14ac:dyDescent="0.25">
      <c r="A6981">
        <v>20160623</v>
      </c>
      <c r="B6981" t="str">
        <f>"063958"</f>
        <v>063958</v>
      </c>
      <c r="C6981" t="str">
        <f>"29548"</f>
        <v>29548</v>
      </c>
      <c r="D6981" t="s">
        <v>1862</v>
      </c>
      <c r="E6981" s="3">
        <v>461.4</v>
      </c>
      <c r="F6981">
        <v>20160622</v>
      </c>
      <c r="G6981" t="s">
        <v>1859</v>
      </c>
      <c r="H6981" t="s">
        <v>5743</v>
      </c>
      <c r="I6981">
        <v>0</v>
      </c>
      <c r="J6981" t="s">
        <v>1709</v>
      </c>
      <c r="K6981" t="s">
        <v>1861</v>
      </c>
      <c r="L6981" t="s">
        <v>285</v>
      </c>
      <c r="M6981" t="str">
        <f t="shared" si="514"/>
        <v>06</v>
      </c>
      <c r="N6981" t="s">
        <v>12</v>
      </c>
    </row>
    <row r="6982" spans="1:14" x14ac:dyDescent="0.25">
      <c r="A6982">
        <v>20160623</v>
      </c>
      <c r="B6982" t="str">
        <f>"063958"</f>
        <v>063958</v>
      </c>
      <c r="C6982" t="str">
        <f>"29548"</f>
        <v>29548</v>
      </c>
      <c r="D6982" t="s">
        <v>1862</v>
      </c>
      <c r="E6982" s="3">
        <v>365</v>
      </c>
      <c r="F6982">
        <v>20160622</v>
      </c>
      <c r="G6982" t="s">
        <v>1859</v>
      </c>
      <c r="H6982" t="s">
        <v>5744</v>
      </c>
      <c r="I6982">
        <v>0</v>
      </c>
      <c r="J6982" t="s">
        <v>1709</v>
      </c>
      <c r="K6982" t="s">
        <v>1861</v>
      </c>
      <c r="L6982" t="s">
        <v>285</v>
      </c>
      <c r="M6982" t="str">
        <f t="shared" si="514"/>
        <v>06</v>
      </c>
      <c r="N6982" t="s">
        <v>12</v>
      </c>
    </row>
    <row r="6983" spans="1:14" x14ac:dyDescent="0.25">
      <c r="A6983">
        <v>20160623</v>
      </c>
      <c r="B6983" t="str">
        <f>"063959"</f>
        <v>063959</v>
      </c>
      <c r="C6983" t="str">
        <f>"29610"</f>
        <v>29610</v>
      </c>
      <c r="D6983" t="s">
        <v>1867</v>
      </c>
      <c r="E6983" s="3">
        <v>350</v>
      </c>
      <c r="F6983">
        <v>20160622</v>
      </c>
      <c r="G6983" t="s">
        <v>2495</v>
      </c>
      <c r="H6983" t="s">
        <v>1868</v>
      </c>
      <c r="I6983">
        <v>0</v>
      </c>
      <c r="J6983" t="s">
        <v>1709</v>
      </c>
      <c r="K6983" t="s">
        <v>235</v>
      </c>
      <c r="L6983" t="s">
        <v>285</v>
      </c>
      <c r="M6983" t="str">
        <f t="shared" si="514"/>
        <v>06</v>
      </c>
      <c r="N6983" t="s">
        <v>12</v>
      </c>
    </row>
    <row r="6984" spans="1:14" x14ac:dyDescent="0.25">
      <c r="A6984">
        <v>20160623</v>
      </c>
      <c r="B6984" t="str">
        <f>"063960"</f>
        <v>063960</v>
      </c>
      <c r="C6984" t="str">
        <f>"29622"</f>
        <v>29622</v>
      </c>
      <c r="D6984" t="s">
        <v>1734</v>
      </c>
      <c r="E6984" s="3">
        <v>5.55</v>
      </c>
      <c r="F6984">
        <v>20160622</v>
      </c>
      <c r="G6984" t="s">
        <v>3226</v>
      </c>
      <c r="H6984" t="s">
        <v>5745</v>
      </c>
      <c r="I6984">
        <v>0</v>
      </c>
      <c r="J6984" t="s">
        <v>1709</v>
      </c>
      <c r="K6984" t="s">
        <v>2377</v>
      </c>
      <c r="L6984" t="s">
        <v>285</v>
      </c>
      <c r="M6984" t="str">
        <f t="shared" si="514"/>
        <v>06</v>
      </c>
      <c r="N6984" t="s">
        <v>12</v>
      </c>
    </row>
    <row r="6985" spans="1:14" x14ac:dyDescent="0.25">
      <c r="A6985">
        <v>20160623</v>
      </c>
      <c r="B6985" t="str">
        <f>"063960"</f>
        <v>063960</v>
      </c>
      <c r="C6985" t="str">
        <f>"29622"</f>
        <v>29622</v>
      </c>
      <c r="D6985" t="s">
        <v>1734</v>
      </c>
      <c r="E6985" s="3">
        <v>5.24</v>
      </c>
      <c r="F6985">
        <v>20160622</v>
      </c>
      <c r="G6985" t="s">
        <v>3226</v>
      </c>
      <c r="H6985" t="s">
        <v>5746</v>
      </c>
      <c r="I6985">
        <v>0</v>
      </c>
      <c r="J6985" t="s">
        <v>1709</v>
      </c>
      <c r="K6985" t="s">
        <v>2377</v>
      </c>
      <c r="L6985" t="s">
        <v>285</v>
      </c>
      <c r="M6985" t="str">
        <f t="shared" si="514"/>
        <v>06</v>
      </c>
      <c r="N6985" t="s">
        <v>12</v>
      </c>
    </row>
    <row r="6986" spans="1:14" x14ac:dyDescent="0.25">
      <c r="A6986">
        <v>20160623</v>
      </c>
      <c r="B6986" t="str">
        <f>"063961"</f>
        <v>063961</v>
      </c>
      <c r="C6986" t="str">
        <f>"31321"</f>
        <v>31321</v>
      </c>
      <c r="D6986" t="s">
        <v>5747</v>
      </c>
      <c r="E6986" s="3">
        <v>19262</v>
      </c>
      <c r="F6986">
        <v>20160622</v>
      </c>
      <c r="G6986" t="s">
        <v>2773</v>
      </c>
      <c r="H6986" t="s">
        <v>5748</v>
      </c>
      <c r="I6986">
        <v>0</v>
      </c>
      <c r="J6986" t="s">
        <v>1709</v>
      </c>
      <c r="K6986" t="s">
        <v>2252</v>
      </c>
      <c r="L6986" t="s">
        <v>285</v>
      </c>
      <c r="M6986" t="str">
        <f t="shared" si="514"/>
        <v>06</v>
      </c>
      <c r="N6986" t="s">
        <v>12</v>
      </c>
    </row>
    <row r="6987" spans="1:14" x14ac:dyDescent="0.25">
      <c r="A6987">
        <v>20160623</v>
      </c>
      <c r="B6987" t="str">
        <f>"063961"</f>
        <v>063961</v>
      </c>
      <c r="C6987" t="str">
        <f>"31321"</f>
        <v>31321</v>
      </c>
      <c r="D6987" t="s">
        <v>5747</v>
      </c>
      <c r="E6987" s="3">
        <v>11000</v>
      </c>
      <c r="F6987">
        <v>20160622</v>
      </c>
      <c r="G6987" t="s">
        <v>5749</v>
      </c>
      <c r="H6987" t="s">
        <v>5750</v>
      </c>
      <c r="I6987">
        <v>0</v>
      </c>
      <c r="J6987" t="s">
        <v>1709</v>
      </c>
      <c r="K6987" t="s">
        <v>1861</v>
      </c>
      <c r="L6987" t="s">
        <v>285</v>
      </c>
      <c r="M6987" t="str">
        <f t="shared" si="514"/>
        <v>06</v>
      </c>
      <c r="N6987" t="s">
        <v>12</v>
      </c>
    </row>
    <row r="6988" spans="1:14" x14ac:dyDescent="0.25">
      <c r="A6988">
        <v>20160623</v>
      </c>
      <c r="B6988" t="str">
        <f>"063962"</f>
        <v>063962</v>
      </c>
      <c r="C6988" t="str">
        <f>"31513"</f>
        <v>31513</v>
      </c>
      <c r="D6988" t="s">
        <v>5751</v>
      </c>
      <c r="E6988" s="3">
        <v>46.48</v>
      </c>
      <c r="F6988">
        <v>20160622</v>
      </c>
      <c r="G6988" t="s">
        <v>2652</v>
      </c>
      <c r="H6988" t="s">
        <v>3420</v>
      </c>
      <c r="I6988">
        <v>0</v>
      </c>
      <c r="J6988" t="s">
        <v>1709</v>
      </c>
      <c r="K6988" t="s">
        <v>1861</v>
      </c>
      <c r="L6988" t="s">
        <v>285</v>
      </c>
      <c r="M6988" t="str">
        <f t="shared" si="514"/>
        <v>06</v>
      </c>
      <c r="N6988" t="s">
        <v>12</v>
      </c>
    </row>
    <row r="6989" spans="1:14" x14ac:dyDescent="0.25">
      <c r="A6989">
        <v>20160623</v>
      </c>
      <c r="B6989" t="str">
        <f>"063965"</f>
        <v>063965</v>
      </c>
      <c r="C6989" t="str">
        <f>"35430"</f>
        <v>35430</v>
      </c>
      <c r="D6989" t="s">
        <v>2302</v>
      </c>
      <c r="E6989" s="3">
        <v>58.68</v>
      </c>
      <c r="F6989">
        <v>20160622</v>
      </c>
      <c r="G6989" t="s">
        <v>2303</v>
      </c>
      <c r="H6989" t="s">
        <v>595</v>
      </c>
      <c r="I6989">
        <v>0</v>
      </c>
      <c r="J6989" t="s">
        <v>1709</v>
      </c>
      <c r="K6989" t="s">
        <v>235</v>
      </c>
      <c r="L6989" t="s">
        <v>285</v>
      </c>
      <c r="M6989" t="str">
        <f t="shared" si="514"/>
        <v>06</v>
      </c>
      <c r="N6989" t="s">
        <v>12</v>
      </c>
    </row>
    <row r="6990" spans="1:14" x14ac:dyDescent="0.25">
      <c r="A6990">
        <v>20160623</v>
      </c>
      <c r="B6990" t="str">
        <f>"063966"</f>
        <v>063966</v>
      </c>
      <c r="C6990" t="str">
        <f>"37260"</f>
        <v>37260</v>
      </c>
      <c r="D6990" t="s">
        <v>2507</v>
      </c>
      <c r="E6990" s="3">
        <v>1658</v>
      </c>
      <c r="F6990">
        <v>20160622</v>
      </c>
      <c r="G6990" t="s">
        <v>4147</v>
      </c>
      <c r="H6990" t="s">
        <v>4714</v>
      </c>
      <c r="I6990">
        <v>0</v>
      </c>
      <c r="J6990" t="s">
        <v>1709</v>
      </c>
      <c r="K6990" t="s">
        <v>290</v>
      </c>
      <c r="L6990" t="s">
        <v>285</v>
      </c>
      <c r="M6990" t="str">
        <f t="shared" si="514"/>
        <v>06</v>
      </c>
      <c r="N6990" t="s">
        <v>12</v>
      </c>
    </row>
    <row r="6991" spans="1:14" x14ac:dyDescent="0.25">
      <c r="A6991">
        <v>20160623</v>
      </c>
      <c r="B6991" t="str">
        <f>"063966"</f>
        <v>063966</v>
      </c>
      <c r="C6991" t="str">
        <f>"37260"</f>
        <v>37260</v>
      </c>
      <c r="D6991" t="s">
        <v>2507</v>
      </c>
      <c r="E6991" s="3">
        <v>342</v>
      </c>
      <c r="F6991">
        <v>20160622</v>
      </c>
      <c r="G6991" t="s">
        <v>4713</v>
      </c>
      <c r="H6991" t="s">
        <v>4714</v>
      </c>
      <c r="I6991">
        <v>0</v>
      </c>
      <c r="J6991" t="s">
        <v>1709</v>
      </c>
      <c r="K6991" t="s">
        <v>290</v>
      </c>
      <c r="L6991" t="s">
        <v>285</v>
      </c>
      <c r="M6991" t="str">
        <f t="shared" si="514"/>
        <v>06</v>
      </c>
      <c r="N6991" t="s">
        <v>12</v>
      </c>
    </row>
    <row r="6992" spans="1:14" x14ac:dyDescent="0.25">
      <c r="A6992">
        <v>20160623</v>
      </c>
      <c r="B6992" t="str">
        <f>"063967"</f>
        <v>063967</v>
      </c>
      <c r="C6992" t="str">
        <f>"45665"</f>
        <v>45665</v>
      </c>
      <c r="D6992" t="s">
        <v>2887</v>
      </c>
      <c r="E6992" s="3">
        <v>339</v>
      </c>
      <c r="F6992">
        <v>20160622</v>
      </c>
      <c r="G6992" t="s">
        <v>1963</v>
      </c>
      <c r="H6992" t="s">
        <v>5752</v>
      </c>
      <c r="I6992">
        <v>0</v>
      </c>
      <c r="J6992" t="s">
        <v>1709</v>
      </c>
      <c r="K6992" t="s">
        <v>290</v>
      </c>
      <c r="L6992" t="s">
        <v>285</v>
      </c>
      <c r="M6992" t="str">
        <f t="shared" si="514"/>
        <v>06</v>
      </c>
      <c r="N6992" t="s">
        <v>12</v>
      </c>
    </row>
    <row r="6993" spans="1:14" x14ac:dyDescent="0.25">
      <c r="A6993">
        <v>20160623</v>
      </c>
      <c r="B6993" t="str">
        <f>"063969"</f>
        <v>063969</v>
      </c>
      <c r="C6993" t="str">
        <f>"39425"</f>
        <v>39425</v>
      </c>
      <c r="D6993" t="s">
        <v>4390</v>
      </c>
      <c r="E6993" s="3">
        <v>200</v>
      </c>
      <c r="F6993">
        <v>20160622</v>
      </c>
      <c r="G6993" t="s">
        <v>2490</v>
      </c>
      <c r="H6993" t="s">
        <v>5730</v>
      </c>
      <c r="I6993">
        <v>0</v>
      </c>
      <c r="J6993" t="s">
        <v>1709</v>
      </c>
      <c r="K6993" t="s">
        <v>1856</v>
      </c>
      <c r="L6993" t="s">
        <v>285</v>
      </c>
      <c r="M6993" t="str">
        <f t="shared" si="514"/>
        <v>06</v>
      </c>
      <c r="N6993" t="s">
        <v>12</v>
      </c>
    </row>
    <row r="6994" spans="1:14" x14ac:dyDescent="0.25">
      <c r="A6994">
        <v>20160623</v>
      </c>
      <c r="B6994" t="str">
        <f>"063970"</f>
        <v>063970</v>
      </c>
      <c r="C6994" t="str">
        <f>"39572"</f>
        <v>39572</v>
      </c>
      <c r="D6994" t="s">
        <v>2112</v>
      </c>
      <c r="E6994" s="3">
        <v>270.60000000000002</v>
      </c>
      <c r="F6994">
        <v>20160622</v>
      </c>
      <c r="G6994" t="s">
        <v>3726</v>
      </c>
      <c r="H6994" t="s">
        <v>5753</v>
      </c>
      <c r="I6994">
        <v>0</v>
      </c>
      <c r="J6994" t="s">
        <v>1709</v>
      </c>
      <c r="K6994" t="s">
        <v>95</v>
      </c>
      <c r="L6994" t="s">
        <v>285</v>
      </c>
      <c r="M6994" t="str">
        <f t="shared" si="514"/>
        <v>06</v>
      </c>
      <c r="N6994" t="s">
        <v>12</v>
      </c>
    </row>
    <row r="6995" spans="1:14" x14ac:dyDescent="0.25">
      <c r="A6995">
        <v>20160623</v>
      </c>
      <c r="B6995" t="str">
        <f>"063972"</f>
        <v>063972</v>
      </c>
      <c r="C6995" t="str">
        <f>"43532"</f>
        <v>43532</v>
      </c>
      <c r="D6995" t="s">
        <v>1979</v>
      </c>
      <c r="E6995" s="3">
        <v>405</v>
      </c>
      <c r="F6995">
        <v>20160622</v>
      </c>
      <c r="G6995" t="s">
        <v>2086</v>
      </c>
      <c r="H6995" t="s">
        <v>5754</v>
      </c>
      <c r="I6995">
        <v>0</v>
      </c>
      <c r="J6995" t="s">
        <v>1709</v>
      </c>
      <c r="K6995" t="s">
        <v>95</v>
      </c>
      <c r="L6995" t="s">
        <v>285</v>
      </c>
      <c r="M6995" t="str">
        <f t="shared" si="514"/>
        <v>06</v>
      </c>
      <c r="N6995" t="s">
        <v>12</v>
      </c>
    </row>
    <row r="6996" spans="1:14" x14ac:dyDescent="0.25">
      <c r="A6996">
        <v>20160623</v>
      </c>
      <c r="B6996" t="str">
        <f>"063972"</f>
        <v>063972</v>
      </c>
      <c r="C6996" t="str">
        <f>"43532"</f>
        <v>43532</v>
      </c>
      <c r="D6996" t="s">
        <v>1979</v>
      </c>
      <c r="E6996" s="3">
        <v>1740</v>
      </c>
      <c r="F6996">
        <v>20160622</v>
      </c>
      <c r="G6996" t="s">
        <v>1983</v>
      </c>
      <c r="H6996" t="s">
        <v>5755</v>
      </c>
      <c r="I6996">
        <v>0</v>
      </c>
      <c r="J6996" t="s">
        <v>1709</v>
      </c>
      <c r="K6996" t="s">
        <v>1984</v>
      </c>
      <c r="L6996" t="s">
        <v>285</v>
      </c>
      <c r="M6996" t="str">
        <f t="shared" si="514"/>
        <v>06</v>
      </c>
      <c r="N6996" t="s">
        <v>12</v>
      </c>
    </row>
    <row r="6997" spans="1:14" x14ac:dyDescent="0.25">
      <c r="A6997">
        <v>20160623</v>
      </c>
      <c r="B6997" t="str">
        <f>"063972"</f>
        <v>063972</v>
      </c>
      <c r="C6997" t="str">
        <f>"43532"</f>
        <v>43532</v>
      </c>
      <c r="D6997" t="s">
        <v>1979</v>
      </c>
      <c r="E6997" s="3">
        <v>8700</v>
      </c>
      <c r="F6997">
        <v>20160622</v>
      </c>
      <c r="G6997" t="s">
        <v>1983</v>
      </c>
      <c r="H6997" t="s">
        <v>5755</v>
      </c>
      <c r="I6997">
        <v>0</v>
      </c>
      <c r="J6997" t="s">
        <v>1709</v>
      </c>
      <c r="K6997" t="s">
        <v>1984</v>
      </c>
      <c r="L6997" t="s">
        <v>285</v>
      </c>
      <c r="M6997" t="str">
        <f t="shared" si="514"/>
        <v>06</v>
      </c>
      <c r="N6997" t="s">
        <v>12</v>
      </c>
    </row>
    <row r="6998" spans="1:14" x14ac:dyDescent="0.25">
      <c r="A6998">
        <v>20160623</v>
      </c>
      <c r="B6998" t="str">
        <f>"063974"</f>
        <v>063974</v>
      </c>
      <c r="C6998" t="str">
        <f>"46369"</f>
        <v>46369</v>
      </c>
      <c r="D6998" t="s">
        <v>1991</v>
      </c>
      <c r="E6998" s="3">
        <v>2940</v>
      </c>
      <c r="F6998">
        <v>20160622</v>
      </c>
      <c r="G6998" t="s">
        <v>2279</v>
      </c>
      <c r="H6998" t="s">
        <v>5756</v>
      </c>
      <c r="I6998">
        <v>0</v>
      </c>
      <c r="J6998" t="s">
        <v>1709</v>
      </c>
      <c r="K6998" t="s">
        <v>1861</v>
      </c>
      <c r="L6998" t="s">
        <v>285</v>
      </c>
      <c r="M6998" t="str">
        <f t="shared" si="514"/>
        <v>06</v>
      </c>
      <c r="N6998" t="s">
        <v>12</v>
      </c>
    </row>
    <row r="6999" spans="1:14" x14ac:dyDescent="0.25">
      <c r="A6999">
        <v>20160623</v>
      </c>
      <c r="B6999" t="str">
        <f>"063974"</f>
        <v>063974</v>
      </c>
      <c r="C6999" t="str">
        <f>"46369"</f>
        <v>46369</v>
      </c>
      <c r="D6999" t="s">
        <v>1991</v>
      </c>
      <c r="E6999" s="3">
        <v>205</v>
      </c>
      <c r="F6999">
        <v>20160622</v>
      </c>
      <c r="G6999" t="s">
        <v>1992</v>
      </c>
      <c r="H6999" t="s">
        <v>5757</v>
      </c>
      <c r="I6999">
        <v>0</v>
      </c>
      <c r="J6999" t="s">
        <v>1709</v>
      </c>
      <c r="K6999" t="s">
        <v>1861</v>
      </c>
      <c r="L6999" t="s">
        <v>285</v>
      </c>
      <c r="M6999" t="str">
        <f t="shared" si="514"/>
        <v>06</v>
      </c>
      <c r="N6999" t="s">
        <v>12</v>
      </c>
    </row>
    <row r="7000" spans="1:14" x14ac:dyDescent="0.25">
      <c r="A7000">
        <v>20160623</v>
      </c>
      <c r="B7000" t="str">
        <f>"063974"</f>
        <v>063974</v>
      </c>
      <c r="C7000" t="str">
        <f>"46369"</f>
        <v>46369</v>
      </c>
      <c r="D7000" t="s">
        <v>1991</v>
      </c>
      <c r="E7000" s="3">
        <v>418</v>
      </c>
      <c r="F7000">
        <v>20160622</v>
      </c>
      <c r="G7000" t="s">
        <v>1992</v>
      </c>
      <c r="H7000" t="s">
        <v>5758</v>
      </c>
      <c r="I7000">
        <v>0</v>
      </c>
      <c r="J7000" t="s">
        <v>1709</v>
      </c>
      <c r="K7000" t="s">
        <v>1861</v>
      </c>
      <c r="L7000" t="s">
        <v>285</v>
      </c>
      <c r="M7000" t="str">
        <f t="shared" si="514"/>
        <v>06</v>
      </c>
      <c r="N7000" t="s">
        <v>12</v>
      </c>
    </row>
    <row r="7001" spans="1:14" x14ac:dyDescent="0.25">
      <c r="A7001">
        <v>20160623</v>
      </c>
      <c r="B7001" t="str">
        <f>"063975"</f>
        <v>063975</v>
      </c>
      <c r="C7001" t="str">
        <f>"46398"</f>
        <v>46398</v>
      </c>
      <c r="D7001" t="s">
        <v>1994</v>
      </c>
      <c r="E7001" s="3">
        <v>8852.8799999999992</v>
      </c>
      <c r="F7001">
        <v>20160622</v>
      </c>
      <c r="G7001" t="s">
        <v>1995</v>
      </c>
      <c r="H7001" t="s">
        <v>5759</v>
      </c>
      <c r="I7001">
        <v>0</v>
      </c>
      <c r="J7001" t="s">
        <v>1709</v>
      </c>
      <c r="K7001" t="s">
        <v>235</v>
      </c>
      <c r="L7001" t="s">
        <v>285</v>
      </c>
      <c r="M7001" t="str">
        <f t="shared" si="514"/>
        <v>06</v>
      </c>
      <c r="N7001" t="s">
        <v>12</v>
      </c>
    </row>
    <row r="7002" spans="1:14" x14ac:dyDescent="0.25">
      <c r="A7002">
        <v>20160623</v>
      </c>
      <c r="B7002" t="str">
        <f>"063975"</f>
        <v>063975</v>
      </c>
      <c r="C7002" t="str">
        <f>"46398"</f>
        <v>46398</v>
      </c>
      <c r="D7002" t="s">
        <v>1994</v>
      </c>
      <c r="E7002" s="3">
        <v>1820</v>
      </c>
      <c r="F7002">
        <v>20160622</v>
      </c>
      <c r="G7002" t="s">
        <v>1995</v>
      </c>
      <c r="H7002" t="s">
        <v>5760</v>
      </c>
      <c r="I7002">
        <v>0</v>
      </c>
      <c r="J7002" t="s">
        <v>1709</v>
      </c>
      <c r="K7002" t="s">
        <v>235</v>
      </c>
      <c r="L7002" t="s">
        <v>285</v>
      </c>
      <c r="M7002" t="str">
        <f t="shared" si="514"/>
        <v>06</v>
      </c>
      <c r="N7002" t="s">
        <v>12</v>
      </c>
    </row>
    <row r="7003" spans="1:14" x14ac:dyDescent="0.25">
      <c r="A7003">
        <v>20160623</v>
      </c>
      <c r="B7003" t="str">
        <f>"063975"</f>
        <v>063975</v>
      </c>
      <c r="C7003" t="str">
        <f>"46398"</f>
        <v>46398</v>
      </c>
      <c r="D7003" t="s">
        <v>1994</v>
      </c>
      <c r="E7003" s="3">
        <v>452.31</v>
      </c>
      <c r="F7003">
        <v>20160622</v>
      </c>
      <c r="G7003" t="s">
        <v>1998</v>
      </c>
      <c r="H7003" t="s">
        <v>5759</v>
      </c>
      <c r="I7003">
        <v>0</v>
      </c>
      <c r="J7003" t="s">
        <v>1709</v>
      </c>
      <c r="K7003" t="s">
        <v>1942</v>
      </c>
      <c r="L7003" t="s">
        <v>285</v>
      </c>
      <c r="M7003" t="str">
        <f t="shared" si="514"/>
        <v>06</v>
      </c>
      <c r="N7003" t="s">
        <v>12</v>
      </c>
    </row>
    <row r="7004" spans="1:14" x14ac:dyDescent="0.25">
      <c r="A7004">
        <v>20160623</v>
      </c>
      <c r="B7004" t="str">
        <f>"063976"</f>
        <v>063976</v>
      </c>
      <c r="C7004" t="str">
        <f>"46386"</f>
        <v>46386</v>
      </c>
      <c r="D7004" t="s">
        <v>5103</v>
      </c>
      <c r="E7004" s="3">
        <v>7</v>
      </c>
      <c r="F7004">
        <v>20160622</v>
      </c>
      <c r="G7004" t="s">
        <v>5104</v>
      </c>
      <c r="H7004" t="s">
        <v>5761</v>
      </c>
      <c r="I7004">
        <v>0</v>
      </c>
      <c r="J7004" t="s">
        <v>1709</v>
      </c>
      <c r="K7004" t="s">
        <v>1856</v>
      </c>
      <c r="L7004" t="s">
        <v>285</v>
      </c>
      <c r="M7004" t="str">
        <f t="shared" si="514"/>
        <v>06</v>
      </c>
      <c r="N7004" t="s">
        <v>12</v>
      </c>
    </row>
    <row r="7005" spans="1:14" x14ac:dyDescent="0.25">
      <c r="A7005">
        <v>20160623</v>
      </c>
      <c r="B7005" t="str">
        <f>"063976"</f>
        <v>063976</v>
      </c>
      <c r="C7005" t="str">
        <f>"46386"</f>
        <v>46386</v>
      </c>
      <c r="D7005" t="s">
        <v>5103</v>
      </c>
      <c r="E7005" s="3">
        <v>7</v>
      </c>
      <c r="F7005">
        <v>20160622</v>
      </c>
      <c r="G7005" t="s">
        <v>5104</v>
      </c>
      <c r="H7005" t="s">
        <v>5762</v>
      </c>
      <c r="I7005">
        <v>0</v>
      </c>
      <c r="J7005" t="s">
        <v>1709</v>
      </c>
      <c r="K7005" t="s">
        <v>1856</v>
      </c>
      <c r="L7005" t="s">
        <v>285</v>
      </c>
      <c r="M7005" t="str">
        <f t="shared" si="514"/>
        <v>06</v>
      </c>
      <c r="N7005" t="s">
        <v>12</v>
      </c>
    </row>
    <row r="7006" spans="1:14" x14ac:dyDescent="0.25">
      <c r="A7006">
        <v>20160623</v>
      </c>
      <c r="B7006" t="str">
        <f>"063977"</f>
        <v>063977</v>
      </c>
      <c r="C7006" t="str">
        <f>"46929"</f>
        <v>46929</v>
      </c>
      <c r="D7006" t="s">
        <v>5763</v>
      </c>
      <c r="E7006" s="3">
        <v>158.15</v>
      </c>
      <c r="F7006">
        <v>20160623</v>
      </c>
      <c r="G7006" t="s">
        <v>1765</v>
      </c>
      <c r="H7006" t="s">
        <v>4893</v>
      </c>
      <c r="I7006">
        <v>0</v>
      </c>
      <c r="J7006" t="s">
        <v>1709</v>
      </c>
      <c r="K7006" t="s">
        <v>1744</v>
      </c>
      <c r="L7006" t="s">
        <v>285</v>
      </c>
      <c r="M7006" t="str">
        <f t="shared" si="514"/>
        <v>06</v>
      </c>
      <c r="N7006" t="s">
        <v>12</v>
      </c>
    </row>
    <row r="7007" spans="1:14" x14ac:dyDescent="0.25">
      <c r="A7007">
        <v>20160623</v>
      </c>
      <c r="B7007" t="str">
        <f>"063978"</f>
        <v>063978</v>
      </c>
      <c r="C7007" t="str">
        <f>"47725"</f>
        <v>47725</v>
      </c>
      <c r="D7007" t="s">
        <v>1883</v>
      </c>
      <c r="E7007" s="3">
        <v>37.46</v>
      </c>
      <c r="F7007">
        <v>20160622</v>
      </c>
      <c r="G7007" t="s">
        <v>1859</v>
      </c>
      <c r="H7007" t="s">
        <v>5764</v>
      </c>
      <c r="I7007">
        <v>0</v>
      </c>
      <c r="J7007" t="s">
        <v>1709</v>
      </c>
      <c r="K7007" t="s">
        <v>1861</v>
      </c>
      <c r="L7007" t="s">
        <v>285</v>
      </c>
      <c r="M7007" t="str">
        <f t="shared" si="514"/>
        <v>06</v>
      </c>
      <c r="N7007" t="s">
        <v>12</v>
      </c>
    </row>
    <row r="7008" spans="1:14" x14ac:dyDescent="0.25">
      <c r="A7008">
        <v>20160623</v>
      </c>
      <c r="B7008" t="str">
        <f>"063978"</f>
        <v>063978</v>
      </c>
      <c r="C7008" t="str">
        <f>"47725"</f>
        <v>47725</v>
      </c>
      <c r="D7008" t="s">
        <v>1883</v>
      </c>
      <c r="E7008" s="3">
        <v>266.31</v>
      </c>
      <c r="F7008">
        <v>20160623</v>
      </c>
      <c r="G7008" t="s">
        <v>1859</v>
      </c>
      <c r="H7008" t="s">
        <v>5765</v>
      </c>
      <c r="I7008">
        <v>0</v>
      </c>
      <c r="J7008" t="s">
        <v>1709</v>
      </c>
      <c r="K7008" t="s">
        <v>1861</v>
      </c>
      <c r="L7008" t="s">
        <v>285</v>
      </c>
      <c r="M7008" t="str">
        <f t="shared" si="514"/>
        <v>06</v>
      </c>
      <c r="N7008" t="s">
        <v>12</v>
      </c>
    </row>
    <row r="7009" spans="1:14" x14ac:dyDescent="0.25">
      <c r="A7009">
        <v>20160623</v>
      </c>
      <c r="B7009" t="str">
        <f>"063979"</f>
        <v>063979</v>
      </c>
      <c r="C7009" t="str">
        <f>"48475"</f>
        <v>48475</v>
      </c>
      <c r="D7009" t="s">
        <v>5766</v>
      </c>
      <c r="E7009" s="3">
        <v>298.49</v>
      </c>
      <c r="F7009">
        <v>20160622</v>
      </c>
      <c r="G7009" t="s">
        <v>5132</v>
      </c>
      <c r="H7009" t="s">
        <v>5767</v>
      </c>
      <c r="I7009">
        <v>0</v>
      </c>
      <c r="J7009" t="s">
        <v>1709</v>
      </c>
      <c r="K7009" t="s">
        <v>2923</v>
      </c>
      <c r="L7009" t="s">
        <v>285</v>
      </c>
      <c r="M7009" t="str">
        <f t="shared" si="514"/>
        <v>06</v>
      </c>
      <c r="N7009" t="s">
        <v>12</v>
      </c>
    </row>
    <row r="7010" spans="1:14" x14ac:dyDescent="0.25">
      <c r="A7010">
        <v>20160623</v>
      </c>
      <c r="B7010" t="str">
        <f>"063979"</f>
        <v>063979</v>
      </c>
      <c r="C7010" t="str">
        <f>"48475"</f>
        <v>48475</v>
      </c>
      <c r="D7010" t="s">
        <v>5766</v>
      </c>
      <c r="E7010" s="3">
        <v>298.48</v>
      </c>
      <c r="F7010">
        <v>20160622</v>
      </c>
      <c r="G7010" t="s">
        <v>2921</v>
      </c>
      <c r="H7010" t="s">
        <v>5767</v>
      </c>
      <c r="I7010">
        <v>0</v>
      </c>
      <c r="J7010" t="s">
        <v>1709</v>
      </c>
      <c r="K7010" t="s">
        <v>2923</v>
      </c>
      <c r="L7010" t="s">
        <v>285</v>
      </c>
      <c r="M7010" t="str">
        <f t="shared" si="514"/>
        <v>06</v>
      </c>
      <c r="N7010" t="s">
        <v>12</v>
      </c>
    </row>
    <row r="7011" spans="1:14" x14ac:dyDescent="0.25">
      <c r="A7011">
        <v>20160623</v>
      </c>
      <c r="B7011" t="str">
        <f>"063982"</f>
        <v>063982</v>
      </c>
      <c r="C7011" t="str">
        <f>"00019"</f>
        <v>00019</v>
      </c>
      <c r="D7011" t="s">
        <v>3266</v>
      </c>
      <c r="E7011" s="3">
        <v>520</v>
      </c>
      <c r="F7011">
        <v>20160622</v>
      </c>
      <c r="G7011" t="s">
        <v>5768</v>
      </c>
      <c r="H7011" t="s">
        <v>5769</v>
      </c>
      <c r="I7011">
        <v>0</v>
      </c>
      <c r="J7011" t="s">
        <v>1709</v>
      </c>
      <c r="K7011" t="s">
        <v>1984</v>
      </c>
      <c r="L7011" t="s">
        <v>285</v>
      </c>
      <c r="M7011" t="str">
        <f t="shared" si="514"/>
        <v>06</v>
      </c>
      <c r="N7011" t="s">
        <v>12</v>
      </c>
    </row>
    <row r="7012" spans="1:14" x14ac:dyDescent="0.25">
      <c r="A7012">
        <v>20160623</v>
      </c>
      <c r="B7012" t="str">
        <f>"063982"</f>
        <v>063982</v>
      </c>
      <c r="C7012" t="str">
        <f>"00019"</f>
        <v>00019</v>
      </c>
      <c r="D7012" t="s">
        <v>3266</v>
      </c>
      <c r="E7012" s="3">
        <v>250</v>
      </c>
      <c r="F7012">
        <v>20160622</v>
      </c>
      <c r="G7012" t="s">
        <v>3267</v>
      </c>
      <c r="H7012" t="s">
        <v>5770</v>
      </c>
      <c r="I7012">
        <v>0</v>
      </c>
      <c r="J7012" t="s">
        <v>1709</v>
      </c>
      <c r="K7012" t="s">
        <v>1984</v>
      </c>
      <c r="L7012" t="s">
        <v>285</v>
      </c>
      <c r="M7012" t="str">
        <f t="shared" si="514"/>
        <v>06</v>
      </c>
      <c r="N7012" t="s">
        <v>12</v>
      </c>
    </row>
    <row r="7013" spans="1:14" x14ac:dyDescent="0.25">
      <c r="A7013">
        <v>20160623</v>
      </c>
      <c r="B7013" t="str">
        <f>"063984"</f>
        <v>063984</v>
      </c>
      <c r="C7013" t="str">
        <f>"56013"</f>
        <v>56013</v>
      </c>
      <c r="D7013" t="s">
        <v>2355</v>
      </c>
      <c r="E7013" s="3">
        <v>500</v>
      </c>
      <c r="F7013">
        <v>20160622</v>
      </c>
      <c r="G7013" t="s">
        <v>2356</v>
      </c>
      <c r="H7013" t="s">
        <v>5771</v>
      </c>
      <c r="I7013">
        <v>0</v>
      </c>
      <c r="J7013" t="s">
        <v>1709</v>
      </c>
      <c r="K7013" t="s">
        <v>1861</v>
      </c>
      <c r="L7013" t="s">
        <v>285</v>
      </c>
      <c r="M7013" t="str">
        <f t="shared" si="514"/>
        <v>06</v>
      </c>
      <c r="N7013" t="s">
        <v>12</v>
      </c>
    </row>
    <row r="7014" spans="1:14" x14ac:dyDescent="0.25">
      <c r="A7014">
        <v>20160623</v>
      </c>
      <c r="B7014" t="str">
        <f>"063984"</f>
        <v>063984</v>
      </c>
      <c r="C7014" t="str">
        <f>"56013"</f>
        <v>56013</v>
      </c>
      <c r="D7014" t="s">
        <v>2355</v>
      </c>
      <c r="E7014" s="3">
        <v>1899.15</v>
      </c>
      <c r="F7014">
        <v>20160622</v>
      </c>
      <c r="G7014" t="s">
        <v>2356</v>
      </c>
      <c r="H7014" t="s">
        <v>5771</v>
      </c>
      <c r="I7014">
        <v>0</v>
      </c>
      <c r="J7014" t="s">
        <v>1709</v>
      </c>
      <c r="K7014" t="s">
        <v>1861</v>
      </c>
      <c r="L7014" t="s">
        <v>285</v>
      </c>
      <c r="M7014" t="str">
        <f t="shared" si="514"/>
        <v>06</v>
      </c>
      <c r="N7014" t="s">
        <v>12</v>
      </c>
    </row>
    <row r="7015" spans="1:14" x14ac:dyDescent="0.25">
      <c r="A7015">
        <v>20160623</v>
      </c>
      <c r="B7015" t="str">
        <f>"063986"</f>
        <v>063986</v>
      </c>
      <c r="C7015" t="str">
        <f>"56455"</f>
        <v>56455</v>
      </c>
      <c r="D7015" t="s">
        <v>5772</v>
      </c>
      <c r="E7015" s="3">
        <v>401.55</v>
      </c>
      <c r="F7015">
        <v>20160622</v>
      </c>
      <c r="G7015" t="s">
        <v>2027</v>
      </c>
      <c r="H7015" t="s">
        <v>5708</v>
      </c>
      <c r="I7015">
        <v>0</v>
      </c>
      <c r="J7015" t="s">
        <v>1709</v>
      </c>
      <c r="K7015" t="s">
        <v>290</v>
      </c>
      <c r="L7015" t="s">
        <v>285</v>
      </c>
      <c r="M7015" t="str">
        <f t="shared" si="514"/>
        <v>06</v>
      </c>
      <c r="N7015" t="s">
        <v>12</v>
      </c>
    </row>
    <row r="7016" spans="1:14" x14ac:dyDescent="0.25">
      <c r="A7016">
        <v>20160623</v>
      </c>
      <c r="B7016" t="str">
        <f>"063988"</f>
        <v>063988</v>
      </c>
      <c r="C7016" t="str">
        <f>"57617"</f>
        <v>57617</v>
      </c>
      <c r="D7016" t="s">
        <v>5773</v>
      </c>
      <c r="E7016" s="3">
        <v>40</v>
      </c>
      <c r="F7016">
        <v>20160622</v>
      </c>
      <c r="G7016" t="s">
        <v>2018</v>
      </c>
      <c r="H7016" t="s">
        <v>5182</v>
      </c>
      <c r="I7016">
        <v>0</v>
      </c>
      <c r="J7016" t="s">
        <v>1709</v>
      </c>
      <c r="K7016" t="s">
        <v>1856</v>
      </c>
      <c r="L7016" t="s">
        <v>285</v>
      </c>
      <c r="M7016" t="str">
        <f t="shared" si="514"/>
        <v>06</v>
      </c>
      <c r="N7016" t="s">
        <v>12</v>
      </c>
    </row>
    <row r="7017" spans="1:14" x14ac:dyDescent="0.25">
      <c r="A7017">
        <v>20160623</v>
      </c>
      <c r="B7017" t="str">
        <f>"063988"</f>
        <v>063988</v>
      </c>
      <c r="C7017" t="str">
        <f>"57617"</f>
        <v>57617</v>
      </c>
      <c r="D7017" t="s">
        <v>5773</v>
      </c>
      <c r="E7017" s="3">
        <v>29.82</v>
      </c>
      <c r="F7017">
        <v>20160622</v>
      </c>
      <c r="G7017" t="s">
        <v>5104</v>
      </c>
      <c r="H7017" t="s">
        <v>5182</v>
      </c>
      <c r="I7017">
        <v>0</v>
      </c>
      <c r="J7017" t="s">
        <v>1709</v>
      </c>
      <c r="K7017" t="s">
        <v>1856</v>
      </c>
      <c r="L7017" t="s">
        <v>285</v>
      </c>
      <c r="M7017" t="str">
        <f t="shared" si="514"/>
        <v>06</v>
      </c>
      <c r="N7017" t="s">
        <v>12</v>
      </c>
    </row>
    <row r="7018" spans="1:14" x14ac:dyDescent="0.25">
      <c r="A7018">
        <v>20160623</v>
      </c>
      <c r="B7018" t="str">
        <f>"063988"</f>
        <v>063988</v>
      </c>
      <c r="C7018" t="str">
        <f>"57617"</f>
        <v>57617</v>
      </c>
      <c r="D7018" t="s">
        <v>5773</v>
      </c>
      <c r="E7018" s="3">
        <v>17.649999999999999</v>
      </c>
      <c r="F7018">
        <v>20160622</v>
      </c>
      <c r="G7018" t="s">
        <v>5104</v>
      </c>
      <c r="H7018" t="s">
        <v>4822</v>
      </c>
      <c r="I7018">
        <v>0</v>
      </c>
      <c r="J7018" t="s">
        <v>1709</v>
      </c>
      <c r="K7018" t="s">
        <v>1856</v>
      </c>
      <c r="L7018" t="s">
        <v>285</v>
      </c>
      <c r="M7018" t="str">
        <f t="shared" si="514"/>
        <v>06</v>
      </c>
      <c r="N7018" t="s">
        <v>12</v>
      </c>
    </row>
    <row r="7019" spans="1:14" x14ac:dyDescent="0.25">
      <c r="A7019">
        <v>20160623</v>
      </c>
      <c r="B7019" t="str">
        <f>"063989"</f>
        <v>063989</v>
      </c>
      <c r="C7019" t="str">
        <f>"58927"</f>
        <v>58927</v>
      </c>
      <c r="D7019" t="s">
        <v>1899</v>
      </c>
      <c r="E7019" s="3">
        <v>55</v>
      </c>
      <c r="F7019">
        <v>20160622</v>
      </c>
      <c r="G7019" t="s">
        <v>2699</v>
      </c>
      <c r="H7019" t="s">
        <v>1900</v>
      </c>
      <c r="I7019">
        <v>0</v>
      </c>
      <c r="J7019" t="s">
        <v>1709</v>
      </c>
      <c r="K7019" t="s">
        <v>1856</v>
      </c>
      <c r="L7019" t="s">
        <v>285</v>
      </c>
      <c r="M7019" t="str">
        <f t="shared" si="514"/>
        <v>06</v>
      </c>
      <c r="N7019" t="s">
        <v>12</v>
      </c>
    </row>
    <row r="7020" spans="1:14" x14ac:dyDescent="0.25">
      <c r="A7020">
        <v>20160623</v>
      </c>
      <c r="B7020" t="str">
        <f>"063990"</f>
        <v>063990</v>
      </c>
      <c r="C7020" t="str">
        <f>"59018"</f>
        <v>59018</v>
      </c>
      <c r="D7020" t="s">
        <v>5557</v>
      </c>
      <c r="E7020" s="3">
        <v>88.3</v>
      </c>
      <c r="F7020">
        <v>20160622</v>
      </c>
      <c r="G7020" t="s">
        <v>1961</v>
      </c>
      <c r="H7020" t="s">
        <v>4212</v>
      </c>
      <c r="I7020">
        <v>0</v>
      </c>
      <c r="J7020" t="s">
        <v>1709</v>
      </c>
      <c r="K7020" t="s">
        <v>290</v>
      </c>
      <c r="L7020" t="s">
        <v>285</v>
      </c>
      <c r="M7020" t="str">
        <f t="shared" si="514"/>
        <v>06</v>
      </c>
      <c r="N7020" t="s">
        <v>12</v>
      </c>
    </row>
    <row r="7021" spans="1:14" x14ac:dyDescent="0.25">
      <c r="A7021">
        <v>20160623</v>
      </c>
      <c r="B7021" t="str">
        <f>"063990"</f>
        <v>063990</v>
      </c>
      <c r="C7021" t="str">
        <f>"59018"</f>
        <v>59018</v>
      </c>
      <c r="D7021" t="s">
        <v>5557</v>
      </c>
      <c r="E7021" s="3">
        <v>28.61</v>
      </c>
      <c r="F7021">
        <v>20160622</v>
      </c>
      <c r="G7021" t="s">
        <v>1961</v>
      </c>
      <c r="H7021" t="s">
        <v>5724</v>
      </c>
      <c r="I7021">
        <v>0</v>
      </c>
      <c r="J7021" t="s">
        <v>1709</v>
      </c>
      <c r="K7021" t="s">
        <v>290</v>
      </c>
      <c r="L7021" t="s">
        <v>285</v>
      </c>
      <c r="M7021" t="str">
        <f t="shared" si="514"/>
        <v>06</v>
      </c>
      <c r="N7021" t="s">
        <v>12</v>
      </c>
    </row>
    <row r="7022" spans="1:14" x14ac:dyDescent="0.25">
      <c r="A7022">
        <v>20160623</v>
      </c>
      <c r="B7022" t="str">
        <f>"063993"</f>
        <v>063993</v>
      </c>
      <c r="C7022" t="str">
        <f>"60835"</f>
        <v>60835</v>
      </c>
      <c r="D7022" t="s">
        <v>1904</v>
      </c>
      <c r="E7022" s="3">
        <v>630</v>
      </c>
      <c r="F7022">
        <v>20160622</v>
      </c>
      <c r="G7022" t="s">
        <v>1854</v>
      </c>
      <c r="H7022" t="s">
        <v>5774</v>
      </c>
      <c r="I7022">
        <v>0</v>
      </c>
      <c r="J7022" t="s">
        <v>1709</v>
      </c>
      <c r="K7022" t="s">
        <v>1856</v>
      </c>
      <c r="L7022" t="s">
        <v>285</v>
      </c>
      <c r="M7022" t="str">
        <f t="shared" si="514"/>
        <v>06</v>
      </c>
      <c r="N7022" t="s">
        <v>12</v>
      </c>
    </row>
    <row r="7023" spans="1:14" x14ac:dyDescent="0.25">
      <c r="A7023">
        <v>20160623</v>
      </c>
      <c r="B7023" t="str">
        <f>"063993"</f>
        <v>063993</v>
      </c>
      <c r="C7023" t="str">
        <f>"60835"</f>
        <v>60835</v>
      </c>
      <c r="D7023" t="s">
        <v>1904</v>
      </c>
      <c r="E7023" s="3">
        <v>420</v>
      </c>
      <c r="F7023">
        <v>20160622</v>
      </c>
      <c r="G7023" t="s">
        <v>1854</v>
      </c>
      <c r="H7023" t="s">
        <v>5775</v>
      </c>
      <c r="I7023">
        <v>0</v>
      </c>
      <c r="J7023" t="s">
        <v>1709</v>
      </c>
      <c r="K7023" t="s">
        <v>1856</v>
      </c>
      <c r="L7023" t="s">
        <v>285</v>
      </c>
      <c r="M7023" t="str">
        <f t="shared" si="514"/>
        <v>06</v>
      </c>
      <c r="N7023" t="s">
        <v>12</v>
      </c>
    </row>
    <row r="7024" spans="1:14" x14ac:dyDescent="0.25">
      <c r="A7024">
        <v>20160623</v>
      </c>
      <c r="B7024" t="str">
        <f>"063994"</f>
        <v>063994</v>
      </c>
      <c r="C7024" t="str">
        <f>"61912"</f>
        <v>61912</v>
      </c>
      <c r="D7024" t="s">
        <v>2374</v>
      </c>
      <c r="E7024" s="3">
        <v>1526.23</v>
      </c>
      <c r="F7024">
        <v>20160622</v>
      </c>
      <c r="G7024" t="s">
        <v>5776</v>
      </c>
      <c r="H7024" t="s">
        <v>5398</v>
      </c>
      <c r="I7024">
        <v>0</v>
      </c>
      <c r="J7024" t="s">
        <v>1709</v>
      </c>
      <c r="K7024" t="s">
        <v>1643</v>
      </c>
      <c r="L7024" t="s">
        <v>285</v>
      </c>
      <c r="M7024" t="str">
        <f t="shared" si="514"/>
        <v>06</v>
      </c>
      <c r="N7024" t="s">
        <v>12</v>
      </c>
    </row>
    <row r="7025" spans="1:14" x14ac:dyDescent="0.25">
      <c r="A7025">
        <v>20160623</v>
      </c>
      <c r="B7025" t="str">
        <f>"063995"</f>
        <v>063995</v>
      </c>
      <c r="C7025" t="str">
        <f>"63053"</f>
        <v>63053</v>
      </c>
      <c r="D7025" t="s">
        <v>2012</v>
      </c>
      <c r="E7025" s="3">
        <v>86.48</v>
      </c>
      <c r="F7025">
        <v>20160622</v>
      </c>
      <c r="G7025" t="s">
        <v>4713</v>
      </c>
      <c r="H7025" t="s">
        <v>4714</v>
      </c>
      <c r="I7025">
        <v>0</v>
      </c>
      <c r="J7025" t="s">
        <v>1709</v>
      </c>
      <c r="K7025" t="s">
        <v>290</v>
      </c>
      <c r="L7025" t="s">
        <v>285</v>
      </c>
      <c r="M7025" t="str">
        <f t="shared" si="514"/>
        <v>06</v>
      </c>
      <c r="N7025" t="s">
        <v>12</v>
      </c>
    </row>
    <row r="7026" spans="1:14" x14ac:dyDescent="0.25">
      <c r="A7026">
        <v>20160623</v>
      </c>
      <c r="B7026" t="str">
        <f>"063996"</f>
        <v>063996</v>
      </c>
      <c r="C7026" t="str">
        <f>"63608"</f>
        <v>63608</v>
      </c>
      <c r="D7026" t="s">
        <v>5219</v>
      </c>
      <c r="E7026" s="3">
        <v>272.55</v>
      </c>
      <c r="F7026">
        <v>20160622</v>
      </c>
      <c r="G7026" t="s">
        <v>2074</v>
      </c>
      <c r="H7026" t="s">
        <v>2295</v>
      </c>
      <c r="I7026">
        <v>0</v>
      </c>
      <c r="J7026" t="s">
        <v>1709</v>
      </c>
      <c r="K7026" t="s">
        <v>1861</v>
      </c>
      <c r="L7026" t="s">
        <v>285</v>
      </c>
      <c r="M7026" t="str">
        <f t="shared" si="514"/>
        <v>06</v>
      </c>
      <c r="N7026" t="s">
        <v>12</v>
      </c>
    </row>
    <row r="7027" spans="1:14" x14ac:dyDescent="0.25">
      <c r="A7027">
        <v>20160623</v>
      </c>
      <c r="B7027" t="str">
        <f>"063997"</f>
        <v>063997</v>
      </c>
      <c r="C7027" t="str">
        <f>"63911"</f>
        <v>63911</v>
      </c>
      <c r="D7027" t="s">
        <v>5777</v>
      </c>
      <c r="E7027" s="3">
        <v>1816.67</v>
      </c>
      <c r="F7027">
        <v>20160622</v>
      </c>
      <c r="G7027" t="s">
        <v>5778</v>
      </c>
      <c r="H7027" t="s">
        <v>5779</v>
      </c>
      <c r="I7027">
        <v>0</v>
      </c>
      <c r="J7027" t="s">
        <v>1709</v>
      </c>
      <c r="K7027" t="s">
        <v>290</v>
      </c>
      <c r="L7027" t="s">
        <v>285</v>
      </c>
      <c r="M7027" t="str">
        <f t="shared" si="514"/>
        <v>06</v>
      </c>
      <c r="N7027" t="s">
        <v>12</v>
      </c>
    </row>
    <row r="7028" spans="1:14" x14ac:dyDescent="0.25">
      <c r="A7028">
        <v>20160623</v>
      </c>
      <c r="B7028" t="str">
        <f>"063997"</f>
        <v>063997</v>
      </c>
      <c r="C7028" t="str">
        <f>"63911"</f>
        <v>63911</v>
      </c>
      <c r="D7028" t="s">
        <v>5777</v>
      </c>
      <c r="E7028" s="3">
        <v>1816.67</v>
      </c>
      <c r="F7028">
        <v>20160622</v>
      </c>
      <c r="G7028" t="s">
        <v>5780</v>
      </c>
      <c r="H7028" t="s">
        <v>5779</v>
      </c>
      <c r="I7028">
        <v>0</v>
      </c>
      <c r="J7028" t="s">
        <v>1709</v>
      </c>
      <c r="K7028" t="s">
        <v>95</v>
      </c>
      <c r="L7028" t="s">
        <v>285</v>
      </c>
      <c r="M7028" t="str">
        <f t="shared" si="514"/>
        <v>06</v>
      </c>
      <c r="N7028" t="s">
        <v>12</v>
      </c>
    </row>
    <row r="7029" spans="1:14" x14ac:dyDescent="0.25">
      <c r="A7029">
        <v>20160623</v>
      </c>
      <c r="B7029" t="str">
        <f>"063997"</f>
        <v>063997</v>
      </c>
      <c r="C7029" t="str">
        <f>"63911"</f>
        <v>63911</v>
      </c>
      <c r="D7029" t="s">
        <v>5777</v>
      </c>
      <c r="E7029" s="3">
        <v>1816.66</v>
      </c>
      <c r="F7029">
        <v>20160622</v>
      </c>
      <c r="G7029" t="s">
        <v>5781</v>
      </c>
      <c r="H7029" t="s">
        <v>5779</v>
      </c>
      <c r="I7029">
        <v>0</v>
      </c>
      <c r="J7029" t="s">
        <v>1709</v>
      </c>
      <c r="K7029" t="s">
        <v>33</v>
      </c>
      <c r="L7029" t="s">
        <v>285</v>
      </c>
      <c r="M7029" t="str">
        <f t="shared" si="514"/>
        <v>06</v>
      </c>
      <c r="N7029" t="s">
        <v>12</v>
      </c>
    </row>
    <row r="7030" spans="1:14" x14ac:dyDescent="0.25">
      <c r="A7030">
        <v>20160623</v>
      </c>
      <c r="B7030" t="str">
        <f t="shared" ref="B7030:B7038" si="515">"063998"</f>
        <v>063998</v>
      </c>
      <c r="C7030" t="str">
        <f t="shared" ref="C7030:C7038" si="516">"70242"</f>
        <v>70242</v>
      </c>
      <c r="D7030" t="s">
        <v>5782</v>
      </c>
      <c r="E7030" s="3">
        <v>563.75</v>
      </c>
      <c r="F7030">
        <v>20160622</v>
      </c>
      <c r="G7030" t="s">
        <v>2133</v>
      </c>
      <c r="H7030" t="s">
        <v>5783</v>
      </c>
      <c r="I7030">
        <v>0</v>
      </c>
      <c r="J7030" t="s">
        <v>1709</v>
      </c>
      <c r="K7030" t="s">
        <v>290</v>
      </c>
      <c r="L7030" t="s">
        <v>285</v>
      </c>
      <c r="M7030" t="str">
        <f t="shared" si="514"/>
        <v>06</v>
      </c>
      <c r="N7030" t="s">
        <v>12</v>
      </c>
    </row>
    <row r="7031" spans="1:14" x14ac:dyDescent="0.25">
      <c r="A7031">
        <v>20160623</v>
      </c>
      <c r="B7031" t="str">
        <f t="shared" si="515"/>
        <v>063998</v>
      </c>
      <c r="C7031" t="str">
        <f t="shared" si="516"/>
        <v>70242</v>
      </c>
      <c r="D7031" t="s">
        <v>5782</v>
      </c>
      <c r="E7031" s="3">
        <v>950</v>
      </c>
      <c r="F7031">
        <v>20160622</v>
      </c>
      <c r="G7031" t="s">
        <v>2983</v>
      </c>
      <c r="H7031" t="s">
        <v>5784</v>
      </c>
      <c r="I7031">
        <v>0</v>
      </c>
      <c r="J7031" t="s">
        <v>1709</v>
      </c>
      <c r="K7031" t="s">
        <v>290</v>
      </c>
      <c r="L7031" t="s">
        <v>285</v>
      </c>
      <c r="M7031" t="str">
        <f t="shared" si="514"/>
        <v>06</v>
      </c>
      <c r="N7031" t="s">
        <v>12</v>
      </c>
    </row>
    <row r="7032" spans="1:14" x14ac:dyDescent="0.25">
      <c r="A7032">
        <v>20160623</v>
      </c>
      <c r="B7032" t="str">
        <f t="shared" si="515"/>
        <v>063998</v>
      </c>
      <c r="C7032" t="str">
        <f t="shared" si="516"/>
        <v>70242</v>
      </c>
      <c r="D7032" t="s">
        <v>5782</v>
      </c>
      <c r="E7032" s="3">
        <v>475</v>
      </c>
      <c r="F7032">
        <v>20160622</v>
      </c>
      <c r="G7032" t="s">
        <v>2983</v>
      </c>
      <c r="H7032" t="s">
        <v>5784</v>
      </c>
      <c r="I7032">
        <v>0</v>
      </c>
      <c r="J7032" t="s">
        <v>1709</v>
      </c>
      <c r="K7032" t="s">
        <v>290</v>
      </c>
      <c r="L7032" t="s">
        <v>285</v>
      </c>
      <c r="M7032" t="str">
        <f t="shared" si="514"/>
        <v>06</v>
      </c>
      <c r="N7032" t="s">
        <v>12</v>
      </c>
    </row>
    <row r="7033" spans="1:14" x14ac:dyDescent="0.25">
      <c r="A7033">
        <v>20160623</v>
      </c>
      <c r="B7033" t="str">
        <f t="shared" si="515"/>
        <v>063998</v>
      </c>
      <c r="C7033" t="str">
        <f t="shared" si="516"/>
        <v>70242</v>
      </c>
      <c r="D7033" t="s">
        <v>5782</v>
      </c>
      <c r="E7033" s="3">
        <v>570</v>
      </c>
      <c r="F7033">
        <v>20160622</v>
      </c>
      <c r="G7033" t="s">
        <v>2983</v>
      </c>
      <c r="H7033" t="s">
        <v>5784</v>
      </c>
      <c r="I7033">
        <v>0</v>
      </c>
      <c r="J7033" t="s">
        <v>1709</v>
      </c>
      <c r="K7033" t="s">
        <v>290</v>
      </c>
      <c r="L7033" t="s">
        <v>285</v>
      </c>
      <c r="M7033" t="str">
        <f t="shared" si="514"/>
        <v>06</v>
      </c>
      <c r="N7033" t="s">
        <v>12</v>
      </c>
    </row>
    <row r="7034" spans="1:14" x14ac:dyDescent="0.25">
      <c r="A7034">
        <v>20160623</v>
      </c>
      <c r="B7034" t="str">
        <f t="shared" si="515"/>
        <v>063998</v>
      </c>
      <c r="C7034" t="str">
        <f t="shared" si="516"/>
        <v>70242</v>
      </c>
      <c r="D7034" t="s">
        <v>5782</v>
      </c>
      <c r="E7034" s="3">
        <v>2500</v>
      </c>
      <c r="F7034">
        <v>20160622</v>
      </c>
      <c r="G7034" t="s">
        <v>4342</v>
      </c>
      <c r="H7034" t="s">
        <v>5783</v>
      </c>
      <c r="I7034">
        <v>0</v>
      </c>
      <c r="J7034" t="s">
        <v>1709</v>
      </c>
      <c r="K7034" t="s">
        <v>290</v>
      </c>
      <c r="L7034" t="s">
        <v>285</v>
      </c>
      <c r="M7034" t="str">
        <f t="shared" si="514"/>
        <v>06</v>
      </c>
      <c r="N7034" t="s">
        <v>12</v>
      </c>
    </row>
    <row r="7035" spans="1:14" x14ac:dyDescent="0.25">
      <c r="A7035">
        <v>20160623</v>
      </c>
      <c r="B7035" t="str">
        <f t="shared" si="515"/>
        <v>063998</v>
      </c>
      <c r="C7035" t="str">
        <f t="shared" si="516"/>
        <v>70242</v>
      </c>
      <c r="D7035" t="s">
        <v>5782</v>
      </c>
      <c r="E7035" s="3">
        <v>102.5</v>
      </c>
      <c r="F7035">
        <v>20160622</v>
      </c>
      <c r="G7035" t="s">
        <v>5785</v>
      </c>
      <c r="H7035" t="s">
        <v>5784</v>
      </c>
      <c r="I7035">
        <v>0</v>
      </c>
      <c r="J7035" t="s">
        <v>1709</v>
      </c>
      <c r="K7035" t="s">
        <v>290</v>
      </c>
      <c r="L7035" t="s">
        <v>285</v>
      </c>
      <c r="M7035" t="str">
        <f t="shared" si="514"/>
        <v>06</v>
      </c>
      <c r="N7035" t="s">
        <v>12</v>
      </c>
    </row>
    <row r="7036" spans="1:14" x14ac:dyDescent="0.25">
      <c r="A7036">
        <v>20160623</v>
      </c>
      <c r="B7036" t="str">
        <f t="shared" si="515"/>
        <v>063998</v>
      </c>
      <c r="C7036" t="str">
        <f t="shared" si="516"/>
        <v>70242</v>
      </c>
      <c r="D7036" t="s">
        <v>5782</v>
      </c>
      <c r="E7036" s="3">
        <v>190</v>
      </c>
      <c r="F7036">
        <v>20160622</v>
      </c>
      <c r="G7036" t="s">
        <v>5786</v>
      </c>
      <c r="H7036" t="s">
        <v>5784</v>
      </c>
      <c r="I7036">
        <v>0</v>
      </c>
      <c r="J7036" t="s">
        <v>1709</v>
      </c>
      <c r="K7036" t="s">
        <v>290</v>
      </c>
      <c r="L7036" t="s">
        <v>285</v>
      </c>
      <c r="M7036" t="str">
        <f t="shared" si="514"/>
        <v>06</v>
      </c>
      <c r="N7036" t="s">
        <v>12</v>
      </c>
    </row>
    <row r="7037" spans="1:14" x14ac:dyDescent="0.25">
      <c r="A7037">
        <v>20160623</v>
      </c>
      <c r="B7037" t="str">
        <f t="shared" si="515"/>
        <v>063998</v>
      </c>
      <c r="C7037" t="str">
        <f t="shared" si="516"/>
        <v>70242</v>
      </c>
      <c r="D7037" t="s">
        <v>5782</v>
      </c>
      <c r="E7037" s="3">
        <v>285</v>
      </c>
      <c r="F7037">
        <v>20160622</v>
      </c>
      <c r="G7037" t="s">
        <v>4992</v>
      </c>
      <c r="H7037" t="s">
        <v>5784</v>
      </c>
      <c r="I7037">
        <v>0</v>
      </c>
      <c r="J7037" t="s">
        <v>1709</v>
      </c>
      <c r="K7037" t="s">
        <v>290</v>
      </c>
      <c r="L7037" t="s">
        <v>285</v>
      </c>
      <c r="M7037" t="str">
        <f t="shared" si="514"/>
        <v>06</v>
      </c>
      <c r="N7037" t="s">
        <v>12</v>
      </c>
    </row>
    <row r="7038" spans="1:14" x14ac:dyDescent="0.25">
      <c r="A7038">
        <v>20160623</v>
      </c>
      <c r="B7038" t="str">
        <f t="shared" si="515"/>
        <v>063998</v>
      </c>
      <c r="C7038" t="str">
        <f t="shared" si="516"/>
        <v>70242</v>
      </c>
      <c r="D7038" t="s">
        <v>5782</v>
      </c>
      <c r="E7038" s="3">
        <v>61.5</v>
      </c>
      <c r="F7038">
        <v>20160622</v>
      </c>
      <c r="G7038" t="s">
        <v>5787</v>
      </c>
      <c r="H7038" t="s">
        <v>5784</v>
      </c>
      <c r="I7038">
        <v>0</v>
      </c>
      <c r="J7038" t="s">
        <v>1709</v>
      </c>
      <c r="K7038" t="s">
        <v>290</v>
      </c>
      <c r="L7038" t="s">
        <v>285</v>
      </c>
      <c r="M7038" t="str">
        <f t="shared" si="514"/>
        <v>06</v>
      </c>
      <c r="N7038" t="s">
        <v>12</v>
      </c>
    </row>
    <row r="7039" spans="1:14" x14ac:dyDescent="0.25">
      <c r="A7039">
        <v>20160623</v>
      </c>
      <c r="B7039" t="str">
        <f>"063999"</f>
        <v>063999</v>
      </c>
      <c r="C7039" t="str">
        <f>"70650"</f>
        <v>70650</v>
      </c>
      <c r="D7039" t="s">
        <v>3379</v>
      </c>
      <c r="E7039" s="3">
        <v>1505.13</v>
      </c>
      <c r="F7039">
        <v>20160622</v>
      </c>
      <c r="G7039" t="s">
        <v>3726</v>
      </c>
      <c r="H7039" t="s">
        <v>3843</v>
      </c>
      <c r="I7039">
        <v>0</v>
      </c>
      <c r="J7039" t="s">
        <v>1709</v>
      </c>
      <c r="K7039" t="s">
        <v>95</v>
      </c>
      <c r="L7039" t="s">
        <v>285</v>
      </c>
      <c r="M7039" t="str">
        <f t="shared" si="514"/>
        <v>06</v>
      </c>
      <c r="N7039" t="s">
        <v>12</v>
      </c>
    </row>
    <row r="7040" spans="1:14" x14ac:dyDescent="0.25">
      <c r="A7040">
        <v>20160623</v>
      </c>
      <c r="B7040" t="str">
        <f>"063999"</f>
        <v>063999</v>
      </c>
      <c r="C7040" t="str">
        <f>"70650"</f>
        <v>70650</v>
      </c>
      <c r="D7040" t="s">
        <v>3379</v>
      </c>
      <c r="E7040" s="3">
        <v>493.78</v>
      </c>
      <c r="F7040">
        <v>20160622</v>
      </c>
      <c r="G7040" t="s">
        <v>3726</v>
      </c>
      <c r="H7040" t="s">
        <v>3843</v>
      </c>
      <c r="I7040">
        <v>0</v>
      </c>
      <c r="J7040" t="s">
        <v>1709</v>
      </c>
      <c r="K7040" t="s">
        <v>95</v>
      </c>
      <c r="L7040" t="s">
        <v>285</v>
      </c>
      <c r="M7040" t="str">
        <f t="shared" si="514"/>
        <v>06</v>
      </c>
      <c r="N7040" t="s">
        <v>12</v>
      </c>
    </row>
    <row r="7041" spans="1:14" x14ac:dyDescent="0.25">
      <c r="A7041">
        <v>20160623</v>
      </c>
      <c r="B7041" t="str">
        <f>"064000"</f>
        <v>064000</v>
      </c>
      <c r="C7041" t="str">
        <f>"71149"</f>
        <v>71149</v>
      </c>
      <c r="D7041" t="s">
        <v>5135</v>
      </c>
      <c r="E7041" s="3">
        <v>7</v>
      </c>
      <c r="F7041">
        <v>20160622</v>
      </c>
      <c r="G7041" t="s">
        <v>5104</v>
      </c>
      <c r="H7041" t="s">
        <v>5762</v>
      </c>
      <c r="I7041">
        <v>0</v>
      </c>
      <c r="J7041" t="s">
        <v>1709</v>
      </c>
      <c r="K7041" t="s">
        <v>1856</v>
      </c>
      <c r="L7041" t="s">
        <v>285</v>
      </c>
      <c r="M7041" t="str">
        <f t="shared" ref="M7041:M7093" si="517">"06"</f>
        <v>06</v>
      </c>
      <c r="N7041" t="s">
        <v>12</v>
      </c>
    </row>
    <row r="7042" spans="1:14" x14ac:dyDescent="0.25">
      <c r="A7042">
        <v>20160623</v>
      </c>
      <c r="B7042" t="str">
        <f t="shared" ref="B7042:B7068" si="518">"064001"</f>
        <v>064001</v>
      </c>
      <c r="C7042" t="str">
        <f t="shared" ref="C7042:C7068" si="519">"72730"</f>
        <v>72730</v>
      </c>
      <c r="D7042" t="s">
        <v>1400</v>
      </c>
      <c r="E7042" s="3">
        <v>270</v>
      </c>
      <c r="F7042">
        <v>20160622</v>
      </c>
      <c r="G7042" t="s">
        <v>2226</v>
      </c>
      <c r="H7042" t="s">
        <v>5398</v>
      </c>
      <c r="I7042">
        <v>0</v>
      </c>
      <c r="J7042" t="s">
        <v>1709</v>
      </c>
      <c r="K7042" t="s">
        <v>33</v>
      </c>
      <c r="L7042" t="s">
        <v>285</v>
      </c>
      <c r="M7042" t="str">
        <f t="shared" si="517"/>
        <v>06</v>
      </c>
      <c r="N7042" t="s">
        <v>12</v>
      </c>
    </row>
    <row r="7043" spans="1:14" x14ac:dyDescent="0.25">
      <c r="A7043">
        <v>20160623</v>
      </c>
      <c r="B7043" t="str">
        <f t="shared" si="518"/>
        <v>064001</v>
      </c>
      <c r="C7043" t="str">
        <f t="shared" si="519"/>
        <v>72730</v>
      </c>
      <c r="D7043" t="s">
        <v>1400</v>
      </c>
      <c r="E7043" s="3">
        <v>142.79</v>
      </c>
      <c r="F7043">
        <v>20160622</v>
      </c>
      <c r="G7043" t="s">
        <v>2100</v>
      </c>
      <c r="H7043" t="s">
        <v>5398</v>
      </c>
      <c r="I7043">
        <v>0</v>
      </c>
      <c r="J7043" t="s">
        <v>1709</v>
      </c>
      <c r="K7043" t="s">
        <v>33</v>
      </c>
      <c r="L7043" t="s">
        <v>285</v>
      </c>
      <c r="M7043" t="str">
        <f t="shared" si="517"/>
        <v>06</v>
      </c>
      <c r="N7043" t="s">
        <v>12</v>
      </c>
    </row>
    <row r="7044" spans="1:14" x14ac:dyDescent="0.25">
      <c r="A7044">
        <v>20160623</v>
      </c>
      <c r="B7044" t="str">
        <f t="shared" si="518"/>
        <v>064001</v>
      </c>
      <c r="C7044" t="str">
        <f t="shared" si="519"/>
        <v>72730</v>
      </c>
      <c r="D7044" t="s">
        <v>1400</v>
      </c>
      <c r="E7044" s="3">
        <v>29.99</v>
      </c>
      <c r="F7044">
        <v>20160622</v>
      </c>
      <c r="G7044" t="s">
        <v>1758</v>
      </c>
      <c r="H7044" t="s">
        <v>595</v>
      </c>
      <c r="I7044">
        <v>0</v>
      </c>
      <c r="J7044" t="s">
        <v>1709</v>
      </c>
      <c r="K7044" t="s">
        <v>1643</v>
      </c>
      <c r="L7044" t="s">
        <v>285</v>
      </c>
      <c r="M7044" t="str">
        <f t="shared" si="517"/>
        <v>06</v>
      </c>
      <c r="N7044" t="s">
        <v>12</v>
      </c>
    </row>
    <row r="7045" spans="1:14" x14ac:dyDescent="0.25">
      <c r="A7045">
        <v>20160623</v>
      </c>
      <c r="B7045" t="str">
        <f t="shared" si="518"/>
        <v>064001</v>
      </c>
      <c r="C7045" t="str">
        <f t="shared" si="519"/>
        <v>72730</v>
      </c>
      <c r="D7045" t="s">
        <v>1400</v>
      </c>
      <c r="E7045" s="3">
        <v>318.10000000000002</v>
      </c>
      <c r="F7045">
        <v>20160622</v>
      </c>
      <c r="G7045" t="s">
        <v>1758</v>
      </c>
      <c r="H7045" t="s">
        <v>595</v>
      </c>
      <c r="I7045">
        <v>0</v>
      </c>
      <c r="J7045" t="s">
        <v>1709</v>
      </c>
      <c r="K7045" t="s">
        <v>1643</v>
      </c>
      <c r="L7045" t="s">
        <v>285</v>
      </c>
      <c r="M7045" t="str">
        <f t="shared" si="517"/>
        <v>06</v>
      </c>
      <c r="N7045" t="s">
        <v>12</v>
      </c>
    </row>
    <row r="7046" spans="1:14" x14ac:dyDescent="0.25">
      <c r="A7046">
        <v>20160623</v>
      </c>
      <c r="B7046" t="str">
        <f t="shared" si="518"/>
        <v>064001</v>
      </c>
      <c r="C7046" t="str">
        <f t="shared" si="519"/>
        <v>72730</v>
      </c>
      <c r="D7046" t="s">
        <v>1400</v>
      </c>
      <c r="E7046" s="3">
        <v>1171.26</v>
      </c>
      <c r="F7046">
        <v>20160622</v>
      </c>
      <c r="G7046" t="s">
        <v>1758</v>
      </c>
      <c r="H7046" t="s">
        <v>595</v>
      </c>
      <c r="I7046">
        <v>0</v>
      </c>
      <c r="J7046" t="s">
        <v>1709</v>
      </c>
      <c r="K7046" t="s">
        <v>1643</v>
      </c>
      <c r="L7046" t="s">
        <v>285</v>
      </c>
      <c r="M7046" t="str">
        <f t="shared" si="517"/>
        <v>06</v>
      </c>
      <c r="N7046" t="s">
        <v>12</v>
      </c>
    </row>
    <row r="7047" spans="1:14" x14ac:dyDescent="0.25">
      <c r="A7047">
        <v>20160623</v>
      </c>
      <c r="B7047" t="str">
        <f t="shared" si="518"/>
        <v>064001</v>
      </c>
      <c r="C7047" t="str">
        <f t="shared" si="519"/>
        <v>72730</v>
      </c>
      <c r="D7047" t="s">
        <v>1400</v>
      </c>
      <c r="E7047" s="3">
        <v>272.10000000000002</v>
      </c>
      <c r="F7047">
        <v>20160622</v>
      </c>
      <c r="G7047" t="s">
        <v>1758</v>
      </c>
      <c r="H7047" t="s">
        <v>595</v>
      </c>
      <c r="I7047">
        <v>0</v>
      </c>
      <c r="J7047" t="s">
        <v>1709</v>
      </c>
      <c r="K7047" t="s">
        <v>1643</v>
      </c>
      <c r="L7047" t="s">
        <v>285</v>
      </c>
      <c r="M7047" t="str">
        <f t="shared" si="517"/>
        <v>06</v>
      </c>
      <c r="N7047" t="s">
        <v>12</v>
      </c>
    </row>
    <row r="7048" spans="1:14" x14ac:dyDescent="0.25">
      <c r="A7048">
        <v>20160623</v>
      </c>
      <c r="B7048" t="str">
        <f t="shared" si="518"/>
        <v>064001</v>
      </c>
      <c r="C7048" t="str">
        <f t="shared" si="519"/>
        <v>72730</v>
      </c>
      <c r="D7048" t="s">
        <v>1400</v>
      </c>
      <c r="E7048" s="3">
        <v>99.95</v>
      </c>
      <c r="F7048">
        <v>20160622</v>
      </c>
      <c r="G7048" t="s">
        <v>1758</v>
      </c>
      <c r="H7048" t="s">
        <v>595</v>
      </c>
      <c r="I7048">
        <v>0</v>
      </c>
      <c r="J7048" t="s">
        <v>1709</v>
      </c>
      <c r="K7048" t="s">
        <v>1643</v>
      </c>
      <c r="L7048" t="s">
        <v>285</v>
      </c>
      <c r="M7048" t="str">
        <f t="shared" si="517"/>
        <v>06</v>
      </c>
      <c r="N7048" t="s">
        <v>12</v>
      </c>
    </row>
    <row r="7049" spans="1:14" x14ac:dyDescent="0.25">
      <c r="A7049">
        <v>20160623</v>
      </c>
      <c r="B7049" t="str">
        <f t="shared" si="518"/>
        <v>064001</v>
      </c>
      <c r="C7049" t="str">
        <f t="shared" si="519"/>
        <v>72730</v>
      </c>
      <c r="D7049" t="s">
        <v>1400</v>
      </c>
      <c r="E7049" s="3">
        <v>1114.42</v>
      </c>
      <c r="F7049">
        <v>20160622</v>
      </c>
      <c r="G7049" t="s">
        <v>1758</v>
      </c>
      <c r="H7049" t="s">
        <v>595</v>
      </c>
      <c r="I7049">
        <v>0</v>
      </c>
      <c r="J7049" t="s">
        <v>1709</v>
      </c>
      <c r="K7049" t="s">
        <v>1643</v>
      </c>
      <c r="L7049" t="s">
        <v>285</v>
      </c>
      <c r="M7049" t="str">
        <f t="shared" si="517"/>
        <v>06</v>
      </c>
      <c r="N7049" t="s">
        <v>12</v>
      </c>
    </row>
    <row r="7050" spans="1:14" x14ac:dyDescent="0.25">
      <c r="A7050">
        <v>20160623</v>
      </c>
      <c r="B7050" t="str">
        <f t="shared" si="518"/>
        <v>064001</v>
      </c>
      <c r="C7050" t="str">
        <f t="shared" si="519"/>
        <v>72730</v>
      </c>
      <c r="D7050" t="s">
        <v>1400</v>
      </c>
      <c r="E7050" s="3">
        <v>10.78</v>
      </c>
      <c r="F7050">
        <v>20160622</v>
      </c>
      <c r="G7050" t="s">
        <v>1758</v>
      </c>
      <c r="H7050" t="s">
        <v>595</v>
      </c>
      <c r="I7050">
        <v>0</v>
      </c>
      <c r="J7050" t="s">
        <v>1709</v>
      </c>
      <c r="K7050" t="s">
        <v>1643</v>
      </c>
      <c r="L7050" t="s">
        <v>285</v>
      </c>
      <c r="M7050" t="str">
        <f t="shared" si="517"/>
        <v>06</v>
      </c>
      <c r="N7050" t="s">
        <v>12</v>
      </c>
    </row>
    <row r="7051" spans="1:14" x14ac:dyDescent="0.25">
      <c r="A7051">
        <v>20160623</v>
      </c>
      <c r="B7051" t="str">
        <f t="shared" si="518"/>
        <v>064001</v>
      </c>
      <c r="C7051" t="str">
        <f t="shared" si="519"/>
        <v>72730</v>
      </c>
      <c r="D7051" t="s">
        <v>1400</v>
      </c>
      <c r="E7051" s="3">
        <v>518.83000000000004</v>
      </c>
      <c r="F7051">
        <v>20160622</v>
      </c>
      <c r="G7051" t="s">
        <v>1758</v>
      </c>
      <c r="H7051" t="s">
        <v>595</v>
      </c>
      <c r="I7051">
        <v>0</v>
      </c>
      <c r="J7051" t="s">
        <v>1709</v>
      </c>
      <c r="K7051" t="s">
        <v>1643</v>
      </c>
      <c r="L7051" t="s">
        <v>285</v>
      </c>
      <c r="M7051" t="str">
        <f t="shared" si="517"/>
        <v>06</v>
      </c>
      <c r="N7051" t="s">
        <v>12</v>
      </c>
    </row>
    <row r="7052" spans="1:14" x14ac:dyDescent="0.25">
      <c r="A7052">
        <v>20160623</v>
      </c>
      <c r="B7052" t="str">
        <f t="shared" si="518"/>
        <v>064001</v>
      </c>
      <c r="C7052" t="str">
        <f t="shared" si="519"/>
        <v>72730</v>
      </c>
      <c r="D7052" t="s">
        <v>1400</v>
      </c>
      <c r="E7052" s="3">
        <v>888.89</v>
      </c>
      <c r="F7052">
        <v>20160622</v>
      </c>
      <c r="G7052" t="s">
        <v>1758</v>
      </c>
      <c r="H7052" t="s">
        <v>595</v>
      </c>
      <c r="I7052">
        <v>0</v>
      </c>
      <c r="J7052" t="s">
        <v>1709</v>
      </c>
      <c r="K7052" t="s">
        <v>1643</v>
      </c>
      <c r="L7052" t="s">
        <v>285</v>
      </c>
      <c r="M7052" t="str">
        <f t="shared" si="517"/>
        <v>06</v>
      </c>
      <c r="N7052" t="s">
        <v>12</v>
      </c>
    </row>
    <row r="7053" spans="1:14" x14ac:dyDescent="0.25">
      <c r="A7053">
        <v>20160623</v>
      </c>
      <c r="B7053" t="str">
        <f t="shared" si="518"/>
        <v>064001</v>
      </c>
      <c r="C7053" t="str">
        <f t="shared" si="519"/>
        <v>72730</v>
      </c>
      <c r="D7053" t="s">
        <v>1400</v>
      </c>
      <c r="E7053" s="3">
        <v>55.88</v>
      </c>
      <c r="F7053">
        <v>20160622</v>
      </c>
      <c r="G7053" t="s">
        <v>1758</v>
      </c>
      <c r="H7053" t="s">
        <v>595</v>
      </c>
      <c r="I7053">
        <v>0</v>
      </c>
      <c r="J7053" t="s">
        <v>1709</v>
      </c>
      <c r="K7053" t="s">
        <v>1643</v>
      </c>
      <c r="L7053" t="s">
        <v>285</v>
      </c>
      <c r="M7053" t="str">
        <f t="shared" si="517"/>
        <v>06</v>
      </c>
      <c r="N7053" t="s">
        <v>12</v>
      </c>
    </row>
    <row r="7054" spans="1:14" x14ac:dyDescent="0.25">
      <c r="A7054">
        <v>20160623</v>
      </c>
      <c r="B7054" t="str">
        <f t="shared" si="518"/>
        <v>064001</v>
      </c>
      <c r="C7054" t="str">
        <f t="shared" si="519"/>
        <v>72730</v>
      </c>
      <c r="D7054" t="s">
        <v>1400</v>
      </c>
      <c r="E7054" s="3">
        <v>220.2</v>
      </c>
      <c r="F7054">
        <v>20160622</v>
      </c>
      <c r="G7054" t="s">
        <v>2714</v>
      </c>
      <c r="H7054" t="s">
        <v>5398</v>
      </c>
      <c r="I7054">
        <v>0</v>
      </c>
      <c r="J7054" t="s">
        <v>1709</v>
      </c>
      <c r="K7054" t="s">
        <v>33</v>
      </c>
      <c r="L7054" t="s">
        <v>285</v>
      </c>
      <c r="M7054" t="str">
        <f t="shared" si="517"/>
        <v>06</v>
      </c>
      <c r="N7054" t="s">
        <v>12</v>
      </c>
    </row>
    <row r="7055" spans="1:14" x14ac:dyDescent="0.25">
      <c r="A7055">
        <v>20160623</v>
      </c>
      <c r="B7055" t="str">
        <f t="shared" si="518"/>
        <v>064001</v>
      </c>
      <c r="C7055" t="str">
        <f t="shared" si="519"/>
        <v>72730</v>
      </c>
      <c r="D7055" t="s">
        <v>1400</v>
      </c>
      <c r="E7055" s="3">
        <v>16.93</v>
      </c>
      <c r="F7055">
        <v>20160622</v>
      </c>
      <c r="G7055" t="s">
        <v>2714</v>
      </c>
      <c r="H7055" t="s">
        <v>5398</v>
      </c>
      <c r="I7055">
        <v>0</v>
      </c>
      <c r="J7055" t="s">
        <v>1709</v>
      </c>
      <c r="K7055" t="s">
        <v>33</v>
      </c>
      <c r="L7055" t="s">
        <v>285</v>
      </c>
      <c r="M7055" t="str">
        <f t="shared" si="517"/>
        <v>06</v>
      </c>
      <c r="N7055" t="s">
        <v>12</v>
      </c>
    </row>
    <row r="7056" spans="1:14" x14ac:dyDescent="0.25">
      <c r="A7056">
        <v>20160623</v>
      </c>
      <c r="B7056" t="str">
        <f t="shared" si="518"/>
        <v>064001</v>
      </c>
      <c r="C7056" t="str">
        <f t="shared" si="519"/>
        <v>72730</v>
      </c>
      <c r="D7056" t="s">
        <v>1400</v>
      </c>
      <c r="E7056" s="3">
        <v>6.13</v>
      </c>
      <c r="F7056">
        <v>20160622</v>
      </c>
      <c r="G7056" t="s">
        <v>2714</v>
      </c>
      <c r="H7056" t="s">
        <v>5398</v>
      </c>
      <c r="I7056">
        <v>0</v>
      </c>
      <c r="J7056" t="s">
        <v>1709</v>
      </c>
      <c r="K7056" t="s">
        <v>33</v>
      </c>
      <c r="L7056" t="s">
        <v>285</v>
      </c>
      <c r="M7056" t="str">
        <f t="shared" si="517"/>
        <v>06</v>
      </c>
      <c r="N7056" t="s">
        <v>12</v>
      </c>
    </row>
    <row r="7057" spans="1:14" x14ac:dyDescent="0.25">
      <c r="A7057">
        <v>20160623</v>
      </c>
      <c r="B7057" t="str">
        <f t="shared" si="518"/>
        <v>064001</v>
      </c>
      <c r="C7057" t="str">
        <f t="shared" si="519"/>
        <v>72730</v>
      </c>
      <c r="D7057" t="s">
        <v>1400</v>
      </c>
      <c r="E7057" s="3">
        <v>16.93</v>
      </c>
      <c r="F7057">
        <v>20160622</v>
      </c>
      <c r="G7057" t="s">
        <v>2714</v>
      </c>
      <c r="H7057" t="s">
        <v>5398</v>
      </c>
      <c r="I7057">
        <v>0</v>
      </c>
      <c r="J7057" t="s">
        <v>1709</v>
      </c>
      <c r="K7057" t="s">
        <v>33</v>
      </c>
      <c r="L7057" t="s">
        <v>285</v>
      </c>
      <c r="M7057" t="str">
        <f t="shared" si="517"/>
        <v>06</v>
      </c>
      <c r="N7057" t="s">
        <v>12</v>
      </c>
    </row>
    <row r="7058" spans="1:14" x14ac:dyDescent="0.25">
      <c r="A7058">
        <v>20160623</v>
      </c>
      <c r="B7058" t="str">
        <f t="shared" si="518"/>
        <v>064001</v>
      </c>
      <c r="C7058" t="str">
        <f t="shared" si="519"/>
        <v>72730</v>
      </c>
      <c r="D7058" t="s">
        <v>1400</v>
      </c>
      <c r="E7058" s="3">
        <v>19.170000000000002</v>
      </c>
      <c r="F7058">
        <v>20160622</v>
      </c>
      <c r="G7058" t="s">
        <v>2714</v>
      </c>
      <c r="H7058" t="s">
        <v>5398</v>
      </c>
      <c r="I7058">
        <v>0</v>
      </c>
      <c r="J7058" t="s">
        <v>1709</v>
      </c>
      <c r="K7058" t="s">
        <v>33</v>
      </c>
      <c r="L7058" t="s">
        <v>285</v>
      </c>
      <c r="M7058" t="str">
        <f t="shared" si="517"/>
        <v>06</v>
      </c>
      <c r="N7058" t="s">
        <v>12</v>
      </c>
    </row>
    <row r="7059" spans="1:14" x14ac:dyDescent="0.25">
      <c r="A7059">
        <v>20160623</v>
      </c>
      <c r="B7059" t="str">
        <f t="shared" si="518"/>
        <v>064001</v>
      </c>
      <c r="C7059" t="str">
        <f t="shared" si="519"/>
        <v>72730</v>
      </c>
      <c r="D7059" t="s">
        <v>1400</v>
      </c>
      <c r="E7059" s="3">
        <v>174.05</v>
      </c>
      <c r="F7059">
        <v>20160622</v>
      </c>
      <c r="G7059" t="s">
        <v>2412</v>
      </c>
      <c r="H7059" t="s">
        <v>1425</v>
      </c>
      <c r="I7059">
        <v>0</v>
      </c>
      <c r="J7059" t="s">
        <v>1709</v>
      </c>
      <c r="K7059" t="s">
        <v>290</v>
      </c>
      <c r="L7059" t="s">
        <v>285</v>
      </c>
      <c r="M7059" t="str">
        <f t="shared" si="517"/>
        <v>06</v>
      </c>
      <c r="N7059" t="s">
        <v>12</v>
      </c>
    </row>
    <row r="7060" spans="1:14" x14ac:dyDescent="0.25">
      <c r="A7060">
        <v>20160623</v>
      </c>
      <c r="B7060" t="str">
        <f t="shared" si="518"/>
        <v>064001</v>
      </c>
      <c r="C7060" t="str">
        <f t="shared" si="519"/>
        <v>72730</v>
      </c>
      <c r="D7060" t="s">
        <v>1400</v>
      </c>
      <c r="E7060" s="3">
        <v>259.8</v>
      </c>
      <c r="F7060">
        <v>20160622</v>
      </c>
      <c r="G7060" t="s">
        <v>2412</v>
      </c>
      <c r="H7060" t="s">
        <v>1425</v>
      </c>
      <c r="I7060">
        <v>0</v>
      </c>
      <c r="J7060" t="s">
        <v>1709</v>
      </c>
      <c r="K7060" t="s">
        <v>290</v>
      </c>
      <c r="L7060" t="s">
        <v>285</v>
      </c>
      <c r="M7060" t="str">
        <f t="shared" si="517"/>
        <v>06</v>
      </c>
      <c r="N7060" t="s">
        <v>12</v>
      </c>
    </row>
    <row r="7061" spans="1:14" x14ac:dyDescent="0.25">
      <c r="A7061">
        <v>20160623</v>
      </c>
      <c r="B7061" t="str">
        <f t="shared" si="518"/>
        <v>064001</v>
      </c>
      <c r="C7061" t="str">
        <f t="shared" si="519"/>
        <v>72730</v>
      </c>
      <c r="D7061" t="s">
        <v>1400</v>
      </c>
      <c r="E7061" s="3">
        <v>52.84</v>
      </c>
      <c r="F7061">
        <v>20160622</v>
      </c>
      <c r="G7061" t="s">
        <v>5383</v>
      </c>
      <c r="H7061" t="s">
        <v>5788</v>
      </c>
      <c r="I7061">
        <v>0</v>
      </c>
      <c r="J7061" t="s">
        <v>1709</v>
      </c>
      <c r="K7061" t="s">
        <v>290</v>
      </c>
      <c r="L7061" t="s">
        <v>285</v>
      </c>
      <c r="M7061" t="str">
        <f t="shared" si="517"/>
        <v>06</v>
      </c>
      <c r="N7061" t="s">
        <v>12</v>
      </c>
    </row>
    <row r="7062" spans="1:14" x14ac:dyDescent="0.25">
      <c r="A7062">
        <v>20160623</v>
      </c>
      <c r="B7062" t="str">
        <f t="shared" si="518"/>
        <v>064001</v>
      </c>
      <c r="C7062" t="str">
        <f t="shared" si="519"/>
        <v>72730</v>
      </c>
      <c r="D7062" t="s">
        <v>1400</v>
      </c>
      <c r="E7062" s="3">
        <v>823.95</v>
      </c>
      <c r="F7062">
        <v>20160622</v>
      </c>
      <c r="G7062" t="s">
        <v>5383</v>
      </c>
      <c r="H7062" t="s">
        <v>1623</v>
      </c>
      <c r="I7062">
        <v>0</v>
      </c>
      <c r="J7062" t="s">
        <v>1709</v>
      </c>
      <c r="K7062" t="s">
        <v>290</v>
      </c>
      <c r="L7062" t="s">
        <v>285</v>
      </c>
      <c r="M7062" t="str">
        <f t="shared" si="517"/>
        <v>06</v>
      </c>
      <c r="N7062" t="s">
        <v>12</v>
      </c>
    </row>
    <row r="7063" spans="1:14" x14ac:dyDescent="0.25">
      <c r="A7063">
        <v>20160623</v>
      </c>
      <c r="B7063" t="str">
        <f t="shared" si="518"/>
        <v>064001</v>
      </c>
      <c r="C7063" t="str">
        <f t="shared" si="519"/>
        <v>72730</v>
      </c>
      <c r="D7063" t="s">
        <v>1400</v>
      </c>
      <c r="E7063" s="3">
        <v>39.49</v>
      </c>
      <c r="F7063">
        <v>20160622</v>
      </c>
      <c r="G7063" t="s">
        <v>5383</v>
      </c>
      <c r="H7063" t="s">
        <v>5789</v>
      </c>
      <c r="I7063">
        <v>0</v>
      </c>
      <c r="J7063" t="s">
        <v>1709</v>
      </c>
      <c r="K7063" t="s">
        <v>290</v>
      </c>
      <c r="L7063" t="s">
        <v>285</v>
      </c>
      <c r="M7063" t="str">
        <f t="shared" si="517"/>
        <v>06</v>
      </c>
      <c r="N7063" t="s">
        <v>12</v>
      </c>
    </row>
    <row r="7064" spans="1:14" x14ac:dyDescent="0.25">
      <c r="A7064">
        <v>20160623</v>
      </c>
      <c r="B7064" t="str">
        <f t="shared" si="518"/>
        <v>064001</v>
      </c>
      <c r="C7064" t="str">
        <f t="shared" si="519"/>
        <v>72730</v>
      </c>
      <c r="D7064" t="s">
        <v>1400</v>
      </c>
      <c r="E7064" s="3">
        <v>29.99</v>
      </c>
      <c r="F7064">
        <v>20160622</v>
      </c>
      <c r="G7064" t="s">
        <v>5383</v>
      </c>
      <c r="H7064" t="s">
        <v>5790</v>
      </c>
      <c r="I7064">
        <v>0</v>
      </c>
      <c r="J7064" t="s">
        <v>1709</v>
      </c>
      <c r="K7064" t="s">
        <v>290</v>
      </c>
      <c r="L7064" t="s">
        <v>285</v>
      </c>
      <c r="M7064" t="str">
        <f t="shared" si="517"/>
        <v>06</v>
      </c>
      <c r="N7064" t="s">
        <v>12</v>
      </c>
    </row>
    <row r="7065" spans="1:14" x14ac:dyDescent="0.25">
      <c r="A7065">
        <v>20160623</v>
      </c>
      <c r="B7065" t="str">
        <f t="shared" si="518"/>
        <v>064001</v>
      </c>
      <c r="C7065" t="str">
        <f t="shared" si="519"/>
        <v>72730</v>
      </c>
      <c r="D7065" t="s">
        <v>1400</v>
      </c>
      <c r="E7065" s="3">
        <v>34.99</v>
      </c>
      <c r="F7065">
        <v>20160622</v>
      </c>
      <c r="G7065" t="s">
        <v>5383</v>
      </c>
      <c r="H7065" t="s">
        <v>5791</v>
      </c>
      <c r="I7065">
        <v>0</v>
      </c>
      <c r="J7065" t="s">
        <v>1709</v>
      </c>
      <c r="K7065" t="s">
        <v>290</v>
      </c>
      <c r="L7065" t="s">
        <v>285</v>
      </c>
      <c r="M7065" t="str">
        <f t="shared" si="517"/>
        <v>06</v>
      </c>
      <c r="N7065" t="s">
        <v>12</v>
      </c>
    </row>
    <row r="7066" spans="1:14" x14ac:dyDescent="0.25">
      <c r="A7066">
        <v>20160623</v>
      </c>
      <c r="B7066" t="str">
        <f t="shared" si="518"/>
        <v>064001</v>
      </c>
      <c r="C7066" t="str">
        <f t="shared" si="519"/>
        <v>72730</v>
      </c>
      <c r="D7066" t="s">
        <v>1400</v>
      </c>
      <c r="E7066" s="3">
        <v>130.22</v>
      </c>
      <c r="F7066">
        <v>20160622</v>
      </c>
      <c r="G7066" t="s">
        <v>5383</v>
      </c>
      <c r="H7066" t="s">
        <v>5792</v>
      </c>
      <c r="I7066">
        <v>0</v>
      </c>
      <c r="J7066" t="s">
        <v>1709</v>
      </c>
      <c r="K7066" t="s">
        <v>290</v>
      </c>
      <c r="L7066" t="s">
        <v>285</v>
      </c>
      <c r="M7066" t="str">
        <f t="shared" si="517"/>
        <v>06</v>
      </c>
      <c r="N7066" t="s">
        <v>12</v>
      </c>
    </row>
    <row r="7067" spans="1:14" x14ac:dyDescent="0.25">
      <c r="A7067">
        <v>20160623</v>
      </c>
      <c r="B7067" t="str">
        <f t="shared" si="518"/>
        <v>064001</v>
      </c>
      <c r="C7067" t="str">
        <f t="shared" si="519"/>
        <v>72730</v>
      </c>
      <c r="D7067" t="s">
        <v>1400</v>
      </c>
      <c r="E7067" s="3">
        <v>144.94999999999999</v>
      </c>
      <c r="F7067">
        <v>20160622</v>
      </c>
      <c r="G7067" t="s">
        <v>2022</v>
      </c>
      <c r="H7067" t="s">
        <v>2023</v>
      </c>
      <c r="I7067">
        <v>0</v>
      </c>
      <c r="J7067" t="s">
        <v>1709</v>
      </c>
      <c r="K7067" t="s">
        <v>1643</v>
      </c>
      <c r="L7067" t="s">
        <v>285</v>
      </c>
      <c r="M7067" t="str">
        <f t="shared" si="517"/>
        <v>06</v>
      </c>
      <c r="N7067" t="s">
        <v>12</v>
      </c>
    </row>
    <row r="7068" spans="1:14" x14ac:dyDescent="0.25">
      <c r="A7068">
        <v>20160623</v>
      </c>
      <c r="B7068" t="str">
        <f t="shared" si="518"/>
        <v>064001</v>
      </c>
      <c r="C7068" t="str">
        <f t="shared" si="519"/>
        <v>72730</v>
      </c>
      <c r="D7068" t="s">
        <v>1400</v>
      </c>
      <c r="E7068" s="3">
        <v>22</v>
      </c>
      <c r="F7068">
        <v>20160622</v>
      </c>
      <c r="G7068" t="s">
        <v>2022</v>
      </c>
      <c r="H7068" t="s">
        <v>2023</v>
      </c>
      <c r="I7068">
        <v>0</v>
      </c>
      <c r="J7068" t="s">
        <v>1709</v>
      </c>
      <c r="K7068" t="s">
        <v>1643</v>
      </c>
      <c r="L7068" t="s">
        <v>285</v>
      </c>
      <c r="M7068" t="str">
        <f t="shared" si="517"/>
        <v>06</v>
      </c>
      <c r="N7068" t="s">
        <v>12</v>
      </c>
    </row>
    <row r="7069" spans="1:14" x14ac:dyDescent="0.25">
      <c r="A7069">
        <v>20160623</v>
      </c>
      <c r="B7069" t="str">
        <f>"064002"</f>
        <v>064002</v>
      </c>
      <c r="C7069" t="str">
        <f>"74060"</f>
        <v>74060</v>
      </c>
      <c r="D7069" t="s">
        <v>3138</v>
      </c>
      <c r="E7069" s="3">
        <v>191.46</v>
      </c>
      <c r="F7069">
        <v>20160622</v>
      </c>
      <c r="G7069" t="s">
        <v>3139</v>
      </c>
      <c r="H7069" t="s">
        <v>4893</v>
      </c>
      <c r="I7069">
        <v>0</v>
      </c>
      <c r="J7069" t="s">
        <v>1709</v>
      </c>
      <c r="K7069" t="s">
        <v>1779</v>
      </c>
      <c r="L7069" t="s">
        <v>285</v>
      </c>
      <c r="M7069" t="str">
        <f t="shared" si="517"/>
        <v>06</v>
      </c>
      <c r="N7069" t="s">
        <v>12</v>
      </c>
    </row>
    <row r="7070" spans="1:14" x14ac:dyDescent="0.25">
      <c r="A7070">
        <v>20160623</v>
      </c>
      <c r="B7070" t="str">
        <f>"064006"</f>
        <v>064006</v>
      </c>
      <c r="C7070" t="str">
        <f>"80101"</f>
        <v>80101</v>
      </c>
      <c r="D7070" t="s">
        <v>5793</v>
      </c>
      <c r="E7070" s="3">
        <v>45.47</v>
      </c>
      <c r="F7070">
        <v>20160622</v>
      </c>
      <c r="G7070" t="s">
        <v>5343</v>
      </c>
      <c r="H7070" t="s">
        <v>5398</v>
      </c>
      <c r="I7070">
        <v>0</v>
      </c>
      <c r="J7070" t="s">
        <v>1709</v>
      </c>
      <c r="K7070" t="s">
        <v>95</v>
      </c>
      <c r="L7070" t="s">
        <v>285</v>
      </c>
      <c r="M7070" t="str">
        <f t="shared" si="517"/>
        <v>06</v>
      </c>
      <c r="N7070" t="s">
        <v>12</v>
      </c>
    </row>
    <row r="7071" spans="1:14" x14ac:dyDescent="0.25">
      <c r="A7071">
        <v>20160623</v>
      </c>
      <c r="B7071" t="str">
        <f>"064007"</f>
        <v>064007</v>
      </c>
      <c r="C7071" t="str">
        <f>"80389"</f>
        <v>80389</v>
      </c>
      <c r="D7071" t="s">
        <v>2032</v>
      </c>
      <c r="E7071" s="3">
        <v>86.85</v>
      </c>
      <c r="F7071">
        <v>20160622</v>
      </c>
      <c r="G7071" t="s">
        <v>2033</v>
      </c>
      <c r="H7071" t="s">
        <v>5794</v>
      </c>
      <c r="I7071">
        <v>0</v>
      </c>
      <c r="J7071" t="s">
        <v>1709</v>
      </c>
      <c r="K7071" t="s">
        <v>1984</v>
      </c>
      <c r="L7071" t="s">
        <v>285</v>
      </c>
      <c r="M7071" t="str">
        <f t="shared" si="517"/>
        <v>06</v>
      </c>
      <c r="N7071" t="s">
        <v>12</v>
      </c>
    </row>
    <row r="7072" spans="1:14" x14ac:dyDescent="0.25">
      <c r="A7072">
        <v>20160623</v>
      </c>
      <c r="B7072" t="str">
        <f>"064007"</f>
        <v>064007</v>
      </c>
      <c r="C7072" t="str">
        <f>"80389"</f>
        <v>80389</v>
      </c>
      <c r="D7072" t="s">
        <v>2032</v>
      </c>
      <c r="E7072" s="3">
        <v>894.61</v>
      </c>
      <c r="F7072">
        <v>20160622</v>
      </c>
      <c r="G7072" t="s">
        <v>2035</v>
      </c>
      <c r="H7072" t="s">
        <v>5795</v>
      </c>
      <c r="I7072">
        <v>0</v>
      </c>
      <c r="J7072" t="s">
        <v>1709</v>
      </c>
      <c r="K7072" t="s">
        <v>1984</v>
      </c>
      <c r="L7072" t="s">
        <v>285</v>
      </c>
      <c r="M7072" t="str">
        <f t="shared" si="517"/>
        <v>06</v>
      </c>
      <c r="N7072" t="s">
        <v>12</v>
      </c>
    </row>
    <row r="7073" spans="1:14" x14ac:dyDescent="0.25">
      <c r="A7073">
        <v>20160623</v>
      </c>
      <c r="B7073" t="str">
        <f>"064007"</f>
        <v>064007</v>
      </c>
      <c r="C7073" t="str">
        <f>"80389"</f>
        <v>80389</v>
      </c>
      <c r="D7073" t="s">
        <v>2032</v>
      </c>
      <c r="E7073" s="3">
        <v>1445.11</v>
      </c>
      <c r="F7073">
        <v>20160622</v>
      </c>
      <c r="G7073" t="s">
        <v>2037</v>
      </c>
      <c r="H7073" t="s">
        <v>5796</v>
      </c>
      <c r="I7073">
        <v>0</v>
      </c>
      <c r="J7073" t="s">
        <v>1709</v>
      </c>
      <c r="K7073" t="s">
        <v>1984</v>
      </c>
      <c r="L7073" t="s">
        <v>285</v>
      </c>
      <c r="M7073" t="str">
        <f t="shared" si="517"/>
        <v>06</v>
      </c>
      <c r="N7073" t="s">
        <v>12</v>
      </c>
    </row>
    <row r="7074" spans="1:14" x14ac:dyDescent="0.25">
      <c r="A7074">
        <v>20160623</v>
      </c>
      <c r="B7074" t="str">
        <f>"064008"</f>
        <v>064008</v>
      </c>
      <c r="C7074" t="str">
        <f>"80600"</f>
        <v>80600</v>
      </c>
      <c r="D7074" t="s">
        <v>2411</v>
      </c>
      <c r="E7074" s="3">
        <v>89.95</v>
      </c>
      <c r="F7074">
        <v>20160622</v>
      </c>
      <c r="G7074" t="s">
        <v>2416</v>
      </c>
      <c r="H7074" t="s">
        <v>5797</v>
      </c>
      <c r="I7074">
        <v>0</v>
      </c>
      <c r="J7074" t="s">
        <v>1709</v>
      </c>
      <c r="K7074" t="s">
        <v>1744</v>
      </c>
      <c r="L7074" t="s">
        <v>285</v>
      </c>
      <c r="M7074" t="str">
        <f t="shared" si="517"/>
        <v>06</v>
      </c>
      <c r="N7074" t="s">
        <v>12</v>
      </c>
    </row>
    <row r="7075" spans="1:14" x14ac:dyDescent="0.25">
      <c r="A7075">
        <v>20160623</v>
      </c>
      <c r="B7075" t="str">
        <f t="shared" ref="B7075:B7091" si="520">"064010"</f>
        <v>064010</v>
      </c>
      <c r="C7075" t="str">
        <f t="shared" ref="C7075:C7091" si="521">"83022"</f>
        <v>83022</v>
      </c>
      <c r="D7075" t="s">
        <v>394</v>
      </c>
      <c r="E7075" s="3">
        <v>1025</v>
      </c>
      <c r="F7075">
        <v>20160623</v>
      </c>
      <c r="G7075" t="s">
        <v>2727</v>
      </c>
      <c r="H7075" t="s">
        <v>3304</v>
      </c>
      <c r="I7075">
        <v>0</v>
      </c>
      <c r="J7075" t="s">
        <v>1709</v>
      </c>
      <c r="K7075" t="s">
        <v>95</v>
      </c>
      <c r="L7075" t="s">
        <v>285</v>
      </c>
      <c r="M7075" t="str">
        <f t="shared" si="517"/>
        <v>06</v>
      </c>
      <c r="N7075" t="s">
        <v>12</v>
      </c>
    </row>
    <row r="7076" spans="1:14" x14ac:dyDescent="0.25">
      <c r="A7076">
        <v>20160623</v>
      </c>
      <c r="B7076" t="str">
        <f t="shared" si="520"/>
        <v>064010</v>
      </c>
      <c r="C7076" t="str">
        <f t="shared" si="521"/>
        <v>83022</v>
      </c>
      <c r="D7076" t="s">
        <v>394</v>
      </c>
      <c r="E7076" s="3">
        <v>174.76</v>
      </c>
      <c r="F7076">
        <v>20160623</v>
      </c>
      <c r="G7076" t="s">
        <v>2727</v>
      </c>
      <c r="H7076" t="s">
        <v>5798</v>
      </c>
      <c r="I7076">
        <v>0</v>
      </c>
      <c r="J7076" t="s">
        <v>1709</v>
      </c>
      <c r="K7076" t="s">
        <v>95</v>
      </c>
      <c r="L7076" t="s">
        <v>285</v>
      </c>
      <c r="M7076" t="str">
        <f t="shared" si="517"/>
        <v>06</v>
      </c>
      <c r="N7076" t="s">
        <v>12</v>
      </c>
    </row>
    <row r="7077" spans="1:14" x14ac:dyDescent="0.25">
      <c r="A7077">
        <v>20160623</v>
      </c>
      <c r="B7077" t="str">
        <f t="shared" si="520"/>
        <v>064010</v>
      </c>
      <c r="C7077" t="str">
        <f t="shared" si="521"/>
        <v>83022</v>
      </c>
      <c r="D7077" t="s">
        <v>394</v>
      </c>
      <c r="E7077" s="3">
        <v>267.12</v>
      </c>
      <c r="F7077">
        <v>20160623</v>
      </c>
      <c r="G7077" t="s">
        <v>2727</v>
      </c>
      <c r="H7077" t="s">
        <v>5798</v>
      </c>
      <c r="I7077">
        <v>0</v>
      </c>
      <c r="J7077" t="s">
        <v>1709</v>
      </c>
      <c r="K7077" t="s">
        <v>95</v>
      </c>
      <c r="L7077" t="s">
        <v>285</v>
      </c>
      <c r="M7077" t="str">
        <f t="shared" si="517"/>
        <v>06</v>
      </c>
      <c r="N7077" t="s">
        <v>12</v>
      </c>
    </row>
    <row r="7078" spans="1:14" x14ac:dyDescent="0.25">
      <c r="A7078">
        <v>20160623</v>
      </c>
      <c r="B7078" t="str">
        <f t="shared" si="520"/>
        <v>064010</v>
      </c>
      <c r="C7078" t="str">
        <f t="shared" si="521"/>
        <v>83022</v>
      </c>
      <c r="D7078" t="s">
        <v>394</v>
      </c>
      <c r="E7078" s="3">
        <v>106.5</v>
      </c>
      <c r="F7078">
        <v>20160623</v>
      </c>
      <c r="G7078" t="s">
        <v>2275</v>
      </c>
      <c r="H7078" t="s">
        <v>5799</v>
      </c>
      <c r="I7078">
        <v>0</v>
      </c>
      <c r="J7078" t="s">
        <v>1709</v>
      </c>
      <c r="K7078" t="s">
        <v>95</v>
      </c>
      <c r="L7078" t="s">
        <v>285</v>
      </c>
      <c r="M7078" t="str">
        <f t="shared" si="517"/>
        <v>06</v>
      </c>
      <c r="N7078" t="s">
        <v>12</v>
      </c>
    </row>
    <row r="7079" spans="1:14" x14ac:dyDescent="0.25">
      <c r="A7079">
        <v>20160623</v>
      </c>
      <c r="B7079" t="str">
        <f t="shared" si="520"/>
        <v>064010</v>
      </c>
      <c r="C7079" t="str">
        <f t="shared" si="521"/>
        <v>83022</v>
      </c>
      <c r="D7079" t="s">
        <v>394</v>
      </c>
      <c r="E7079" s="3">
        <v>298.2</v>
      </c>
      <c r="F7079">
        <v>20160623</v>
      </c>
      <c r="G7079" t="s">
        <v>2333</v>
      </c>
      <c r="H7079" t="s">
        <v>595</v>
      </c>
      <c r="I7079">
        <v>0</v>
      </c>
      <c r="J7079" t="s">
        <v>1709</v>
      </c>
      <c r="K7079" t="s">
        <v>290</v>
      </c>
      <c r="L7079" t="s">
        <v>285</v>
      </c>
      <c r="M7079" t="str">
        <f t="shared" si="517"/>
        <v>06</v>
      </c>
      <c r="N7079" t="s">
        <v>12</v>
      </c>
    </row>
    <row r="7080" spans="1:14" x14ac:dyDescent="0.25">
      <c r="A7080">
        <v>20160623</v>
      </c>
      <c r="B7080" t="str">
        <f t="shared" si="520"/>
        <v>064010</v>
      </c>
      <c r="C7080" t="str">
        <f t="shared" si="521"/>
        <v>83022</v>
      </c>
      <c r="D7080" t="s">
        <v>394</v>
      </c>
      <c r="E7080" s="3">
        <v>470.16</v>
      </c>
      <c r="F7080">
        <v>20160623</v>
      </c>
      <c r="G7080" t="s">
        <v>2791</v>
      </c>
      <c r="H7080" t="s">
        <v>5800</v>
      </c>
      <c r="I7080">
        <v>0</v>
      </c>
      <c r="J7080" t="s">
        <v>1709</v>
      </c>
      <c r="K7080" t="s">
        <v>290</v>
      </c>
      <c r="L7080" t="s">
        <v>285</v>
      </c>
      <c r="M7080" t="str">
        <f t="shared" si="517"/>
        <v>06</v>
      </c>
      <c r="N7080" t="s">
        <v>12</v>
      </c>
    </row>
    <row r="7081" spans="1:14" x14ac:dyDescent="0.25">
      <c r="A7081">
        <v>20160623</v>
      </c>
      <c r="B7081" t="str">
        <f t="shared" si="520"/>
        <v>064010</v>
      </c>
      <c r="C7081" t="str">
        <f t="shared" si="521"/>
        <v>83022</v>
      </c>
      <c r="D7081" t="s">
        <v>394</v>
      </c>
      <c r="E7081" s="3">
        <v>131.99</v>
      </c>
      <c r="F7081">
        <v>20160623</v>
      </c>
      <c r="G7081" t="s">
        <v>2309</v>
      </c>
      <c r="H7081" t="s">
        <v>2310</v>
      </c>
      <c r="I7081">
        <v>0</v>
      </c>
      <c r="J7081" t="s">
        <v>1709</v>
      </c>
      <c r="K7081" t="s">
        <v>1558</v>
      </c>
      <c r="L7081" t="s">
        <v>285</v>
      </c>
      <c r="M7081" t="str">
        <f t="shared" si="517"/>
        <v>06</v>
      </c>
      <c r="N7081" t="s">
        <v>12</v>
      </c>
    </row>
    <row r="7082" spans="1:14" x14ac:dyDescent="0.25">
      <c r="A7082">
        <v>20160623</v>
      </c>
      <c r="B7082" t="str">
        <f t="shared" si="520"/>
        <v>064010</v>
      </c>
      <c r="C7082" t="str">
        <f t="shared" si="521"/>
        <v>83022</v>
      </c>
      <c r="D7082" t="s">
        <v>394</v>
      </c>
      <c r="E7082" s="3">
        <v>113.76</v>
      </c>
      <c r="F7082">
        <v>20160623</v>
      </c>
      <c r="G7082" t="s">
        <v>2792</v>
      </c>
      <c r="H7082" t="s">
        <v>5408</v>
      </c>
      <c r="I7082">
        <v>0</v>
      </c>
      <c r="J7082" t="s">
        <v>1709</v>
      </c>
      <c r="K7082" t="s">
        <v>33</v>
      </c>
      <c r="L7082" t="s">
        <v>285</v>
      </c>
      <c r="M7082" t="str">
        <f t="shared" si="517"/>
        <v>06</v>
      </c>
      <c r="N7082" t="s">
        <v>12</v>
      </c>
    </row>
    <row r="7083" spans="1:14" x14ac:dyDescent="0.25">
      <c r="A7083">
        <v>20160623</v>
      </c>
      <c r="B7083" t="str">
        <f t="shared" si="520"/>
        <v>064010</v>
      </c>
      <c r="C7083" t="str">
        <f t="shared" si="521"/>
        <v>83022</v>
      </c>
      <c r="D7083" t="s">
        <v>394</v>
      </c>
      <c r="E7083" s="3">
        <v>354.35</v>
      </c>
      <c r="F7083">
        <v>20160623</v>
      </c>
      <c r="G7083" t="s">
        <v>3303</v>
      </c>
      <c r="H7083" t="s">
        <v>3304</v>
      </c>
      <c r="I7083">
        <v>0</v>
      </c>
      <c r="J7083" t="s">
        <v>1709</v>
      </c>
      <c r="K7083" t="s">
        <v>1558</v>
      </c>
      <c r="L7083" t="s">
        <v>285</v>
      </c>
      <c r="M7083" t="str">
        <f t="shared" si="517"/>
        <v>06</v>
      </c>
      <c r="N7083" t="s">
        <v>12</v>
      </c>
    </row>
    <row r="7084" spans="1:14" x14ac:dyDescent="0.25">
      <c r="A7084">
        <v>20160623</v>
      </c>
      <c r="B7084" t="str">
        <f t="shared" si="520"/>
        <v>064010</v>
      </c>
      <c r="C7084" t="str">
        <f t="shared" si="521"/>
        <v>83022</v>
      </c>
      <c r="D7084" t="s">
        <v>394</v>
      </c>
      <c r="E7084" s="3">
        <v>402.91</v>
      </c>
      <c r="F7084">
        <v>20160623</v>
      </c>
      <c r="G7084" t="s">
        <v>3303</v>
      </c>
      <c r="H7084" t="s">
        <v>3304</v>
      </c>
      <c r="I7084">
        <v>0</v>
      </c>
      <c r="J7084" t="s">
        <v>1709</v>
      </c>
      <c r="K7084" t="s">
        <v>1558</v>
      </c>
      <c r="L7084" t="s">
        <v>285</v>
      </c>
      <c r="M7084" t="str">
        <f t="shared" si="517"/>
        <v>06</v>
      </c>
      <c r="N7084" t="s">
        <v>12</v>
      </c>
    </row>
    <row r="7085" spans="1:14" x14ac:dyDescent="0.25">
      <c r="A7085">
        <v>20160623</v>
      </c>
      <c r="B7085" t="str">
        <f t="shared" si="520"/>
        <v>064010</v>
      </c>
      <c r="C7085" t="str">
        <f t="shared" si="521"/>
        <v>83022</v>
      </c>
      <c r="D7085" t="s">
        <v>394</v>
      </c>
      <c r="E7085" s="3">
        <v>21</v>
      </c>
      <c r="F7085">
        <v>20160623</v>
      </c>
      <c r="G7085" t="s">
        <v>2795</v>
      </c>
      <c r="H7085" t="s">
        <v>5398</v>
      </c>
      <c r="I7085">
        <v>0</v>
      </c>
      <c r="J7085" t="s">
        <v>1709</v>
      </c>
      <c r="K7085" t="s">
        <v>95</v>
      </c>
      <c r="L7085" t="s">
        <v>285</v>
      </c>
      <c r="M7085" t="str">
        <f t="shared" si="517"/>
        <v>06</v>
      </c>
      <c r="N7085" t="s">
        <v>12</v>
      </c>
    </row>
    <row r="7086" spans="1:14" x14ac:dyDescent="0.25">
      <c r="A7086">
        <v>20160623</v>
      </c>
      <c r="B7086" t="str">
        <f t="shared" si="520"/>
        <v>064010</v>
      </c>
      <c r="C7086" t="str">
        <f t="shared" si="521"/>
        <v>83022</v>
      </c>
      <c r="D7086" t="s">
        <v>394</v>
      </c>
      <c r="E7086" s="3">
        <v>211.66</v>
      </c>
      <c r="F7086">
        <v>20160623</v>
      </c>
      <c r="G7086" t="s">
        <v>2172</v>
      </c>
      <c r="H7086" t="s">
        <v>5398</v>
      </c>
      <c r="I7086">
        <v>0</v>
      </c>
      <c r="J7086" t="s">
        <v>1709</v>
      </c>
      <c r="K7086" t="s">
        <v>95</v>
      </c>
      <c r="L7086" t="s">
        <v>285</v>
      </c>
      <c r="M7086" t="str">
        <f t="shared" si="517"/>
        <v>06</v>
      </c>
      <c r="N7086" t="s">
        <v>12</v>
      </c>
    </row>
    <row r="7087" spans="1:14" x14ac:dyDescent="0.25">
      <c r="A7087">
        <v>20160623</v>
      </c>
      <c r="B7087" t="str">
        <f t="shared" si="520"/>
        <v>064010</v>
      </c>
      <c r="C7087" t="str">
        <f t="shared" si="521"/>
        <v>83022</v>
      </c>
      <c r="D7087" t="s">
        <v>394</v>
      </c>
      <c r="E7087" s="3">
        <v>127.42</v>
      </c>
      <c r="F7087">
        <v>20160623</v>
      </c>
      <c r="G7087" t="s">
        <v>5801</v>
      </c>
      <c r="H7087" t="s">
        <v>5802</v>
      </c>
      <c r="I7087">
        <v>0</v>
      </c>
      <c r="J7087" t="s">
        <v>1709</v>
      </c>
      <c r="K7087" t="s">
        <v>1519</v>
      </c>
      <c r="L7087" t="s">
        <v>285</v>
      </c>
      <c r="M7087" t="str">
        <f t="shared" si="517"/>
        <v>06</v>
      </c>
      <c r="N7087" t="s">
        <v>12</v>
      </c>
    </row>
    <row r="7088" spans="1:14" x14ac:dyDescent="0.25">
      <c r="A7088">
        <v>20160623</v>
      </c>
      <c r="B7088" t="str">
        <f t="shared" si="520"/>
        <v>064010</v>
      </c>
      <c r="C7088" t="str">
        <f t="shared" si="521"/>
        <v>83022</v>
      </c>
      <c r="D7088" t="s">
        <v>394</v>
      </c>
      <c r="E7088" s="3">
        <v>96</v>
      </c>
      <c r="F7088">
        <v>20160623</v>
      </c>
      <c r="G7088" t="s">
        <v>5803</v>
      </c>
      <c r="H7088" t="s">
        <v>3298</v>
      </c>
      <c r="I7088">
        <v>0</v>
      </c>
      <c r="J7088" t="s">
        <v>1709</v>
      </c>
      <c r="K7088" t="s">
        <v>1558</v>
      </c>
      <c r="L7088" t="s">
        <v>285</v>
      </c>
      <c r="M7088" t="str">
        <f t="shared" si="517"/>
        <v>06</v>
      </c>
      <c r="N7088" t="s">
        <v>12</v>
      </c>
    </row>
    <row r="7089" spans="1:14" x14ac:dyDescent="0.25">
      <c r="A7089">
        <v>20160623</v>
      </c>
      <c r="B7089" t="str">
        <f t="shared" si="520"/>
        <v>064010</v>
      </c>
      <c r="C7089" t="str">
        <f t="shared" si="521"/>
        <v>83022</v>
      </c>
      <c r="D7089" t="s">
        <v>394</v>
      </c>
      <c r="E7089" s="3">
        <v>720.56</v>
      </c>
      <c r="F7089">
        <v>20160623</v>
      </c>
      <c r="G7089" t="s">
        <v>3846</v>
      </c>
      <c r="H7089" t="s">
        <v>5398</v>
      </c>
      <c r="I7089">
        <v>0</v>
      </c>
      <c r="J7089" t="s">
        <v>1709</v>
      </c>
      <c r="K7089" t="s">
        <v>290</v>
      </c>
      <c r="L7089" t="s">
        <v>285</v>
      </c>
      <c r="M7089" t="str">
        <f t="shared" si="517"/>
        <v>06</v>
      </c>
      <c r="N7089" t="s">
        <v>12</v>
      </c>
    </row>
    <row r="7090" spans="1:14" x14ac:dyDescent="0.25">
      <c r="A7090">
        <v>20160623</v>
      </c>
      <c r="B7090" t="str">
        <f t="shared" si="520"/>
        <v>064010</v>
      </c>
      <c r="C7090" t="str">
        <f t="shared" si="521"/>
        <v>83022</v>
      </c>
      <c r="D7090" t="s">
        <v>394</v>
      </c>
      <c r="E7090" s="3">
        <v>172.4</v>
      </c>
      <c r="F7090">
        <v>20160623</v>
      </c>
      <c r="G7090" t="s">
        <v>3846</v>
      </c>
      <c r="H7090" t="s">
        <v>5398</v>
      </c>
      <c r="I7090">
        <v>0</v>
      </c>
      <c r="J7090" t="s">
        <v>1709</v>
      </c>
      <c r="K7090" t="s">
        <v>290</v>
      </c>
      <c r="L7090" t="s">
        <v>285</v>
      </c>
      <c r="M7090" t="str">
        <f t="shared" si="517"/>
        <v>06</v>
      </c>
      <c r="N7090" t="s">
        <v>12</v>
      </c>
    </row>
    <row r="7091" spans="1:14" x14ac:dyDescent="0.25">
      <c r="A7091">
        <v>20160623</v>
      </c>
      <c r="B7091" t="str">
        <f t="shared" si="520"/>
        <v>064010</v>
      </c>
      <c r="C7091" t="str">
        <f t="shared" si="521"/>
        <v>83022</v>
      </c>
      <c r="D7091" t="s">
        <v>394</v>
      </c>
      <c r="E7091" s="3">
        <v>62</v>
      </c>
      <c r="F7091">
        <v>20160623</v>
      </c>
      <c r="G7091" t="s">
        <v>2693</v>
      </c>
      <c r="H7091" t="s">
        <v>5683</v>
      </c>
      <c r="I7091">
        <v>0</v>
      </c>
      <c r="J7091" t="s">
        <v>1709</v>
      </c>
      <c r="K7091" t="s">
        <v>290</v>
      </c>
      <c r="L7091" t="s">
        <v>285</v>
      </c>
      <c r="M7091" t="str">
        <f t="shared" si="517"/>
        <v>06</v>
      </c>
      <c r="N7091" t="s">
        <v>12</v>
      </c>
    </row>
    <row r="7092" spans="1:14" x14ac:dyDescent="0.25">
      <c r="A7092">
        <v>20160623</v>
      </c>
      <c r="B7092" t="str">
        <f>"064012"</f>
        <v>064012</v>
      </c>
      <c r="C7092" t="str">
        <f>"24930"</f>
        <v>24930</v>
      </c>
      <c r="D7092" t="s">
        <v>4201</v>
      </c>
      <c r="E7092" s="3">
        <v>327.3</v>
      </c>
      <c r="F7092">
        <v>20160622</v>
      </c>
      <c r="G7092" t="s">
        <v>2025</v>
      </c>
      <c r="H7092" t="s">
        <v>5804</v>
      </c>
      <c r="I7092">
        <v>0</v>
      </c>
      <c r="J7092" t="s">
        <v>1709</v>
      </c>
      <c r="K7092" t="s">
        <v>1984</v>
      </c>
      <c r="L7092" t="s">
        <v>285</v>
      </c>
      <c r="M7092" t="str">
        <f t="shared" si="517"/>
        <v>06</v>
      </c>
      <c r="N7092" t="s">
        <v>12</v>
      </c>
    </row>
    <row r="7093" spans="1:14" x14ac:dyDescent="0.25">
      <c r="A7093">
        <v>20160623</v>
      </c>
      <c r="B7093" t="str">
        <f>"064012"</f>
        <v>064012</v>
      </c>
      <c r="C7093" t="str">
        <f>"24930"</f>
        <v>24930</v>
      </c>
      <c r="D7093" t="s">
        <v>4201</v>
      </c>
      <c r="E7093" s="3">
        <v>45.8</v>
      </c>
      <c r="F7093">
        <v>20160622</v>
      </c>
      <c r="G7093" t="s">
        <v>2025</v>
      </c>
      <c r="H7093" t="s">
        <v>5724</v>
      </c>
      <c r="I7093">
        <v>0</v>
      </c>
      <c r="J7093" t="s">
        <v>1709</v>
      </c>
      <c r="K7093" t="s">
        <v>1984</v>
      </c>
      <c r="L7093" t="s">
        <v>285</v>
      </c>
      <c r="M7093" t="str">
        <f t="shared" si="517"/>
        <v>06</v>
      </c>
      <c r="N7093" t="s">
        <v>12</v>
      </c>
    </row>
    <row r="7094" spans="1:14" x14ac:dyDescent="0.25">
      <c r="A7094">
        <v>20160715</v>
      </c>
      <c r="B7094" t="str">
        <f>"064016"</f>
        <v>064016</v>
      </c>
      <c r="C7094" t="str">
        <f>"00314"</f>
        <v>00314</v>
      </c>
      <c r="D7094" t="s">
        <v>2607</v>
      </c>
      <c r="E7094" s="3">
        <v>1639.82</v>
      </c>
      <c r="F7094">
        <v>20160713</v>
      </c>
      <c r="G7094" t="s">
        <v>4298</v>
      </c>
      <c r="H7094" t="s">
        <v>5805</v>
      </c>
      <c r="I7094">
        <v>0</v>
      </c>
      <c r="J7094" t="s">
        <v>1709</v>
      </c>
      <c r="K7094" t="s">
        <v>33</v>
      </c>
      <c r="L7094" t="s">
        <v>285</v>
      </c>
      <c r="M7094" t="str">
        <f t="shared" ref="M7094:M7157" si="522">"07"</f>
        <v>07</v>
      </c>
      <c r="N7094" t="s">
        <v>12</v>
      </c>
    </row>
    <row r="7095" spans="1:14" x14ac:dyDescent="0.25">
      <c r="A7095">
        <v>20160715</v>
      </c>
      <c r="B7095" t="str">
        <f>"064018"</f>
        <v>064018</v>
      </c>
      <c r="C7095" t="str">
        <f>"02230"</f>
        <v>02230</v>
      </c>
      <c r="D7095" t="s">
        <v>1945</v>
      </c>
      <c r="E7095" s="3">
        <v>61.37</v>
      </c>
      <c r="F7095">
        <v>20160713</v>
      </c>
      <c r="G7095" t="s">
        <v>2333</v>
      </c>
      <c r="H7095" t="s">
        <v>5172</v>
      </c>
      <c r="I7095">
        <v>0</v>
      </c>
      <c r="J7095" t="s">
        <v>1709</v>
      </c>
      <c r="K7095" t="s">
        <v>290</v>
      </c>
      <c r="L7095" t="s">
        <v>285</v>
      </c>
      <c r="M7095" t="str">
        <f t="shared" si="522"/>
        <v>07</v>
      </c>
      <c r="N7095" t="s">
        <v>12</v>
      </c>
    </row>
    <row r="7096" spans="1:14" x14ac:dyDescent="0.25">
      <c r="A7096">
        <v>20160715</v>
      </c>
      <c r="B7096" t="str">
        <f>"064020"</f>
        <v>064020</v>
      </c>
      <c r="C7096" t="str">
        <f>"00381"</f>
        <v>00381</v>
      </c>
      <c r="D7096" t="s">
        <v>1153</v>
      </c>
      <c r="E7096" s="3">
        <v>271.93</v>
      </c>
      <c r="F7096">
        <v>20160713</v>
      </c>
      <c r="G7096" t="s">
        <v>2049</v>
      </c>
      <c r="H7096" t="s">
        <v>5806</v>
      </c>
      <c r="I7096">
        <v>0</v>
      </c>
      <c r="J7096" t="s">
        <v>1709</v>
      </c>
      <c r="K7096" t="s">
        <v>1775</v>
      </c>
      <c r="L7096" t="s">
        <v>285</v>
      </c>
      <c r="M7096" t="str">
        <f t="shared" si="522"/>
        <v>07</v>
      </c>
      <c r="N7096" t="s">
        <v>12</v>
      </c>
    </row>
    <row r="7097" spans="1:14" x14ac:dyDescent="0.25">
      <c r="A7097">
        <v>20160715</v>
      </c>
      <c r="B7097" t="str">
        <f>"064021"</f>
        <v>064021</v>
      </c>
      <c r="C7097" t="str">
        <f>"04350"</f>
        <v>04350</v>
      </c>
      <c r="D7097" t="s">
        <v>1694</v>
      </c>
      <c r="E7097" s="3">
        <v>12500</v>
      </c>
      <c r="F7097">
        <v>20160713</v>
      </c>
      <c r="G7097" t="s">
        <v>4289</v>
      </c>
      <c r="H7097" t="s">
        <v>5807</v>
      </c>
      <c r="I7097">
        <v>0</v>
      </c>
      <c r="J7097" t="s">
        <v>1709</v>
      </c>
      <c r="K7097" t="s">
        <v>1643</v>
      </c>
      <c r="L7097" t="s">
        <v>285</v>
      </c>
      <c r="M7097" t="str">
        <f t="shared" si="522"/>
        <v>07</v>
      </c>
      <c r="N7097" t="s">
        <v>12</v>
      </c>
    </row>
    <row r="7098" spans="1:14" x14ac:dyDescent="0.25">
      <c r="A7098">
        <v>20160715</v>
      </c>
      <c r="B7098" t="str">
        <f>"064022"</f>
        <v>064022</v>
      </c>
      <c r="C7098" t="str">
        <f>"24208"</f>
        <v>24208</v>
      </c>
      <c r="D7098" t="s">
        <v>1541</v>
      </c>
      <c r="E7098" s="3">
        <v>95</v>
      </c>
      <c r="F7098">
        <v>20160713</v>
      </c>
      <c r="G7098" t="s">
        <v>2164</v>
      </c>
      <c r="H7098" t="s">
        <v>5808</v>
      </c>
      <c r="I7098">
        <v>0</v>
      </c>
      <c r="J7098" t="s">
        <v>1709</v>
      </c>
      <c r="K7098" t="s">
        <v>1861</v>
      </c>
      <c r="L7098" t="s">
        <v>285</v>
      </c>
      <c r="M7098" t="str">
        <f t="shared" si="522"/>
        <v>07</v>
      </c>
      <c r="N7098" t="s">
        <v>12</v>
      </c>
    </row>
    <row r="7099" spans="1:14" x14ac:dyDescent="0.25">
      <c r="A7099">
        <v>20160715</v>
      </c>
      <c r="B7099" t="str">
        <f>"064022"</f>
        <v>064022</v>
      </c>
      <c r="C7099" t="str">
        <f>"24208"</f>
        <v>24208</v>
      </c>
      <c r="D7099" t="s">
        <v>1541</v>
      </c>
      <c r="E7099" s="3">
        <v>95</v>
      </c>
      <c r="F7099">
        <v>20160713</v>
      </c>
      <c r="G7099" t="s">
        <v>2164</v>
      </c>
      <c r="H7099" t="s">
        <v>5809</v>
      </c>
      <c r="I7099">
        <v>0</v>
      </c>
      <c r="J7099" t="s">
        <v>1709</v>
      </c>
      <c r="K7099" t="s">
        <v>1861</v>
      </c>
      <c r="L7099" t="s">
        <v>285</v>
      </c>
      <c r="M7099" t="str">
        <f t="shared" si="522"/>
        <v>07</v>
      </c>
      <c r="N7099" t="s">
        <v>12</v>
      </c>
    </row>
    <row r="7100" spans="1:14" x14ac:dyDescent="0.25">
      <c r="A7100">
        <v>20160715</v>
      </c>
      <c r="B7100" t="str">
        <f>"064023"</f>
        <v>064023</v>
      </c>
      <c r="C7100" t="str">
        <f>"06509"</f>
        <v>06509</v>
      </c>
      <c r="D7100" t="s">
        <v>1555</v>
      </c>
      <c r="E7100" s="3">
        <v>2022</v>
      </c>
      <c r="F7100">
        <v>20160713</v>
      </c>
      <c r="G7100" t="s">
        <v>5810</v>
      </c>
      <c r="H7100" t="s">
        <v>5811</v>
      </c>
      <c r="I7100">
        <v>0</v>
      </c>
      <c r="J7100" t="s">
        <v>1709</v>
      </c>
      <c r="K7100" t="s">
        <v>1558</v>
      </c>
      <c r="L7100" t="s">
        <v>285</v>
      </c>
      <c r="M7100" t="str">
        <f t="shared" si="522"/>
        <v>07</v>
      </c>
      <c r="N7100" t="s">
        <v>12</v>
      </c>
    </row>
    <row r="7101" spans="1:14" x14ac:dyDescent="0.25">
      <c r="A7101">
        <v>20160715</v>
      </c>
      <c r="B7101" t="str">
        <f>"064023"</f>
        <v>064023</v>
      </c>
      <c r="C7101" t="str">
        <f>"06509"</f>
        <v>06509</v>
      </c>
      <c r="D7101" t="s">
        <v>1555</v>
      </c>
      <c r="E7101" s="3">
        <v>1817</v>
      </c>
      <c r="F7101">
        <v>20160713</v>
      </c>
      <c r="G7101" t="s">
        <v>5812</v>
      </c>
      <c r="H7101" t="s">
        <v>5813</v>
      </c>
      <c r="I7101">
        <v>0</v>
      </c>
      <c r="J7101" t="s">
        <v>1709</v>
      </c>
      <c r="K7101" t="s">
        <v>1558</v>
      </c>
      <c r="L7101" t="s">
        <v>285</v>
      </c>
      <c r="M7101" t="str">
        <f t="shared" si="522"/>
        <v>07</v>
      </c>
      <c r="N7101" t="s">
        <v>12</v>
      </c>
    </row>
    <row r="7102" spans="1:14" x14ac:dyDescent="0.25">
      <c r="A7102">
        <v>20160715</v>
      </c>
      <c r="B7102" t="str">
        <f>"064024"</f>
        <v>064024</v>
      </c>
      <c r="C7102" t="str">
        <f>"00390"</f>
        <v>00390</v>
      </c>
      <c r="D7102" t="s">
        <v>1717</v>
      </c>
      <c r="E7102" s="3">
        <v>6379.87</v>
      </c>
      <c r="F7102">
        <v>20160713</v>
      </c>
      <c r="G7102" t="s">
        <v>2217</v>
      </c>
      <c r="H7102" t="s">
        <v>5172</v>
      </c>
      <c r="I7102">
        <v>0</v>
      </c>
      <c r="J7102" t="s">
        <v>1709</v>
      </c>
      <c r="K7102" t="s">
        <v>1984</v>
      </c>
      <c r="L7102" t="s">
        <v>285</v>
      </c>
      <c r="M7102" t="str">
        <f t="shared" si="522"/>
        <v>07</v>
      </c>
      <c r="N7102" t="s">
        <v>12</v>
      </c>
    </row>
    <row r="7103" spans="1:14" x14ac:dyDescent="0.25">
      <c r="A7103">
        <v>20160715</v>
      </c>
      <c r="B7103" t="str">
        <f>"064024"</f>
        <v>064024</v>
      </c>
      <c r="C7103" t="str">
        <f>"00390"</f>
        <v>00390</v>
      </c>
      <c r="D7103" t="s">
        <v>1717</v>
      </c>
      <c r="E7103" s="3">
        <v>290.67</v>
      </c>
      <c r="F7103">
        <v>20160713</v>
      </c>
      <c r="G7103" t="s">
        <v>2217</v>
      </c>
      <c r="H7103" t="s">
        <v>5172</v>
      </c>
      <c r="I7103">
        <v>0</v>
      </c>
      <c r="J7103" t="s">
        <v>1709</v>
      </c>
      <c r="K7103" t="s">
        <v>1984</v>
      </c>
      <c r="L7103" t="s">
        <v>285</v>
      </c>
      <c r="M7103" t="str">
        <f t="shared" si="522"/>
        <v>07</v>
      </c>
      <c r="N7103" t="s">
        <v>12</v>
      </c>
    </row>
    <row r="7104" spans="1:14" x14ac:dyDescent="0.25">
      <c r="A7104">
        <v>20160715</v>
      </c>
      <c r="B7104" t="str">
        <f>"064025"</f>
        <v>064025</v>
      </c>
      <c r="C7104" t="str">
        <f>"00392"</f>
        <v>00392</v>
      </c>
      <c r="D7104" t="s">
        <v>1717</v>
      </c>
      <c r="E7104" s="3">
        <v>461.21</v>
      </c>
      <c r="F7104">
        <v>20160713</v>
      </c>
      <c r="G7104" t="s">
        <v>2219</v>
      </c>
      <c r="H7104" t="s">
        <v>5172</v>
      </c>
      <c r="I7104">
        <v>0</v>
      </c>
      <c r="J7104" t="s">
        <v>1709</v>
      </c>
      <c r="K7104" t="s">
        <v>1984</v>
      </c>
      <c r="L7104" t="s">
        <v>285</v>
      </c>
      <c r="M7104" t="str">
        <f t="shared" si="522"/>
        <v>07</v>
      </c>
      <c r="N7104" t="s">
        <v>12</v>
      </c>
    </row>
    <row r="7105" spans="1:14" x14ac:dyDescent="0.25">
      <c r="A7105">
        <v>20160715</v>
      </c>
      <c r="B7105" t="str">
        <f>"064026"</f>
        <v>064026</v>
      </c>
      <c r="C7105" t="str">
        <f>"08132"</f>
        <v>08132</v>
      </c>
      <c r="D7105" t="s">
        <v>2436</v>
      </c>
      <c r="E7105" s="3">
        <v>178.2</v>
      </c>
      <c r="F7105">
        <v>20160713</v>
      </c>
      <c r="G7105" t="s">
        <v>2074</v>
      </c>
      <c r="H7105" t="s">
        <v>5814</v>
      </c>
      <c r="I7105">
        <v>0</v>
      </c>
      <c r="J7105" t="s">
        <v>1709</v>
      </c>
      <c r="K7105" t="s">
        <v>1861</v>
      </c>
      <c r="L7105" t="s">
        <v>285</v>
      </c>
      <c r="M7105" t="str">
        <f t="shared" si="522"/>
        <v>07</v>
      </c>
      <c r="N7105" t="s">
        <v>12</v>
      </c>
    </row>
    <row r="7106" spans="1:14" x14ac:dyDescent="0.25">
      <c r="A7106">
        <v>20160715</v>
      </c>
      <c r="B7106" t="str">
        <f>"064027"</f>
        <v>064027</v>
      </c>
      <c r="C7106" t="str">
        <f>"09981"</f>
        <v>09981</v>
      </c>
      <c r="D7106" t="s">
        <v>1959</v>
      </c>
      <c r="E7106" s="3">
        <v>60</v>
      </c>
      <c r="F7106">
        <v>20160713</v>
      </c>
      <c r="G7106" t="s">
        <v>2416</v>
      </c>
      <c r="H7106" t="s">
        <v>5815</v>
      </c>
      <c r="I7106">
        <v>0</v>
      </c>
      <c r="J7106" t="s">
        <v>1709</v>
      </c>
      <c r="K7106" t="s">
        <v>1744</v>
      </c>
      <c r="L7106" t="s">
        <v>285</v>
      </c>
      <c r="M7106" t="str">
        <f t="shared" si="522"/>
        <v>07</v>
      </c>
      <c r="N7106" t="s">
        <v>12</v>
      </c>
    </row>
    <row r="7107" spans="1:14" x14ac:dyDescent="0.25">
      <c r="A7107">
        <v>20160715</v>
      </c>
      <c r="B7107" t="str">
        <f>"064029"</f>
        <v>064029</v>
      </c>
      <c r="C7107" t="str">
        <f>"11210"</f>
        <v>11210</v>
      </c>
      <c r="D7107" t="s">
        <v>3030</v>
      </c>
      <c r="E7107" s="3">
        <v>123.63</v>
      </c>
      <c r="F7107">
        <v>20160713</v>
      </c>
      <c r="G7107" t="s">
        <v>1974</v>
      </c>
      <c r="H7107" t="s">
        <v>1618</v>
      </c>
      <c r="I7107">
        <v>0</v>
      </c>
      <c r="J7107" t="s">
        <v>1709</v>
      </c>
      <c r="K7107" t="s">
        <v>290</v>
      </c>
      <c r="L7107" t="s">
        <v>285</v>
      </c>
      <c r="M7107" t="str">
        <f t="shared" si="522"/>
        <v>07</v>
      </c>
      <c r="N7107" t="s">
        <v>12</v>
      </c>
    </row>
    <row r="7108" spans="1:14" x14ac:dyDescent="0.25">
      <c r="A7108">
        <v>20160715</v>
      </c>
      <c r="B7108" t="str">
        <f>"064029"</f>
        <v>064029</v>
      </c>
      <c r="C7108" t="str">
        <f>"11210"</f>
        <v>11210</v>
      </c>
      <c r="D7108" t="s">
        <v>3030</v>
      </c>
      <c r="E7108" s="3">
        <v>422.89</v>
      </c>
      <c r="F7108">
        <v>20160713</v>
      </c>
      <c r="G7108" t="s">
        <v>3031</v>
      </c>
      <c r="H7108" t="s">
        <v>1618</v>
      </c>
      <c r="I7108">
        <v>0</v>
      </c>
      <c r="J7108" t="s">
        <v>1709</v>
      </c>
      <c r="K7108" t="s">
        <v>290</v>
      </c>
      <c r="L7108" t="s">
        <v>285</v>
      </c>
      <c r="M7108" t="str">
        <f t="shared" si="522"/>
        <v>07</v>
      </c>
      <c r="N7108" t="s">
        <v>12</v>
      </c>
    </row>
    <row r="7109" spans="1:14" x14ac:dyDescent="0.25">
      <c r="A7109">
        <v>20160715</v>
      </c>
      <c r="B7109" t="str">
        <f>"064030"</f>
        <v>064030</v>
      </c>
      <c r="C7109" t="str">
        <f>"11570"</f>
        <v>11570</v>
      </c>
      <c r="D7109" t="s">
        <v>5816</v>
      </c>
      <c r="E7109" s="3">
        <v>3880</v>
      </c>
      <c r="F7109">
        <v>20160713</v>
      </c>
      <c r="G7109" t="s">
        <v>2762</v>
      </c>
      <c r="H7109" t="s">
        <v>5817</v>
      </c>
      <c r="I7109">
        <v>0</v>
      </c>
      <c r="J7109" t="s">
        <v>1709</v>
      </c>
      <c r="K7109" t="s">
        <v>2764</v>
      </c>
      <c r="L7109" t="s">
        <v>285</v>
      </c>
      <c r="M7109" t="str">
        <f t="shared" si="522"/>
        <v>07</v>
      </c>
      <c r="N7109" t="s">
        <v>12</v>
      </c>
    </row>
    <row r="7110" spans="1:14" x14ac:dyDescent="0.25">
      <c r="A7110">
        <v>20160715</v>
      </c>
      <c r="B7110" t="str">
        <f>"064032"</f>
        <v>064032</v>
      </c>
      <c r="C7110" t="str">
        <f>"18256"</f>
        <v>18256</v>
      </c>
      <c r="D7110" t="s">
        <v>2223</v>
      </c>
      <c r="E7110" s="3">
        <v>149.97</v>
      </c>
      <c r="F7110">
        <v>20160713</v>
      </c>
      <c r="G7110" t="s">
        <v>5803</v>
      </c>
      <c r="H7110" t="s">
        <v>2023</v>
      </c>
      <c r="I7110">
        <v>0</v>
      </c>
      <c r="J7110" t="s">
        <v>1709</v>
      </c>
      <c r="K7110" t="s">
        <v>1558</v>
      </c>
      <c r="L7110" t="s">
        <v>285</v>
      </c>
      <c r="M7110" t="str">
        <f t="shared" si="522"/>
        <v>07</v>
      </c>
      <c r="N7110" t="s">
        <v>12</v>
      </c>
    </row>
    <row r="7111" spans="1:14" x14ac:dyDescent="0.25">
      <c r="A7111">
        <v>20160715</v>
      </c>
      <c r="B7111" t="str">
        <f>"064033"</f>
        <v>064033</v>
      </c>
      <c r="C7111" t="str">
        <f>"18240"</f>
        <v>18240</v>
      </c>
      <c r="D7111" t="s">
        <v>5818</v>
      </c>
      <c r="E7111" s="3">
        <v>20640</v>
      </c>
      <c r="F7111">
        <v>20160713</v>
      </c>
      <c r="G7111" t="s">
        <v>5819</v>
      </c>
      <c r="H7111" t="s">
        <v>5820</v>
      </c>
      <c r="I7111">
        <v>0</v>
      </c>
      <c r="J7111" t="s">
        <v>1709</v>
      </c>
      <c r="K7111" t="s">
        <v>1861</v>
      </c>
      <c r="L7111" t="s">
        <v>285</v>
      </c>
      <c r="M7111" t="str">
        <f t="shared" si="522"/>
        <v>07</v>
      </c>
      <c r="N7111" t="s">
        <v>12</v>
      </c>
    </row>
    <row r="7112" spans="1:14" x14ac:dyDescent="0.25">
      <c r="A7112">
        <v>20160715</v>
      </c>
      <c r="B7112" t="str">
        <f>"064034"</f>
        <v>064034</v>
      </c>
      <c r="C7112" t="str">
        <f>"19043"</f>
        <v>19043</v>
      </c>
      <c r="D7112" t="s">
        <v>2629</v>
      </c>
      <c r="E7112" s="3">
        <v>64.58</v>
      </c>
      <c r="F7112">
        <v>20160714</v>
      </c>
      <c r="G7112" t="s">
        <v>4214</v>
      </c>
      <c r="H7112" t="s">
        <v>4212</v>
      </c>
      <c r="I7112">
        <v>0</v>
      </c>
      <c r="J7112" t="s">
        <v>1709</v>
      </c>
      <c r="K7112" t="s">
        <v>1643</v>
      </c>
      <c r="L7112" t="s">
        <v>285</v>
      </c>
      <c r="M7112" t="str">
        <f t="shared" si="522"/>
        <v>07</v>
      </c>
      <c r="N7112" t="s">
        <v>12</v>
      </c>
    </row>
    <row r="7113" spans="1:14" x14ac:dyDescent="0.25">
      <c r="A7113">
        <v>20160715</v>
      </c>
      <c r="B7113" t="str">
        <f>"064035"</f>
        <v>064035</v>
      </c>
      <c r="C7113" t="str">
        <f>"14821"</f>
        <v>14821</v>
      </c>
      <c r="D7113" t="s">
        <v>2461</v>
      </c>
      <c r="E7113" s="3">
        <v>579.4</v>
      </c>
      <c r="F7113">
        <v>20160713</v>
      </c>
      <c r="G7113" t="s">
        <v>2303</v>
      </c>
      <c r="H7113" t="s">
        <v>3036</v>
      </c>
      <c r="I7113">
        <v>0</v>
      </c>
      <c r="J7113" t="s">
        <v>1709</v>
      </c>
      <c r="K7113" t="s">
        <v>235</v>
      </c>
      <c r="L7113" t="s">
        <v>285</v>
      </c>
      <c r="M7113" t="str">
        <f t="shared" si="522"/>
        <v>07</v>
      </c>
      <c r="N7113" t="s">
        <v>12</v>
      </c>
    </row>
    <row r="7114" spans="1:14" x14ac:dyDescent="0.25">
      <c r="A7114">
        <v>20160715</v>
      </c>
      <c r="B7114" t="str">
        <f>"064035"</f>
        <v>064035</v>
      </c>
      <c r="C7114" t="str">
        <f>"14821"</f>
        <v>14821</v>
      </c>
      <c r="D7114" t="s">
        <v>2461</v>
      </c>
      <c r="E7114" s="3">
        <v>2957</v>
      </c>
      <c r="F7114">
        <v>20160713</v>
      </c>
      <c r="G7114" t="s">
        <v>2275</v>
      </c>
      <c r="H7114" t="s">
        <v>5821</v>
      </c>
      <c r="I7114">
        <v>0</v>
      </c>
      <c r="J7114" t="s">
        <v>1709</v>
      </c>
      <c r="K7114" t="s">
        <v>95</v>
      </c>
      <c r="L7114" t="s">
        <v>285</v>
      </c>
      <c r="M7114" t="str">
        <f t="shared" si="522"/>
        <v>07</v>
      </c>
      <c r="N7114" t="s">
        <v>12</v>
      </c>
    </row>
    <row r="7115" spans="1:14" x14ac:dyDescent="0.25">
      <c r="A7115">
        <v>20160715</v>
      </c>
      <c r="B7115" t="str">
        <f>"064035"</f>
        <v>064035</v>
      </c>
      <c r="C7115" t="str">
        <f>"14821"</f>
        <v>14821</v>
      </c>
      <c r="D7115" t="s">
        <v>2461</v>
      </c>
      <c r="E7115" s="3">
        <v>1499.27</v>
      </c>
      <c r="F7115">
        <v>20160713</v>
      </c>
      <c r="G7115" t="s">
        <v>1888</v>
      </c>
      <c r="H7115" t="s">
        <v>5822</v>
      </c>
      <c r="I7115">
        <v>0</v>
      </c>
      <c r="J7115" t="s">
        <v>1709</v>
      </c>
      <c r="K7115" t="s">
        <v>290</v>
      </c>
      <c r="L7115" t="s">
        <v>285</v>
      </c>
      <c r="M7115" t="str">
        <f t="shared" si="522"/>
        <v>07</v>
      </c>
      <c r="N7115" t="s">
        <v>12</v>
      </c>
    </row>
    <row r="7116" spans="1:14" x14ac:dyDescent="0.25">
      <c r="A7116">
        <v>20160715</v>
      </c>
      <c r="B7116" t="str">
        <f t="shared" ref="B7116:B7129" si="523">"064036"</f>
        <v>064036</v>
      </c>
      <c r="C7116" t="str">
        <f t="shared" ref="C7116:C7129" si="524">"20706"</f>
        <v>20706</v>
      </c>
      <c r="D7116" t="s">
        <v>1823</v>
      </c>
      <c r="E7116" s="3">
        <v>10233.32</v>
      </c>
      <c r="F7116">
        <v>20160713</v>
      </c>
      <c r="G7116" t="s">
        <v>2235</v>
      </c>
      <c r="H7116" t="s">
        <v>5823</v>
      </c>
      <c r="I7116">
        <v>0</v>
      </c>
      <c r="J7116" t="s">
        <v>1709</v>
      </c>
      <c r="K7116" t="s">
        <v>290</v>
      </c>
      <c r="L7116" t="s">
        <v>285</v>
      </c>
      <c r="M7116" t="str">
        <f t="shared" si="522"/>
        <v>07</v>
      </c>
      <c r="N7116" t="s">
        <v>12</v>
      </c>
    </row>
    <row r="7117" spans="1:14" x14ac:dyDescent="0.25">
      <c r="A7117">
        <v>20160715</v>
      </c>
      <c r="B7117" t="str">
        <f t="shared" si="523"/>
        <v>064036</v>
      </c>
      <c r="C7117" t="str">
        <f t="shared" si="524"/>
        <v>20706</v>
      </c>
      <c r="D7117" t="s">
        <v>1823</v>
      </c>
      <c r="E7117" s="3">
        <v>60.77</v>
      </c>
      <c r="F7117">
        <v>20160713</v>
      </c>
      <c r="G7117" t="s">
        <v>2237</v>
      </c>
      <c r="H7117" t="s">
        <v>5824</v>
      </c>
      <c r="I7117">
        <v>0</v>
      </c>
      <c r="J7117" t="s">
        <v>1709</v>
      </c>
      <c r="K7117" t="s">
        <v>1558</v>
      </c>
      <c r="L7117" t="s">
        <v>285</v>
      </c>
      <c r="M7117" t="str">
        <f t="shared" si="522"/>
        <v>07</v>
      </c>
      <c r="N7117" t="s">
        <v>12</v>
      </c>
    </row>
    <row r="7118" spans="1:14" x14ac:dyDescent="0.25">
      <c r="A7118">
        <v>20160715</v>
      </c>
      <c r="B7118" t="str">
        <f t="shared" si="523"/>
        <v>064036</v>
      </c>
      <c r="C7118" t="str">
        <f t="shared" si="524"/>
        <v>20706</v>
      </c>
      <c r="D7118" t="s">
        <v>1823</v>
      </c>
      <c r="E7118" s="3">
        <v>385.09</v>
      </c>
      <c r="F7118">
        <v>20160713</v>
      </c>
      <c r="G7118" t="s">
        <v>2239</v>
      </c>
      <c r="H7118" t="s">
        <v>5825</v>
      </c>
      <c r="I7118">
        <v>0</v>
      </c>
      <c r="J7118" t="s">
        <v>1709</v>
      </c>
      <c r="K7118" t="s">
        <v>95</v>
      </c>
      <c r="L7118" t="s">
        <v>285</v>
      </c>
      <c r="M7118" t="str">
        <f t="shared" si="522"/>
        <v>07</v>
      </c>
      <c r="N7118" t="s">
        <v>12</v>
      </c>
    </row>
    <row r="7119" spans="1:14" x14ac:dyDescent="0.25">
      <c r="A7119">
        <v>20160715</v>
      </c>
      <c r="B7119" t="str">
        <f t="shared" si="523"/>
        <v>064036</v>
      </c>
      <c r="C7119" t="str">
        <f t="shared" si="524"/>
        <v>20706</v>
      </c>
      <c r="D7119" t="s">
        <v>1823</v>
      </c>
      <c r="E7119" s="3">
        <v>1786.35</v>
      </c>
      <c r="F7119">
        <v>20160713</v>
      </c>
      <c r="G7119" t="s">
        <v>2241</v>
      </c>
      <c r="H7119" t="s">
        <v>5826</v>
      </c>
      <c r="I7119">
        <v>0</v>
      </c>
      <c r="J7119" t="s">
        <v>1709</v>
      </c>
      <c r="K7119" t="s">
        <v>1643</v>
      </c>
      <c r="L7119" t="s">
        <v>285</v>
      </c>
      <c r="M7119" t="str">
        <f t="shared" si="522"/>
        <v>07</v>
      </c>
      <c r="N7119" t="s">
        <v>12</v>
      </c>
    </row>
    <row r="7120" spans="1:14" x14ac:dyDescent="0.25">
      <c r="A7120">
        <v>20160715</v>
      </c>
      <c r="B7120" t="str">
        <f t="shared" si="523"/>
        <v>064036</v>
      </c>
      <c r="C7120" t="str">
        <f t="shared" si="524"/>
        <v>20706</v>
      </c>
      <c r="D7120" t="s">
        <v>1823</v>
      </c>
      <c r="E7120" s="3">
        <v>795.29</v>
      </c>
      <c r="F7120">
        <v>20160713</v>
      </c>
      <c r="G7120" t="s">
        <v>2243</v>
      </c>
      <c r="H7120" t="s">
        <v>5827</v>
      </c>
      <c r="I7120">
        <v>0</v>
      </c>
      <c r="J7120" t="s">
        <v>1709</v>
      </c>
      <c r="K7120" t="s">
        <v>33</v>
      </c>
      <c r="L7120" t="s">
        <v>285</v>
      </c>
      <c r="M7120" t="str">
        <f t="shared" si="522"/>
        <v>07</v>
      </c>
      <c r="N7120" t="s">
        <v>12</v>
      </c>
    </row>
    <row r="7121" spans="1:14" x14ac:dyDescent="0.25">
      <c r="A7121">
        <v>20160715</v>
      </c>
      <c r="B7121" t="str">
        <f t="shared" si="523"/>
        <v>064036</v>
      </c>
      <c r="C7121" t="str">
        <f t="shared" si="524"/>
        <v>20706</v>
      </c>
      <c r="D7121" t="s">
        <v>1823</v>
      </c>
      <c r="E7121" s="3">
        <v>347.4</v>
      </c>
      <c r="F7121">
        <v>20160713</v>
      </c>
      <c r="G7121" t="s">
        <v>2245</v>
      </c>
      <c r="H7121" t="s">
        <v>5828</v>
      </c>
      <c r="I7121">
        <v>0</v>
      </c>
      <c r="J7121" t="s">
        <v>1709</v>
      </c>
      <c r="K7121" t="s">
        <v>2247</v>
      </c>
      <c r="L7121" t="s">
        <v>285</v>
      </c>
      <c r="M7121" t="str">
        <f t="shared" si="522"/>
        <v>07</v>
      </c>
      <c r="N7121" t="s">
        <v>12</v>
      </c>
    </row>
    <row r="7122" spans="1:14" x14ac:dyDescent="0.25">
      <c r="A7122">
        <v>20160715</v>
      </c>
      <c r="B7122" t="str">
        <f t="shared" si="523"/>
        <v>064036</v>
      </c>
      <c r="C7122" t="str">
        <f t="shared" si="524"/>
        <v>20706</v>
      </c>
      <c r="D7122" t="s">
        <v>1823</v>
      </c>
      <c r="E7122" s="3">
        <v>278.39999999999998</v>
      </c>
      <c r="F7122">
        <v>20160713</v>
      </c>
      <c r="G7122" t="s">
        <v>2248</v>
      </c>
      <c r="H7122" t="s">
        <v>5829</v>
      </c>
      <c r="I7122">
        <v>0</v>
      </c>
      <c r="J7122" t="s">
        <v>1709</v>
      </c>
      <c r="K7122" t="s">
        <v>1861</v>
      </c>
      <c r="L7122" t="s">
        <v>285</v>
      </c>
      <c r="M7122" t="str">
        <f t="shared" si="522"/>
        <v>07</v>
      </c>
      <c r="N7122" t="s">
        <v>12</v>
      </c>
    </row>
    <row r="7123" spans="1:14" x14ac:dyDescent="0.25">
      <c r="A7123">
        <v>20160715</v>
      </c>
      <c r="B7123" t="str">
        <f t="shared" si="523"/>
        <v>064036</v>
      </c>
      <c r="C7123" t="str">
        <f t="shared" si="524"/>
        <v>20706</v>
      </c>
      <c r="D7123" t="s">
        <v>1823</v>
      </c>
      <c r="E7123" s="3">
        <v>5838.02</v>
      </c>
      <c r="F7123">
        <v>20160713</v>
      </c>
      <c r="G7123" t="s">
        <v>2250</v>
      </c>
      <c r="H7123" t="s">
        <v>5830</v>
      </c>
      <c r="I7123">
        <v>0</v>
      </c>
      <c r="J7123" t="s">
        <v>1709</v>
      </c>
      <c r="K7123" t="s">
        <v>2252</v>
      </c>
      <c r="L7123" t="s">
        <v>285</v>
      </c>
      <c r="M7123" t="str">
        <f t="shared" si="522"/>
        <v>07</v>
      </c>
      <c r="N7123" t="s">
        <v>12</v>
      </c>
    </row>
    <row r="7124" spans="1:14" x14ac:dyDescent="0.25">
      <c r="A7124">
        <v>20160715</v>
      </c>
      <c r="B7124" t="str">
        <f t="shared" si="523"/>
        <v>064036</v>
      </c>
      <c r="C7124" t="str">
        <f t="shared" si="524"/>
        <v>20706</v>
      </c>
      <c r="D7124" t="s">
        <v>1823</v>
      </c>
      <c r="E7124" s="3">
        <v>1049.28</v>
      </c>
      <c r="F7124">
        <v>20160713</v>
      </c>
      <c r="G7124" t="s">
        <v>2253</v>
      </c>
      <c r="H7124" t="s">
        <v>5831</v>
      </c>
      <c r="I7124">
        <v>0</v>
      </c>
      <c r="J7124" t="s">
        <v>1709</v>
      </c>
      <c r="K7124" t="s">
        <v>290</v>
      </c>
      <c r="L7124" t="s">
        <v>285</v>
      </c>
      <c r="M7124" t="str">
        <f t="shared" si="522"/>
        <v>07</v>
      </c>
      <c r="N7124" t="s">
        <v>12</v>
      </c>
    </row>
    <row r="7125" spans="1:14" x14ac:dyDescent="0.25">
      <c r="A7125">
        <v>20160715</v>
      </c>
      <c r="B7125" t="str">
        <f t="shared" si="523"/>
        <v>064036</v>
      </c>
      <c r="C7125" t="str">
        <f t="shared" si="524"/>
        <v>20706</v>
      </c>
      <c r="D7125" t="s">
        <v>1823</v>
      </c>
      <c r="E7125" s="3">
        <v>188.98</v>
      </c>
      <c r="F7125">
        <v>20160713</v>
      </c>
      <c r="G7125" t="s">
        <v>2255</v>
      </c>
      <c r="H7125" t="s">
        <v>5832</v>
      </c>
      <c r="I7125">
        <v>0</v>
      </c>
      <c r="J7125" t="s">
        <v>1709</v>
      </c>
      <c r="K7125" t="s">
        <v>95</v>
      </c>
      <c r="L7125" t="s">
        <v>285</v>
      </c>
      <c r="M7125" t="str">
        <f t="shared" si="522"/>
        <v>07</v>
      </c>
      <c r="N7125" t="s">
        <v>12</v>
      </c>
    </row>
    <row r="7126" spans="1:14" x14ac:dyDescent="0.25">
      <c r="A7126">
        <v>20160715</v>
      </c>
      <c r="B7126" t="str">
        <f t="shared" si="523"/>
        <v>064036</v>
      </c>
      <c r="C7126" t="str">
        <f t="shared" si="524"/>
        <v>20706</v>
      </c>
      <c r="D7126" t="s">
        <v>1823</v>
      </c>
      <c r="E7126" s="3">
        <v>1056.71</v>
      </c>
      <c r="F7126">
        <v>20160713</v>
      </c>
      <c r="G7126" t="s">
        <v>2257</v>
      </c>
      <c r="H7126" t="s">
        <v>5826</v>
      </c>
      <c r="I7126">
        <v>0</v>
      </c>
      <c r="J7126" t="s">
        <v>1709</v>
      </c>
      <c r="K7126" t="s">
        <v>1643</v>
      </c>
      <c r="L7126" t="s">
        <v>285</v>
      </c>
      <c r="M7126" t="str">
        <f t="shared" si="522"/>
        <v>07</v>
      </c>
      <c r="N7126" t="s">
        <v>12</v>
      </c>
    </row>
    <row r="7127" spans="1:14" x14ac:dyDescent="0.25">
      <c r="A7127">
        <v>20160715</v>
      </c>
      <c r="B7127" t="str">
        <f t="shared" si="523"/>
        <v>064036</v>
      </c>
      <c r="C7127" t="str">
        <f t="shared" si="524"/>
        <v>20706</v>
      </c>
      <c r="D7127" t="s">
        <v>1823</v>
      </c>
      <c r="E7127" s="3">
        <v>126.1</v>
      </c>
      <c r="F7127">
        <v>20160713</v>
      </c>
      <c r="G7127" t="s">
        <v>2257</v>
      </c>
      <c r="H7127" t="s">
        <v>5833</v>
      </c>
      <c r="I7127">
        <v>0</v>
      </c>
      <c r="J7127" t="s">
        <v>1709</v>
      </c>
      <c r="K7127" t="s">
        <v>1643</v>
      </c>
      <c r="L7127" t="s">
        <v>285</v>
      </c>
      <c r="M7127" t="str">
        <f t="shared" si="522"/>
        <v>07</v>
      </c>
      <c r="N7127" t="s">
        <v>12</v>
      </c>
    </row>
    <row r="7128" spans="1:14" x14ac:dyDescent="0.25">
      <c r="A7128">
        <v>20160715</v>
      </c>
      <c r="B7128" t="str">
        <f t="shared" si="523"/>
        <v>064036</v>
      </c>
      <c r="C7128" t="str">
        <f t="shared" si="524"/>
        <v>20706</v>
      </c>
      <c r="D7128" t="s">
        <v>1823</v>
      </c>
      <c r="E7128" s="3">
        <v>86.58</v>
      </c>
      <c r="F7128">
        <v>20160713</v>
      </c>
      <c r="G7128" t="s">
        <v>2259</v>
      </c>
      <c r="H7128" t="s">
        <v>5834</v>
      </c>
      <c r="I7128">
        <v>0</v>
      </c>
      <c r="J7128" t="s">
        <v>1709</v>
      </c>
      <c r="K7128" t="s">
        <v>33</v>
      </c>
      <c r="L7128" t="s">
        <v>285</v>
      </c>
      <c r="M7128" t="str">
        <f t="shared" si="522"/>
        <v>07</v>
      </c>
      <c r="N7128" t="s">
        <v>12</v>
      </c>
    </row>
    <row r="7129" spans="1:14" x14ac:dyDescent="0.25">
      <c r="A7129">
        <v>20160715</v>
      </c>
      <c r="B7129" t="str">
        <f t="shared" si="523"/>
        <v>064036</v>
      </c>
      <c r="C7129" t="str">
        <f t="shared" si="524"/>
        <v>20706</v>
      </c>
      <c r="D7129" t="s">
        <v>1823</v>
      </c>
      <c r="E7129" s="3">
        <v>118.24</v>
      </c>
      <c r="F7129">
        <v>20160713</v>
      </c>
      <c r="G7129" t="s">
        <v>4361</v>
      </c>
      <c r="H7129" t="s">
        <v>5835</v>
      </c>
      <c r="I7129">
        <v>0</v>
      </c>
      <c r="J7129" t="s">
        <v>1709</v>
      </c>
      <c r="K7129" t="s">
        <v>290</v>
      </c>
      <c r="L7129" t="s">
        <v>285</v>
      </c>
      <c r="M7129" t="str">
        <f t="shared" si="522"/>
        <v>07</v>
      </c>
      <c r="N7129" t="s">
        <v>12</v>
      </c>
    </row>
    <row r="7130" spans="1:14" x14ac:dyDescent="0.25">
      <c r="A7130">
        <v>20160715</v>
      </c>
      <c r="B7130" t="str">
        <f>"064037"</f>
        <v>064037</v>
      </c>
      <c r="C7130" t="str">
        <f>"21081"</f>
        <v>21081</v>
      </c>
      <c r="D7130" t="s">
        <v>5836</v>
      </c>
      <c r="E7130" s="3">
        <v>307.2</v>
      </c>
      <c r="F7130">
        <v>20160713</v>
      </c>
      <c r="G7130" t="s">
        <v>1859</v>
      </c>
      <c r="H7130" t="s">
        <v>5837</v>
      </c>
      <c r="I7130">
        <v>0</v>
      </c>
      <c r="J7130" t="s">
        <v>1709</v>
      </c>
      <c r="K7130" t="s">
        <v>1861</v>
      </c>
      <c r="L7130" t="s">
        <v>285</v>
      </c>
      <c r="M7130" t="str">
        <f t="shared" si="522"/>
        <v>07</v>
      </c>
      <c r="N7130" t="s">
        <v>12</v>
      </c>
    </row>
    <row r="7131" spans="1:14" x14ac:dyDescent="0.25">
      <c r="A7131">
        <v>20160715</v>
      </c>
      <c r="B7131" t="str">
        <f>"064038"</f>
        <v>064038</v>
      </c>
      <c r="C7131" t="str">
        <f>"21098"</f>
        <v>21098</v>
      </c>
      <c r="D7131" t="s">
        <v>2261</v>
      </c>
      <c r="E7131" s="3">
        <v>646.95000000000005</v>
      </c>
      <c r="F7131">
        <v>20160713</v>
      </c>
      <c r="G7131" t="s">
        <v>5776</v>
      </c>
      <c r="H7131" t="s">
        <v>5838</v>
      </c>
      <c r="I7131">
        <v>0</v>
      </c>
      <c r="J7131" t="s">
        <v>1709</v>
      </c>
      <c r="K7131" t="s">
        <v>1643</v>
      </c>
      <c r="L7131" t="s">
        <v>285</v>
      </c>
      <c r="M7131" t="str">
        <f t="shared" si="522"/>
        <v>07</v>
      </c>
      <c r="N7131" t="s">
        <v>12</v>
      </c>
    </row>
    <row r="7132" spans="1:14" x14ac:dyDescent="0.25">
      <c r="A7132">
        <v>20160715</v>
      </c>
      <c r="B7132" t="str">
        <f>"064040"</f>
        <v>064040</v>
      </c>
      <c r="C7132" t="str">
        <f>"21901"</f>
        <v>21901</v>
      </c>
      <c r="D7132" t="s">
        <v>1965</v>
      </c>
      <c r="E7132" s="3">
        <v>7.7</v>
      </c>
      <c r="F7132">
        <v>20160713</v>
      </c>
      <c r="G7132" t="s">
        <v>2164</v>
      </c>
      <c r="H7132" t="s">
        <v>5839</v>
      </c>
      <c r="I7132">
        <v>0</v>
      </c>
      <c r="J7132" t="s">
        <v>1709</v>
      </c>
      <c r="K7132" t="s">
        <v>1861</v>
      </c>
      <c r="L7132" t="s">
        <v>285</v>
      </c>
      <c r="M7132" t="str">
        <f t="shared" si="522"/>
        <v>07</v>
      </c>
      <c r="N7132" t="s">
        <v>12</v>
      </c>
    </row>
    <row r="7133" spans="1:14" x14ac:dyDescent="0.25">
      <c r="A7133">
        <v>20160715</v>
      </c>
      <c r="B7133" t="str">
        <f>"064041"</f>
        <v>064041</v>
      </c>
      <c r="C7133" t="str">
        <f>"45078"</f>
        <v>45078</v>
      </c>
      <c r="D7133" t="s">
        <v>233</v>
      </c>
      <c r="E7133" s="3">
        <v>128.47999999999999</v>
      </c>
      <c r="F7133">
        <v>20160713</v>
      </c>
      <c r="G7133" t="s">
        <v>1880</v>
      </c>
      <c r="H7133" t="s">
        <v>5840</v>
      </c>
      <c r="I7133">
        <v>0</v>
      </c>
      <c r="J7133" t="s">
        <v>1709</v>
      </c>
      <c r="K7133" t="s">
        <v>1882</v>
      </c>
      <c r="L7133" t="s">
        <v>285</v>
      </c>
      <c r="M7133" t="str">
        <f t="shared" si="522"/>
        <v>07</v>
      </c>
      <c r="N7133" t="s">
        <v>12</v>
      </c>
    </row>
    <row r="7134" spans="1:14" x14ac:dyDescent="0.25">
      <c r="A7134">
        <v>20160715</v>
      </c>
      <c r="B7134" t="str">
        <f t="shared" ref="B7134:B7139" si="525">"064042"</f>
        <v>064042</v>
      </c>
      <c r="C7134" t="str">
        <f t="shared" ref="C7134:C7139" si="526">"25165"</f>
        <v>25165</v>
      </c>
      <c r="D7134" t="s">
        <v>1563</v>
      </c>
      <c r="E7134" s="3">
        <v>224.85</v>
      </c>
      <c r="F7134">
        <v>20160713</v>
      </c>
      <c r="G7134" t="s">
        <v>2831</v>
      </c>
      <c r="H7134" t="s">
        <v>5841</v>
      </c>
      <c r="I7134">
        <v>0</v>
      </c>
      <c r="J7134" t="s">
        <v>1709</v>
      </c>
      <c r="K7134" t="s">
        <v>95</v>
      </c>
      <c r="L7134" t="s">
        <v>285</v>
      </c>
      <c r="M7134" t="str">
        <f t="shared" si="522"/>
        <v>07</v>
      </c>
      <c r="N7134" t="s">
        <v>12</v>
      </c>
    </row>
    <row r="7135" spans="1:14" x14ac:dyDescent="0.25">
      <c r="A7135">
        <v>20160715</v>
      </c>
      <c r="B7135" t="str">
        <f t="shared" si="525"/>
        <v>064042</v>
      </c>
      <c r="C7135" t="str">
        <f t="shared" si="526"/>
        <v>25165</v>
      </c>
      <c r="D7135" t="s">
        <v>1563</v>
      </c>
      <c r="E7135" s="3">
        <v>872.86</v>
      </c>
      <c r="F7135">
        <v>20160713</v>
      </c>
      <c r="G7135" t="s">
        <v>5842</v>
      </c>
      <c r="H7135" t="s">
        <v>5843</v>
      </c>
      <c r="I7135">
        <v>0</v>
      </c>
      <c r="J7135" t="s">
        <v>1709</v>
      </c>
      <c r="K7135" t="s">
        <v>1558</v>
      </c>
      <c r="L7135" t="s">
        <v>285</v>
      </c>
      <c r="M7135" t="str">
        <f t="shared" si="522"/>
        <v>07</v>
      </c>
      <c r="N7135" t="s">
        <v>12</v>
      </c>
    </row>
    <row r="7136" spans="1:14" x14ac:dyDescent="0.25">
      <c r="A7136">
        <v>20160715</v>
      </c>
      <c r="B7136" t="str">
        <f t="shared" si="525"/>
        <v>064042</v>
      </c>
      <c r="C7136" t="str">
        <f t="shared" si="526"/>
        <v>25165</v>
      </c>
      <c r="D7136" t="s">
        <v>1563</v>
      </c>
      <c r="E7136" s="3">
        <v>15.86</v>
      </c>
      <c r="F7136">
        <v>20160713</v>
      </c>
      <c r="G7136" t="s">
        <v>5842</v>
      </c>
      <c r="H7136" t="s">
        <v>5844</v>
      </c>
      <c r="I7136">
        <v>0</v>
      </c>
      <c r="J7136" t="s">
        <v>1709</v>
      </c>
      <c r="K7136" t="s">
        <v>1558</v>
      </c>
      <c r="L7136" t="s">
        <v>285</v>
      </c>
      <c r="M7136" t="str">
        <f t="shared" si="522"/>
        <v>07</v>
      </c>
      <c r="N7136" t="s">
        <v>12</v>
      </c>
    </row>
    <row r="7137" spans="1:14" x14ac:dyDescent="0.25">
      <c r="A7137">
        <v>20160715</v>
      </c>
      <c r="B7137" t="str">
        <f t="shared" si="525"/>
        <v>064042</v>
      </c>
      <c r="C7137" t="str">
        <f t="shared" si="526"/>
        <v>25165</v>
      </c>
      <c r="D7137" t="s">
        <v>1563</v>
      </c>
      <c r="E7137" s="3">
        <v>2577.6</v>
      </c>
      <c r="F7137">
        <v>20160713</v>
      </c>
      <c r="G7137" t="s">
        <v>2671</v>
      </c>
      <c r="H7137" t="s">
        <v>5845</v>
      </c>
      <c r="I7137">
        <v>0</v>
      </c>
      <c r="J7137" t="s">
        <v>1709</v>
      </c>
      <c r="K7137" t="s">
        <v>33</v>
      </c>
      <c r="L7137" t="s">
        <v>285</v>
      </c>
      <c r="M7137" t="str">
        <f t="shared" si="522"/>
        <v>07</v>
      </c>
      <c r="N7137" t="s">
        <v>12</v>
      </c>
    </row>
    <row r="7138" spans="1:14" x14ac:dyDescent="0.25">
      <c r="A7138">
        <v>20160715</v>
      </c>
      <c r="B7138" t="str">
        <f t="shared" si="525"/>
        <v>064042</v>
      </c>
      <c r="C7138" t="str">
        <f t="shared" si="526"/>
        <v>25165</v>
      </c>
      <c r="D7138" t="s">
        <v>1563</v>
      </c>
      <c r="E7138" s="3">
        <v>41241.599999999999</v>
      </c>
      <c r="F7138">
        <v>20160713</v>
      </c>
      <c r="G7138" t="s">
        <v>2671</v>
      </c>
      <c r="H7138" t="s">
        <v>5845</v>
      </c>
      <c r="I7138">
        <v>0</v>
      </c>
      <c r="J7138" t="s">
        <v>1709</v>
      </c>
      <c r="K7138" t="s">
        <v>33</v>
      </c>
      <c r="L7138" t="s">
        <v>285</v>
      </c>
      <c r="M7138" t="str">
        <f t="shared" si="522"/>
        <v>07</v>
      </c>
      <c r="N7138" t="s">
        <v>12</v>
      </c>
    </row>
    <row r="7139" spans="1:14" x14ac:dyDescent="0.25">
      <c r="A7139">
        <v>20160715</v>
      </c>
      <c r="B7139" t="str">
        <f t="shared" si="525"/>
        <v>064042</v>
      </c>
      <c r="C7139" t="str">
        <f t="shared" si="526"/>
        <v>25165</v>
      </c>
      <c r="D7139" t="s">
        <v>1563</v>
      </c>
      <c r="E7139" s="3">
        <v>3610.89</v>
      </c>
      <c r="F7139">
        <v>20160713</v>
      </c>
      <c r="G7139" t="s">
        <v>5846</v>
      </c>
      <c r="H7139" t="s">
        <v>5847</v>
      </c>
      <c r="I7139">
        <v>0</v>
      </c>
      <c r="J7139" t="s">
        <v>1709</v>
      </c>
      <c r="K7139" t="s">
        <v>95</v>
      </c>
      <c r="L7139" t="s">
        <v>285</v>
      </c>
      <c r="M7139" t="str">
        <f t="shared" si="522"/>
        <v>07</v>
      </c>
      <c r="N7139" t="s">
        <v>12</v>
      </c>
    </row>
    <row r="7140" spans="1:14" x14ac:dyDescent="0.25">
      <c r="A7140">
        <v>20160715</v>
      </c>
      <c r="B7140" t="str">
        <f>"064043"</f>
        <v>064043</v>
      </c>
      <c r="C7140" t="str">
        <f>"25221"</f>
        <v>25221</v>
      </c>
      <c r="D7140" t="s">
        <v>2099</v>
      </c>
      <c r="E7140" s="3">
        <v>1109.81</v>
      </c>
      <c r="F7140">
        <v>20160713</v>
      </c>
      <c r="G7140" t="s">
        <v>5848</v>
      </c>
      <c r="H7140" t="s">
        <v>5849</v>
      </c>
      <c r="I7140">
        <v>0</v>
      </c>
      <c r="J7140" t="s">
        <v>1709</v>
      </c>
      <c r="K7140" t="s">
        <v>95</v>
      </c>
      <c r="L7140" t="s">
        <v>285</v>
      </c>
      <c r="M7140" t="str">
        <f t="shared" si="522"/>
        <v>07</v>
      </c>
      <c r="N7140" t="s">
        <v>12</v>
      </c>
    </row>
    <row r="7141" spans="1:14" x14ac:dyDescent="0.25">
      <c r="A7141">
        <v>20160715</v>
      </c>
      <c r="B7141" t="str">
        <f>"064043"</f>
        <v>064043</v>
      </c>
      <c r="C7141" t="str">
        <f>"25221"</f>
        <v>25221</v>
      </c>
      <c r="D7141" t="s">
        <v>2099</v>
      </c>
      <c r="E7141" s="3">
        <v>97.52</v>
      </c>
      <c r="F7141">
        <v>20160713</v>
      </c>
      <c r="G7141" t="s">
        <v>2795</v>
      </c>
      <c r="H7141" t="s">
        <v>5849</v>
      </c>
      <c r="I7141">
        <v>0</v>
      </c>
      <c r="J7141" t="s">
        <v>1709</v>
      </c>
      <c r="K7141" t="s">
        <v>95</v>
      </c>
      <c r="L7141" t="s">
        <v>285</v>
      </c>
      <c r="M7141" t="str">
        <f t="shared" si="522"/>
        <v>07</v>
      </c>
      <c r="N7141" t="s">
        <v>12</v>
      </c>
    </row>
    <row r="7142" spans="1:14" x14ac:dyDescent="0.25">
      <c r="A7142">
        <v>20160715</v>
      </c>
      <c r="B7142" t="str">
        <f>"064044"</f>
        <v>064044</v>
      </c>
      <c r="C7142" t="str">
        <f>"27900"</f>
        <v>27900</v>
      </c>
      <c r="D7142" t="s">
        <v>1596</v>
      </c>
      <c r="E7142" s="3">
        <v>330</v>
      </c>
      <c r="F7142">
        <v>20160713</v>
      </c>
      <c r="G7142" t="s">
        <v>2731</v>
      </c>
      <c r="H7142" t="s">
        <v>5850</v>
      </c>
      <c r="I7142">
        <v>0</v>
      </c>
      <c r="J7142" t="s">
        <v>1709</v>
      </c>
      <c r="K7142" t="s">
        <v>290</v>
      </c>
      <c r="L7142" t="s">
        <v>285</v>
      </c>
      <c r="M7142" t="str">
        <f t="shared" si="522"/>
        <v>07</v>
      </c>
      <c r="N7142" t="s">
        <v>12</v>
      </c>
    </row>
    <row r="7143" spans="1:14" x14ac:dyDescent="0.25">
      <c r="A7143">
        <v>20160715</v>
      </c>
      <c r="B7143" t="str">
        <f>"064044"</f>
        <v>064044</v>
      </c>
      <c r="C7143" t="str">
        <f>"27900"</f>
        <v>27900</v>
      </c>
      <c r="D7143" t="s">
        <v>1596</v>
      </c>
      <c r="E7143" s="3">
        <v>75</v>
      </c>
      <c r="F7143">
        <v>20160713</v>
      </c>
      <c r="G7143" t="s">
        <v>4980</v>
      </c>
      <c r="H7143" t="s">
        <v>5513</v>
      </c>
      <c r="I7143">
        <v>0</v>
      </c>
      <c r="J7143" t="s">
        <v>1709</v>
      </c>
      <c r="K7143" t="s">
        <v>290</v>
      </c>
      <c r="L7143" t="s">
        <v>285</v>
      </c>
      <c r="M7143" t="str">
        <f t="shared" si="522"/>
        <v>07</v>
      </c>
      <c r="N7143" t="s">
        <v>12</v>
      </c>
    </row>
    <row r="7144" spans="1:14" x14ac:dyDescent="0.25">
      <c r="A7144">
        <v>20160715</v>
      </c>
      <c r="B7144" t="str">
        <f>"064045"</f>
        <v>064045</v>
      </c>
      <c r="C7144" t="str">
        <f>"28680"</f>
        <v>28680</v>
      </c>
      <c r="D7144" t="s">
        <v>422</v>
      </c>
      <c r="E7144" s="3">
        <v>136.83000000000001</v>
      </c>
      <c r="F7144">
        <v>20160713</v>
      </c>
      <c r="G7144" t="s">
        <v>5851</v>
      </c>
      <c r="H7144" t="s">
        <v>4875</v>
      </c>
      <c r="I7144">
        <v>0</v>
      </c>
      <c r="J7144" t="s">
        <v>1709</v>
      </c>
      <c r="K7144" t="s">
        <v>290</v>
      </c>
      <c r="L7144" t="s">
        <v>285</v>
      </c>
      <c r="M7144" t="str">
        <f t="shared" si="522"/>
        <v>07</v>
      </c>
      <c r="N7144" t="s">
        <v>12</v>
      </c>
    </row>
    <row r="7145" spans="1:14" x14ac:dyDescent="0.25">
      <c r="A7145">
        <v>20160715</v>
      </c>
      <c r="B7145" t="str">
        <f>"064045"</f>
        <v>064045</v>
      </c>
      <c r="C7145" t="str">
        <f>"28680"</f>
        <v>28680</v>
      </c>
      <c r="D7145" t="s">
        <v>422</v>
      </c>
      <c r="E7145" s="3">
        <v>117</v>
      </c>
      <c r="F7145">
        <v>20160713</v>
      </c>
      <c r="G7145" t="s">
        <v>5851</v>
      </c>
      <c r="H7145" t="s">
        <v>5684</v>
      </c>
      <c r="I7145">
        <v>0</v>
      </c>
      <c r="J7145" t="s">
        <v>1709</v>
      </c>
      <c r="K7145" t="s">
        <v>290</v>
      </c>
      <c r="L7145" t="s">
        <v>285</v>
      </c>
      <c r="M7145" t="str">
        <f t="shared" si="522"/>
        <v>07</v>
      </c>
      <c r="N7145" t="s">
        <v>12</v>
      </c>
    </row>
    <row r="7146" spans="1:14" x14ac:dyDescent="0.25">
      <c r="A7146">
        <v>20160715</v>
      </c>
      <c r="B7146" t="str">
        <f>"064045"</f>
        <v>064045</v>
      </c>
      <c r="C7146" t="str">
        <f>"28680"</f>
        <v>28680</v>
      </c>
      <c r="D7146" t="s">
        <v>422</v>
      </c>
      <c r="E7146" s="3">
        <v>123</v>
      </c>
      <c r="F7146">
        <v>20160713</v>
      </c>
      <c r="G7146" t="s">
        <v>1732</v>
      </c>
      <c r="H7146" t="s">
        <v>4875</v>
      </c>
      <c r="I7146">
        <v>0</v>
      </c>
      <c r="J7146" t="s">
        <v>1709</v>
      </c>
      <c r="K7146" t="s">
        <v>290</v>
      </c>
      <c r="L7146" t="s">
        <v>285</v>
      </c>
      <c r="M7146" t="str">
        <f t="shared" si="522"/>
        <v>07</v>
      </c>
      <c r="N7146" t="s">
        <v>12</v>
      </c>
    </row>
    <row r="7147" spans="1:14" x14ac:dyDescent="0.25">
      <c r="A7147">
        <v>20160715</v>
      </c>
      <c r="B7147" t="str">
        <f>"064045"</f>
        <v>064045</v>
      </c>
      <c r="C7147" t="str">
        <f>"28680"</f>
        <v>28680</v>
      </c>
      <c r="D7147" t="s">
        <v>422</v>
      </c>
      <c r="E7147" s="3">
        <v>143.5</v>
      </c>
      <c r="F7147">
        <v>20160713</v>
      </c>
      <c r="G7147" t="s">
        <v>1794</v>
      </c>
      <c r="H7147" t="s">
        <v>4212</v>
      </c>
      <c r="I7147">
        <v>0</v>
      </c>
      <c r="J7147" t="s">
        <v>1709</v>
      </c>
      <c r="K7147" t="s">
        <v>290</v>
      </c>
      <c r="L7147" t="s">
        <v>285</v>
      </c>
      <c r="M7147" t="str">
        <f t="shared" si="522"/>
        <v>07</v>
      </c>
      <c r="N7147" t="s">
        <v>12</v>
      </c>
    </row>
    <row r="7148" spans="1:14" x14ac:dyDescent="0.25">
      <c r="A7148">
        <v>20160715</v>
      </c>
      <c r="B7148" t="str">
        <f>"064045"</f>
        <v>064045</v>
      </c>
      <c r="C7148" t="str">
        <f>"28680"</f>
        <v>28680</v>
      </c>
      <c r="D7148" t="s">
        <v>422</v>
      </c>
      <c r="E7148" s="3">
        <v>59.44</v>
      </c>
      <c r="F7148">
        <v>20160713</v>
      </c>
      <c r="G7148" t="s">
        <v>1794</v>
      </c>
      <c r="H7148" t="s">
        <v>4875</v>
      </c>
      <c r="I7148">
        <v>0</v>
      </c>
      <c r="J7148" t="s">
        <v>1709</v>
      </c>
      <c r="K7148" t="s">
        <v>290</v>
      </c>
      <c r="L7148" t="s">
        <v>285</v>
      </c>
      <c r="M7148" t="str">
        <f t="shared" si="522"/>
        <v>07</v>
      </c>
      <c r="N7148" t="s">
        <v>12</v>
      </c>
    </row>
    <row r="7149" spans="1:14" x14ac:dyDescent="0.25">
      <c r="A7149">
        <v>20160715</v>
      </c>
      <c r="B7149" t="str">
        <f>"064046"</f>
        <v>064046</v>
      </c>
      <c r="C7149" t="str">
        <f>"28820"</f>
        <v>28820</v>
      </c>
      <c r="D7149" t="s">
        <v>2647</v>
      </c>
      <c r="E7149" s="3">
        <v>110.65</v>
      </c>
      <c r="F7149">
        <v>20160713</v>
      </c>
      <c r="G7149" t="s">
        <v>2648</v>
      </c>
      <c r="H7149" t="s">
        <v>4051</v>
      </c>
      <c r="I7149">
        <v>0</v>
      </c>
      <c r="J7149" t="s">
        <v>1709</v>
      </c>
      <c r="K7149" t="s">
        <v>2377</v>
      </c>
      <c r="L7149" t="s">
        <v>285</v>
      </c>
      <c r="M7149" t="str">
        <f t="shared" si="522"/>
        <v>07</v>
      </c>
      <c r="N7149" t="s">
        <v>12</v>
      </c>
    </row>
    <row r="7150" spans="1:14" x14ac:dyDescent="0.25">
      <c r="A7150">
        <v>20160715</v>
      </c>
      <c r="B7150" t="str">
        <f>"064047"</f>
        <v>064047</v>
      </c>
      <c r="C7150" t="str">
        <f>"29500"</f>
        <v>29500</v>
      </c>
      <c r="D7150" t="s">
        <v>1698</v>
      </c>
      <c r="E7150" s="3">
        <v>1892</v>
      </c>
      <c r="F7150">
        <v>20160713</v>
      </c>
      <c r="G7150" t="s">
        <v>1859</v>
      </c>
      <c r="H7150" t="s">
        <v>5687</v>
      </c>
      <c r="I7150">
        <v>0</v>
      </c>
      <c r="J7150" t="s">
        <v>1709</v>
      </c>
      <c r="K7150" t="s">
        <v>1861</v>
      </c>
      <c r="L7150" t="s">
        <v>285</v>
      </c>
      <c r="M7150" t="str">
        <f t="shared" si="522"/>
        <v>07</v>
      </c>
      <c r="N7150" t="s">
        <v>12</v>
      </c>
    </row>
    <row r="7151" spans="1:14" x14ac:dyDescent="0.25">
      <c r="A7151">
        <v>20160715</v>
      </c>
      <c r="B7151" t="str">
        <f>"064047"</f>
        <v>064047</v>
      </c>
      <c r="C7151" t="str">
        <f>"29500"</f>
        <v>29500</v>
      </c>
      <c r="D7151" t="s">
        <v>1698</v>
      </c>
      <c r="E7151" s="3">
        <v>43.25</v>
      </c>
      <c r="F7151">
        <v>20160713</v>
      </c>
      <c r="G7151" t="s">
        <v>1859</v>
      </c>
      <c r="H7151" t="s">
        <v>5687</v>
      </c>
      <c r="I7151">
        <v>0</v>
      </c>
      <c r="J7151" t="s">
        <v>1709</v>
      </c>
      <c r="K7151" t="s">
        <v>1861</v>
      </c>
      <c r="L7151" t="s">
        <v>285</v>
      </c>
      <c r="M7151" t="str">
        <f t="shared" si="522"/>
        <v>07</v>
      </c>
      <c r="N7151" t="s">
        <v>12</v>
      </c>
    </row>
    <row r="7152" spans="1:14" x14ac:dyDescent="0.25">
      <c r="A7152">
        <v>20160715</v>
      </c>
      <c r="B7152" t="str">
        <f>"064047"</f>
        <v>064047</v>
      </c>
      <c r="C7152" t="str">
        <f>"29500"</f>
        <v>29500</v>
      </c>
      <c r="D7152" t="s">
        <v>1698</v>
      </c>
      <c r="E7152" s="3">
        <v>98.5</v>
      </c>
      <c r="F7152">
        <v>20160713</v>
      </c>
      <c r="G7152" t="s">
        <v>1859</v>
      </c>
      <c r="H7152" t="s">
        <v>5687</v>
      </c>
      <c r="I7152">
        <v>0</v>
      </c>
      <c r="J7152" t="s">
        <v>1709</v>
      </c>
      <c r="K7152" t="s">
        <v>1861</v>
      </c>
      <c r="L7152" t="s">
        <v>285</v>
      </c>
      <c r="M7152" t="str">
        <f t="shared" si="522"/>
        <v>07</v>
      </c>
      <c r="N7152" t="s">
        <v>12</v>
      </c>
    </row>
    <row r="7153" spans="1:14" x14ac:dyDescent="0.25">
      <c r="A7153">
        <v>20160715</v>
      </c>
      <c r="B7153" t="str">
        <f>"064048"</f>
        <v>064048</v>
      </c>
      <c r="C7153" t="str">
        <f>"29548"</f>
        <v>29548</v>
      </c>
      <c r="D7153" t="s">
        <v>1862</v>
      </c>
      <c r="E7153" s="3">
        <v>24.8</v>
      </c>
      <c r="F7153">
        <v>20160713</v>
      </c>
      <c r="G7153" t="s">
        <v>1859</v>
      </c>
      <c r="H7153" t="s">
        <v>5852</v>
      </c>
      <c r="I7153">
        <v>0</v>
      </c>
      <c r="J7153" t="s">
        <v>1709</v>
      </c>
      <c r="K7153" t="s">
        <v>1861</v>
      </c>
      <c r="L7153" t="s">
        <v>285</v>
      </c>
      <c r="M7153" t="str">
        <f t="shared" si="522"/>
        <v>07</v>
      </c>
      <c r="N7153" t="s">
        <v>12</v>
      </c>
    </row>
    <row r="7154" spans="1:14" x14ac:dyDescent="0.25">
      <c r="A7154">
        <v>20160715</v>
      </c>
      <c r="B7154" t="str">
        <f>"064048"</f>
        <v>064048</v>
      </c>
      <c r="C7154" t="str">
        <f>"29548"</f>
        <v>29548</v>
      </c>
      <c r="D7154" t="s">
        <v>1862</v>
      </c>
      <c r="E7154" s="3">
        <v>137</v>
      </c>
      <c r="F7154">
        <v>20160713</v>
      </c>
      <c r="G7154" t="s">
        <v>1859</v>
      </c>
      <c r="H7154" t="s">
        <v>5687</v>
      </c>
      <c r="I7154">
        <v>0</v>
      </c>
      <c r="J7154" t="s">
        <v>1709</v>
      </c>
      <c r="K7154" t="s">
        <v>1861</v>
      </c>
      <c r="L7154" t="s">
        <v>285</v>
      </c>
      <c r="M7154" t="str">
        <f t="shared" si="522"/>
        <v>07</v>
      </c>
      <c r="N7154" t="s">
        <v>12</v>
      </c>
    </row>
    <row r="7155" spans="1:14" x14ac:dyDescent="0.25">
      <c r="A7155">
        <v>20160715</v>
      </c>
      <c r="B7155" t="str">
        <f>"064048"</f>
        <v>064048</v>
      </c>
      <c r="C7155" t="str">
        <f>"29548"</f>
        <v>29548</v>
      </c>
      <c r="D7155" t="s">
        <v>1862</v>
      </c>
      <c r="E7155" s="3">
        <v>838.2</v>
      </c>
      <c r="F7155">
        <v>20160713</v>
      </c>
      <c r="G7155" t="s">
        <v>1859</v>
      </c>
      <c r="H7155" t="s">
        <v>5687</v>
      </c>
      <c r="I7155">
        <v>0</v>
      </c>
      <c r="J7155" t="s">
        <v>1709</v>
      </c>
      <c r="K7155" t="s">
        <v>1861</v>
      </c>
      <c r="L7155" t="s">
        <v>285</v>
      </c>
      <c r="M7155" t="str">
        <f t="shared" si="522"/>
        <v>07</v>
      </c>
      <c r="N7155" t="s">
        <v>12</v>
      </c>
    </row>
    <row r="7156" spans="1:14" x14ac:dyDescent="0.25">
      <c r="A7156">
        <v>20160715</v>
      </c>
      <c r="B7156" t="str">
        <f>"064048"</f>
        <v>064048</v>
      </c>
      <c r="C7156" t="str">
        <f>"29548"</f>
        <v>29548</v>
      </c>
      <c r="D7156" t="s">
        <v>1862</v>
      </c>
      <c r="E7156" s="3">
        <v>58.65</v>
      </c>
      <c r="F7156">
        <v>20160713</v>
      </c>
      <c r="G7156" t="s">
        <v>1859</v>
      </c>
      <c r="H7156" t="s">
        <v>5687</v>
      </c>
      <c r="I7156">
        <v>0</v>
      </c>
      <c r="J7156" t="s">
        <v>1709</v>
      </c>
      <c r="K7156" t="s">
        <v>1861</v>
      </c>
      <c r="L7156" t="s">
        <v>285</v>
      </c>
      <c r="M7156" t="str">
        <f t="shared" si="522"/>
        <v>07</v>
      </c>
      <c r="N7156" t="s">
        <v>12</v>
      </c>
    </row>
    <row r="7157" spans="1:14" x14ac:dyDescent="0.25">
      <c r="A7157">
        <v>20160715</v>
      </c>
      <c r="B7157" t="str">
        <f>"064049"</f>
        <v>064049</v>
      </c>
      <c r="C7157" t="str">
        <f>"29610"</f>
        <v>29610</v>
      </c>
      <c r="D7157" t="s">
        <v>1867</v>
      </c>
      <c r="E7157" s="3">
        <v>1838.5</v>
      </c>
      <c r="F7157">
        <v>20160713</v>
      </c>
      <c r="G7157" t="s">
        <v>2495</v>
      </c>
      <c r="H7157" t="s">
        <v>5853</v>
      </c>
      <c r="I7157">
        <v>0</v>
      </c>
      <c r="J7157" t="s">
        <v>1709</v>
      </c>
      <c r="K7157" t="s">
        <v>235</v>
      </c>
      <c r="L7157" t="s">
        <v>285</v>
      </c>
      <c r="M7157" t="str">
        <f t="shared" si="522"/>
        <v>07</v>
      </c>
      <c r="N7157" t="s">
        <v>12</v>
      </c>
    </row>
    <row r="7158" spans="1:14" x14ac:dyDescent="0.25">
      <c r="A7158">
        <v>20160715</v>
      </c>
      <c r="B7158" t="str">
        <f>"064050"</f>
        <v>064050</v>
      </c>
      <c r="C7158" t="str">
        <f>"34575"</f>
        <v>34575</v>
      </c>
      <c r="D7158" t="s">
        <v>3832</v>
      </c>
      <c r="E7158" s="3">
        <v>664.52</v>
      </c>
      <c r="F7158">
        <v>20160713</v>
      </c>
      <c r="G7158" t="s">
        <v>3618</v>
      </c>
      <c r="H7158" t="s">
        <v>5854</v>
      </c>
      <c r="I7158">
        <v>0</v>
      </c>
      <c r="J7158" t="s">
        <v>1709</v>
      </c>
      <c r="K7158" t="s">
        <v>290</v>
      </c>
      <c r="L7158" t="s">
        <v>285</v>
      </c>
      <c r="M7158" t="str">
        <f t="shared" ref="M7158:M7221" si="527">"07"</f>
        <v>07</v>
      </c>
      <c r="N7158" t="s">
        <v>12</v>
      </c>
    </row>
    <row r="7159" spans="1:14" x14ac:dyDescent="0.25">
      <c r="A7159">
        <v>20160715</v>
      </c>
      <c r="B7159" t="str">
        <f>"064051"</f>
        <v>064051</v>
      </c>
      <c r="C7159" t="str">
        <f>"34680"</f>
        <v>34680</v>
      </c>
      <c r="D7159" t="s">
        <v>1683</v>
      </c>
      <c r="E7159" s="3">
        <v>1811.19</v>
      </c>
      <c r="F7159">
        <v>20160713</v>
      </c>
      <c r="G7159" t="s">
        <v>5855</v>
      </c>
      <c r="H7159" t="s">
        <v>5856</v>
      </c>
      <c r="I7159">
        <v>0</v>
      </c>
      <c r="J7159" t="s">
        <v>1709</v>
      </c>
      <c r="K7159" t="s">
        <v>1984</v>
      </c>
      <c r="L7159" t="s">
        <v>285</v>
      </c>
      <c r="M7159" t="str">
        <f t="shared" si="527"/>
        <v>07</v>
      </c>
      <c r="N7159" t="s">
        <v>12</v>
      </c>
    </row>
    <row r="7160" spans="1:14" x14ac:dyDescent="0.25">
      <c r="A7160">
        <v>20160715</v>
      </c>
      <c r="B7160" t="str">
        <f>"064051"</f>
        <v>064051</v>
      </c>
      <c r="C7160" t="str">
        <f>"34680"</f>
        <v>34680</v>
      </c>
      <c r="D7160" t="s">
        <v>1683</v>
      </c>
      <c r="E7160" s="3">
        <v>2414.92</v>
      </c>
      <c r="F7160">
        <v>20160713</v>
      </c>
      <c r="G7160" t="s">
        <v>5855</v>
      </c>
      <c r="H7160" t="s">
        <v>5857</v>
      </c>
      <c r="I7160">
        <v>0</v>
      </c>
      <c r="J7160" t="s">
        <v>1709</v>
      </c>
      <c r="K7160" t="s">
        <v>1984</v>
      </c>
      <c r="L7160" t="s">
        <v>285</v>
      </c>
      <c r="M7160" t="str">
        <f t="shared" si="527"/>
        <v>07</v>
      </c>
      <c r="N7160" t="s">
        <v>12</v>
      </c>
    </row>
    <row r="7161" spans="1:14" x14ac:dyDescent="0.25">
      <c r="A7161">
        <v>20160715</v>
      </c>
      <c r="B7161" t="str">
        <f>"064051"</f>
        <v>064051</v>
      </c>
      <c r="C7161" t="str">
        <f>"34680"</f>
        <v>34680</v>
      </c>
      <c r="D7161" t="s">
        <v>1683</v>
      </c>
      <c r="E7161" s="3">
        <v>1452.8</v>
      </c>
      <c r="F7161">
        <v>20160713</v>
      </c>
      <c r="G7161" t="s">
        <v>5855</v>
      </c>
      <c r="H7161" t="s">
        <v>5857</v>
      </c>
      <c r="I7161">
        <v>0</v>
      </c>
      <c r="J7161" t="s">
        <v>1709</v>
      </c>
      <c r="K7161" t="s">
        <v>1984</v>
      </c>
      <c r="L7161" t="s">
        <v>285</v>
      </c>
      <c r="M7161" t="str">
        <f t="shared" si="527"/>
        <v>07</v>
      </c>
      <c r="N7161" t="s">
        <v>12</v>
      </c>
    </row>
    <row r="7162" spans="1:14" x14ac:dyDescent="0.25">
      <c r="A7162">
        <v>20160715</v>
      </c>
      <c r="B7162" t="str">
        <f t="shared" ref="B7162:B7167" si="528">"064052"</f>
        <v>064052</v>
      </c>
      <c r="C7162" t="str">
        <f t="shared" ref="C7162:C7167" si="529">"37500"</f>
        <v>37500</v>
      </c>
      <c r="D7162" t="s">
        <v>1652</v>
      </c>
      <c r="E7162" s="3">
        <v>27.41</v>
      </c>
      <c r="F7162">
        <v>20160714</v>
      </c>
      <c r="G7162" t="s">
        <v>2762</v>
      </c>
      <c r="H7162" t="s">
        <v>5858</v>
      </c>
      <c r="I7162">
        <v>0</v>
      </c>
      <c r="J7162" t="s">
        <v>1709</v>
      </c>
      <c r="K7162" t="s">
        <v>2764</v>
      </c>
      <c r="L7162" t="s">
        <v>285</v>
      </c>
      <c r="M7162" t="str">
        <f t="shared" si="527"/>
        <v>07</v>
      </c>
      <c r="N7162" t="s">
        <v>12</v>
      </c>
    </row>
    <row r="7163" spans="1:14" x14ac:dyDescent="0.25">
      <c r="A7163">
        <v>20160715</v>
      </c>
      <c r="B7163" t="str">
        <f t="shared" si="528"/>
        <v>064052</v>
      </c>
      <c r="C7163" t="str">
        <f t="shared" si="529"/>
        <v>37500</v>
      </c>
      <c r="D7163" t="s">
        <v>1652</v>
      </c>
      <c r="E7163" s="3">
        <v>300</v>
      </c>
      <c r="F7163">
        <v>20160713</v>
      </c>
      <c r="G7163" t="s">
        <v>5801</v>
      </c>
      <c r="H7163" t="s">
        <v>5859</v>
      </c>
      <c r="I7163">
        <v>0</v>
      </c>
      <c r="J7163" t="s">
        <v>1709</v>
      </c>
      <c r="K7163" t="s">
        <v>1519</v>
      </c>
      <c r="L7163" t="s">
        <v>285</v>
      </c>
      <c r="M7163" t="str">
        <f t="shared" si="527"/>
        <v>07</v>
      </c>
      <c r="N7163" t="s">
        <v>12</v>
      </c>
    </row>
    <row r="7164" spans="1:14" x14ac:dyDescent="0.25">
      <c r="A7164">
        <v>20160715</v>
      </c>
      <c r="B7164" t="str">
        <f t="shared" si="528"/>
        <v>064052</v>
      </c>
      <c r="C7164" t="str">
        <f t="shared" si="529"/>
        <v>37500</v>
      </c>
      <c r="D7164" t="s">
        <v>1652</v>
      </c>
      <c r="E7164" s="3">
        <v>248.47</v>
      </c>
      <c r="F7164">
        <v>20160713</v>
      </c>
      <c r="G7164" t="s">
        <v>5801</v>
      </c>
      <c r="H7164" t="s">
        <v>5408</v>
      </c>
      <c r="I7164">
        <v>0</v>
      </c>
      <c r="J7164" t="s">
        <v>1709</v>
      </c>
      <c r="K7164" t="s">
        <v>1519</v>
      </c>
      <c r="L7164" t="s">
        <v>285</v>
      </c>
      <c r="M7164" t="str">
        <f t="shared" si="527"/>
        <v>07</v>
      </c>
      <c r="N7164" t="s">
        <v>12</v>
      </c>
    </row>
    <row r="7165" spans="1:14" x14ac:dyDescent="0.25">
      <c r="A7165">
        <v>20160715</v>
      </c>
      <c r="B7165" t="str">
        <f t="shared" si="528"/>
        <v>064052</v>
      </c>
      <c r="C7165" t="str">
        <f t="shared" si="529"/>
        <v>37500</v>
      </c>
      <c r="D7165" t="s">
        <v>1652</v>
      </c>
      <c r="E7165" s="3">
        <v>59.16</v>
      </c>
      <c r="F7165">
        <v>20160713</v>
      </c>
      <c r="G7165" t="s">
        <v>2049</v>
      </c>
      <c r="H7165" t="s">
        <v>5860</v>
      </c>
      <c r="I7165">
        <v>0</v>
      </c>
      <c r="J7165" t="s">
        <v>1709</v>
      </c>
      <c r="K7165" t="s">
        <v>1775</v>
      </c>
      <c r="L7165" t="s">
        <v>285</v>
      </c>
      <c r="M7165" t="str">
        <f t="shared" si="527"/>
        <v>07</v>
      </c>
      <c r="N7165" t="s">
        <v>12</v>
      </c>
    </row>
    <row r="7166" spans="1:14" x14ac:dyDescent="0.25">
      <c r="A7166">
        <v>20160715</v>
      </c>
      <c r="B7166" t="str">
        <f t="shared" si="528"/>
        <v>064052</v>
      </c>
      <c r="C7166" t="str">
        <f t="shared" si="529"/>
        <v>37500</v>
      </c>
      <c r="D7166" t="s">
        <v>1652</v>
      </c>
      <c r="E7166" s="3">
        <v>77.53</v>
      </c>
      <c r="F7166">
        <v>20160713</v>
      </c>
      <c r="G7166" t="s">
        <v>2673</v>
      </c>
      <c r="H7166" t="s">
        <v>5861</v>
      </c>
      <c r="I7166">
        <v>0</v>
      </c>
      <c r="J7166" t="s">
        <v>1709</v>
      </c>
      <c r="K7166" t="s">
        <v>2207</v>
      </c>
      <c r="L7166" t="s">
        <v>285</v>
      </c>
      <c r="M7166" t="str">
        <f t="shared" si="527"/>
        <v>07</v>
      </c>
      <c r="N7166" t="s">
        <v>12</v>
      </c>
    </row>
    <row r="7167" spans="1:14" x14ac:dyDescent="0.25">
      <c r="A7167">
        <v>20160715</v>
      </c>
      <c r="B7167" t="str">
        <f t="shared" si="528"/>
        <v>064052</v>
      </c>
      <c r="C7167" t="str">
        <f t="shared" si="529"/>
        <v>37500</v>
      </c>
      <c r="D7167" t="s">
        <v>1652</v>
      </c>
      <c r="E7167" s="3">
        <v>100</v>
      </c>
      <c r="F7167">
        <v>20160713</v>
      </c>
      <c r="G7167" t="s">
        <v>2990</v>
      </c>
      <c r="H7167" t="s">
        <v>5408</v>
      </c>
      <c r="I7167">
        <v>0</v>
      </c>
      <c r="J7167" t="s">
        <v>1709</v>
      </c>
      <c r="K7167" t="s">
        <v>1779</v>
      </c>
      <c r="L7167" t="s">
        <v>285</v>
      </c>
      <c r="M7167" t="str">
        <f t="shared" si="527"/>
        <v>07</v>
      </c>
      <c r="N7167" t="s">
        <v>12</v>
      </c>
    </row>
    <row r="7168" spans="1:14" x14ac:dyDescent="0.25">
      <c r="A7168">
        <v>20160715</v>
      </c>
      <c r="B7168" t="str">
        <f>"064053"</f>
        <v>064053</v>
      </c>
      <c r="C7168" t="str">
        <f>"39397"</f>
        <v>39397</v>
      </c>
      <c r="D7168" t="s">
        <v>2746</v>
      </c>
      <c r="E7168" s="3">
        <v>251.04</v>
      </c>
      <c r="F7168">
        <v>20160713</v>
      </c>
      <c r="G7168" t="s">
        <v>1859</v>
      </c>
      <c r="H7168" t="s">
        <v>5862</v>
      </c>
      <c r="I7168">
        <v>0</v>
      </c>
      <c r="J7168" t="s">
        <v>1709</v>
      </c>
      <c r="K7168" t="s">
        <v>1861</v>
      </c>
      <c r="L7168" t="s">
        <v>285</v>
      </c>
      <c r="M7168" t="str">
        <f t="shared" si="527"/>
        <v>07</v>
      </c>
      <c r="N7168" t="s">
        <v>12</v>
      </c>
    </row>
    <row r="7169" spans="1:14" x14ac:dyDescent="0.25">
      <c r="A7169">
        <v>20160715</v>
      </c>
      <c r="B7169" t="str">
        <f t="shared" ref="B7169:B7183" si="530">"064054"</f>
        <v>064054</v>
      </c>
      <c r="C7169" t="str">
        <f t="shared" ref="C7169:C7183" si="531">"39572"</f>
        <v>39572</v>
      </c>
      <c r="D7169" t="s">
        <v>2112</v>
      </c>
      <c r="E7169" s="3">
        <v>205</v>
      </c>
      <c r="F7169">
        <v>20160713</v>
      </c>
      <c r="G7169" t="s">
        <v>2113</v>
      </c>
      <c r="H7169" t="s">
        <v>5863</v>
      </c>
      <c r="I7169">
        <v>0</v>
      </c>
      <c r="J7169" t="s">
        <v>1709</v>
      </c>
      <c r="K7169" t="s">
        <v>290</v>
      </c>
      <c r="L7169" t="s">
        <v>285</v>
      </c>
      <c r="M7169" t="str">
        <f t="shared" si="527"/>
        <v>07</v>
      </c>
      <c r="N7169" t="s">
        <v>12</v>
      </c>
    </row>
    <row r="7170" spans="1:14" x14ac:dyDescent="0.25">
      <c r="A7170">
        <v>20160715</v>
      </c>
      <c r="B7170" t="str">
        <f t="shared" si="530"/>
        <v>064054</v>
      </c>
      <c r="C7170" t="str">
        <f t="shared" si="531"/>
        <v>39572</v>
      </c>
      <c r="D7170" t="s">
        <v>2112</v>
      </c>
      <c r="E7170" s="3">
        <v>210</v>
      </c>
      <c r="F7170">
        <v>20160713</v>
      </c>
      <c r="G7170" t="s">
        <v>2113</v>
      </c>
      <c r="H7170" t="s">
        <v>5864</v>
      </c>
      <c r="I7170">
        <v>0</v>
      </c>
      <c r="J7170" t="s">
        <v>1709</v>
      </c>
      <c r="K7170" t="s">
        <v>290</v>
      </c>
      <c r="L7170" t="s">
        <v>285</v>
      </c>
      <c r="M7170" t="str">
        <f t="shared" si="527"/>
        <v>07</v>
      </c>
      <c r="N7170" t="s">
        <v>12</v>
      </c>
    </row>
    <row r="7171" spans="1:14" x14ac:dyDescent="0.25">
      <c r="A7171">
        <v>20160715</v>
      </c>
      <c r="B7171" t="str">
        <f t="shared" si="530"/>
        <v>064054</v>
      </c>
      <c r="C7171" t="str">
        <f t="shared" si="531"/>
        <v>39572</v>
      </c>
      <c r="D7171" t="s">
        <v>2112</v>
      </c>
      <c r="E7171" s="3">
        <v>205</v>
      </c>
      <c r="F7171">
        <v>20160713</v>
      </c>
      <c r="G7171" t="s">
        <v>2113</v>
      </c>
      <c r="H7171" t="s">
        <v>5865</v>
      </c>
      <c r="I7171">
        <v>0</v>
      </c>
      <c r="J7171" t="s">
        <v>1709</v>
      </c>
      <c r="K7171" t="s">
        <v>290</v>
      </c>
      <c r="L7171" t="s">
        <v>285</v>
      </c>
      <c r="M7171" t="str">
        <f t="shared" si="527"/>
        <v>07</v>
      </c>
      <c r="N7171" t="s">
        <v>12</v>
      </c>
    </row>
    <row r="7172" spans="1:14" x14ac:dyDescent="0.25">
      <c r="A7172">
        <v>20160715</v>
      </c>
      <c r="B7172" t="str">
        <f t="shared" si="530"/>
        <v>064054</v>
      </c>
      <c r="C7172" t="str">
        <f t="shared" si="531"/>
        <v>39572</v>
      </c>
      <c r="D7172" t="s">
        <v>2112</v>
      </c>
      <c r="E7172" s="3">
        <v>205</v>
      </c>
      <c r="F7172">
        <v>20160713</v>
      </c>
      <c r="G7172" t="s">
        <v>2113</v>
      </c>
      <c r="H7172" t="s">
        <v>5866</v>
      </c>
      <c r="I7172">
        <v>0</v>
      </c>
      <c r="J7172" t="s">
        <v>1709</v>
      </c>
      <c r="K7172" t="s">
        <v>290</v>
      </c>
      <c r="L7172" t="s">
        <v>285</v>
      </c>
      <c r="M7172" t="str">
        <f t="shared" si="527"/>
        <v>07</v>
      </c>
      <c r="N7172" t="s">
        <v>12</v>
      </c>
    </row>
    <row r="7173" spans="1:14" x14ac:dyDescent="0.25">
      <c r="A7173">
        <v>20160715</v>
      </c>
      <c r="B7173" t="str">
        <f t="shared" si="530"/>
        <v>064054</v>
      </c>
      <c r="C7173" t="str">
        <f t="shared" si="531"/>
        <v>39572</v>
      </c>
      <c r="D7173" t="s">
        <v>2112</v>
      </c>
      <c r="E7173" s="3">
        <v>205</v>
      </c>
      <c r="F7173">
        <v>20160713</v>
      </c>
      <c r="G7173" t="s">
        <v>2113</v>
      </c>
      <c r="H7173" t="s">
        <v>5867</v>
      </c>
      <c r="I7173">
        <v>0</v>
      </c>
      <c r="J7173" t="s">
        <v>1709</v>
      </c>
      <c r="K7173" t="s">
        <v>290</v>
      </c>
      <c r="L7173" t="s">
        <v>285</v>
      </c>
      <c r="M7173" t="str">
        <f t="shared" si="527"/>
        <v>07</v>
      </c>
      <c r="N7173" t="s">
        <v>12</v>
      </c>
    </row>
    <row r="7174" spans="1:14" x14ac:dyDescent="0.25">
      <c r="A7174">
        <v>20160715</v>
      </c>
      <c r="B7174" t="str">
        <f t="shared" si="530"/>
        <v>064054</v>
      </c>
      <c r="C7174" t="str">
        <f t="shared" si="531"/>
        <v>39572</v>
      </c>
      <c r="D7174" t="s">
        <v>2112</v>
      </c>
      <c r="E7174" s="3">
        <v>205</v>
      </c>
      <c r="F7174">
        <v>20160713</v>
      </c>
      <c r="G7174" t="s">
        <v>2113</v>
      </c>
      <c r="H7174" t="s">
        <v>5868</v>
      </c>
      <c r="I7174">
        <v>0</v>
      </c>
      <c r="J7174" t="s">
        <v>1709</v>
      </c>
      <c r="K7174" t="s">
        <v>290</v>
      </c>
      <c r="L7174" t="s">
        <v>285</v>
      </c>
      <c r="M7174" t="str">
        <f t="shared" si="527"/>
        <v>07</v>
      </c>
      <c r="N7174" t="s">
        <v>12</v>
      </c>
    </row>
    <row r="7175" spans="1:14" x14ac:dyDescent="0.25">
      <c r="A7175">
        <v>20160715</v>
      </c>
      <c r="B7175" t="str">
        <f t="shared" si="530"/>
        <v>064054</v>
      </c>
      <c r="C7175" t="str">
        <f t="shared" si="531"/>
        <v>39572</v>
      </c>
      <c r="D7175" t="s">
        <v>2112</v>
      </c>
      <c r="E7175" s="3">
        <v>205</v>
      </c>
      <c r="F7175">
        <v>20160713</v>
      </c>
      <c r="G7175" t="s">
        <v>2113</v>
      </c>
      <c r="H7175" t="s">
        <v>5869</v>
      </c>
      <c r="I7175">
        <v>0</v>
      </c>
      <c r="J7175" t="s">
        <v>1709</v>
      </c>
      <c r="K7175" t="s">
        <v>290</v>
      </c>
      <c r="L7175" t="s">
        <v>285</v>
      </c>
      <c r="M7175" t="str">
        <f t="shared" si="527"/>
        <v>07</v>
      </c>
      <c r="N7175" t="s">
        <v>12</v>
      </c>
    </row>
    <row r="7176" spans="1:14" x14ac:dyDescent="0.25">
      <c r="A7176">
        <v>20160715</v>
      </c>
      <c r="B7176" t="str">
        <f t="shared" si="530"/>
        <v>064054</v>
      </c>
      <c r="C7176" t="str">
        <f t="shared" si="531"/>
        <v>39572</v>
      </c>
      <c r="D7176" t="s">
        <v>2112</v>
      </c>
      <c r="E7176" s="3">
        <v>145</v>
      </c>
      <c r="F7176">
        <v>20160713</v>
      </c>
      <c r="G7176" t="s">
        <v>2113</v>
      </c>
      <c r="H7176" t="s">
        <v>5870</v>
      </c>
      <c r="I7176">
        <v>0</v>
      </c>
      <c r="J7176" t="s">
        <v>1709</v>
      </c>
      <c r="K7176" t="s">
        <v>290</v>
      </c>
      <c r="L7176" t="s">
        <v>285</v>
      </c>
      <c r="M7176" t="str">
        <f t="shared" si="527"/>
        <v>07</v>
      </c>
      <c r="N7176" t="s">
        <v>12</v>
      </c>
    </row>
    <row r="7177" spans="1:14" x14ac:dyDescent="0.25">
      <c r="A7177">
        <v>20160715</v>
      </c>
      <c r="B7177" t="str">
        <f t="shared" si="530"/>
        <v>064054</v>
      </c>
      <c r="C7177" t="str">
        <f t="shared" si="531"/>
        <v>39572</v>
      </c>
      <c r="D7177" t="s">
        <v>2112</v>
      </c>
      <c r="E7177" s="3">
        <v>150</v>
      </c>
      <c r="F7177">
        <v>20160713</v>
      </c>
      <c r="G7177" t="s">
        <v>2113</v>
      </c>
      <c r="H7177" t="s">
        <v>5871</v>
      </c>
      <c r="I7177">
        <v>0</v>
      </c>
      <c r="J7177" t="s">
        <v>1709</v>
      </c>
      <c r="K7177" t="s">
        <v>290</v>
      </c>
      <c r="L7177" t="s">
        <v>285</v>
      </c>
      <c r="M7177" t="str">
        <f t="shared" si="527"/>
        <v>07</v>
      </c>
      <c r="N7177" t="s">
        <v>12</v>
      </c>
    </row>
    <row r="7178" spans="1:14" x14ac:dyDescent="0.25">
      <c r="A7178">
        <v>20160715</v>
      </c>
      <c r="B7178" t="str">
        <f t="shared" si="530"/>
        <v>064054</v>
      </c>
      <c r="C7178" t="str">
        <f t="shared" si="531"/>
        <v>39572</v>
      </c>
      <c r="D7178" t="s">
        <v>2112</v>
      </c>
      <c r="E7178" s="3">
        <v>150</v>
      </c>
      <c r="F7178">
        <v>20160713</v>
      </c>
      <c r="G7178" t="s">
        <v>2113</v>
      </c>
      <c r="H7178" t="s">
        <v>5872</v>
      </c>
      <c r="I7178">
        <v>0</v>
      </c>
      <c r="J7178" t="s">
        <v>1709</v>
      </c>
      <c r="K7178" t="s">
        <v>290</v>
      </c>
      <c r="L7178" t="s">
        <v>285</v>
      </c>
      <c r="M7178" t="str">
        <f t="shared" si="527"/>
        <v>07</v>
      </c>
      <c r="N7178" t="s">
        <v>12</v>
      </c>
    </row>
    <row r="7179" spans="1:14" x14ac:dyDescent="0.25">
      <c r="A7179">
        <v>20160715</v>
      </c>
      <c r="B7179" t="str">
        <f t="shared" si="530"/>
        <v>064054</v>
      </c>
      <c r="C7179" t="str">
        <f t="shared" si="531"/>
        <v>39572</v>
      </c>
      <c r="D7179" t="s">
        <v>2112</v>
      </c>
      <c r="E7179" s="3">
        <v>140</v>
      </c>
      <c r="F7179">
        <v>20160713</v>
      </c>
      <c r="G7179" t="s">
        <v>2113</v>
      </c>
      <c r="H7179" t="s">
        <v>5873</v>
      </c>
      <c r="I7179">
        <v>0</v>
      </c>
      <c r="J7179" t="s">
        <v>1709</v>
      </c>
      <c r="K7179" t="s">
        <v>290</v>
      </c>
      <c r="L7179" t="s">
        <v>285</v>
      </c>
      <c r="M7179" t="str">
        <f t="shared" si="527"/>
        <v>07</v>
      </c>
      <c r="N7179" t="s">
        <v>12</v>
      </c>
    </row>
    <row r="7180" spans="1:14" x14ac:dyDescent="0.25">
      <c r="A7180">
        <v>20160715</v>
      </c>
      <c r="B7180" t="str">
        <f t="shared" si="530"/>
        <v>064054</v>
      </c>
      <c r="C7180" t="str">
        <f t="shared" si="531"/>
        <v>39572</v>
      </c>
      <c r="D7180" t="s">
        <v>2112</v>
      </c>
      <c r="E7180" s="3">
        <v>140</v>
      </c>
      <c r="F7180">
        <v>20160713</v>
      </c>
      <c r="G7180" t="s">
        <v>2113</v>
      </c>
      <c r="H7180" t="s">
        <v>5874</v>
      </c>
      <c r="I7180">
        <v>0</v>
      </c>
      <c r="J7180" t="s">
        <v>1709</v>
      </c>
      <c r="K7180" t="s">
        <v>290</v>
      </c>
      <c r="L7180" t="s">
        <v>285</v>
      </c>
      <c r="M7180" t="str">
        <f t="shared" si="527"/>
        <v>07</v>
      </c>
      <c r="N7180" t="s">
        <v>12</v>
      </c>
    </row>
    <row r="7181" spans="1:14" x14ac:dyDescent="0.25">
      <c r="A7181">
        <v>20160715</v>
      </c>
      <c r="B7181" t="str">
        <f t="shared" si="530"/>
        <v>064054</v>
      </c>
      <c r="C7181" t="str">
        <f t="shared" si="531"/>
        <v>39572</v>
      </c>
      <c r="D7181" t="s">
        <v>2112</v>
      </c>
      <c r="E7181" s="3">
        <v>150</v>
      </c>
      <c r="F7181">
        <v>20160713</v>
      </c>
      <c r="G7181" t="s">
        <v>2113</v>
      </c>
      <c r="H7181" t="s">
        <v>5875</v>
      </c>
      <c r="I7181">
        <v>0</v>
      </c>
      <c r="J7181" t="s">
        <v>1709</v>
      </c>
      <c r="K7181" t="s">
        <v>290</v>
      </c>
      <c r="L7181" t="s">
        <v>285</v>
      </c>
      <c r="M7181" t="str">
        <f t="shared" si="527"/>
        <v>07</v>
      </c>
      <c r="N7181" t="s">
        <v>12</v>
      </c>
    </row>
    <row r="7182" spans="1:14" x14ac:dyDescent="0.25">
      <c r="A7182">
        <v>20160715</v>
      </c>
      <c r="B7182" t="str">
        <f t="shared" si="530"/>
        <v>064054</v>
      </c>
      <c r="C7182" t="str">
        <f t="shared" si="531"/>
        <v>39572</v>
      </c>
      <c r="D7182" t="s">
        <v>2112</v>
      </c>
      <c r="E7182" s="3">
        <v>140</v>
      </c>
      <c r="F7182">
        <v>20160713</v>
      </c>
      <c r="G7182" t="s">
        <v>2113</v>
      </c>
      <c r="H7182" t="s">
        <v>5876</v>
      </c>
      <c r="I7182">
        <v>0</v>
      </c>
      <c r="J7182" t="s">
        <v>1709</v>
      </c>
      <c r="K7182" t="s">
        <v>290</v>
      </c>
      <c r="L7182" t="s">
        <v>285</v>
      </c>
      <c r="M7182" t="str">
        <f t="shared" si="527"/>
        <v>07</v>
      </c>
      <c r="N7182" t="s">
        <v>12</v>
      </c>
    </row>
    <row r="7183" spans="1:14" x14ac:dyDescent="0.25">
      <c r="A7183">
        <v>20160715</v>
      </c>
      <c r="B7183" t="str">
        <f t="shared" si="530"/>
        <v>064054</v>
      </c>
      <c r="C7183" t="str">
        <f t="shared" si="531"/>
        <v>39572</v>
      </c>
      <c r="D7183" t="s">
        <v>2112</v>
      </c>
      <c r="E7183" s="3">
        <v>140</v>
      </c>
      <c r="F7183">
        <v>20160713</v>
      </c>
      <c r="G7183" t="s">
        <v>2113</v>
      </c>
      <c r="H7183" t="s">
        <v>5877</v>
      </c>
      <c r="I7183">
        <v>0</v>
      </c>
      <c r="J7183" t="s">
        <v>1709</v>
      </c>
      <c r="K7183" t="s">
        <v>290</v>
      </c>
      <c r="L7183" t="s">
        <v>285</v>
      </c>
      <c r="M7183" t="str">
        <f t="shared" si="527"/>
        <v>07</v>
      </c>
      <c r="N7183" t="s">
        <v>12</v>
      </c>
    </row>
    <row r="7184" spans="1:14" x14ac:dyDescent="0.25">
      <c r="A7184">
        <v>20160715</v>
      </c>
      <c r="B7184" t="str">
        <f>"064055"</f>
        <v>064055</v>
      </c>
      <c r="C7184" t="str">
        <f>"41230"</f>
        <v>41230</v>
      </c>
      <c r="D7184" t="s">
        <v>604</v>
      </c>
      <c r="E7184" s="3">
        <v>166</v>
      </c>
      <c r="F7184">
        <v>20160713</v>
      </c>
      <c r="G7184" t="s">
        <v>1758</v>
      </c>
      <c r="H7184" t="s">
        <v>5878</v>
      </c>
      <c r="I7184">
        <v>0</v>
      </c>
      <c r="J7184" t="s">
        <v>1709</v>
      </c>
      <c r="K7184" t="s">
        <v>1643</v>
      </c>
      <c r="L7184" t="s">
        <v>285</v>
      </c>
      <c r="M7184" t="str">
        <f t="shared" si="527"/>
        <v>07</v>
      </c>
      <c r="N7184" t="s">
        <v>12</v>
      </c>
    </row>
    <row r="7185" spans="1:14" x14ac:dyDescent="0.25">
      <c r="A7185">
        <v>20160715</v>
      </c>
      <c r="B7185" t="str">
        <f>"064055"</f>
        <v>064055</v>
      </c>
      <c r="C7185" t="str">
        <f>"41230"</f>
        <v>41230</v>
      </c>
      <c r="D7185" t="s">
        <v>604</v>
      </c>
      <c r="E7185" s="3">
        <v>359.76</v>
      </c>
      <c r="F7185">
        <v>20160713</v>
      </c>
      <c r="G7185" t="s">
        <v>1859</v>
      </c>
      <c r="H7185" t="s">
        <v>5879</v>
      </c>
      <c r="I7185">
        <v>0</v>
      </c>
      <c r="J7185" t="s">
        <v>1709</v>
      </c>
      <c r="K7185" t="s">
        <v>1861</v>
      </c>
      <c r="L7185" t="s">
        <v>285</v>
      </c>
      <c r="M7185" t="str">
        <f t="shared" si="527"/>
        <v>07</v>
      </c>
      <c r="N7185" t="s">
        <v>12</v>
      </c>
    </row>
    <row r="7186" spans="1:14" x14ac:dyDescent="0.25">
      <c r="A7186">
        <v>20160715</v>
      </c>
      <c r="B7186" t="str">
        <f>"064055"</f>
        <v>064055</v>
      </c>
      <c r="C7186" t="str">
        <f>"41230"</f>
        <v>41230</v>
      </c>
      <c r="D7186" t="s">
        <v>604</v>
      </c>
      <c r="E7186" s="3">
        <v>452.39</v>
      </c>
      <c r="F7186">
        <v>20160713</v>
      </c>
      <c r="G7186" t="s">
        <v>1859</v>
      </c>
      <c r="H7186" t="s">
        <v>5879</v>
      </c>
      <c r="I7186">
        <v>0</v>
      </c>
      <c r="J7186" t="s">
        <v>1709</v>
      </c>
      <c r="K7186" t="s">
        <v>1861</v>
      </c>
      <c r="L7186" t="s">
        <v>285</v>
      </c>
      <c r="M7186" t="str">
        <f t="shared" si="527"/>
        <v>07</v>
      </c>
      <c r="N7186" t="s">
        <v>12</v>
      </c>
    </row>
    <row r="7187" spans="1:14" x14ac:dyDescent="0.25">
      <c r="A7187">
        <v>20160715</v>
      </c>
      <c r="B7187" t="str">
        <f>"064055"</f>
        <v>064055</v>
      </c>
      <c r="C7187" t="str">
        <f>"41230"</f>
        <v>41230</v>
      </c>
      <c r="D7187" t="s">
        <v>604</v>
      </c>
      <c r="E7187" s="3">
        <v>76.819999999999993</v>
      </c>
      <c r="F7187">
        <v>20160713</v>
      </c>
      <c r="G7187" t="s">
        <v>1859</v>
      </c>
      <c r="H7187" t="s">
        <v>5879</v>
      </c>
      <c r="I7187">
        <v>0</v>
      </c>
      <c r="J7187" t="s">
        <v>1709</v>
      </c>
      <c r="K7187" t="s">
        <v>1861</v>
      </c>
      <c r="L7187" t="s">
        <v>285</v>
      </c>
      <c r="M7187" t="str">
        <f t="shared" si="527"/>
        <v>07</v>
      </c>
      <c r="N7187" t="s">
        <v>12</v>
      </c>
    </row>
    <row r="7188" spans="1:14" x14ac:dyDescent="0.25">
      <c r="A7188">
        <v>20160715</v>
      </c>
      <c r="B7188" t="str">
        <f>"064057"</f>
        <v>064057</v>
      </c>
      <c r="C7188" t="str">
        <f>"42197"</f>
        <v>42197</v>
      </c>
      <c r="D7188" t="s">
        <v>5524</v>
      </c>
      <c r="E7188" s="3">
        <v>803.27</v>
      </c>
      <c r="F7188">
        <v>20160713</v>
      </c>
      <c r="G7188" t="s">
        <v>2762</v>
      </c>
      <c r="H7188" t="s">
        <v>5880</v>
      </c>
      <c r="I7188">
        <v>0</v>
      </c>
      <c r="J7188" t="s">
        <v>1709</v>
      </c>
      <c r="K7188" t="s">
        <v>2764</v>
      </c>
      <c r="L7188" t="s">
        <v>285</v>
      </c>
      <c r="M7188" t="str">
        <f t="shared" si="527"/>
        <v>07</v>
      </c>
      <c r="N7188" t="s">
        <v>12</v>
      </c>
    </row>
    <row r="7189" spans="1:14" x14ac:dyDescent="0.25">
      <c r="A7189">
        <v>20160715</v>
      </c>
      <c r="B7189" t="str">
        <f>"064058"</f>
        <v>064058</v>
      </c>
      <c r="C7189" t="str">
        <f>"42194"</f>
        <v>42194</v>
      </c>
      <c r="D7189" t="s">
        <v>1874</v>
      </c>
      <c r="E7189" s="3">
        <v>81360.02</v>
      </c>
      <c r="F7189">
        <v>20160713</v>
      </c>
      <c r="G7189" t="s">
        <v>2890</v>
      </c>
      <c r="H7189" t="s">
        <v>5881</v>
      </c>
      <c r="I7189">
        <v>0</v>
      </c>
      <c r="J7189" t="s">
        <v>1709</v>
      </c>
      <c r="K7189" t="s">
        <v>1861</v>
      </c>
      <c r="L7189" t="s">
        <v>285</v>
      </c>
      <c r="M7189" t="str">
        <f t="shared" si="527"/>
        <v>07</v>
      </c>
      <c r="N7189" t="s">
        <v>12</v>
      </c>
    </row>
    <row r="7190" spans="1:14" x14ac:dyDescent="0.25">
      <c r="A7190">
        <v>20160715</v>
      </c>
      <c r="B7190" t="str">
        <f>"064059"</f>
        <v>064059</v>
      </c>
      <c r="C7190" t="str">
        <f>"42212"</f>
        <v>42212</v>
      </c>
      <c r="D7190" t="s">
        <v>2513</v>
      </c>
      <c r="E7190" s="3">
        <v>149.38999999999999</v>
      </c>
      <c r="F7190">
        <v>20160714</v>
      </c>
      <c r="G7190" t="s">
        <v>4874</v>
      </c>
      <c r="H7190" t="s">
        <v>4875</v>
      </c>
      <c r="I7190">
        <v>0</v>
      </c>
      <c r="J7190" t="s">
        <v>1709</v>
      </c>
      <c r="K7190" t="s">
        <v>290</v>
      </c>
      <c r="L7190" t="s">
        <v>285</v>
      </c>
      <c r="M7190" t="str">
        <f t="shared" si="527"/>
        <v>07</v>
      </c>
      <c r="N7190" t="s">
        <v>12</v>
      </c>
    </row>
    <row r="7191" spans="1:14" x14ac:dyDescent="0.25">
      <c r="A7191">
        <v>20160715</v>
      </c>
      <c r="B7191" t="str">
        <f>"064061"</f>
        <v>064061</v>
      </c>
      <c r="C7191" t="str">
        <f>"43534"</f>
        <v>43534</v>
      </c>
      <c r="D7191" t="s">
        <v>3093</v>
      </c>
      <c r="E7191" s="3">
        <v>4740</v>
      </c>
      <c r="F7191">
        <v>20160713</v>
      </c>
      <c r="G7191" t="s">
        <v>2831</v>
      </c>
      <c r="H7191" t="s">
        <v>5882</v>
      </c>
      <c r="I7191">
        <v>0</v>
      </c>
      <c r="J7191" t="s">
        <v>1709</v>
      </c>
      <c r="K7191" t="s">
        <v>95</v>
      </c>
      <c r="L7191" t="s">
        <v>285</v>
      </c>
      <c r="M7191" t="str">
        <f t="shared" si="527"/>
        <v>07</v>
      </c>
      <c r="N7191" t="s">
        <v>12</v>
      </c>
    </row>
    <row r="7192" spans="1:14" x14ac:dyDescent="0.25">
      <c r="A7192">
        <v>20160715</v>
      </c>
      <c r="B7192" t="str">
        <f>"064061"</f>
        <v>064061</v>
      </c>
      <c r="C7192" t="str">
        <f>"43534"</f>
        <v>43534</v>
      </c>
      <c r="D7192" t="s">
        <v>3093</v>
      </c>
      <c r="E7192" s="3">
        <v>916</v>
      </c>
      <c r="F7192">
        <v>20160713</v>
      </c>
      <c r="G7192" t="s">
        <v>5883</v>
      </c>
      <c r="H7192" t="s">
        <v>5882</v>
      </c>
      <c r="I7192">
        <v>0</v>
      </c>
      <c r="J7192" t="s">
        <v>1709</v>
      </c>
      <c r="K7192" t="s">
        <v>1643</v>
      </c>
      <c r="L7192" t="s">
        <v>285</v>
      </c>
      <c r="M7192" t="str">
        <f t="shared" si="527"/>
        <v>07</v>
      </c>
      <c r="N7192" t="s">
        <v>12</v>
      </c>
    </row>
    <row r="7193" spans="1:14" x14ac:dyDescent="0.25">
      <c r="A7193">
        <v>20160715</v>
      </c>
      <c r="B7193" t="str">
        <f>"064062"</f>
        <v>064062</v>
      </c>
      <c r="C7193" t="str">
        <f>"44450"</f>
        <v>44450</v>
      </c>
      <c r="D7193" t="s">
        <v>1989</v>
      </c>
      <c r="E7193" s="3">
        <v>225</v>
      </c>
      <c r="F7193">
        <v>20160713</v>
      </c>
      <c r="G7193" t="s">
        <v>2894</v>
      </c>
      <c r="H7193" t="s">
        <v>5884</v>
      </c>
      <c r="I7193">
        <v>0</v>
      </c>
      <c r="J7193" t="s">
        <v>1709</v>
      </c>
      <c r="K7193" t="s">
        <v>290</v>
      </c>
      <c r="L7193" t="s">
        <v>285</v>
      </c>
      <c r="M7193" t="str">
        <f t="shared" si="527"/>
        <v>07</v>
      </c>
      <c r="N7193" t="s">
        <v>12</v>
      </c>
    </row>
    <row r="7194" spans="1:14" x14ac:dyDescent="0.25">
      <c r="A7194">
        <v>20160715</v>
      </c>
      <c r="B7194" t="str">
        <f t="shared" ref="B7194:B7201" si="532">"064063"</f>
        <v>064063</v>
      </c>
      <c r="C7194" t="str">
        <f t="shared" ref="C7194:C7201" si="533">"45496"</f>
        <v>45496</v>
      </c>
      <c r="D7194" t="s">
        <v>2327</v>
      </c>
      <c r="E7194" s="3">
        <v>721.79</v>
      </c>
      <c r="F7194">
        <v>20160713</v>
      </c>
      <c r="G7194" t="s">
        <v>4914</v>
      </c>
      <c r="H7194" t="s">
        <v>5398</v>
      </c>
      <c r="I7194">
        <v>0</v>
      </c>
      <c r="J7194" t="s">
        <v>1709</v>
      </c>
      <c r="K7194" t="s">
        <v>95</v>
      </c>
      <c r="L7194" t="s">
        <v>285</v>
      </c>
      <c r="M7194" t="str">
        <f t="shared" si="527"/>
        <v>07</v>
      </c>
      <c r="N7194" t="s">
        <v>12</v>
      </c>
    </row>
    <row r="7195" spans="1:14" x14ac:dyDescent="0.25">
      <c r="A7195">
        <v>20160715</v>
      </c>
      <c r="B7195" t="str">
        <f t="shared" si="532"/>
        <v>064063</v>
      </c>
      <c r="C7195" t="str">
        <f t="shared" si="533"/>
        <v>45496</v>
      </c>
      <c r="D7195" t="s">
        <v>2327</v>
      </c>
      <c r="E7195" s="3">
        <v>1055.73</v>
      </c>
      <c r="F7195">
        <v>20160713</v>
      </c>
      <c r="G7195" t="s">
        <v>2275</v>
      </c>
      <c r="H7195" t="s">
        <v>595</v>
      </c>
      <c r="I7195">
        <v>0</v>
      </c>
      <c r="J7195" t="s">
        <v>1709</v>
      </c>
      <c r="K7195" t="s">
        <v>95</v>
      </c>
      <c r="L7195" t="s">
        <v>285</v>
      </c>
      <c r="M7195" t="str">
        <f t="shared" si="527"/>
        <v>07</v>
      </c>
      <c r="N7195" t="s">
        <v>12</v>
      </c>
    </row>
    <row r="7196" spans="1:14" x14ac:dyDescent="0.25">
      <c r="A7196">
        <v>20160715</v>
      </c>
      <c r="B7196" t="str">
        <f t="shared" si="532"/>
        <v>064063</v>
      </c>
      <c r="C7196" t="str">
        <f t="shared" si="533"/>
        <v>45496</v>
      </c>
      <c r="D7196" t="s">
        <v>2327</v>
      </c>
      <c r="E7196" s="3">
        <v>194.76</v>
      </c>
      <c r="F7196">
        <v>20160713</v>
      </c>
      <c r="G7196" t="s">
        <v>4294</v>
      </c>
      <c r="H7196" t="s">
        <v>595</v>
      </c>
      <c r="I7196">
        <v>0</v>
      </c>
      <c r="J7196" t="s">
        <v>1709</v>
      </c>
      <c r="K7196" t="s">
        <v>95</v>
      </c>
      <c r="L7196" t="s">
        <v>285</v>
      </c>
      <c r="M7196" t="str">
        <f t="shared" si="527"/>
        <v>07</v>
      </c>
      <c r="N7196" t="s">
        <v>12</v>
      </c>
    </row>
    <row r="7197" spans="1:14" x14ac:dyDescent="0.25">
      <c r="A7197">
        <v>20160715</v>
      </c>
      <c r="B7197" t="str">
        <f t="shared" si="532"/>
        <v>064063</v>
      </c>
      <c r="C7197" t="str">
        <f t="shared" si="533"/>
        <v>45496</v>
      </c>
      <c r="D7197" t="s">
        <v>2327</v>
      </c>
      <c r="E7197" s="3">
        <v>43.96</v>
      </c>
      <c r="F7197">
        <v>20160713</v>
      </c>
      <c r="G7197" t="s">
        <v>4294</v>
      </c>
      <c r="H7197" t="s">
        <v>595</v>
      </c>
      <c r="I7197">
        <v>0</v>
      </c>
      <c r="J7197" t="s">
        <v>1709</v>
      </c>
      <c r="K7197" t="s">
        <v>95</v>
      </c>
      <c r="L7197" t="s">
        <v>285</v>
      </c>
      <c r="M7197" t="str">
        <f t="shared" si="527"/>
        <v>07</v>
      </c>
      <c r="N7197" t="s">
        <v>12</v>
      </c>
    </row>
    <row r="7198" spans="1:14" x14ac:dyDescent="0.25">
      <c r="A7198">
        <v>20160715</v>
      </c>
      <c r="B7198" t="str">
        <f t="shared" si="532"/>
        <v>064063</v>
      </c>
      <c r="C7198" t="str">
        <f t="shared" si="533"/>
        <v>45496</v>
      </c>
      <c r="D7198" t="s">
        <v>2327</v>
      </c>
      <c r="E7198" s="3">
        <v>5.25</v>
      </c>
      <c r="F7198">
        <v>20160713</v>
      </c>
      <c r="G7198" t="s">
        <v>4294</v>
      </c>
      <c r="H7198" t="s">
        <v>5885</v>
      </c>
      <c r="I7198">
        <v>0</v>
      </c>
      <c r="J7198" t="s">
        <v>1709</v>
      </c>
      <c r="K7198" t="s">
        <v>95</v>
      </c>
      <c r="L7198" t="s">
        <v>285</v>
      </c>
      <c r="M7198" t="str">
        <f t="shared" si="527"/>
        <v>07</v>
      </c>
      <c r="N7198" t="s">
        <v>12</v>
      </c>
    </row>
    <row r="7199" spans="1:14" x14ac:dyDescent="0.25">
      <c r="A7199">
        <v>20160715</v>
      </c>
      <c r="B7199" t="str">
        <f t="shared" si="532"/>
        <v>064063</v>
      </c>
      <c r="C7199" t="str">
        <f t="shared" si="533"/>
        <v>45496</v>
      </c>
      <c r="D7199" t="s">
        <v>2327</v>
      </c>
      <c r="E7199" s="3">
        <v>-5.25</v>
      </c>
      <c r="F7199">
        <v>20160607</v>
      </c>
      <c r="G7199" t="s">
        <v>4294</v>
      </c>
      <c r="H7199" t="s">
        <v>5886</v>
      </c>
      <c r="I7199">
        <v>0</v>
      </c>
      <c r="J7199" t="s">
        <v>1709</v>
      </c>
      <c r="K7199" t="s">
        <v>95</v>
      </c>
      <c r="L7199" t="s">
        <v>1385</v>
      </c>
      <c r="M7199" t="str">
        <f t="shared" si="527"/>
        <v>07</v>
      </c>
      <c r="N7199" t="s">
        <v>12</v>
      </c>
    </row>
    <row r="7200" spans="1:14" x14ac:dyDescent="0.25">
      <c r="A7200">
        <v>20160715</v>
      </c>
      <c r="B7200" t="str">
        <f t="shared" si="532"/>
        <v>064063</v>
      </c>
      <c r="C7200" t="str">
        <f t="shared" si="533"/>
        <v>45496</v>
      </c>
      <c r="D7200" t="s">
        <v>2327</v>
      </c>
      <c r="E7200" s="3">
        <v>89.06</v>
      </c>
      <c r="F7200">
        <v>20160713</v>
      </c>
      <c r="G7200" t="s">
        <v>2795</v>
      </c>
      <c r="H7200" t="s">
        <v>595</v>
      </c>
      <c r="I7200">
        <v>0</v>
      </c>
      <c r="J7200" t="s">
        <v>1709</v>
      </c>
      <c r="K7200" t="s">
        <v>95</v>
      </c>
      <c r="L7200" t="s">
        <v>285</v>
      </c>
      <c r="M7200" t="str">
        <f t="shared" si="527"/>
        <v>07</v>
      </c>
      <c r="N7200" t="s">
        <v>12</v>
      </c>
    </row>
    <row r="7201" spans="1:14" x14ac:dyDescent="0.25">
      <c r="A7201">
        <v>20160715</v>
      </c>
      <c r="B7201" t="str">
        <f t="shared" si="532"/>
        <v>064063</v>
      </c>
      <c r="C7201" t="str">
        <f t="shared" si="533"/>
        <v>45496</v>
      </c>
      <c r="D7201" t="s">
        <v>2327</v>
      </c>
      <c r="E7201" s="3">
        <v>293.75</v>
      </c>
      <c r="F7201">
        <v>20160713</v>
      </c>
      <c r="G7201" t="s">
        <v>5887</v>
      </c>
      <c r="H7201" t="s">
        <v>5888</v>
      </c>
      <c r="I7201">
        <v>0</v>
      </c>
      <c r="J7201" t="s">
        <v>1709</v>
      </c>
      <c r="K7201" t="s">
        <v>1643</v>
      </c>
      <c r="L7201" t="s">
        <v>285</v>
      </c>
      <c r="M7201" t="str">
        <f t="shared" si="527"/>
        <v>07</v>
      </c>
      <c r="N7201" t="s">
        <v>12</v>
      </c>
    </row>
    <row r="7202" spans="1:14" x14ac:dyDescent="0.25">
      <c r="A7202">
        <v>20160715</v>
      </c>
      <c r="B7202" t="str">
        <f>"064064"</f>
        <v>064064</v>
      </c>
      <c r="C7202" t="str">
        <f>"57791"</f>
        <v>57791</v>
      </c>
      <c r="D7202" t="s">
        <v>1878</v>
      </c>
      <c r="E7202" s="3">
        <v>38</v>
      </c>
      <c r="F7202">
        <v>20160714</v>
      </c>
      <c r="G7202" t="s">
        <v>2124</v>
      </c>
      <c r="H7202" t="s">
        <v>5889</v>
      </c>
      <c r="I7202">
        <v>0</v>
      </c>
      <c r="J7202" t="s">
        <v>1709</v>
      </c>
      <c r="K7202" t="s">
        <v>290</v>
      </c>
      <c r="L7202" t="s">
        <v>285</v>
      </c>
      <c r="M7202" t="str">
        <f t="shared" si="527"/>
        <v>07</v>
      </c>
      <c r="N7202" t="s">
        <v>12</v>
      </c>
    </row>
    <row r="7203" spans="1:14" x14ac:dyDescent="0.25">
      <c r="A7203">
        <v>20160715</v>
      </c>
      <c r="B7203" t="str">
        <f>"064064"</f>
        <v>064064</v>
      </c>
      <c r="C7203" t="str">
        <f>"57791"</f>
        <v>57791</v>
      </c>
      <c r="D7203" t="s">
        <v>1878</v>
      </c>
      <c r="E7203" s="3">
        <v>178.75</v>
      </c>
      <c r="F7203">
        <v>20160714</v>
      </c>
      <c r="G7203" t="s">
        <v>2124</v>
      </c>
      <c r="H7203" t="s">
        <v>2125</v>
      </c>
      <c r="I7203">
        <v>0</v>
      </c>
      <c r="J7203" t="s">
        <v>1709</v>
      </c>
      <c r="K7203" t="s">
        <v>290</v>
      </c>
      <c r="L7203" t="s">
        <v>285</v>
      </c>
      <c r="M7203" t="str">
        <f t="shared" si="527"/>
        <v>07</v>
      </c>
      <c r="N7203" t="s">
        <v>12</v>
      </c>
    </row>
    <row r="7204" spans="1:14" x14ac:dyDescent="0.25">
      <c r="A7204">
        <v>20160715</v>
      </c>
      <c r="B7204" t="str">
        <f>"064066"</f>
        <v>064066</v>
      </c>
      <c r="C7204" t="str">
        <f>"45929"</f>
        <v>45929</v>
      </c>
      <c r="D7204" t="s">
        <v>5890</v>
      </c>
      <c r="E7204" s="3">
        <v>1058</v>
      </c>
      <c r="F7204">
        <v>20160713</v>
      </c>
      <c r="G7204" t="s">
        <v>2275</v>
      </c>
      <c r="H7204" t="s">
        <v>4869</v>
      </c>
      <c r="I7204">
        <v>0</v>
      </c>
      <c r="J7204" t="s">
        <v>1709</v>
      </c>
      <c r="K7204" t="s">
        <v>95</v>
      </c>
      <c r="L7204" t="s">
        <v>285</v>
      </c>
      <c r="M7204" t="str">
        <f t="shared" si="527"/>
        <v>07</v>
      </c>
      <c r="N7204" t="s">
        <v>12</v>
      </c>
    </row>
    <row r="7205" spans="1:14" x14ac:dyDescent="0.25">
      <c r="A7205">
        <v>20160715</v>
      </c>
      <c r="B7205" t="str">
        <f>"064067"</f>
        <v>064067</v>
      </c>
      <c r="C7205" t="str">
        <f>"46025"</f>
        <v>46025</v>
      </c>
      <c r="D7205" t="s">
        <v>2676</v>
      </c>
      <c r="E7205" s="3">
        <v>646.25</v>
      </c>
      <c r="F7205">
        <v>20160713</v>
      </c>
      <c r="G7205" t="s">
        <v>3695</v>
      </c>
      <c r="H7205" s="1">
        <v>42461</v>
      </c>
      <c r="I7205">
        <v>0</v>
      </c>
      <c r="J7205" t="s">
        <v>1709</v>
      </c>
      <c r="K7205" t="s">
        <v>1775</v>
      </c>
      <c r="L7205" t="s">
        <v>285</v>
      </c>
      <c r="M7205" t="str">
        <f t="shared" si="527"/>
        <v>07</v>
      </c>
      <c r="N7205" t="s">
        <v>12</v>
      </c>
    </row>
    <row r="7206" spans="1:14" x14ac:dyDescent="0.25">
      <c r="A7206">
        <v>20160715</v>
      </c>
      <c r="B7206" t="str">
        <f>"064067"</f>
        <v>064067</v>
      </c>
      <c r="C7206" t="str">
        <f>"46025"</f>
        <v>46025</v>
      </c>
      <c r="D7206" t="s">
        <v>2676</v>
      </c>
      <c r="E7206" s="3">
        <v>488.75</v>
      </c>
      <c r="F7206">
        <v>20160713</v>
      </c>
      <c r="G7206" t="s">
        <v>2424</v>
      </c>
      <c r="H7206" s="1">
        <v>42491</v>
      </c>
      <c r="I7206">
        <v>0</v>
      </c>
      <c r="J7206" t="s">
        <v>1709</v>
      </c>
      <c r="K7206" t="s">
        <v>1775</v>
      </c>
      <c r="L7206" t="s">
        <v>285</v>
      </c>
      <c r="M7206" t="str">
        <f t="shared" si="527"/>
        <v>07</v>
      </c>
      <c r="N7206" t="s">
        <v>12</v>
      </c>
    </row>
    <row r="7207" spans="1:14" x14ac:dyDescent="0.25">
      <c r="A7207">
        <v>20160715</v>
      </c>
      <c r="B7207" t="str">
        <f t="shared" ref="B7207:B7212" si="534">"064068"</f>
        <v>064068</v>
      </c>
      <c r="C7207" t="str">
        <f t="shared" ref="C7207:C7212" si="535">"46369"</f>
        <v>46369</v>
      </c>
      <c r="D7207" t="s">
        <v>1991</v>
      </c>
      <c r="E7207" s="3">
        <v>324</v>
      </c>
      <c r="F7207">
        <v>20160713</v>
      </c>
      <c r="G7207" t="s">
        <v>1992</v>
      </c>
      <c r="H7207" t="s">
        <v>5891</v>
      </c>
      <c r="I7207">
        <v>0</v>
      </c>
      <c r="J7207" t="s">
        <v>1709</v>
      </c>
      <c r="K7207" t="s">
        <v>1861</v>
      </c>
      <c r="L7207" t="s">
        <v>285</v>
      </c>
      <c r="M7207" t="str">
        <f t="shared" si="527"/>
        <v>07</v>
      </c>
      <c r="N7207" t="s">
        <v>12</v>
      </c>
    </row>
    <row r="7208" spans="1:14" x14ac:dyDescent="0.25">
      <c r="A7208">
        <v>20160715</v>
      </c>
      <c r="B7208" t="str">
        <f t="shared" si="534"/>
        <v>064068</v>
      </c>
      <c r="C7208" t="str">
        <f t="shared" si="535"/>
        <v>46369</v>
      </c>
      <c r="D7208" t="s">
        <v>1991</v>
      </c>
      <c r="E7208" s="3">
        <v>300</v>
      </c>
      <c r="F7208">
        <v>20160713</v>
      </c>
      <c r="G7208" t="s">
        <v>1992</v>
      </c>
      <c r="H7208" t="s">
        <v>5892</v>
      </c>
      <c r="I7208">
        <v>0</v>
      </c>
      <c r="J7208" t="s">
        <v>1709</v>
      </c>
      <c r="K7208" t="s">
        <v>1861</v>
      </c>
      <c r="L7208" t="s">
        <v>285</v>
      </c>
      <c r="M7208" t="str">
        <f t="shared" si="527"/>
        <v>07</v>
      </c>
      <c r="N7208" t="s">
        <v>12</v>
      </c>
    </row>
    <row r="7209" spans="1:14" x14ac:dyDescent="0.25">
      <c r="A7209">
        <v>20160715</v>
      </c>
      <c r="B7209" t="str">
        <f t="shared" si="534"/>
        <v>064068</v>
      </c>
      <c r="C7209" t="str">
        <f t="shared" si="535"/>
        <v>46369</v>
      </c>
      <c r="D7209" t="s">
        <v>1991</v>
      </c>
      <c r="E7209" s="3">
        <v>300</v>
      </c>
      <c r="F7209">
        <v>20160713</v>
      </c>
      <c r="G7209" t="s">
        <v>1992</v>
      </c>
      <c r="H7209" t="s">
        <v>5893</v>
      </c>
      <c r="I7209">
        <v>0</v>
      </c>
      <c r="J7209" t="s">
        <v>1709</v>
      </c>
      <c r="K7209" t="s">
        <v>1861</v>
      </c>
      <c r="L7209" t="s">
        <v>285</v>
      </c>
      <c r="M7209" t="str">
        <f t="shared" si="527"/>
        <v>07</v>
      </c>
      <c r="N7209" t="s">
        <v>12</v>
      </c>
    </row>
    <row r="7210" spans="1:14" x14ac:dyDescent="0.25">
      <c r="A7210">
        <v>20160715</v>
      </c>
      <c r="B7210" t="str">
        <f t="shared" si="534"/>
        <v>064068</v>
      </c>
      <c r="C7210" t="str">
        <f t="shared" si="535"/>
        <v>46369</v>
      </c>
      <c r="D7210" t="s">
        <v>1991</v>
      </c>
      <c r="E7210" s="3">
        <v>300</v>
      </c>
      <c r="F7210">
        <v>20160713</v>
      </c>
      <c r="G7210" t="s">
        <v>1992</v>
      </c>
      <c r="H7210" t="s">
        <v>5894</v>
      </c>
      <c r="I7210">
        <v>0</v>
      </c>
      <c r="J7210" t="s">
        <v>1709</v>
      </c>
      <c r="K7210" t="s">
        <v>1861</v>
      </c>
      <c r="L7210" t="s">
        <v>285</v>
      </c>
      <c r="M7210" t="str">
        <f t="shared" si="527"/>
        <v>07</v>
      </c>
      <c r="N7210" t="s">
        <v>12</v>
      </c>
    </row>
    <row r="7211" spans="1:14" x14ac:dyDescent="0.25">
      <c r="A7211">
        <v>20160715</v>
      </c>
      <c r="B7211" t="str">
        <f t="shared" si="534"/>
        <v>064068</v>
      </c>
      <c r="C7211" t="str">
        <f t="shared" si="535"/>
        <v>46369</v>
      </c>
      <c r="D7211" t="s">
        <v>1991</v>
      </c>
      <c r="E7211" s="3">
        <v>376</v>
      </c>
      <c r="F7211">
        <v>20160713</v>
      </c>
      <c r="G7211" t="s">
        <v>1992</v>
      </c>
      <c r="H7211" t="s">
        <v>2517</v>
      </c>
      <c r="I7211">
        <v>0</v>
      </c>
      <c r="J7211" t="s">
        <v>1709</v>
      </c>
      <c r="K7211" t="s">
        <v>1861</v>
      </c>
      <c r="L7211" t="s">
        <v>285</v>
      </c>
      <c r="M7211" t="str">
        <f t="shared" si="527"/>
        <v>07</v>
      </c>
      <c r="N7211" t="s">
        <v>12</v>
      </c>
    </row>
    <row r="7212" spans="1:14" x14ac:dyDescent="0.25">
      <c r="A7212">
        <v>20160715</v>
      </c>
      <c r="B7212" t="str">
        <f t="shared" si="534"/>
        <v>064068</v>
      </c>
      <c r="C7212" t="str">
        <f t="shared" si="535"/>
        <v>46369</v>
      </c>
      <c r="D7212" t="s">
        <v>1991</v>
      </c>
      <c r="E7212" s="3">
        <v>273</v>
      </c>
      <c r="F7212">
        <v>20160713</v>
      </c>
      <c r="G7212" t="s">
        <v>1992</v>
      </c>
      <c r="H7212" t="s">
        <v>5895</v>
      </c>
      <c r="I7212">
        <v>0</v>
      </c>
      <c r="J7212" t="s">
        <v>1709</v>
      </c>
      <c r="K7212" t="s">
        <v>1861</v>
      </c>
      <c r="L7212" t="s">
        <v>285</v>
      </c>
      <c r="M7212" t="str">
        <f t="shared" si="527"/>
        <v>07</v>
      </c>
      <c r="N7212" t="s">
        <v>12</v>
      </c>
    </row>
    <row r="7213" spans="1:14" x14ac:dyDescent="0.25">
      <c r="A7213">
        <v>20160715</v>
      </c>
      <c r="B7213" t="str">
        <f>"064069"</f>
        <v>064069</v>
      </c>
      <c r="C7213" t="str">
        <f>"46351"</f>
        <v>46351</v>
      </c>
      <c r="D7213" t="s">
        <v>2518</v>
      </c>
      <c r="E7213" s="3">
        <v>633.32000000000005</v>
      </c>
      <c r="F7213">
        <v>20160713</v>
      </c>
      <c r="G7213" t="s">
        <v>1995</v>
      </c>
      <c r="H7213" t="s">
        <v>5896</v>
      </c>
      <c r="I7213">
        <v>0</v>
      </c>
      <c r="J7213" t="s">
        <v>1709</v>
      </c>
      <c r="K7213" t="s">
        <v>235</v>
      </c>
      <c r="L7213" t="s">
        <v>285</v>
      </c>
      <c r="M7213" t="str">
        <f t="shared" si="527"/>
        <v>07</v>
      </c>
      <c r="N7213" t="s">
        <v>12</v>
      </c>
    </row>
    <row r="7214" spans="1:14" x14ac:dyDescent="0.25">
      <c r="A7214">
        <v>20160715</v>
      </c>
      <c r="B7214" t="str">
        <f>"064069"</f>
        <v>064069</v>
      </c>
      <c r="C7214" t="str">
        <f>"46351"</f>
        <v>46351</v>
      </c>
      <c r="D7214" t="s">
        <v>2518</v>
      </c>
      <c r="E7214" s="3">
        <v>10363.49</v>
      </c>
      <c r="F7214">
        <v>20160714</v>
      </c>
      <c r="G7214" t="s">
        <v>1995</v>
      </c>
      <c r="H7214" t="s">
        <v>5897</v>
      </c>
      <c r="I7214">
        <v>0</v>
      </c>
      <c r="J7214" t="s">
        <v>1709</v>
      </c>
      <c r="K7214" t="s">
        <v>235</v>
      </c>
      <c r="L7214" t="s">
        <v>285</v>
      </c>
      <c r="M7214" t="str">
        <f t="shared" si="527"/>
        <v>07</v>
      </c>
      <c r="N7214" t="s">
        <v>12</v>
      </c>
    </row>
    <row r="7215" spans="1:14" x14ac:dyDescent="0.25">
      <c r="A7215">
        <v>20160715</v>
      </c>
      <c r="B7215" t="str">
        <f>"064069"</f>
        <v>064069</v>
      </c>
      <c r="C7215" t="str">
        <f>"46351"</f>
        <v>46351</v>
      </c>
      <c r="D7215" t="s">
        <v>2518</v>
      </c>
      <c r="E7215" s="3">
        <v>4248.04</v>
      </c>
      <c r="F7215">
        <v>20160713</v>
      </c>
      <c r="G7215" t="s">
        <v>2523</v>
      </c>
      <c r="H7215" t="s">
        <v>5897</v>
      </c>
      <c r="I7215">
        <v>0</v>
      </c>
      <c r="J7215" t="s">
        <v>1709</v>
      </c>
      <c r="K7215" t="s">
        <v>1942</v>
      </c>
      <c r="L7215" t="s">
        <v>285</v>
      </c>
      <c r="M7215" t="str">
        <f t="shared" si="527"/>
        <v>07</v>
      </c>
      <c r="N7215" t="s">
        <v>12</v>
      </c>
    </row>
    <row r="7216" spans="1:14" x14ac:dyDescent="0.25">
      <c r="A7216">
        <v>20160715</v>
      </c>
      <c r="B7216" t="str">
        <f>"064070"</f>
        <v>064070</v>
      </c>
      <c r="C7216" t="str">
        <f>"00322"</f>
        <v>00322</v>
      </c>
      <c r="D7216" t="s">
        <v>5898</v>
      </c>
      <c r="E7216" s="3">
        <v>338.66</v>
      </c>
      <c r="F7216">
        <v>20160713</v>
      </c>
      <c r="G7216" t="s">
        <v>2164</v>
      </c>
      <c r="H7216" t="s">
        <v>5899</v>
      </c>
      <c r="I7216">
        <v>0</v>
      </c>
      <c r="J7216" t="s">
        <v>1709</v>
      </c>
      <c r="K7216" t="s">
        <v>1861</v>
      </c>
      <c r="L7216" t="s">
        <v>285</v>
      </c>
      <c r="M7216" t="str">
        <f t="shared" si="527"/>
        <v>07</v>
      </c>
      <c r="N7216" t="s">
        <v>12</v>
      </c>
    </row>
    <row r="7217" spans="1:14" x14ac:dyDescent="0.25">
      <c r="A7217">
        <v>20160715</v>
      </c>
      <c r="B7217" t="str">
        <f>"064072"</f>
        <v>064072</v>
      </c>
      <c r="C7217" t="str">
        <f>"72765"</f>
        <v>72765</v>
      </c>
      <c r="D7217" t="s">
        <v>5900</v>
      </c>
      <c r="E7217" s="3">
        <v>52</v>
      </c>
      <c r="F7217">
        <v>20160713</v>
      </c>
      <c r="G7217" t="s">
        <v>5901</v>
      </c>
      <c r="H7217" t="s">
        <v>5902</v>
      </c>
      <c r="I7217">
        <v>0</v>
      </c>
      <c r="J7217" t="s">
        <v>1709</v>
      </c>
      <c r="K7217" t="s">
        <v>2194</v>
      </c>
      <c r="L7217" t="s">
        <v>285</v>
      </c>
      <c r="M7217" t="str">
        <f t="shared" si="527"/>
        <v>07</v>
      </c>
      <c r="N7217" t="s">
        <v>12</v>
      </c>
    </row>
    <row r="7218" spans="1:14" x14ac:dyDescent="0.25">
      <c r="A7218">
        <v>20160715</v>
      </c>
      <c r="B7218" t="str">
        <f>"064072"</f>
        <v>064072</v>
      </c>
      <c r="C7218" t="str">
        <f>"72765"</f>
        <v>72765</v>
      </c>
      <c r="D7218" t="s">
        <v>5900</v>
      </c>
      <c r="E7218" s="3">
        <v>52</v>
      </c>
      <c r="F7218">
        <v>20160713</v>
      </c>
      <c r="G7218" t="s">
        <v>5903</v>
      </c>
      <c r="H7218" t="s">
        <v>5902</v>
      </c>
      <c r="I7218">
        <v>0</v>
      </c>
      <c r="J7218" t="s">
        <v>1709</v>
      </c>
      <c r="K7218" t="s">
        <v>290</v>
      </c>
      <c r="L7218" t="s">
        <v>285</v>
      </c>
      <c r="M7218" t="str">
        <f t="shared" si="527"/>
        <v>07</v>
      </c>
      <c r="N7218" t="s">
        <v>12</v>
      </c>
    </row>
    <row r="7219" spans="1:14" x14ac:dyDescent="0.25">
      <c r="A7219">
        <v>20160715</v>
      </c>
      <c r="B7219" t="str">
        <f>"064072"</f>
        <v>064072</v>
      </c>
      <c r="C7219" t="str">
        <f>"72765"</f>
        <v>72765</v>
      </c>
      <c r="D7219" t="s">
        <v>5900</v>
      </c>
      <c r="E7219" s="3">
        <v>52</v>
      </c>
      <c r="F7219">
        <v>20160713</v>
      </c>
      <c r="G7219" t="s">
        <v>5904</v>
      </c>
      <c r="H7219" t="s">
        <v>5902</v>
      </c>
      <c r="I7219">
        <v>0</v>
      </c>
      <c r="J7219" t="s">
        <v>1709</v>
      </c>
      <c r="K7219" t="s">
        <v>95</v>
      </c>
      <c r="L7219" t="s">
        <v>285</v>
      </c>
      <c r="M7219" t="str">
        <f t="shared" si="527"/>
        <v>07</v>
      </c>
      <c r="N7219" t="s">
        <v>12</v>
      </c>
    </row>
    <row r="7220" spans="1:14" x14ac:dyDescent="0.25">
      <c r="A7220">
        <v>20160715</v>
      </c>
      <c r="B7220" t="str">
        <f>"064072"</f>
        <v>064072</v>
      </c>
      <c r="C7220" t="str">
        <f>"72765"</f>
        <v>72765</v>
      </c>
      <c r="D7220" t="s">
        <v>5900</v>
      </c>
      <c r="E7220" s="3">
        <v>52</v>
      </c>
      <c r="F7220">
        <v>20160713</v>
      </c>
      <c r="G7220" t="s">
        <v>5905</v>
      </c>
      <c r="H7220" t="s">
        <v>5902</v>
      </c>
      <c r="I7220">
        <v>0</v>
      </c>
      <c r="J7220" t="s">
        <v>1709</v>
      </c>
      <c r="K7220" t="s">
        <v>1643</v>
      </c>
      <c r="L7220" t="s">
        <v>285</v>
      </c>
      <c r="M7220" t="str">
        <f t="shared" si="527"/>
        <v>07</v>
      </c>
      <c r="N7220" t="s">
        <v>12</v>
      </c>
    </row>
    <row r="7221" spans="1:14" x14ac:dyDescent="0.25">
      <c r="A7221">
        <v>20160715</v>
      </c>
      <c r="B7221" t="str">
        <f>"064072"</f>
        <v>064072</v>
      </c>
      <c r="C7221" t="str">
        <f>"72765"</f>
        <v>72765</v>
      </c>
      <c r="D7221" t="s">
        <v>5900</v>
      </c>
      <c r="E7221" s="3">
        <v>52</v>
      </c>
      <c r="F7221">
        <v>20160713</v>
      </c>
      <c r="G7221" t="s">
        <v>5409</v>
      </c>
      <c r="H7221" t="s">
        <v>5902</v>
      </c>
      <c r="I7221">
        <v>0</v>
      </c>
      <c r="J7221" t="s">
        <v>1709</v>
      </c>
      <c r="K7221" t="s">
        <v>33</v>
      </c>
      <c r="L7221" t="s">
        <v>285</v>
      </c>
      <c r="M7221" t="str">
        <f t="shared" si="527"/>
        <v>07</v>
      </c>
      <c r="N7221" t="s">
        <v>12</v>
      </c>
    </row>
    <row r="7222" spans="1:14" x14ac:dyDescent="0.25">
      <c r="A7222">
        <v>20160715</v>
      </c>
      <c r="B7222" t="str">
        <f>"064073"</f>
        <v>064073</v>
      </c>
      <c r="C7222" t="str">
        <f>"49898"</f>
        <v>49898</v>
      </c>
      <c r="D7222" t="s">
        <v>2342</v>
      </c>
      <c r="E7222" s="3">
        <v>488.09</v>
      </c>
      <c r="F7222">
        <v>20160713</v>
      </c>
      <c r="G7222" t="s">
        <v>1859</v>
      </c>
      <c r="H7222" t="s">
        <v>5906</v>
      </c>
      <c r="I7222">
        <v>0</v>
      </c>
      <c r="J7222" t="s">
        <v>1709</v>
      </c>
      <c r="K7222" t="s">
        <v>1861</v>
      </c>
      <c r="L7222" t="s">
        <v>285</v>
      </c>
      <c r="M7222" t="str">
        <f t="shared" ref="M7222:M7285" si="536">"07"</f>
        <v>07</v>
      </c>
      <c r="N7222" t="s">
        <v>12</v>
      </c>
    </row>
    <row r="7223" spans="1:14" x14ac:dyDescent="0.25">
      <c r="A7223">
        <v>20160715</v>
      </c>
      <c r="B7223" t="str">
        <f>"064075"</f>
        <v>064075</v>
      </c>
      <c r="C7223" t="str">
        <f>"51475"</f>
        <v>51475</v>
      </c>
      <c r="D7223" t="s">
        <v>2352</v>
      </c>
      <c r="E7223" s="3">
        <v>1246.68</v>
      </c>
      <c r="F7223">
        <v>20160713</v>
      </c>
      <c r="G7223" t="s">
        <v>2525</v>
      </c>
      <c r="H7223" t="s">
        <v>5907</v>
      </c>
      <c r="I7223">
        <v>0</v>
      </c>
      <c r="J7223" t="s">
        <v>1709</v>
      </c>
      <c r="K7223" t="s">
        <v>2194</v>
      </c>
      <c r="L7223" t="s">
        <v>285</v>
      </c>
      <c r="M7223" t="str">
        <f t="shared" si="536"/>
        <v>07</v>
      </c>
      <c r="N7223" t="s">
        <v>12</v>
      </c>
    </row>
    <row r="7224" spans="1:14" x14ac:dyDescent="0.25">
      <c r="A7224">
        <v>20160715</v>
      </c>
      <c r="B7224" t="str">
        <f>"064076"</f>
        <v>064076</v>
      </c>
      <c r="C7224" t="str">
        <f>"52185"</f>
        <v>52185</v>
      </c>
      <c r="D7224" t="s">
        <v>2130</v>
      </c>
      <c r="E7224" s="3">
        <v>4250</v>
      </c>
      <c r="F7224">
        <v>20160713</v>
      </c>
      <c r="G7224" t="s">
        <v>2588</v>
      </c>
      <c r="H7224" t="s">
        <v>5908</v>
      </c>
      <c r="I7224">
        <v>0</v>
      </c>
      <c r="J7224" t="s">
        <v>1709</v>
      </c>
      <c r="K7224" t="s">
        <v>1861</v>
      </c>
      <c r="L7224" t="s">
        <v>285</v>
      </c>
      <c r="M7224" t="str">
        <f t="shared" si="536"/>
        <v>07</v>
      </c>
      <c r="N7224" t="s">
        <v>12</v>
      </c>
    </row>
    <row r="7225" spans="1:14" x14ac:dyDescent="0.25">
      <c r="A7225">
        <v>20160715</v>
      </c>
      <c r="B7225" t="str">
        <f>"064078"</f>
        <v>064078</v>
      </c>
      <c r="C7225" t="str">
        <f>"54149"</f>
        <v>54149</v>
      </c>
      <c r="D7225" t="s">
        <v>1617</v>
      </c>
      <c r="E7225" s="3">
        <v>239.95</v>
      </c>
      <c r="F7225">
        <v>20160713</v>
      </c>
      <c r="G7225" t="s">
        <v>2547</v>
      </c>
      <c r="H7225" t="s">
        <v>5398</v>
      </c>
      <c r="I7225">
        <v>0</v>
      </c>
      <c r="J7225" t="s">
        <v>1709</v>
      </c>
      <c r="K7225" t="s">
        <v>1643</v>
      </c>
      <c r="L7225" t="s">
        <v>285</v>
      </c>
      <c r="M7225" t="str">
        <f t="shared" si="536"/>
        <v>07</v>
      </c>
      <c r="N7225" t="s">
        <v>12</v>
      </c>
    </row>
    <row r="7226" spans="1:14" x14ac:dyDescent="0.25">
      <c r="A7226">
        <v>20160715</v>
      </c>
      <c r="B7226" t="str">
        <f>"064078"</f>
        <v>064078</v>
      </c>
      <c r="C7226" t="str">
        <f>"54149"</f>
        <v>54149</v>
      </c>
      <c r="D7226" t="s">
        <v>1617</v>
      </c>
      <c r="E7226" s="3">
        <v>339.15</v>
      </c>
      <c r="F7226">
        <v>20160713</v>
      </c>
      <c r="G7226" t="s">
        <v>2547</v>
      </c>
      <c r="H7226" t="s">
        <v>5398</v>
      </c>
      <c r="I7226">
        <v>0</v>
      </c>
      <c r="J7226" t="s">
        <v>1709</v>
      </c>
      <c r="K7226" t="s">
        <v>1643</v>
      </c>
      <c r="L7226" t="s">
        <v>285</v>
      </c>
      <c r="M7226" t="str">
        <f t="shared" si="536"/>
        <v>07</v>
      </c>
      <c r="N7226" t="s">
        <v>12</v>
      </c>
    </row>
    <row r="7227" spans="1:14" x14ac:dyDescent="0.25">
      <c r="A7227">
        <v>20160715</v>
      </c>
      <c r="B7227" t="str">
        <f>"064078"</f>
        <v>064078</v>
      </c>
      <c r="C7227" t="str">
        <f>"54149"</f>
        <v>54149</v>
      </c>
      <c r="D7227" t="s">
        <v>1617</v>
      </c>
      <c r="E7227" s="3">
        <v>389.34</v>
      </c>
      <c r="F7227">
        <v>20160713</v>
      </c>
      <c r="G7227" t="s">
        <v>2547</v>
      </c>
      <c r="H7227" t="s">
        <v>5398</v>
      </c>
      <c r="I7227">
        <v>0</v>
      </c>
      <c r="J7227" t="s">
        <v>1709</v>
      </c>
      <c r="K7227" t="s">
        <v>1643</v>
      </c>
      <c r="L7227" t="s">
        <v>285</v>
      </c>
      <c r="M7227" t="str">
        <f t="shared" si="536"/>
        <v>07</v>
      </c>
      <c r="N7227" t="s">
        <v>12</v>
      </c>
    </row>
    <row r="7228" spans="1:14" x14ac:dyDescent="0.25">
      <c r="A7228">
        <v>20160715</v>
      </c>
      <c r="B7228" t="str">
        <f>"064078"</f>
        <v>064078</v>
      </c>
      <c r="C7228" t="str">
        <f>"54149"</f>
        <v>54149</v>
      </c>
      <c r="D7228" t="s">
        <v>1617</v>
      </c>
      <c r="E7228" s="3">
        <v>46.1</v>
      </c>
      <c r="F7228">
        <v>20160713</v>
      </c>
      <c r="G7228" t="s">
        <v>2547</v>
      </c>
      <c r="H7228" t="s">
        <v>5398</v>
      </c>
      <c r="I7228">
        <v>0</v>
      </c>
      <c r="J7228" t="s">
        <v>1709</v>
      </c>
      <c r="K7228" t="s">
        <v>1643</v>
      </c>
      <c r="L7228" t="s">
        <v>285</v>
      </c>
      <c r="M7228" t="str">
        <f t="shared" si="536"/>
        <v>07</v>
      </c>
      <c r="N7228" t="s">
        <v>12</v>
      </c>
    </row>
    <row r="7229" spans="1:14" x14ac:dyDescent="0.25">
      <c r="A7229">
        <v>20160715</v>
      </c>
      <c r="B7229" t="str">
        <f>"064078"</f>
        <v>064078</v>
      </c>
      <c r="C7229" t="str">
        <f>"54149"</f>
        <v>54149</v>
      </c>
      <c r="D7229" t="s">
        <v>1617</v>
      </c>
      <c r="E7229" s="3">
        <v>270.86</v>
      </c>
      <c r="F7229">
        <v>20160713</v>
      </c>
      <c r="G7229" t="s">
        <v>2547</v>
      </c>
      <c r="H7229" t="s">
        <v>5398</v>
      </c>
      <c r="I7229">
        <v>0</v>
      </c>
      <c r="J7229" t="s">
        <v>1709</v>
      </c>
      <c r="K7229" t="s">
        <v>1643</v>
      </c>
      <c r="L7229" t="s">
        <v>285</v>
      </c>
      <c r="M7229" t="str">
        <f t="shared" si="536"/>
        <v>07</v>
      </c>
      <c r="N7229" t="s">
        <v>12</v>
      </c>
    </row>
    <row r="7230" spans="1:14" x14ac:dyDescent="0.25">
      <c r="A7230">
        <v>20160715</v>
      </c>
      <c r="B7230" t="str">
        <f>"064080"</f>
        <v>064080</v>
      </c>
      <c r="C7230" t="str">
        <f>"56013"</f>
        <v>56013</v>
      </c>
      <c r="D7230" t="s">
        <v>2355</v>
      </c>
      <c r="E7230" s="3">
        <v>320</v>
      </c>
      <c r="F7230">
        <v>20160713</v>
      </c>
      <c r="G7230" t="s">
        <v>2356</v>
      </c>
      <c r="H7230" t="s">
        <v>5909</v>
      </c>
      <c r="I7230">
        <v>0</v>
      </c>
      <c r="J7230" t="s">
        <v>1709</v>
      </c>
      <c r="K7230" t="s">
        <v>1861</v>
      </c>
      <c r="L7230" t="s">
        <v>285</v>
      </c>
      <c r="M7230" t="str">
        <f t="shared" si="536"/>
        <v>07</v>
      </c>
      <c r="N7230" t="s">
        <v>12</v>
      </c>
    </row>
    <row r="7231" spans="1:14" x14ac:dyDescent="0.25">
      <c r="A7231">
        <v>20160715</v>
      </c>
      <c r="B7231" t="str">
        <f>"064081"</f>
        <v>064081</v>
      </c>
      <c r="C7231" t="str">
        <f>"56217"</f>
        <v>56217</v>
      </c>
      <c r="D7231" t="s">
        <v>1421</v>
      </c>
      <c r="E7231" s="3">
        <v>370.97</v>
      </c>
      <c r="F7231">
        <v>20160713</v>
      </c>
      <c r="G7231" t="s">
        <v>4287</v>
      </c>
      <c r="H7231" t="s">
        <v>1423</v>
      </c>
      <c r="I7231">
        <v>0</v>
      </c>
      <c r="J7231" t="s">
        <v>1709</v>
      </c>
      <c r="K7231" t="s">
        <v>95</v>
      </c>
      <c r="L7231" t="s">
        <v>285</v>
      </c>
      <c r="M7231" t="str">
        <f t="shared" si="536"/>
        <v>07</v>
      </c>
      <c r="N7231" t="s">
        <v>12</v>
      </c>
    </row>
    <row r="7232" spans="1:14" x14ac:dyDescent="0.25">
      <c r="A7232">
        <v>20160715</v>
      </c>
      <c r="B7232" t="str">
        <f>"064082"</f>
        <v>064082</v>
      </c>
      <c r="C7232" t="str">
        <f>"60362"</f>
        <v>60362</v>
      </c>
      <c r="D7232" t="s">
        <v>2006</v>
      </c>
      <c r="E7232" s="3">
        <v>4040</v>
      </c>
      <c r="F7232">
        <v>20160714</v>
      </c>
      <c r="G7232" t="s">
        <v>2007</v>
      </c>
      <c r="H7232" t="s">
        <v>5910</v>
      </c>
      <c r="I7232">
        <v>0</v>
      </c>
      <c r="J7232" t="s">
        <v>1709</v>
      </c>
      <c r="K7232" t="s">
        <v>235</v>
      </c>
      <c r="L7232" t="s">
        <v>285</v>
      </c>
      <c r="M7232" t="str">
        <f t="shared" si="536"/>
        <v>07</v>
      </c>
      <c r="N7232" t="s">
        <v>12</v>
      </c>
    </row>
    <row r="7233" spans="1:14" x14ac:dyDescent="0.25">
      <c r="A7233">
        <v>20160715</v>
      </c>
      <c r="B7233" t="str">
        <f>"064083"</f>
        <v>064083</v>
      </c>
      <c r="C7233" t="str">
        <f>"00355"</f>
        <v>00355</v>
      </c>
      <c r="D7233" t="s">
        <v>1909</v>
      </c>
      <c r="E7233" s="3">
        <v>210</v>
      </c>
      <c r="F7233">
        <v>20160714</v>
      </c>
      <c r="G7233" t="s">
        <v>5709</v>
      </c>
      <c r="H7233" t="s">
        <v>5911</v>
      </c>
      <c r="I7233">
        <v>0</v>
      </c>
      <c r="J7233" t="s">
        <v>1709</v>
      </c>
      <c r="K7233" t="s">
        <v>290</v>
      </c>
      <c r="L7233" t="s">
        <v>285</v>
      </c>
      <c r="M7233" t="str">
        <f t="shared" si="536"/>
        <v>07</v>
      </c>
      <c r="N7233" t="s">
        <v>12</v>
      </c>
    </row>
    <row r="7234" spans="1:14" x14ac:dyDescent="0.25">
      <c r="A7234">
        <v>20160715</v>
      </c>
      <c r="B7234" t="str">
        <f>"064084"</f>
        <v>064084</v>
      </c>
      <c r="C7234" t="str">
        <f>"60842"</f>
        <v>60842</v>
      </c>
      <c r="D7234" t="s">
        <v>2920</v>
      </c>
      <c r="E7234" s="3">
        <v>610</v>
      </c>
      <c r="F7234">
        <v>20160714</v>
      </c>
      <c r="G7234" t="s">
        <v>3109</v>
      </c>
      <c r="H7234" t="s">
        <v>5912</v>
      </c>
      <c r="I7234">
        <v>0</v>
      </c>
      <c r="J7234" t="s">
        <v>1709</v>
      </c>
      <c r="K7234" t="s">
        <v>1893</v>
      </c>
      <c r="L7234" t="s">
        <v>285</v>
      </c>
      <c r="M7234" t="str">
        <f t="shared" si="536"/>
        <v>07</v>
      </c>
      <c r="N7234" t="s">
        <v>12</v>
      </c>
    </row>
    <row r="7235" spans="1:14" x14ac:dyDescent="0.25">
      <c r="A7235">
        <v>20160715</v>
      </c>
      <c r="B7235" t="str">
        <f>"064085"</f>
        <v>064085</v>
      </c>
      <c r="C7235" t="str">
        <f>"62340"</f>
        <v>62340</v>
      </c>
      <c r="D7235" t="s">
        <v>1911</v>
      </c>
      <c r="E7235" s="3">
        <v>4135.32</v>
      </c>
      <c r="F7235">
        <v>20160714</v>
      </c>
      <c r="G7235" t="s">
        <v>1912</v>
      </c>
      <c r="H7235" t="s">
        <v>5501</v>
      </c>
      <c r="I7235">
        <v>0</v>
      </c>
      <c r="J7235" t="s">
        <v>1709</v>
      </c>
      <c r="K7235" t="s">
        <v>1861</v>
      </c>
      <c r="L7235" t="s">
        <v>285</v>
      </c>
      <c r="M7235" t="str">
        <f t="shared" si="536"/>
        <v>07</v>
      </c>
      <c r="N7235" t="s">
        <v>12</v>
      </c>
    </row>
    <row r="7236" spans="1:14" x14ac:dyDescent="0.25">
      <c r="A7236">
        <v>20160715</v>
      </c>
      <c r="B7236" t="str">
        <f>"064086"</f>
        <v>064086</v>
      </c>
      <c r="C7236" t="str">
        <f>"60832"</f>
        <v>60832</v>
      </c>
      <c r="D7236" t="s">
        <v>1913</v>
      </c>
      <c r="E7236" s="3">
        <v>300</v>
      </c>
      <c r="F7236">
        <v>20160714</v>
      </c>
      <c r="G7236" t="s">
        <v>2588</v>
      </c>
      <c r="H7236" t="s">
        <v>5913</v>
      </c>
      <c r="I7236">
        <v>0</v>
      </c>
      <c r="J7236" t="s">
        <v>1709</v>
      </c>
      <c r="K7236" t="s">
        <v>1861</v>
      </c>
      <c r="L7236" t="s">
        <v>285</v>
      </c>
      <c r="M7236" t="str">
        <f t="shared" si="536"/>
        <v>07</v>
      </c>
      <c r="N7236" t="s">
        <v>12</v>
      </c>
    </row>
    <row r="7237" spans="1:14" x14ac:dyDescent="0.25">
      <c r="A7237">
        <v>20160715</v>
      </c>
      <c r="B7237" t="str">
        <f>"064086"</f>
        <v>064086</v>
      </c>
      <c r="C7237" t="str">
        <f>"60832"</f>
        <v>60832</v>
      </c>
      <c r="D7237" t="s">
        <v>1913</v>
      </c>
      <c r="E7237" s="3">
        <v>300</v>
      </c>
      <c r="F7237">
        <v>20160714</v>
      </c>
      <c r="G7237" t="s">
        <v>2588</v>
      </c>
      <c r="H7237" t="s">
        <v>5914</v>
      </c>
      <c r="I7237">
        <v>0</v>
      </c>
      <c r="J7237" t="s">
        <v>1709</v>
      </c>
      <c r="K7237" t="s">
        <v>1861</v>
      </c>
      <c r="L7237" t="s">
        <v>285</v>
      </c>
      <c r="M7237" t="str">
        <f t="shared" si="536"/>
        <v>07</v>
      </c>
      <c r="N7237" t="s">
        <v>12</v>
      </c>
    </row>
    <row r="7238" spans="1:14" x14ac:dyDescent="0.25">
      <c r="A7238">
        <v>20160715</v>
      </c>
      <c r="B7238" t="str">
        <f>"064086"</f>
        <v>064086</v>
      </c>
      <c r="C7238" t="str">
        <f>"60832"</f>
        <v>60832</v>
      </c>
      <c r="D7238" t="s">
        <v>1913</v>
      </c>
      <c r="E7238" s="3">
        <v>300</v>
      </c>
      <c r="F7238">
        <v>20160714</v>
      </c>
      <c r="G7238" t="s">
        <v>2588</v>
      </c>
      <c r="H7238" t="s">
        <v>5915</v>
      </c>
      <c r="I7238">
        <v>0</v>
      </c>
      <c r="J7238" t="s">
        <v>1709</v>
      </c>
      <c r="K7238" t="s">
        <v>1861</v>
      </c>
      <c r="L7238" t="s">
        <v>285</v>
      </c>
      <c r="M7238" t="str">
        <f t="shared" si="536"/>
        <v>07</v>
      </c>
      <c r="N7238" t="s">
        <v>12</v>
      </c>
    </row>
    <row r="7239" spans="1:14" x14ac:dyDescent="0.25">
      <c r="A7239">
        <v>20160715</v>
      </c>
      <c r="B7239" t="str">
        <f>"064086"</f>
        <v>064086</v>
      </c>
      <c r="C7239" t="str">
        <f>"60832"</f>
        <v>60832</v>
      </c>
      <c r="D7239" t="s">
        <v>1913</v>
      </c>
      <c r="E7239" s="3">
        <v>300</v>
      </c>
      <c r="F7239">
        <v>20160714</v>
      </c>
      <c r="G7239" t="s">
        <v>2588</v>
      </c>
      <c r="H7239" t="s">
        <v>5916</v>
      </c>
      <c r="I7239">
        <v>0</v>
      </c>
      <c r="J7239" t="s">
        <v>1709</v>
      </c>
      <c r="K7239" t="s">
        <v>1861</v>
      </c>
      <c r="L7239" t="s">
        <v>285</v>
      </c>
      <c r="M7239" t="str">
        <f t="shared" si="536"/>
        <v>07</v>
      </c>
      <c r="N7239" t="s">
        <v>12</v>
      </c>
    </row>
    <row r="7240" spans="1:14" x14ac:dyDescent="0.25">
      <c r="A7240">
        <v>20160715</v>
      </c>
      <c r="B7240" t="str">
        <f>"064087"</f>
        <v>064087</v>
      </c>
      <c r="C7240" t="str">
        <f>"64789"</f>
        <v>64789</v>
      </c>
      <c r="D7240" t="s">
        <v>2555</v>
      </c>
      <c r="E7240" s="3">
        <v>2002</v>
      </c>
      <c r="F7240">
        <v>20160714</v>
      </c>
      <c r="G7240" t="s">
        <v>4090</v>
      </c>
      <c r="H7240" t="s">
        <v>5917</v>
      </c>
      <c r="I7240">
        <v>0</v>
      </c>
      <c r="J7240" t="s">
        <v>1709</v>
      </c>
      <c r="K7240" t="s">
        <v>1861</v>
      </c>
      <c r="L7240" t="s">
        <v>285</v>
      </c>
      <c r="M7240" t="str">
        <f t="shared" si="536"/>
        <v>07</v>
      </c>
      <c r="N7240" t="s">
        <v>12</v>
      </c>
    </row>
    <row r="7241" spans="1:14" x14ac:dyDescent="0.25">
      <c r="A7241">
        <v>20160715</v>
      </c>
      <c r="B7241" t="str">
        <f>"064088"</f>
        <v>064088</v>
      </c>
      <c r="C7241" t="str">
        <f>"64562"</f>
        <v>64562</v>
      </c>
      <c r="D7241" t="s">
        <v>2379</v>
      </c>
      <c r="E7241" s="3">
        <v>224.02</v>
      </c>
      <c r="F7241">
        <v>20160714</v>
      </c>
      <c r="G7241" t="s">
        <v>5918</v>
      </c>
      <c r="H7241" t="s">
        <v>5919</v>
      </c>
      <c r="I7241">
        <v>0</v>
      </c>
      <c r="J7241" t="s">
        <v>1709</v>
      </c>
      <c r="K7241" t="s">
        <v>1643</v>
      </c>
      <c r="L7241" t="s">
        <v>285</v>
      </c>
      <c r="M7241" t="str">
        <f t="shared" si="536"/>
        <v>07</v>
      </c>
      <c r="N7241" t="s">
        <v>12</v>
      </c>
    </row>
    <row r="7242" spans="1:14" x14ac:dyDescent="0.25">
      <c r="A7242">
        <v>20160715</v>
      </c>
      <c r="B7242" t="str">
        <f>"064090"</f>
        <v>064090</v>
      </c>
      <c r="C7242" t="str">
        <f>"65826"</f>
        <v>65826</v>
      </c>
      <c r="D7242" t="s">
        <v>2386</v>
      </c>
      <c r="E7242" s="3">
        <v>345.02</v>
      </c>
      <c r="F7242">
        <v>20160714</v>
      </c>
      <c r="G7242" t="s">
        <v>2547</v>
      </c>
      <c r="H7242" t="s">
        <v>5920</v>
      </c>
      <c r="I7242">
        <v>0</v>
      </c>
      <c r="J7242" t="s">
        <v>1709</v>
      </c>
      <c r="K7242" t="s">
        <v>1643</v>
      </c>
      <c r="L7242" t="s">
        <v>285</v>
      </c>
      <c r="M7242" t="str">
        <f t="shared" si="536"/>
        <v>07</v>
      </c>
      <c r="N7242" t="s">
        <v>12</v>
      </c>
    </row>
    <row r="7243" spans="1:14" x14ac:dyDescent="0.25">
      <c r="A7243">
        <v>20160715</v>
      </c>
      <c r="B7243" t="str">
        <f>"064090"</f>
        <v>064090</v>
      </c>
      <c r="C7243" t="str">
        <f>"65826"</f>
        <v>65826</v>
      </c>
      <c r="D7243" t="s">
        <v>2386</v>
      </c>
      <c r="E7243" s="3">
        <v>1850.86</v>
      </c>
      <c r="F7243">
        <v>20160714</v>
      </c>
      <c r="G7243" t="s">
        <v>2275</v>
      </c>
      <c r="H7243" t="s">
        <v>3090</v>
      </c>
      <c r="I7243">
        <v>0</v>
      </c>
      <c r="J7243" t="s">
        <v>1709</v>
      </c>
      <c r="K7243" t="s">
        <v>95</v>
      </c>
      <c r="L7243" t="s">
        <v>285</v>
      </c>
      <c r="M7243" t="str">
        <f t="shared" si="536"/>
        <v>07</v>
      </c>
      <c r="N7243" t="s">
        <v>12</v>
      </c>
    </row>
    <row r="7244" spans="1:14" x14ac:dyDescent="0.25">
      <c r="A7244">
        <v>20160715</v>
      </c>
      <c r="B7244" t="str">
        <f>"064093"</f>
        <v>064093</v>
      </c>
      <c r="C7244" t="str">
        <f>"67580"</f>
        <v>67580</v>
      </c>
      <c r="D7244" t="s">
        <v>4612</v>
      </c>
      <c r="E7244" s="3">
        <v>682.88</v>
      </c>
      <c r="F7244">
        <v>20160714</v>
      </c>
      <c r="G7244" t="s">
        <v>4980</v>
      </c>
      <c r="H7244" t="s">
        <v>5264</v>
      </c>
      <c r="I7244">
        <v>0</v>
      </c>
      <c r="J7244" t="s">
        <v>1709</v>
      </c>
      <c r="K7244" t="s">
        <v>290</v>
      </c>
      <c r="L7244" t="s">
        <v>285</v>
      </c>
      <c r="M7244" t="str">
        <f t="shared" si="536"/>
        <v>07</v>
      </c>
      <c r="N7244" t="s">
        <v>12</v>
      </c>
    </row>
    <row r="7245" spans="1:14" x14ac:dyDescent="0.25">
      <c r="A7245">
        <v>20160715</v>
      </c>
      <c r="B7245" t="str">
        <f>"064095"</f>
        <v>064095</v>
      </c>
      <c r="C7245" t="str">
        <f>"72001"</f>
        <v>72001</v>
      </c>
      <c r="D7245" t="s">
        <v>5921</v>
      </c>
      <c r="E7245" s="3">
        <v>5173.1400000000003</v>
      </c>
      <c r="F7245">
        <v>20160714</v>
      </c>
      <c r="G7245" t="s">
        <v>5922</v>
      </c>
      <c r="H7245" t="s">
        <v>5923</v>
      </c>
      <c r="I7245">
        <v>0</v>
      </c>
      <c r="J7245" t="s">
        <v>1709</v>
      </c>
      <c r="K7245" t="s">
        <v>33</v>
      </c>
      <c r="L7245" t="s">
        <v>285</v>
      </c>
      <c r="M7245" t="str">
        <f t="shared" si="536"/>
        <v>07</v>
      </c>
      <c r="N7245" t="s">
        <v>12</v>
      </c>
    </row>
    <row r="7246" spans="1:14" x14ac:dyDescent="0.25">
      <c r="A7246">
        <v>20160715</v>
      </c>
      <c r="B7246" t="str">
        <f t="shared" ref="B7246:B7284" si="537">"064096"</f>
        <v>064096</v>
      </c>
      <c r="C7246" t="str">
        <f t="shared" ref="C7246:C7284" si="538">"71225"</f>
        <v>71225</v>
      </c>
      <c r="D7246" t="s">
        <v>1920</v>
      </c>
      <c r="E7246" s="3">
        <v>305.2</v>
      </c>
      <c r="F7246">
        <v>20160714</v>
      </c>
      <c r="G7246" t="s">
        <v>1854</v>
      </c>
      <c r="H7246" t="s">
        <v>3811</v>
      </c>
      <c r="I7246">
        <v>0</v>
      </c>
      <c r="J7246" t="s">
        <v>1709</v>
      </c>
      <c r="K7246" t="s">
        <v>1856</v>
      </c>
      <c r="L7246" t="s">
        <v>285</v>
      </c>
      <c r="M7246" t="str">
        <f t="shared" si="536"/>
        <v>07</v>
      </c>
      <c r="N7246" t="s">
        <v>12</v>
      </c>
    </row>
    <row r="7247" spans="1:14" x14ac:dyDescent="0.25">
      <c r="A7247">
        <v>20160715</v>
      </c>
      <c r="B7247" t="str">
        <f t="shared" si="537"/>
        <v>064096</v>
      </c>
      <c r="C7247" t="str">
        <f t="shared" si="538"/>
        <v>71225</v>
      </c>
      <c r="D7247" t="s">
        <v>1920</v>
      </c>
      <c r="E7247" s="3">
        <v>254.66</v>
      </c>
      <c r="F7247">
        <v>20160714</v>
      </c>
      <c r="G7247" t="s">
        <v>1854</v>
      </c>
      <c r="H7247" t="s">
        <v>3813</v>
      </c>
      <c r="I7247">
        <v>0</v>
      </c>
      <c r="J7247" t="s">
        <v>1709</v>
      </c>
      <c r="K7247" t="s">
        <v>1856</v>
      </c>
      <c r="L7247" t="s">
        <v>285</v>
      </c>
      <c r="M7247" t="str">
        <f t="shared" si="536"/>
        <v>07</v>
      </c>
      <c r="N7247" t="s">
        <v>12</v>
      </c>
    </row>
    <row r="7248" spans="1:14" x14ac:dyDescent="0.25">
      <c r="A7248">
        <v>20160715</v>
      </c>
      <c r="B7248" t="str">
        <f t="shared" si="537"/>
        <v>064096</v>
      </c>
      <c r="C7248" t="str">
        <f t="shared" si="538"/>
        <v>71225</v>
      </c>
      <c r="D7248" t="s">
        <v>1920</v>
      </c>
      <c r="E7248" s="3">
        <v>254.66</v>
      </c>
      <c r="F7248">
        <v>20160714</v>
      </c>
      <c r="G7248" t="s">
        <v>1854</v>
      </c>
      <c r="H7248" t="s">
        <v>3814</v>
      </c>
      <c r="I7248">
        <v>0</v>
      </c>
      <c r="J7248" t="s">
        <v>1709</v>
      </c>
      <c r="K7248" t="s">
        <v>1856</v>
      </c>
      <c r="L7248" t="s">
        <v>285</v>
      </c>
      <c r="M7248" t="str">
        <f t="shared" si="536"/>
        <v>07</v>
      </c>
      <c r="N7248" t="s">
        <v>12</v>
      </c>
    </row>
    <row r="7249" spans="1:14" x14ac:dyDescent="0.25">
      <c r="A7249">
        <v>20160715</v>
      </c>
      <c r="B7249" t="str">
        <f t="shared" si="537"/>
        <v>064096</v>
      </c>
      <c r="C7249" t="str">
        <f t="shared" si="538"/>
        <v>71225</v>
      </c>
      <c r="D7249" t="s">
        <v>1920</v>
      </c>
      <c r="E7249" s="3">
        <v>40</v>
      </c>
      <c r="F7249">
        <v>20160714</v>
      </c>
      <c r="G7249" t="s">
        <v>1854</v>
      </c>
      <c r="H7249" t="s">
        <v>5924</v>
      </c>
      <c r="I7249">
        <v>0</v>
      </c>
      <c r="J7249" t="s">
        <v>1709</v>
      </c>
      <c r="K7249" t="s">
        <v>1856</v>
      </c>
      <c r="L7249" t="s">
        <v>285</v>
      </c>
      <c r="M7249" t="str">
        <f t="shared" si="536"/>
        <v>07</v>
      </c>
      <c r="N7249" t="s">
        <v>12</v>
      </c>
    </row>
    <row r="7250" spans="1:14" x14ac:dyDescent="0.25">
      <c r="A7250">
        <v>20160715</v>
      </c>
      <c r="B7250" t="str">
        <f t="shared" si="537"/>
        <v>064096</v>
      </c>
      <c r="C7250" t="str">
        <f t="shared" si="538"/>
        <v>71225</v>
      </c>
      <c r="D7250" t="s">
        <v>1920</v>
      </c>
      <c r="E7250" s="3">
        <v>253.1</v>
      </c>
      <c r="F7250">
        <v>20160714</v>
      </c>
      <c r="G7250" t="s">
        <v>1854</v>
      </c>
      <c r="H7250" t="s">
        <v>3823</v>
      </c>
      <c r="I7250">
        <v>0</v>
      </c>
      <c r="J7250" t="s">
        <v>1709</v>
      </c>
      <c r="K7250" t="s">
        <v>1856</v>
      </c>
      <c r="L7250" t="s">
        <v>285</v>
      </c>
      <c r="M7250" t="str">
        <f t="shared" si="536"/>
        <v>07</v>
      </c>
      <c r="N7250" t="s">
        <v>12</v>
      </c>
    </row>
    <row r="7251" spans="1:14" x14ac:dyDescent="0.25">
      <c r="A7251">
        <v>20160715</v>
      </c>
      <c r="B7251" t="str">
        <f t="shared" si="537"/>
        <v>064096</v>
      </c>
      <c r="C7251" t="str">
        <f t="shared" si="538"/>
        <v>71225</v>
      </c>
      <c r="D7251" t="s">
        <v>1920</v>
      </c>
      <c r="E7251" s="3">
        <v>40</v>
      </c>
      <c r="F7251">
        <v>20160714</v>
      </c>
      <c r="G7251" t="s">
        <v>1854</v>
      </c>
      <c r="H7251" t="s">
        <v>5925</v>
      </c>
      <c r="I7251">
        <v>0</v>
      </c>
      <c r="J7251" t="s">
        <v>1709</v>
      </c>
      <c r="K7251" t="s">
        <v>1856</v>
      </c>
      <c r="L7251" t="s">
        <v>285</v>
      </c>
      <c r="M7251" t="str">
        <f t="shared" si="536"/>
        <v>07</v>
      </c>
      <c r="N7251" t="s">
        <v>12</v>
      </c>
    </row>
    <row r="7252" spans="1:14" x14ac:dyDescent="0.25">
      <c r="A7252">
        <v>20160715</v>
      </c>
      <c r="B7252" t="str">
        <f t="shared" si="537"/>
        <v>064096</v>
      </c>
      <c r="C7252" t="str">
        <f t="shared" si="538"/>
        <v>71225</v>
      </c>
      <c r="D7252" t="s">
        <v>1920</v>
      </c>
      <c r="E7252" s="3">
        <v>226.51</v>
      </c>
      <c r="F7252">
        <v>20160714</v>
      </c>
      <c r="G7252" t="s">
        <v>1854</v>
      </c>
      <c r="H7252" t="s">
        <v>3812</v>
      </c>
      <c r="I7252">
        <v>0</v>
      </c>
      <c r="J7252" t="s">
        <v>1709</v>
      </c>
      <c r="K7252" t="s">
        <v>1856</v>
      </c>
      <c r="L7252" t="s">
        <v>285</v>
      </c>
      <c r="M7252" t="str">
        <f t="shared" si="536"/>
        <v>07</v>
      </c>
      <c r="N7252" t="s">
        <v>12</v>
      </c>
    </row>
    <row r="7253" spans="1:14" x14ac:dyDescent="0.25">
      <c r="A7253">
        <v>20160715</v>
      </c>
      <c r="B7253" t="str">
        <f t="shared" si="537"/>
        <v>064096</v>
      </c>
      <c r="C7253" t="str">
        <f t="shared" si="538"/>
        <v>71225</v>
      </c>
      <c r="D7253" t="s">
        <v>1920</v>
      </c>
      <c r="E7253" s="3">
        <v>136.47</v>
      </c>
      <c r="F7253">
        <v>20160714</v>
      </c>
      <c r="G7253" t="s">
        <v>1854</v>
      </c>
      <c r="H7253" t="s">
        <v>5926</v>
      </c>
      <c r="I7253">
        <v>0</v>
      </c>
      <c r="J7253" t="s">
        <v>1709</v>
      </c>
      <c r="K7253" t="s">
        <v>1856</v>
      </c>
      <c r="L7253" t="s">
        <v>285</v>
      </c>
      <c r="M7253" t="str">
        <f t="shared" si="536"/>
        <v>07</v>
      </c>
      <c r="N7253" t="s">
        <v>12</v>
      </c>
    </row>
    <row r="7254" spans="1:14" x14ac:dyDescent="0.25">
      <c r="A7254">
        <v>20160715</v>
      </c>
      <c r="B7254" t="str">
        <f t="shared" si="537"/>
        <v>064096</v>
      </c>
      <c r="C7254" t="str">
        <f t="shared" si="538"/>
        <v>71225</v>
      </c>
      <c r="D7254" t="s">
        <v>1920</v>
      </c>
      <c r="E7254" s="3">
        <v>38.450000000000003</v>
      </c>
      <c r="F7254">
        <v>20160714</v>
      </c>
      <c r="G7254" t="s">
        <v>1854</v>
      </c>
      <c r="H7254" t="s">
        <v>3819</v>
      </c>
      <c r="I7254">
        <v>0</v>
      </c>
      <c r="J7254" t="s">
        <v>1709</v>
      </c>
      <c r="K7254" t="s">
        <v>1856</v>
      </c>
      <c r="L7254" t="s">
        <v>285</v>
      </c>
      <c r="M7254" t="str">
        <f t="shared" si="536"/>
        <v>07</v>
      </c>
      <c r="N7254" t="s">
        <v>12</v>
      </c>
    </row>
    <row r="7255" spans="1:14" x14ac:dyDescent="0.25">
      <c r="A7255">
        <v>20160715</v>
      </c>
      <c r="B7255" t="str">
        <f t="shared" si="537"/>
        <v>064096</v>
      </c>
      <c r="C7255" t="str">
        <f t="shared" si="538"/>
        <v>71225</v>
      </c>
      <c r="D7255" t="s">
        <v>1920</v>
      </c>
      <c r="E7255" s="3">
        <v>40</v>
      </c>
      <c r="F7255">
        <v>20160714</v>
      </c>
      <c r="G7255" t="s">
        <v>1854</v>
      </c>
      <c r="H7255" t="s">
        <v>5927</v>
      </c>
      <c r="I7255">
        <v>0</v>
      </c>
      <c r="J7255" t="s">
        <v>1709</v>
      </c>
      <c r="K7255" t="s">
        <v>1856</v>
      </c>
      <c r="L7255" t="s">
        <v>285</v>
      </c>
      <c r="M7255" t="str">
        <f t="shared" si="536"/>
        <v>07</v>
      </c>
      <c r="N7255" t="s">
        <v>12</v>
      </c>
    </row>
    <row r="7256" spans="1:14" x14ac:dyDescent="0.25">
      <c r="A7256">
        <v>20160715</v>
      </c>
      <c r="B7256" t="str">
        <f t="shared" si="537"/>
        <v>064096</v>
      </c>
      <c r="C7256" t="str">
        <f t="shared" si="538"/>
        <v>71225</v>
      </c>
      <c r="D7256" t="s">
        <v>1920</v>
      </c>
      <c r="E7256" s="3">
        <v>40</v>
      </c>
      <c r="F7256">
        <v>20160714</v>
      </c>
      <c r="G7256" t="s">
        <v>1854</v>
      </c>
      <c r="H7256" t="s">
        <v>5928</v>
      </c>
      <c r="I7256">
        <v>0</v>
      </c>
      <c r="J7256" t="s">
        <v>1709</v>
      </c>
      <c r="K7256" t="s">
        <v>1856</v>
      </c>
      <c r="L7256" t="s">
        <v>285</v>
      </c>
      <c r="M7256" t="str">
        <f t="shared" si="536"/>
        <v>07</v>
      </c>
      <c r="N7256" t="s">
        <v>12</v>
      </c>
    </row>
    <row r="7257" spans="1:14" x14ac:dyDescent="0.25">
      <c r="A7257">
        <v>20160715</v>
      </c>
      <c r="B7257" t="str">
        <f t="shared" si="537"/>
        <v>064096</v>
      </c>
      <c r="C7257" t="str">
        <f t="shared" si="538"/>
        <v>71225</v>
      </c>
      <c r="D7257" t="s">
        <v>1920</v>
      </c>
      <c r="E7257" s="3">
        <v>292.42</v>
      </c>
      <c r="F7257">
        <v>20160714</v>
      </c>
      <c r="G7257" t="s">
        <v>1854</v>
      </c>
      <c r="H7257" t="s">
        <v>3450</v>
      </c>
      <c r="I7257">
        <v>0</v>
      </c>
      <c r="J7257" t="s">
        <v>1709</v>
      </c>
      <c r="K7257" t="s">
        <v>1856</v>
      </c>
      <c r="L7257" t="s">
        <v>285</v>
      </c>
      <c r="M7257" t="str">
        <f t="shared" si="536"/>
        <v>07</v>
      </c>
      <c r="N7257" t="s">
        <v>12</v>
      </c>
    </row>
    <row r="7258" spans="1:14" x14ac:dyDescent="0.25">
      <c r="A7258">
        <v>20160715</v>
      </c>
      <c r="B7258" t="str">
        <f t="shared" si="537"/>
        <v>064096</v>
      </c>
      <c r="C7258" t="str">
        <f t="shared" si="538"/>
        <v>71225</v>
      </c>
      <c r="D7258" t="s">
        <v>1920</v>
      </c>
      <c r="E7258" s="3">
        <v>40</v>
      </c>
      <c r="F7258">
        <v>20160714</v>
      </c>
      <c r="G7258" t="s">
        <v>1854</v>
      </c>
      <c r="H7258" t="s">
        <v>5929</v>
      </c>
      <c r="I7258">
        <v>0</v>
      </c>
      <c r="J7258" t="s">
        <v>1709</v>
      </c>
      <c r="K7258" t="s">
        <v>1856</v>
      </c>
      <c r="L7258" t="s">
        <v>285</v>
      </c>
      <c r="M7258" t="str">
        <f t="shared" si="536"/>
        <v>07</v>
      </c>
      <c r="N7258" t="s">
        <v>12</v>
      </c>
    </row>
    <row r="7259" spans="1:14" x14ac:dyDescent="0.25">
      <c r="A7259">
        <v>20160715</v>
      </c>
      <c r="B7259" t="str">
        <f t="shared" si="537"/>
        <v>064096</v>
      </c>
      <c r="C7259" t="str">
        <f t="shared" si="538"/>
        <v>71225</v>
      </c>
      <c r="D7259" t="s">
        <v>1920</v>
      </c>
      <c r="E7259" s="3">
        <v>297.72000000000003</v>
      </c>
      <c r="F7259">
        <v>20160714</v>
      </c>
      <c r="G7259" t="s">
        <v>1854</v>
      </c>
      <c r="H7259" t="s">
        <v>3824</v>
      </c>
      <c r="I7259">
        <v>0</v>
      </c>
      <c r="J7259" t="s">
        <v>1709</v>
      </c>
      <c r="K7259" t="s">
        <v>1856</v>
      </c>
      <c r="L7259" t="s">
        <v>285</v>
      </c>
      <c r="M7259" t="str">
        <f t="shared" si="536"/>
        <v>07</v>
      </c>
      <c r="N7259" t="s">
        <v>12</v>
      </c>
    </row>
    <row r="7260" spans="1:14" x14ac:dyDescent="0.25">
      <c r="A7260">
        <v>20160715</v>
      </c>
      <c r="B7260" t="str">
        <f t="shared" si="537"/>
        <v>064096</v>
      </c>
      <c r="C7260" t="str">
        <f t="shared" si="538"/>
        <v>71225</v>
      </c>
      <c r="D7260" t="s">
        <v>1920</v>
      </c>
      <c r="E7260" s="3">
        <v>223.32</v>
      </c>
      <c r="F7260">
        <v>20160714</v>
      </c>
      <c r="G7260" t="s">
        <v>1854</v>
      </c>
      <c r="H7260" t="s">
        <v>3825</v>
      </c>
      <c r="I7260">
        <v>0</v>
      </c>
      <c r="J7260" t="s">
        <v>1709</v>
      </c>
      <c r="K7260" t="s">
        <v>1856</v>
      </c>
      <c r="L7260" t="s">
        <v>285</v>
      </c>
      <c r="M7260" t="str">
        <f t="shared" si="536"/>
        <v>07</v>
      </c>
      <c r="N7260" t="s">
        <v>12</v>
      </c>
    </row>
    <row r="7261" spans="1:14" x14ac:dyDescent="0.25">
      <c r="A7261">
        <v>20160715</v>
      </c>
      <c r="B7261" t="str">
        <f t="shared" si="537"/>
        <v>064096</v>
      </c>
      <c r="C7261" t="str">
        <f t="shared" si="538"/>
        <v>71225</v>
      </c>
      <c r="D7261" t="s">
        <v>1920</v>
      </c>
      <c r="E7261" s="3">
        <v>99.95</v>
      </c>
      <c r="F7261">
        <v>20160714</v>
      </c>
      <c r="G7261" t="s">
        <v>1854</v>
      </c>
      <c r="H7261" t="s">
        <v>3451</v>
      </c>
      <c r="I7261">
        <v>0</v>
      </c>
      <c r="J7261" t="s">
        <v>1709</v>
      </c>
      <c r="K7261" t="s">
        <v>1856</v>
      </c>
      <c r="L7261" t="s">
        <v>285</v>
      </c>
      <c r="M7261" t="str">
        <f t="shared" si="536"/>
        <v>07</v>
      </c>
      <c r="N7261" t="s">
        <v>12</v>
      </c>
    </row>
    <row r="7262" spans="1:14" x14ac:dyDescent="0.25">
      <c r="A7262">
        <v>20160715</v>
      </c>
      <c r="B7262" t="str">
        <f t="shared" si="537"/>
        <v>064096</v>
      </c>
      <c r="C7262" t="str">
        <f t="shared" si="538"/>
        <v>71225</v>
      </c>
      <c r="D7262" t="s">
        <v>1920</v>
      </c>
      <c r="E7262" s="3">
        <v>34.200000000000003</v>
      </c>
      <c r="F7262">
        <v>20160714</v>
      </c>
      <c r="G7262" t="s">
        <v>1854</v>
      </c>
      <c r="H7262" t="s">
        <v>3818</v>
      </c>
      <c r="I7262">
        <v>0</v>
      </c>
      <c r="J7262" t="s">
        <v>1709</v>
      </c>
      <c r="K7262" t="s">
        <v>1856</v>
      </c>
      <c r="L7262" t="s">
        <v>285</v>
      </c>
      <c r="M7262" t="str">
        <f t="shared" si="536"/>
        <v>07</v>
      </c>
      <c r="N7262" t="s">
        <v>12</v>
      </c>
    </row>
    <row r="7263" spans="1:14" x14ac:dyDescent="0.25">
      <c r="A7263">
        <v>20160715</v>
      </c>
      <c r="B7263" t="str">
        <f t="shared" si="537"/>
        <v>064096</v>
      </c>
      <c r="C7263" t="str">
        <f t="shared" si="538"/>
        <v>71225</v>
      </c>
      <c r="D7263" t="s">
        <v>1920</v>
      </c>
      <c r="E7263" s="3">
        <v>40</v>
      </c>
      <c r="F7263">
        <v>20160714</v>
      </c>
      <c r="G7263" t="s">
        <v>1854</v>
      </c>
      <c r="H7263" t="s">
        <v>5930</v>
      </c>
      <c r="I7263">
        <v>0</v>
      </c>
      <c r="J7263" t="s">
        <v>1709</v>
      </c>
      <c r="K7263" t="s">
        <v>1856</v>
      </c>
      <c r="L7263" t="s">
        <v>285</v>
      </c>
      <c r="M7263" t="str">
        <f t="shared" si="536"/>
        <v>07</v>
      </c>
      <c r="N7263" t="s">
        <v>12</v>
      </c>
    </row>
    <row r="7264" spans="1:14" x14ac:dyDescent="0.25">
      <c r="A7264">
        <v>20160715</v>
      </c>
      <c r="B7264" t="str">
        <f t="shared" si="537"/>
        <v>064096</v>
      </c>
      <c r="C7264" t="str">
        <f t="shared" si="538"/>
        <v>71225</v>
      </c>
      <c r="D7264" t="s">
        <v>1920</v>
      </c>
      <c r="E7264" s="3">
        <v>40</v>
      </c>
      <c r="F7264">
        <v>20160714</v>
      </c>
      <c r="G7264" t="s">
        <v>1854</v>
      </c>
      <c r="H7264" t="s">
        <v>5931</v>
      </c>
      <c r="I7264">
        <v>0</v>
      </c>
      <c r="J7264" t="s">
        <v>1709</v>
      </c>
      <c r="K7264" t="s">
        <v>1856</v>
      </c>
      <c r="L7264" t="s">
        <v>285</v>
      </c>
      <c r="M7264" t="str">
        <f t="shared" si="536"/>
        <v>07</v>
      </c>
      <c r="N7264" t="s">
        <v>12</v>
      </c>
    </row>
    <row r="7265" spans="1:14" x14ac:dyDescent="0.25">
      <c r="A7265">
        <v>20160715</v>
      </c>
      <c r="B7265" t="str">
        <f t="shared" si="537"/>
        <v>064096</v>
      </c>
      <c r="C7265" t="str">
        <f t="shared" si="538"/>
        <v>71225</v>
      </c>
      <c r="D7265" t="s">
        <v>1920</v>
      </c>
      <c r="E7265" s="3">
        <v>40</v>
      </c>
      <c r="F7265">
        <v>20160714</v>
      </c>
      <c r="G7265" t="s">
        <v>1854</v>
      </c>
      <c r="H7265" t="s">
        <v>5932</v>
      </c>
      <c r="I7265">
        <v>0</v>
      </c>
      <c r="J7265" t="s">
        <v>1709</v>
      </c>
      <c r="K7265" t="s">
        <v>1856</v>
      </c>
      <c r="L7265" t="s">
        <v>285</v>
      </c>
      <c r="M7265" t="str">
        <f t="shared" si="536"/>
        <v>07</v>
      </c>
      <c r="N7265" t="s">
        <v>12</v>
      </c>
    </row>
    <row r="7266" spans="1:14" x14ac:dyDescent="0.25">
      <c r="A7266">
        <v>20160715</v>
      </c>
      <c r="B7266" t="str">
        <f t="shared" si="537"/>
        <v>064096</v>
      </c>
      <c r="C7266" t="str">
        <f t="shared" si="538"/>
        <v>71225</v>
      </c>
      <c r="D7266" t="s">
        <v>1920</v>
      </c>
      <c r="E7266" s="3">
        <v>40</v>
      </c>
      <c r="F7266">
        <v>20160714</v>
      </c>
      <c r="G7266" t="s">
        <v>1854</v>
      </c>
      <c r="H7266" t="s">
        <v>5933</v>
      </c>
      <c r="I7266">
        <v>0</v>
      </c>
      <c r="J7266" t="s">
        <v>1709</v>
      </c>
      <c r="K7266" t="s">
        <v>1856</v>
      </c>
      <c r="L7266" t="s">
        <v>285</v>
      </c>
      <c r="M7266" t="str">
        <f t="shared" si="536"/>
        <v>07</v>
      </c>
      <c r="N7266" t="s">
        <v>12</v>
      </c>
    </row>
    <row r="7267" spans="1:14" x14ac:dyDescent="0.25">
      <c r="A7267">
        <v>20160715</v>
      </c>
      <c r="B7267" t="str">
        <f t="shared" si="537"/>
        <v>064096</v>
      </c>
      <c r="C7267" t="str">
        <f t="shared" si="538"/>
        <v>71225</v>
      </c>
      <c r="D7267" t="s">
        <v>1920</v>
      </c>
      <c r="E7267" s="3">
        <v>305.05</v>
      </c>
      <c r="F7267">
        <v>20160714</v>
      </c>
      <c r="G7267" t="s">
        <v>1854</v>
      </c>
      <c r="H7267" t="s">
        <v>3815</v>
      </c>
      <c r="I7267">
        <v>0</v>
      </c>
      <c r="J7267" t="s">
        <v>1709</v>
      </c>
      <c r="K7267" t="s">
        <v>1856</v>
      </c>
      <c r="L7267" t="s">
        <v>285</v>
      </c>
      <c r="M7267" t="str">
        <f t="shared" si="536"/>
        <v>07</v>
      </c>
      <c r="N7267" t="s">
        <v>12</v>
      </c>
    </row>
    <row r="7268" spans="1:14" x14ac:dyDescent="0.25">
      <c r="A7268">
        <v>20160715</v>
      </c>
      <c r="B7268" t="str">
        <f t="shared" si="537"/>
        <v>064096</v>
      </c>
      <c r="C7268" t="str">
        <f t="shared" si="538"/>
        <v>71225</v>
      </c>
      <c r="D7268" t="s">
        <v>1920</v>
      </c>
      <c r="E7268" s="3">
        <v>312.08</v>
      </c>
      <c r="F7268">
        <v>20160714</v>
      </c>
      <c r="G7268" t="s">
        <v>1854</v>
      </c>
      <c r="H7268" t="s">
        <v>5934</v>
      </c>
      <c r="I7268">
        <v>0</v>
      </c>
      <c r="J7268" t="s">
        <v>1709</v>
      </c>
      <c r="K7268" t="s">
        <v>1856</v>
      </c>
      <c r="L7268" t="s">
        <v>285</v>
      </c>
      <c r="M7268" t="str">
        <f t="shared" si="536"/>
        <v>07</v>
      </c>
      <c r="N7268" t="s">
        <v>12</v>
      </c>
    </row>
    <row r="7269" spans="1:14" x14ac:dyDescent="0.25">
      <c r="A7269">
        <v>20160715</v>
      </c>
      <c r="B7269" t="str">
        <f t="shared" si="537"/>
        <v>064096</v>
      </c>
      <c r="C7269" t="str">
        <f t="shared" si="538"/>
        <v>71225</v>
      </c>
      <c r="D7269" t="s">
        <v>1920</v>
      </c>
      <c r="E7269" s="3">
        <v>40</v>
      </c>
      <c r="F7269">
        <v>20160714</v>
      </c>
      <c r="G7269" t="s">
        <v>1854</v>
      </c>
      <c r="H7269" t="s">
        <v>5935</v>
      </c>
      <c r="I7269">
        <v>0</v>
      </c>
      <c r="J7269" t="s">
        <v>1709</v>
      </c>
      <c r="K7269" t="s">
        <v>1856</v>
      </c>
      <c r="L7269" t="s">
        <v>285</v>
      </c>
      <c r="M7269" t="str">
        <f t="shared" si="536"/>
        <v>07</v>
      </c>
      <c r="N7269" t="s">
        <v>12</v>
      </c>
    </row>
    <row r="7270" spans="1:14" x14ac:dyDescent="0.25">
      <c r="A7270">
        <v>20160715</v>
      </c>
      <c r="B7270" t="str">
        <f t="shared" si="537"/>
        <v>064096</v>
      </c>
      <c r="C7270" t="str">
        <f t="shared" si="538"/>
        <v>71225</v>
      </c>
      <c r="D7270" t="s">
        <v>1920</v>
      </c>
      <c r="E7270" s="3">
        <v>40</v>
      </c>
      <c r="F7270">
        <v>20160714</v>
      </c>
      <c r="G7270" t="s">
        <v>1854</v>
      </c>
      <c r="H7270" t="s">
        <v>5936</v>
      </c>
      <c r="I7270">
        <v>0</v>
      </c>
      <c r="J7270" t="s">
        <v>1709</v>
      </c>
      <c r="K7270" t="s">
        <v>1856</v>
      </c>
      <c r="L7270" t="s">
        <v>285</v>
      </c>
      <c r="M7270" t="str">
        <f t="shared" si="536"/>
        <v>07</v>
      </c>
      <c r="N7270" t="s">
        <v>12</v>
      </c>
    </row>
    <row r="7271" spans="1:14" x14ac:dyDescent="0.25">
      <c r="A7271">
        <v>20160715</v>
      </c>
      <c r="B7271" t="str">
        <f t="shared" si="537"/>
        <v>064096</v>
      </c>
      <c r="C7271" t="str">
        <f t="shared" si="538"/>
        <v>71225</v>
      </c>
      <c r="D7271" t="s">
        <v>1920</v>
      </c>
      <c r="E7271" s="3">
        <v>40</v>
      </c>
      <c r="F7271">
        <v>20160714</v>
      </c>
      <c r="G7271" t="s">
        <v>1854</v>
      </c>
      <c r="H7271" t="s">
        <v>5937</v>
      </c>
      <c r="I7271">
        <v>0</v>
      </c>
      <c r="J7271" t="s">
        <v>1709</v>
      </c>
      <c r="K7271" t="s">
        <v>1856</v>
      </c>
      <c r="L7271" t="s">
        <v>285</v>
      </c>
      <c r="M7271" t="str">
        <f t="shared" si="536"/>
        <v>07</v>
      </c>
      <c r="N7271" t="s">
        <v>12</v>
      </c>
    </row>
    <row r="7272" spans="1:14" x14ac:dyDescent="0.25">
      <c r="A7272">
        <v>20160715</v>
      </c>
      <c r="B7272" t="str">
        <f t="shared" si="537"/>
        <v>064096</v>
      </c>
      <c r="C7272" t="str">
        <f t="shared" si="538"/>
        <v>71225</v>
      </c>
      <c r="D7272" t="s">
        <v>1920</v>
      </c>
      <c r="E7272" s="3">
        <v>365.06</v>
      </c>
      <c r="F7272">
        <v>20160714</v>
      </c>
      <c r="G7272" t="s">
        <v>1854</v>
      </c>
      <c r="H7272" t="s">
        <v>3817</v>
      </c>
      <c r="I7272">
        <v>0</v>
      </c>
      <c r="J7272" t="s">
        <v>1709</v>
      </c>
      <c r="K7272" t="s">
        <v>1856</v>
      </c>
      <c r="L7272" t="s">
        <v>285</v>
      </c>
      <c r="M7272" t="str">
        <f t="shared" si="536"/>
        <v>07</v>
      </c>
      <c r="N7272" t="s">
        <v>12</v>
      </c>
    </row>
    <row r="7273" spans="1:14" x14ac:dyDescent="0.25">
      <c r="A7273">
        <v>20160715</v>
      </c>
      <c r="B7273" t="str">
        <f t="shared" si="537"/>
        <v>064096</v>
      </c>
      <c r="C7273" t="str">
        <f t="shared" si="538"/>
        <v>71225</v>
      </c>
      <c r="D7273" t="s">
        <v>1920</v>
      </c>
      <c r="E7273" s="3">
        <v>442.34</v>
      </c>
      <c r="F7273">
        <v>20160714</v>
      </c>
      <c r="G7273" t="s">
        <v>1854</v>
      </c>
      <c r="H7273" t="s">
        <v>3822</v>
      </c>
      <c r="I7273">
        <v>0</v>
      </c>
      <c r="J7273" t="s">
        <v>1709</v>
      </c>
      <c r="K7273" t="s">
        <v>1856</v>
      </c>
      <c r="L7273" t="s">
        <v>285</v>
      </c>
      <c r="M7273" t="str">
        <f t="shared" si="536"/>
        <v>07</v>
      </c>
      <c r="N7273" t="s">
        <v>12</v>
      </c>
    </row>
    <row r="7274" spans="1:14" x14ac:dyDescent="0.25">
      <c r="A7274">
        <v>20160715</v>
      </c>
      <c r="B7274" t="str">
        <f t="shared" si="537"/>
        <v>064096</v>
      </c>
      <c r="C7274" t="str">
        <f t="shared" si="538"/>
        <v>71225</v>
      </c>
      <c r="D7274" t="s">
        <v>1920</v>
      </c>
      <c r="E7274" s="3">
        <v>302.38</v>
      </c>
      <c r="F7274">
        <v>20160714</v>
      </c>
      <c r="G7274" t="s">
        <v>1854</v>
      </c>
      <c r="H7274" t="s">
        <v>5938</v>
      </c>
      <c r="I7274">
        <v>0</v>
      </c>
      <c r="J7274" t="s">
        <v>1709</v>
      </c>
      <c r="K7274" t="s">
        <v>1856</v>
      </c>
      <c r="L7274" t="s">
        <v>285</v>
      </c>
      <c r="M7274" t="str">
        <f t="shared" si="536"/>
        <v>07</v>
      </c>
      <c r="N7274" t="s">
        <v>12</v>
      </c>
    </row>
    <row r="7275" spans="1:14" x14ac:dyDescent="0.25">
      <c r="A7275">
        <v>20160715</v>
      </c>
      <c r="B7275" t="str">
        <f t="shared" si="537"/>
        <v>064096</v>
      </c>
      <c r="C7275" t="str">
        <f t="shared" si="538"/>
        <v>71225</v>
      </c>
      <c r="D7275" t="s">
        <v>1920</v>
      </c>
      <c r="E7275" s="3">
        <v>334.15</v>
      </c>
      <c r="F7275">
        <v>20160714</v>
      </c>
      <c r="G7275" t="s">
        <v>1854</v>
      </c>
      <c r="H7275" t="s">
        <v>3453</v>
      </c>
      <c r="I7275">
        <v>0</v>
      </c>
      <c r="J7275" t="s">
        <v>1709</v>
      </c>
      <c r="K7275" t="s">
        <v>1856</v>
      </c>
      <c r="L7275" t="s">
        <v>285</v>
      </c>
      <c r="M7275" t="str">
        <f t="shared" si="536"/>
        <v>07</v>
      </c>
      <c r="N7275" t="s">
        <v>12</v>
      </c>
    </row>
    <row r="7276" spans="1:14" x14ac:dyDescent="0.25">
      <c r="A7276">
        <v>20160715</v>
      </c>
      <c r="B7276" t="str">
        <f t="shared" si="537"/>
        <v>064096</v>
      </c>
      <c r="C7276" t="str">
        <f t="shared" si="538"/>
        <v>71225</v>
      </c>
      <c r="D7276" t="s">
        <v>1920</v>
      </c>
      <c r="E7276" s="3">
        <v>422.18</v>
      </c>
      <c r="F7276">
        <v>20160714</v>
      </c>
      <c r="G7276" t="s">
        <v>1854</v>
      </c>
      <c r="H7276" t="s">
        <v>5939</v>
      </c>
      <c r="I7276">
        <v>0</v>
      </c>
      <c r="J7276" t="s">
        <v>1709</v>
      </c>
      <c r="K7276" t="s">
        <v>1856</v>
      </c>
      <c r="L7276" t="s">
        <v>285</v>
      </c>
      <c r="M7276" t="str">
        <f t="shared" si="536"/>
        <v>07</v>
      </c>
      <c r="N7276" t="s">
        <v>12</v>
      </c>
    </row>
    <row r="7277" spans="1:14" x14ac:dyDescent="0.25">
      <c r="A7277">
        <v>20160715</v>
      </c>
      <c r="B7277" t="str">
        <f t="shared" si="537"/>
        <v>064096</v>
      </c>
      <c r="C7277" t="str">
        <f t="shared" si="538"/>
        <v>71225</v>
      </c>
      <c r="D7277" t="s">
        <v>1920</v>
      </c>
      <c r="E7277" s="3">
        <v>993.96</v>
      </c>
      <c r="F7277">
        <v>20160714</v>
      </c>
      <c r="G7277" t="s">
        <v>1854</v>
      </c>
      <c r="H7277" t="s">
        <v>5940</v>
      </c>
      <c r="I7277">
        <v>0</v>
      </c>
      <c r="J7277" t="s">
        <v>1709</v>
      </c>
      <c r="K7277" t="s">
        <v>1856</v>
      </c>
      <c r="L7277" t="s">
        <v>285</v>
      </c>
      <c r="M7277" t="str">
        <f t="shared" si="536"/>
        <v>07</v>
      </c>
      <c r="N7277" t="s">
        <v>12</v>
      </c>
    </row>
    <row r="7278" spans="1:14" x14ac:dyDescent="0.25">
      <c r="A7278">
        <v>20160715</v>
      </c>
      <c r="B7278" t="str">
        <f t="shared" si="537"/>
        <v>064096</v>
      </c>
      <c r="C7278" t="str">
        <f t="shared" si="538"/>
        <v>71225</v>
      </c>
      <c r="D7278" t="s">
        <v>1920</v>
      </c>
      <c r="E7278" s="3">
        <v>994.56</v>
      </c>
      <c r="F7278">
        <v>20160714</v>
      </c>
      <c r="G7278" t="s">
        <v>1854</v>
      </c>
      <c r="H7278" t="s">
        <v>5941</v>
      </c>
      <c r="I7278">
        <v>0</v>
      </c>
      <c r="J7278" t="s">
        <v>1709</v>
      </c>
      <c r="K7278" t="s">
        <v>1856</v>
      </c>
      <c r="L7278" t="s">
        <v>285</v>
      </c>
      <c r="M7278" t="str">
        <f t="shared" si="536"/>
        <v>07</v>
      </c>
      <c r="N7278" t="s">
        <v>12</v>
      </c>
    </row>
    <row r="7279" spans="1:14" x14ac:dyDescent="0.25">
      <c r="A7279">
        <v>20160715</v>
      </c>
      <c r="B7279" t="str">
        <f t="shared" si="537"/>
        <v>064096</v>
      </c>
      <c r="C7279" t="str">
        <f t="shared" si="538"/>
        <v>71225</v>
      </c>
      <c r="D7279" t="s">
        <v>1920</v>
      </c>
      <c r="E7279" s="3">
        <v>334.15</v>
      </c>
      <c r="F7279">
        <v>20160714</v>
      </c>
      <c r="G7279" t="s">
        <v>1854</v>
      </c>
      <c r="H7279" t="s">
        <v>3808</v>
      </c>
      <c r="I7279">
        <v>0</v>
      </c>
      <c r="J7279" t="s">
        <v>1709</v>
      </c>
      <c r="K7279" t="s">
        <v>1856</v>
      </c>
      <c r="L7279" t="s">
        <v>285</v>
      </c>
      <c r="M7279" t="str">
        <f t="shared" si="536"/>
        <v>07</v>
      </c>
      <c r="N7279" t="s">
        <v>12</v>
      </c>
    </row>
    <row r="7280" spans="1:14" x14ac:dyDescent="0.25">
      <c r="A7280">
        <v>20160715</v>
      </c>
      <c r="B7280" t="str">
        <f t="shared" si="537"/>
        <v>064096</v>
      </c>
      <c r="C7280" t="str">
        <f t="shared" si="538"/>
        <v>71225</v>
      </c>
      <c r="D7280" t="s">
        <v>1920</v>
      </c>
      <c r="E7280" s="3">
        <v>437.06</v>
      </c>
      <c r="F7280">
        <v>20160714</v>
      </c>
      <c r="G7280" t="s">
        <v>1854</v>
      </c>
      <c r="H7280" t="s">
        <v>3804</v>
      </c>
      <c r="I7280">
        <v>0</v>
      </c>
      <c r="J7280" t="s">
        <v>1709</v>
      </c>
      <c r="K7280" t="s">
        <v>1856</v>
      </c>
      <c r="L7280" t="s">
        <v>285</v>
      </c>
      <c r="M7280" t="str">
        <f t="shared" si="536"/>
        <v>07</v>
      </c>
      <c r="N7280" t="s">
        <v>12</v>
      </c>
    </row>
    <row r="7281" spans="1:14" x14ac:dyDescent="0.25">
      <c r="A7281">
        <v>20160715</v>
      </c>
      <c r="B7281" t="str">
        <f t="shared" si="537"/>
        <v>064096</v>
      </c>
      <c r="C7281" t="str">
        <f t="shared" si="538"/>
        <v>71225</v>
      </c>
      <c r="D7281" t="s">
        <v>1920</v>
      </c>
      <c r="E7281" s="3">
        <v>437.06</v>
      </c>
      <c r="F7281">
        <v>20160714</v>
      </c>
      <c r="G7281" t="s">
        <v>1854</v>
      </c>
      <c r="H7281" t="s">
        <v>3827</v>
      </c>
      <c r="I7281">
        <v>0</v>
      </c>
      <c r="J7281" t="s">
        <v>1709</v>
      </c>
      <c r="K7281" t="s">
        <v>1856</v>
      </c>
      <c r="L7281" t="s">
        <v>285</v>
      </c>
      <c r="M7281" t="str">
        <f t="shared" si="536"/>
        <v>07</v>
      </c>
      <c r="N7281" t="s">
        <v>12</v>
      </c>
    </row>
    <row r="7282" spans="1:14" x14ac:dyDescent="0.25">
      <c r="A7282">
        <v>20160715</v>
      </c>
      <c r="B7282" t="str">
        <f t="shared" si="537"/>
        <v>064096</v>
      </c>
      <c r="C7282" t="str">
        <f t="shared" si="538"/>
        <v>71225</v>
      </c>
      <c r="D7282" t="s">
        <v>1920</v>
      </c>
      <c r="E7282" s="3">
        <v>615.9</v>
      </c>
      <c r="F7282">
        <v>20160714</v>
      </c>
      <c r="G7282" t="s">
        <v>1854</v>
      </c>
      <c r="H7282" t="s">
        <v>5942</v>
      </c>
      <c r="I7282">
        <v>0</v>
      </c>
      <c r="J7282" t="s">
        <v>1709</v>
      </c>
      <c r="K7282" t="s">
        <v>1856</v>
      </c>
      <c r="L7282" t="s">
        <v>285</v>
      </c>
      <c r="M7282" t="str">
        <f t="shared" si="536"/>
        <v>07</v>
      </c>
      <c r="N7282" t="s">
        <v>12</v>
      </c>
    </row>
    <row r="7283" spans="1:14" x14ac:dyDescent="0.25">
      <c r="A7283">
        <v>20160715</v>
      </c>
      <c r="B7283" t="str">
        <f t="shared" si="537"/>
        <v>064096</v>
      </c>
      <c r="C7283" t="str">
        <f t="shared" si="538"/>
        <v>71225</v>
      </c>
      <c r="D7283" t="s">
        <v>1920</v>
      </c>
      <c r="E7283" s="3">
        <v>597.64</v>
      </c>
      <c r="F7283">
        <v>20160714</v>
      </c>
      <c r="G7283" t="s">
        <v>2164</v>
      </c>
      <c r="H7283" t="s">
        <v>5943</v>
      </c>
      <c r="I7283">
        <v>0</v>
      </c>
      <c r="J7283" t="s">
        <v>1709</v>
      </c>
      <c r="K7283" t="s">
        <v>1861</v>
      </c>
      <c r="L7283" t="s">
        <v>285</v>
      </c>
      <c r="M7283" t="str">
        <f t="shared" si="536"/>
        <v>07</v>
      </c>
      <c r="N7283" t="s">
        <v>12</v>
      </c>
    </row>
    <row r="7284" spans="1:14" x14ac:dyDescent="0.25">
      <c r="A7284">
        <v>20160715</v>
      </c>
      <c r="B7284" t="str">
        <f t="shared" si="537"/>
        <v>064096</v>
      </c>
      <c r="C7284" t="str">
        <f t="shared" si="538"/>
        <v>71225</v>
      </c>
      <c r="D7284" t="s">
        <v>1920</v>
      </c>
      <c r="E7284" s="3">
        <v>253.76</v>
      </c>
      <c r="F7284">
        <v>20160714</v>
      </c>
      <c r="G7284" t="s">
        <v>2164</v>
      </c>
      <c r="H7284" t="s">
        <v>5944</v>
      </c>
      <c r="I7284">
        <v>0</v>
      </c>
      <c r="J7284" t="s">
        <v>1709</v>
      </c>
      <c r="K7284" t="s">
        <v>1861</v>
      </c>
      <c r="L7284" t="s">
        <v>285</v>
      </c>
      <c r="M7284" t="str">
        <f t="shared" si="536"/>
        <v>07</v>
      </c>
      <c r="N7284" t="s">
        <v>12</v>
      </c>
    </row>
    <row r="7285" spans="1:14" x14ac:dyDescent="0.25">
      <c r="A7285">
        <v>20160715</v>
      </c>
      <c r="B7285" t="str">
        <f t="shared" ref="B7285:B7303" si="539">"064097"</f>
        <v>064097</v>
      </c>
      <c r="C7285" t="str">
        <f t="shared" ref="C7285:C7303" si="540">"72730"</f>
        <v>72730</v>
      </c>
      <c r="D7285" t="s">
        <v>1400</v>
      </c>
      <c r="E7285" s="3">
        <v>55.86</v>
      </c>
      <c r="F7285">
        <v>20160714</v>
      </c>
      <c r="G7285" t="s">
        <v>1758</v>
      </c>
      <c r="H7285" t="s">
        <v>595</v>
      </c>
      <c r="I7285">
        <v>0</v>
      </c>
      <c r="J7285" t="s">
        <v>1709</v>
      </c>
      <c r="K7285" t="s">
        <v>1643</v>
      </c>
      <c r="L7285" t="s">
        <v>285</v>
      </c>
      <c r="M7285" t="str">
        <f t="shared" si="536"/>
        <v>07</v>
      </c>
      <c r="N7285" t="s">
        <v>12</v>
      </c>
    </row>
    <row r="7286" spans="1:14" x14ac:dyDescent="0.25">
      <c r="A7286">
        <v>20160715</v>
      </c>
      <c r="B7286" t="str">
        <f t="shared" si="539"/>
        <v>064097</v>
      </c>
      <c r="C7286" t="str">
        <f t="shared" si="540"/>
        <v>72730</v>
      </c>
      <c r="D7286" t="s">
        <v>1400</v>
      </c>
      <c r="E7286" s="3">
        <v>358.09</v>
      </c>
      <c r="F7286">
        <v>20160714</v>
      </c>
      <c r="G7286" t="s">
        <v>2643</v>
      </c>
      <c r="H7286" t="s">
        <v>595</v>
      </c>
      <c r="I7286">
        <v>0</v>
      </c>
      <c r="J7286" t="s">
        <v>1709</v>
      </c>
      <c r="K7286" t="s">
        <v>1643</v>
      </c>
      <c r="L7286" t="s">
        <v>285</v>
      </c>
      <c r="M7286" t="str">
        <f t="shared" ref="M7286:M7349" si="541">"07"</f>
        <v>07</v>
      </c>
      <c r="N7286" t="s">
        <v>12</v>
      </c>
    </row>
    <row r="7287" spans="1:14" x14ac:dyDescent="0.25">
      <c r="A7287">
        <v>20160715</v>
      </c>
      <c r="B7287" t="str">
        <f t="shared" si="539"/>
        <v>064097</v>
      </c>
      <c r="C7287" t="str">
        <f t="shared" si="540"/>
        <v>72730</v>
      </c>
      <c r="D7287" t="s">
        <v>1400</v>
      </c>
      <c r="E7287" s="3">
        <v>11.54</v>
      </c>
      <c r="F7287">
        <v>20160714</v>
      </c>
      <c r="G7287" t="s">
        <v>2643</v>
      </c>
      <c r="H7287" t="s">
        <v>5945</v>
      </c>
      <c r="I7287">
        <v>0</v>
      </c>
      <c r="J7287" t="s">
        <v>1709</v>
      </c>
      <c r="K7287" t="s">
        <v>1643</v>
      </c>
      <c r="L7287" t="s">
        <v>285</v>
      </c>
      <c r="M7287" t="str">
        <f t="shared" si="541"/>
        <v>07</v>
      </c>
      <c r="N7287" t="s">
        <v>12</v>
      </c>
    </row>
    <row r="7288" spans="1:14" x14ac:dyDescent="0.25">
      <c r="A7288">
        <v>20160715</v>
      </c>
      <c r="B7288" t="str">
        <f t="shared" si="539"/>
        <v>064097</v>
      </c>
      <c r="C7288" t="str">
        <f t="shared" si="540"/>
        <v>72730</v>
      </c>
      <c r="D7288" t="s">
        <v>1400</v>
      </c>
      <c r="E7288" s="3">
        <v>103.9</v>
      </c>
      <c r="F7288">
        <v>20160714</v>
      </c>
      <c r="G7288" t="s">
        <v>2262</v>
      </c>
      <c r="H7288" t="s">
        <v>5946</v>
      </c>
      <c r="I7288">
        <v>0</v>
      </c>
      <c r="J7288" t="s">
        <v>1709</v>
      </c>
      <c r="K7288" t="s">
        <v>1643</v>
      </c>
      <c r="L7288" t="s">
        <v>285</v>
      </c>
      <c r="M7288" t="str">
        <f t="shared" si="541"/>
        <v>07</v>
      </c>
      <c r="N7288" t="s">
        <v>12</v>
      </c>
    </row>
    <row r="7289" spans="1:14" x14ac:dyDescent="0.25">
      <c r="A7289">
        <v>20160715</v>
      </c>
      <c r="B7289" t="str">
        <f t="shared" si="539"/>
        <v>064097</v>
      </c>
      <c r="C7289" t="str">
        <f t="shared" si="540"/>
        <v>72730</v>
      </c>
      <c r="D7289" t="s">
        <v>1400</v>
      </c>
      <c r="E7289" s="3">
        <v>65.62</v>
      </c>
      <c r="F7289">
        <v>20160714</v>
      </c>
      <c r="G7289" t="s">
        <v>2262</v>
      </c>
      <c r="H7289" t="s">
        <v>5947</v>
      </c>
      <c r="I7289">
        <v>0</v>
      </c>
      <c r="J7289" t="s">
        <v>1709</v>
      </c>
      <c r="K7289" t="s">
        <v>1643</v>
      </c>
      <c r="L7289" t="s">
        <v>285</v>
      </c>
      <c r="M7289" t="str">
        <f t="shared" si="541"/>
        <v>07</v>
      </c>
      <c r="N7289" t="s">
        <v>12</v>
      </c>
    </row>
    <row r="7290" spans="1:14" x14ac:dyDescent="0.25">
      <c r="A7290">
        <v>20160715</v>
      </c>
      <c r="B7290" t="str">
        <f t="shared" si="539"/>
        <v>064097</v>
      </c>
      <c r="C7290" t="str">
        <f t="shared" si="540"/>
        <v>72730</v>
      </c>
      <c r="D7290" t="s">
        <v>1400</v>
      </c>
      <c r="E7290" s="3">
        <v>38.5</v>
      </c>
      <c r="F7290">
        <v>20160714</v>
      </c>
      <c r="G7290" t="s">
        <v>2262</v>
      </c>
      <c r="H7290" t="s">
        <v>5948</v>
      </c>
      <c r="I7290">
        <v>0</v>
      </c>
      <c r="J7290" t="s">
        <v>1709</v>
      </c>
      <c r="K7290" t="s">
        <v>1643</v>
      </c>
      <c r="L7290" t="s">
        <v>285</v>
      </c>
      <c r="M7290" t="str">
        <f t="shared" si="541"/>
        <v>07</v>
      </c>
      <c r="N7290" t="s">
        <v>12</v>
      </c>
    </row>
    <row r="7291" spans="1:14" x14ac:dyDescent="0.25">
      <c r="A7291">
        <v>20160715</v>
      </c>
      <c r="B7291" t="str">
        <f t="shared" si="539"/>
        <v>064097</v>
      </c>
      <c r="C7291" t="str">
        <f t="shared" si="540"/>
        <v>72730</v>
      </c>
      <c r="D7291" t="s">
        <v>1400</v>
      </c>
      <c r="E7291" s="3">
        <v>66.5</v>
      </c>
      <c r="F7291">
        <v>20160714</v>
      </c>
      <c r="G7291" t="s">
        <v>2262</v>
      </c>
      <c r="H7291" t="s">
        <v>5948</v>
      </c>
      <c r="I7291">
        <v>0</v>
      </c>
      <c r="J7291" t="s">
        <v>1709</v>
      </c>
      <c r="K7291" t="s">
        <v>1643</v>
      </c>
      <c r="L7291" t="s">
        <v>285</v>
      </c>
      <c r="M7291" t="str">
        <f t="shared" si="541"/>
        <v>07</v>
      </c>
      <c r="N7291" t="s">
        <v>12</v>
      </c>
    </row>
    <row r="7292" spans="1:14" x14ac:dyDescent="0.25">
      <c r="A7292">
        <v>20160715</v>
      </c>
      <c r="B7292" t="str">
        <f t="shared" si="539"/>
        <v>064097</v>
      </c>
      <c r="C7292" t="str">
        <f t="shared" si="540"/>
        <v>72730</v>
      </c>
      <c r="D7292" t="s">
        <v>1400</v>
      </c>
      <c r="E7292" s="3">
        <v>74.22</v>
      </c>
      <c r="F7292">
        <v>20160714</v>
      </c>
      <c r="G7292" t="s">
        <v>2262</v>
      </c>
      <c r="H7292" t="s">
        <v>595</v>
      </c>
      <c r="I7292">
        <v>0</v>
      </c>
      <c r="J7292" t="s">
        <v>1709</v>
      </c>
      <c r="K7292" t="s">
        <v>1643</v>
      </c>
      <c r="L7292" t="s">
        <v>285</v>
      </c>
      <c r="M7292" t="str">
        <f t="shared" si="541"/>
        <v>07</v>
      </c>
      <c r="N7292" t="s">
        <v>12</v>
      </c>
    </row>
    <row r="7293" spans="1:14" x14ac:dyDescent="0.25">
      <c r="A7293">
        <v>20160715</v>
      </c>
      <c r="B7293" t="str">
        <f t="shared" si="539"/>
        <v>064097</v>
      </c>
      <c r="C7293" t="str">
        <f t="shared" si="540"/>
        <v>72730</v>
      </c>
      <c r="D7293" t="s">
        <v>1400</v>
      </c>
      <c r="E7293" s="3">
        <v>-154.80000000000001</v>
      </c>
      <c r="F7293">
        <v>20160708</v>
      </c>
      <c r="G7293" t="s">
        <v>3006</v>
      </c>
      <c r="H7293" t="s">
        <v>5949</v>
      </c>
      <c r="I7293">
        <v>0</v>
      </c>
      <c r="J7293" t="s">
        <v>1709</v>
      </c>
      <c r="K7293" t="s">
        <v>290</v>
      </c>
      <c r="L7293" t="s">
        <v>1385</v>
      </c>
      <c r="M7293" t="str">
        <f t="shared" si="541"/>
        <v>07</v>
      </c>
      <c r="N7293" t="s">
        <v>12</v>
      </c>
    </row>
    <row r="7294" spans="1:14" x14ac:dyDescent="0.25">
      <c r="A7294">
        <v>20160715</v>
      </c>
      <c r="B7294" t="str">
        <f t="shared" si="539"/>
        <v>064097</v>
      </c>
      <c r="C7294" t="str">
        <f t="shared" si="540"/>
        <v>72730</v>
      </c>
      <c r="D7294" t="s">
        <v>1400</v>
      </c>
      <c r="E7294" s="3">
        <v>47.78</v>
      </c>
      <c r="F7294">
        <v>20160714</v>
      </c>
      <c r="G7294" t="s">
        <v>2264</v>
      </c>
      <c r="H7294" t="s">
        <v>595</v>
      </c>
      <c r="I7294">
        <v>0</v>
      </c>
      <c r="J7294" t="s">
        <v>1709</v>
      </c>
      <c r="K7294" t="s">
        <v>1643</v>
      </c>
      <c r="L7294" t="s">
        <v>285</v>
      </c>
      <c r="M7294" t="str">
        <f t="shared" si="541"/>
        <v>07</v>
      </c>
      <c r="N7294" t="s">
        <v>12</v>
      </c>
    </row>
    <row r="7295" spans="1:14" x14ac:dyDescent="0.25">
      <c r="A7295">
        <v>20160715</v>
      </c>
      <c r="B7295" t="str">
        <f t="shared" si="539"/>
        <v>064097</v>
      </c>
      <c r="C7295" t="str">
        <f t="shared" si="540"/>
        <v>72730</v>
      </c>
      <c r="D7295" t="s">
        <v>1400</v>
      </c>
      <c r="E7295" s="3">
        <v>19.02</v>
      </c>
      <c r="F7295">
        <v>20160714</v>
      </c>
      <c r="G7295" t="s">
        <v>2264</v>
      </c>
      <c r="H7295" t="s">
        <v>595</v>
      </c>
      <c r="I7295">
        <v>0</v>
      </c>
      <c r="J7295" t="s">
        <v>1709</v>
      </c>
      <c r="K7295" t="s">
        <v>1643</v>
      </c>
      <c r="L7295" t="s">
        <v>285</v>
      </c>
      <c r="M7295" t="str">
        <f t="shared" si="541"/>
        <v>07</v>
      </c>
      <c r="N7295" t="s">
        <v>12</v>
      </c>
    </row>
    <row r="7296" spans="1:14" x14ac:dyDescent="0.25">
      <c r="A7296">
        <v>20160715</v>
      </c>
      <c r="B7296" t="str">
        <f t="shared" si="539"/>
        <v>064097</v>
      </c>
      <c r="C7296" t="str">
        <f t="shared" si="540"/>
        <v>72730</v>
      </c>
      <c r="D7296" t="s">
        <v>1400</v>
      </c>
      <c r="E7296" s="3">
        <v>7.72</v>
      </c>
      <c r="F7296">
        <v>20160714</v>
      </c>
      <c r="G7296" t="s">
        <v>2264</v>
      </c>
      <c r="H7296" t="s">
        <v>595</v>
      </c>
      <c r="I7296">
        <v>0</v>
      </c>
      <c r="J7296" t="s">
        <v>1709</v>
      </c>
      <c r="K7296" t="s">
        <v>1643</v>
      </c>
      <c r="L7296" t="s">
        <v>285</v>
      </c>
      <c r="M7296" t="str">
        <f t="shared" si="541"/>
        <v>07</v>
      </c>
      <c r="N7296" t="s">
        <v>12</v>
      </c>
    </row>
    <row r="7297" spans="1:14" x14ac:dyDescent="0.25">
      <c r="A7297">
        <v>20160715</v>
      </c>
      <c r="B7297" t="str">
        <f t="shared" si="539"/>
        <v>064097</v>
      </c>
      <c r="C7297" t="str">
        <f t="shared" si="540"/>
        <v>72730</v>
      </c>
      <c r="D7297" t="s">
        <v>1400</v>
      </c>
      <c r="E7297" s="3">
        <v>8.8800000000000008</v>
      </c>
      <c r="F7297">
        <v>20160714</v>
      </c>
      <c r="G7297" t="s">
        <v>2264</v>
      </c>
      <c r="H7297" t="s">
        <v>595</v>
      </c>
      <c r="I7297">
        <v>0</v>
      </c>
      <c r="J7297" t="s">
        <v>1709</v>
      </c>
      <c r="K7297" t="s">
        <v>1643</v>
      </c>
      <c r="L7297" t="s">
        <v>285</v>
      </c>
      <c r="M7297" t="str">
        <f t="shared" si="541"/>
        <v>07</v>
      </c>
      <c r="N7297" t="s">
        <v>12</v>
      </c>
    </row>
    <row r="7298" spans="1:14" x14ac:dyDescent="0.25">
      <c r="A7298">
        <v>20160715</v>
      </c>
      <c r="B7298" t="str">
        <f t="shared" si="539"/>
        <v>064097</v>
      </c>
      <c r="C7298" t="str">
        <f t="shared" si="540"/>
        <v>72730</v>
      </c>
      <c r="D7298" t="s">
        <v>1400</v>
      </c>
      <c r="E7298" s="3">
        <v>19.100000000000001</v>
      </c>
      <c r="F7298">
        <v>20160714</v>
      </c>
      <c r="G7298" t="s">
        <v>2264</v>
      </c>
      <c r="H7298" t="s">
        <v>595</v>
      </c>
      <c r="I7298">
        <v>0</v>
      </c>
      <c r="J7298" t="s">
        <v>1709</v>
      </c>
      <c r="K7298" t="s">
        <v>1643</v>
      </c>
      <c r="L7298" t="s">
        <v>285</v>
      </c>
      <c r="M7298" t="str">
        <f t="shared" si="541"/>
        <v>07</v>
      </c>
      <c r="N7298" t="s">
        <v>12</v>
      </c>
    </row>
    <row r="7299" spans="1:14" x14ac:dyDescent="0.25">
      <c r="A7299">
        <v>20160715</v>
      </c>
      <c r="B7299" t="str">
        <f t="shared" si="539"/>
        <v>064097</v>
      </c>
      <c r="C7299" t="str">
        <f t="shared" si="540"/>
        <v>72730</v>
      </c>
      <c r="D7299" t="s">
        <v>1400</v>
      </c>
      <c r="E7299" s="3">
        <v>13.92</v>
      </c>
      <c r="F7299">
        <v>20160714</v>
      </c>
      <c r="G7299" t="s">
        <v>2264</v>
      </c>
      <c r="H7299" t="s">
        <v>595</v>
      </c>
      <c r="I7299">
        <v>0</v>
      </c>
      <c r="J7299" t="s">
        <v>1709</v>
      </c>
      <c r="K7299" t="s">
        <v>1643</v>
      </c>
      <c r="L7299" t="s">
        <v>285</v>
      </c>
      <c r="M7299" t="str">
        <f t="shared" si="541"/>
        <v>07</v>
      </c>
      <c r="N7299" t="s">
        <v>12</v>
      </c>
    </row>
    <row r="7300" spans="1:14" x14ac:dyDescent="0.25">
      <c r="A7300">
        <v>20160715</v>
      </c>
      <c r="B7300" t="str">
        <f t="shared" si="539"/>
        <v>064097</v>
      </c>
      <c r="C7300" t="str">
        <f t="shared" si="540"/>
        <v>72730</v>
      </c>
      <c r="D7300" t="s">
        <v>1400</v>
      </c>
      <c r="E7300" s="3">
        <v>21.56</v>
      </c>
      <c r="F7300">
        <v>20160714</v>
      </c>
      <c r="G7300" t="s">
        <v>2264</v>
      </c>
      <c r="H7300" t="s">
        <v>595</v>
      </c>
      <c r="I7300">
        <v>0</v>
      </c>
      <c r="J7300" t="s">
        <v>1709</v>
      </c>
      <c r="K7300" t="s">
        <v>1643</v>
      </c>
      <c r="L7300" t="s">
        <v>285</v>
      </c>
      <c r="M7300" t="str">
        <f t="shared" si="541"/>
        <v>07</v>
      </c>
      <c r="N7300" t="s">
        <v>12</v>
      </c>
    </row>
    <row r="7301" spans="1:14" x14ac:dyDescent="0.25">
      <c r="A7301">
        <v>20160715</v>
      </c>
      <c r="B7301" t="str">
        <f t="shared" si="539"/>
        <v>064097</v>
      </c>
      <c r="C7301" t="str">
        <f t="shared" si="540"/>
        <v>72730</v>
      </c>
      <c r="D7301" t="s">
        <v>1400</v>
      </c>
      <c r="E7301" s="3">
        <v>8.76</v>
      </c>
      <c r="F7301">
        <v>20160714</v>
      </c>
      <c r="G7301" t="s">
        <v>2264</v>
      </c>
      <c r="H7301" t="s">
        <v>595</v>
      </c>
      <c r="I7301">
        <v>0</v>
      </c>
      <c r="J7301" t="s">
        <v>1709</v>
      </c>
      <c r="K7301" t="s">
        <v>1643</v>
      </c>
      <c r="L7301" t="s">
        <v>285</v>
      </c>
      <c r="M7301" t="str">
        <f t="shared" si="541"/>
        <v>07</v>
      </c>
      <c r="N7301" t="s">
        <v>12</v>
      </c>
    </row>
    <row r="7302" spans="1:14" x14ac:dyDescent="0.25">
      <c r="A7302">
        <v>20160715</v>
      </c>
      <c r="B7302" t="str">
        <f t="shared" si="539"/>
        <v>064097</v>
      </c>
      <c r="C7302" t="str">
        <f t="shared" si="540"/>
        <v>72730</v>
      </c>
      <c r="D7302" t="s">
        <v>1400</v>
      </c>
      <c r="E7302" s="3">
        <v>3.59</v>
      </c>
      <c r="F7302">
        <v>20160714</v>
      </c>
      <c r="G7302" t="s">
        <v>2264</v>
      </c>
      <c r="H7302" t="s">
        <v>595</v>
      </c>
      <c r="I7302">
        <v>0</v>
      </c>
      <c r="J7302" t="s">
        <v>1709</v>
      </c>
      <c r="K7302" t="s">
        <v>1643</v>
      </c>
      <c r="L7302" t="s">
        <v>285</v>
      </c>
      <c r="M7302" t="str">
        <f t="shared" si="541"/>
        <v>07</v>
      </c>
      <c r="N7302" t="s">
        <v>12</v>
      </c>
    </row>
    <row r="7303" spans="1:14" x14ac:dyDescent="0.25">
      <c r="A7303">
        <v>20160715</v>
      </c>
      <c r="B7303" t="str">
        <f t="shared" si="539"/>
        <v>064097</v>
      </c>
      <c r="C7303" t="str">
        <f t="shared" si="540"/>
        <v>72730</v>
      </c>
      <c r="D7303" t="s">
        <v>1400</v>
      </c>
      <c r="E7303" s="3">
        <v>7.72</v>
      </c>
      <c r="F7303">
        <v>20160714</v>
      </c>
      <c r="G7303" t="s">
        <v>2264</v>
      </c>
      <c r="H7303" t="s">
        <v>595</v>
      </c>
      <c r="I7303">
        <v>0</v>
      </c>
      <c r="J7303" t="s">
        <v>1709</v>
      </c>
      <c r="K7303" t="s">
        <v>1643</v>
      </c>
      <c r="L7303" t="s">
        <v>285</v>
      </c>
      <c r="M7303" t="str">
        <f t="shared" si="541"/>
        <v>07</v>
      </c>
      <c r="N7303" t="s">
        <v>12</v>
      </c>
    </row>
    <row r="7304" spans="1:14" x14ac:dyDescent="0.25">
      <c r="A7304">
        <v>20160715</v>
      </c>
      <c r="B7304" t="str">
        <f>"064100"</f>
        <v>064100</v>
      </c>
      <c r="C7304" t="str">
        <f>"76548"</f>
        <v>76548</v>
      </c>
      <c r="D7304" t="s">
        <v>1776</v>
      </c>
      <c r="E7304" s="3">
        <v>70</v>
      </c>
      <c r="F7304">
        <v>20160714</v>
      </c>
      <c r="G7304" t="s">
        <v>1880</v>
      </c>
      <c r="H7304" t="s">
        <v>5950</v>
      </c>
      <c r="I7304">
        <v>0</v>
      </c>
      <c r="J7304" t="s">
        <v>1709</v>
      </c>
      <c r="K7304" t="s">
        <v>1882</v>
      </c>
      <c r="L7304" t="s">
        <v>285</v>
      </c>
      <c r="M7304" t="str">
        <f t="shared" si="541"/>
        <v>07</v>
      </c>
      <c r="N7304" t="s">
        <v>12</v>
      </c>
    </row>
    <row r="7305" spans="1:14" x14ac:dyDescent="0.25">
      <c r="A7305">
        <v>20160715</v>
      </c>
      <c r="B7305" t="str">
        <f>"064101"</f>
        <v>064101</v>
      </c>
      <c r="C7305" t="str">
        <f>"80500"</f>
        <v>80500</v>
      </c>
      <c r="D7305" t="s">
        <v>2409</v>
      </c>
      <c r="E7305" s="3">
        <v>479.6</v>
      </c>
      <c r="F7305">
        <v>20160714</v>
      </c>
      <c r="G7305" t="s">
        <v>2349</v>
      </c>
      <c r="H7305" t="s">
        <v>3258</v>
      </c>
      <c r="I7305">
        <v>0</v>
      </c>
      <c r="J7305" t="s">
        <v>1709</v>
      </c>
      <c r="K7305" t="s">
        <v>1558</v>
      </c>
      <c r="L7305" t="s">
        <v>285</v>
      </c>
      <c r="M7305" t="str">
        <f t="shared" si="541"/>
        <v>07</v>
      </c>
      <c r="N7305" t="s">
        <v>12</v>
      </c>
    </row>
    <row r="7306" spans="1:14" x14ac:dyDescent="0.25">
      <c r="A7306">
        <v>20160715</v>
      </c>
      <c r="B7306" t="str">
        <f>"064102"</f>
        <v>064102</v>
      </c>
      <c r="C7306" t="str">
        <f>"80611"</f>
        <v>80611</v>
      </c>
      <c r="D7306" t="s">
        <v>1796</v>
      </c>
      <c r="E7306" s="3">
        <v>2208.33</v>
      </c>
      <c r="F7306">
        <v>20160714</v>
      </c>
      <c r="G7306" t="s">
        <v>2414</v>
      </c>
      <c r="H7306" t="s">
        <v>5172</v>
      </c>
      <c r="I7306">
        <v>0</v>
      </c>
      <c r="J7306" t="s">
        <v>1709</v>
      </c>
      <c r="K7306" t="s">
        <v>133</v>
      </c>
      <c r="L7306" t="s">
        <v>285</v>
      </c>
      <c r="M7306" t="str">
        <f t="shared" si="541"/>
        <v>07</v>
      </c>
      <c r="N7306" t="s">
        <v>12</v>
      </c>
    </row>
    <row r="7307" spans="1:14" x14ac:dyDescent="0.25">
      <c r="A7307">
        <v>20160715</v>
      </c>
      <c r="B7307" t="str">
        <f>"064104"</f>
        <v>064104</v>
      </c>
      <c r="C7307" t="str">
        <f>"74149"</f>
        <v>74149</v>
      </c>
      <c r="D7307" t="s">
        <v>5411</v>
      </c>
      <c r="E7307" s="3">
        <v>294.3</v>
      </c>
      <c r="F7307">
        <v>20160714</v>
      </c>
      <c r="G7307" t="s">
        <v>5690</v>
      </c>
      <c r="H7307" t="s">
        <v>5951</v>
      </c>
      <c r="I7307">
        <v>0</v>
      </c>
      <c r="J7307" t="s">
        <v>1709</v>
      </c>
      <c r="K7307" t="s">
        <v>290</v>
      </c>
      <c r="L7307" t="s">
        <v>285</v>
      </c>
      <c r="M7307" t="str">
        <f t="shared" si="541"/>
        <v>07</v>
      </c>
      <c r="N7307" t="s">
        <v>12</v>
      </c>
    </row>
    <row r="7308" spans="1:14" x14ac:dyDescent="0.25">
      <c r="A7308">
        <v>20160715</v>
      </c>
      <c r="B7308" t="str">
        <f>"064105"</f>
        <v>064105</v>
      </c>
      <c r="C7308" t="str">
        <f>"85628"</f>
        <v>85628</v>
      </c>
      <c r="D7308" t="s">
        <v>5952</v>
      </c>
      <c r="E7308" s="3">
        <v>330.04</v>
      </c>
      <c r="F7308">
        <v>20160714</v>
      </c>
      <c r="G7308" t="s">
        <v>3834</v>
      </c>
      <c r="H7308" t="s">
        <v>5953</v>
      </c>
      <c r="I7308">
        <v>0</v>
      </c>
      <c r="J7308" t="s">
        <v>1709</v>
      </c>
      <c r="K7308" t="s">
        <v>95</v>
      </c>
      <c r="L7308" t="s">
        <v>285</v>
      </c>
      <c r="M7308" t="str">
        <f t="shared" si="541"/>
        <v>07</v>
      </c>
      <c r="N7308" t="s">
        <v>12</v>
      </c>
    </row>
    <row r="7309" spans="1:14" x14ac:dyDescent="0.25">
      <c r="A7309">
        <v>20160720</v>
      </c>
      <c r="B7309" t="str">
        <f>"064106"</f>
        <v>064106</v>
      </c>
      <c r="C7309" t="str">
        <f>"24930"</f>
        <v>24930</v>
      </c>
      <c r="D7309" t="s">
        <v>4201</v>
      </c>
      <c r="E7309" s="3">
        <v>2000</v>
      </c>
      <c r="F7309">
        <v>20160725</v>
      </c>
      <c r="G7309" t="s">
        <v>5954</v>
      </c>
      <c r="H7309" t="s">
        <v>5955</v>
      </c>
      <c r="I7309">
        <v>0</v>
      </c>
      <c r="J7309" t="s">
        <v>1709</v>
      </c>
      <c r="K7309" t="s">
        <v>235</v>
      </c>
      <c r="L7309" t="s">
        <v>17</v>
      </c>
      <c r="M7309" t="str">
        <f t="shared" si="541"/>
        <v>07</v>
      </c>
      <c r="N7309" t="s">
        <v>12</v>
      </c>
    </row>
    <row r="7310" spans="1:14" x14ac:dyDescent="0.25">
      <c r="A7310">
        <v>20160722</v>
      </c>
      <c r="B7310" t="str">
        <f>"064107"</f>
        <v>064107</v>
      </c>
      <c r="C7310" t="str">
        <f>"04240"</f>
        <v>04240</v>
      </c>
      <c r="D7310" t="s">
        <v>2432</v>
      </c>
      <c r="E7310" s="3">
        <v>32.950000000000003</v>
      </c>
      <c r="F7310">
        <v>20160720</v>
      </c>
      <c r="G7310" t="s">
        <v>2834</v>
      </c>
      <c r="H7310" t="s">
        <v>5956</v>
      </c>
      <c r="I7310">
        <v>0</v>
      </c>
      <c r="J7310" t="s">
        <v>1709</v>
      </c>
      <c r="K7310" t="s">
        <v>290</v>
      </c>
      <c r="L7310" t="s">
        <v>285</v>
      </c>
      <c r="M7310" t="str">
        <f t="shared" si="541"/>
        <v>07</v>
      </c>
      <c r="N7310" t="s">
        <v>12</v>
      </c>
    </row>
    <row r="7311" spans="1:14" x14ac:dyDescent="0.25">
      <c r="A7311">
        <v>20160722</v>
      </c>
      <c r="B7311" t="str">
        <f>"064107"</f>
        <v>064107</v>
      </c>
      <c r="C7311" t="str">
        <f>"04240"</f>
        <v>04240</v>
      </c>
      <c r="D7311" t="s">
        <v>2432</v>
      </c>
      <c r="E7311" s="3">
        <v>14.95</v>
      </c>
      <c r="F7311">
        <v>20160720</v>
      </c>
      <c r="G7311" t="s">
        <v>2795</v>
      </c>
      <c r="H7311" t="s">
        <v>5957</v>
      </c>
      <c r="I7311">
        <v>0</v>
      </c>
      <c r="J7311" t="s">
        <v>1709</v>
      </c>
      <c r="K7311" t="s">
        <v>95</v>
      </c>
      <c r="L7311" t="s">
        <v>285</v>
      </c>
      <c r="M7311" t="str">
        <f t="shared" si="541"/>
        <v>07</v>
      </c>
      <c r="N7311" t="s">
        <v>12</v>
      </c>
    </row>
    <row r="7312" spans="1:14" x14ac:dyDescent="0.25">
      <c r="A7312">
        <v>20160722</v>
      </c>
      <c r="B7312" t="str">
        <f>"064110"</f>
        <v>064110</v>
      </c>
      <c r="C7312" t="str">
        <f>"06777"</f>
        <v>06777</v>
      </c>
      <c r="D7312" t="s">
        <v>5958</v>
      </c>
      <c r="E7312" s="3">
        <v>78.38</v>
      </c>
      <c r="F7312">
        <v>20160721</v>
      </c>
      <c r="G7312" t="s">
        <v>5851</v>
      </c>
      <c r="H7312" t="s">
        <v>5684</v>
      </c>
      <c r="I7312">
        <v>0</v>
      </c>
      <c r="J7312" t="s">
        <v>1709</v>
      </c>
      <c r="K7312" t="s">
        <v>290</v>
      </c>
      <c r="L7312" t="s">
        <v>285</v>
      </c>
      <c r="M7312" t="str">
        <f t="shared" si="541"/>
        <v>07</v>
      </c>
      <c r="N7312" t="s">
        <v>12</v>
      </c>
    </row>
    <row r="7313" spans="1:14" x14ac:dyDescent="0.25">
      <c r="A7313">
        <v>20160722</v>
      </c>
      <c r="B7313" t="str">
        <f>"064113"</f>
        <v>064113</v>
      </c>
      <c r="C7313" t="str">
        <f>"10063"</f>
        <v>10063</v>
      </c>
      <c r="D7313" t="s">
        <v>1816</v>
      </c>
      <c r="E7313" s="3">
        <v>2020</v>
      </c>
      <c r="F7313">
        <v>20160720</v>
      </c>
      <c r="G7313" t="s">
        <v>5959</v>
      </c>
      <c r="H7313" t="s">
        <v>5960</v>
      </c>
      <c r="I7313">
        <v>0</v>
      </c>
      <c r="J7313" t="s">
        <v>1709</v>
      </c>
      <c r="K7313" t="s">
        <v>290</v>
      </c>
      <c r="L7313" t="s">
        <v>285</v>
      </c>
      <c r="M7313" t="str">
        <f t="shared" si="541"/>
        <v>07</v>
      </c>
      <c r="N7313" t="s">
        <v>12</v>
      </c>
    </row>
    <row r="7314" spans="1:14" x14ac:dyDescent="0.25">
      <c r="A7314">
        <v>20160722</v>
      </c>
      <c r="B7314" t="str">
        <f>"064114"</f>
        <v>064114</v>
      </c>
      <c r="C7314" t="str">
        <f>"10087"</f>
        <v>10087</v>
      </c>
      <c r="D7314" t="s">
        <v>5961</v>
      </c>
      <c r="E7314" s="3">
        <v>7550</v>
      </c>
      <c r="F7314">
        <v>20160720</v>
      </c>
      <c r="G7314" t="s">
        <v>5962</v>
      </c>
      <c r="H7314" t="s">
        <v>5963</v>
      </c>
      <c r="I7314">
        <v>0</v>
      </c>
      <c r="J7314" t="s">
        <v>1709</v>
      </c>
      <c r="K7314" t="s">
        <v>1861</v>
      </c>
      <c r="L7314" t="s">
        <v>285</v>
      </c>
      <c r="M7314" t="str">
        <f t="shared" si="541"/>
        <v>07</v>
      </c>
      <c r="N7314" t="s">
        <v>12</v>
      </c>
    </row>
    <row r="7315" spans="1:14" x14ac:dyDescent="0.25">
      <c r="A7315">
        <v>20160722</v>
      </c>
      <c r="B7315" t="str">
        <f>"064115"</f>
        <v>064115</v>
      </c>
      <c r="C7315" t="str">
        <f>"11387"</f>
        <v>11387</v>
      </c>
      <c r="D7315" t="s">
        <v>5964</v>
      </c>
      <c r="E7315" s="3">
        <v>62.4</v>
      </c>
      <c r="F7315">
        <v>20160720</v>
      </c>
      <c r="G7315" t="s">
        <v>5851</v>
      </c>
      <c r="H7315" t="s">
        <v>5684</v>
      </c>
      <c r="I7315">
        <v>0</v>
      </c>
      <c r="J7315" t="s">
        <v>1709</v>
      </c>
      <c r="K7315" t="s">
        <v>290</v>
      </c>
      <c r="L7315" t="s">
        <v>285</v>
      </c>
      <c r="M7315" t="str">
        <f t="shared" si="541"/>
        <v>07</v>
      </c>
      <c r="N7315" t="s">
        <v>12</v>
      </c>
    </row>
    <row r="7316" spans="1:14" x14ac:dyDescent="0.25">
      <c r="A7316">
        <v>20160722</v>
      </c>
      <c r="B7316" t="str">
        <f>"064116"</f>
        <v>064116</v>
      </c>
      <c r="C7316" t="str">
        <f>"11570"</f>
        <v>11570</v>
      </c>
      <c r="D7316" t="s">
        <v>5816</v>
      </c>
      <c r="E7316" s="3">
        <v>2925</v>
      </c>
      <c r="F7316">
        <v>20160720</v>
      </c>
      <c r="G7316" t="s">
        <v>5154</v>
      </c>
      <c r="H7316" t="s">
        <v>5965</v>
      </c>
      <c r="I7316">
        <v>0</v>
      </c>
      <c r="J7316" t="s">
        <v>1709</v>
      </c>
      <c r="K7316" t="s">
        <v>1775</v>
      </c>
      <c r="L7316" t="s">
        <v>285</v>
      </c>
      <c r="M7316" t="str">
        <f t="shared" si="541"/>
        <v>07</v>
      </c>
      <c r="N7316" t="s">
        <v>12</v>
      </c>
    </row>
    <row r="7317" spans="1:14" x14ac:dyDescent="0.25">
      <c r="A7317">
        <v>20160722</v>
      </c>
      <c r="B7317" t="str">
        <f t="shared" ref="B7317:B7323" si="542">"064121"</f>
        <v>064121</v>
      </c>
      <c r="C7317" t="str">
        <f t="shared" ref="C7317:C7323" si="543">"16807"</f>
        <v>16807</v>
      </c>
      <c r="D7317" t="s">
        <v>1560</v>
      </c>
      <c r="E7317" s="3">
        <v>131.32</v>
      </c>
      <c r="F7317">
        <v>20160720</v>
      </c>
      <c r="G7317" t="s">
        <v>3427</v>
      </c>
      <c r="H7317" t="s">
        <v>5966</v>
      </c>
      <c r="I7317">
        <v>0</v>
      </c>
      <c r="J7317" t="s">
        <v>1709</v>
      </c>
      <c r="K7317" t="s">
        <v>33</v>
      </c>
      <c r="L7317" t="s">
        <v>285</v>
      </c>
      <c r="M7317" t="str">
        <f t="shared" si="541"/>
        <v>07</v>
      </c>
      <c r="N7317" t="s">
        <v>12</v>
      </c>
    </row>
    <row r="7318" spans="1:14" x14ac:dyDescent="0.25">
      <c r="A7318">
        <v>20160722</v>
      </c>
      <c r="B7318" t="str">
        <f t="shared" si="542"/>
        <v>064121</v>
      </c>
      <c r="C7318" t="str">
        <f t="shared" si="543"/>
        <v>16807</v>
      </c>
      <c r="D7318" t="s">
        <v>1560</v>
      </c>
      <c r="E7318" s="3">
        <v>342.09</v>
      </c>
      <c r="F7318">
        <v>20160720</v>
      </c>
      <c r="G7318" t="s">
        <v>3427</v>
      </c>
      <c r="H7318" t="s">
        <v>5967</v>
      </c>
      <c r="I7318">
        <v>0</v>
      </c>
      <c r="J7318" t="s">
        <v>1709</v>
      </c>
      <c r="K7318" t="s">
        <v>33</v>
      </c>
      <c r="L7318" t="s">
        <v>285</v>
      </c>
      <c r="M7318" t="str">
        <f t="shared" si="541"/>
        <v>07</v>
      </c>
      <c r="N7318" t="s">
        <v>12</v>
      </c>
    </row>
    <row r="7319" spans="1:14" x14ac:dyDescent="0.25">
      <c r="A7319">
        <v>20160722</v>
      </c>
      <c r="B7319" t="str">
        <f t="shared" si="542"/>
        <v>064121</v>
      </c>
      <c r="C7319" t="str">
        <f t="shared" si="543"/>
        <v>16807</v>
      </c>
      <c r="D7319" t="s">
        <v>1560</v>
      </c>
      <c r="E7319" s="3">
        <v>1077.9000000000001</v>
      </c>
      <c r="F7319">
        <v>20160720</v>
      </c>
      <c r="G7319" t="s">
        <v>2831</v>
      </c>
      <c r="H7319" t="s">
        <v>5968</v>
      </c>
      <c r="I7319">
        <v>0</v>
      </c>
      <c r="J7319" t="s">
        <v>1709</v>
      </c>
      <c r="K7319" t="s">
        <v>95</v>
      </c>
      <c r="L7319" t="s">
        <v>285</v>
      </c>
      <c r="M7319" t="str">
        <f t="shared" si="541"/>
        <v>07</v>
      </c>
      <c r="N7319" t="s">
        <v>12</v>
      </c>
    </row>
    <row r="7320" spans="1:14" x14ac:dyDescent="0.25">
      <c r="A7320">
        <v>20160722</v>
      </c>
      <c r="B7320" t="str">
        <f t="shared" si="542"/>
        <v>064121</v>
      </c>
      <c r="C7320" t="str">
        <f t="shared" si="543"/>
        <v>16807</v>
      </c>
      <c r="D7320" t="s">
        <v>1560</v>
      </c>
      <c r="E7320" s="3">
        <v>1569</v>
      </c>
      <c r="F7320">
        <v>20160720</v>
      </c>
      <c r="G7320" t="s">
        <v>2831</v>
      </c>
      <c r="H7320" t="s">
        <v>5969</v>
      </c>
      <c r="I7320">
        <v>0</v>
      </c>
      <c r="J7320" t="s">
        <v>1709</v>
      </c>
      <c r="K7320" t="s">
        <v>95</v>
      </c>
      <c r="L7320" t="s">
        <v>285</v>
      </c>
      <c r="M7320" t="str">
        <f t="shared" si="541"/>
        <v>07</v>
      </c>
      <c r="N7320" t="s">
        <v>12</v>
      </c>
    </row>
    <row r="7321" spans="1:14" x14ac:dyDescent="0.25">
      <c r="A7321">
        <v>20160722</v>
      </c>
      <c r="B7321" t="str">
        <f t="shared" si="542"/>
        <v>064121</v>
      </c>
      <c r="C7321" t="str">
        <f t="shared" si="543"/>
        <v>16807</v>
      </c>
      <c r="D7321" t="s">
        <v>1560</v>
      </c>
      <c r="E7321" s="3">
        <v>4109.7700000000004</v>
      </c>
      <c r="F7321">
        <v>20160720</v>
      </c>
      <c r="G7321" t="s">
        <v>2831</v>
      </c>
      <c r="H7321" t="s">
        <v>2169</v>
      </c>
      <c r="I7321">
        <v>0</v>
      </c>
      <c r="J7321" t="s">
        <v>1709</v>
      </c>
      <c r="K7321" t="s">
        <v>95</v>
      </c>
      <c r="L7321" t="s">
        <v>285</v>
      </c>
      <c r="M7321" t="str">
        <f t="shared" si="541"/>
        <v>07</v>
      </c>
      <c r="N7321" t="s">
        <v>12</v>
      </c>
    </row>
    <row r="7322" spans="1:14" x14ac:dyDescent="0.25">
      <c r="A7322">
        <v>20160722</v>
      </c>
      <c r="B7322" t="str">
        <f t="shared" si="542"/>
        <v>064121</v>
      </c>
      <c r="C7322" t="str">
        <f t="shared" si="543"/>
        <v>16807</v>
      </c>
      <c r="D7322" t="s">
        <v>1560</v>
      </c>
      <c r="E7322" s="3">
        <v>87.06</v>
      </c>
      <c r="F7322">
        <v>20160720</v>
      </c>
      <c r="G7322" t="s">
        <v>2831</v>
      </c>
      <c r="H7322" t="s">
        <v>2169</v>
      </c>
      <c r="I7322">
        <v>0</v>
      </c>
      <c r="J7322" t="s">
        <v>1709</v>
      </c>
      <c r="K7322" t="s">
        <v>95</v>
      </c>
      <c r="L7322" t="s">
        <v>285</v>
      </c>
      <c r="M7322" t="str">
        <f t="shared" si="541"/>
        <v>07</v>
      </c>
      <c r="N7322" t="s">
        <v>12</v>
      </c>
    </row>
    <row r="7323" spans="1:14" x14ac:dyDescent="0.25">
      <c r="A7323">
        <v>20160722</v>
      </c>
      <c r="B7323" t="str">
        <f t="shared" si="542"/>
        <v>064121</v>
      </c>
      <c r="C7323" t="str">
        <f t="shared" si="543"/>
        <v>16807</v>
      </c>
      <c r="D7323" t="s">
        <v>1560</v>
      </c>
      <c r="E7323" s="3">
        <v>174.12</v>
      </c>
      <c r="F7323">
        <v>20160720</v>
      </c>
      <c r="G7323" t="s">
        <v>2831</v>
      </c>
      <c r="H7323" t="s">
        <v>2169</v>
      </c>
      <c r="I7323">
        <v>0</v>
      </c>
      <c r="J7323" t="s">
        <v>1709</v>
      </c>
      <c r="K7323" t="s">
        <v>95</v>
      </c>
      <c r="L7323" t="s">
        <v>285</v>
      </c>
      <c r="M7323" t="str">
        <f t="shared" si="541"/>
        <v>07</v>
      </c>
      <c r="N7323" t="s">
        <v>12</v>
      </c>
    </row>
    <row r="7324" spans="1:14" x14ac:dyDescent="0.25">
      <c r="A7324">
        <v>20160722</v>
      </c>
      <c r="B7324" t="str">
        <f>"064122"</f>
        <v>064122</v>
      </c>
      <c r="C7324" t="str">
        <f>"05591"</f>
        <v>05591</v>
      </c>
      <c r="D7324" t="s">
        <v>1670</v>
      </c>
      <c r="E7324" s="3">
        <v>1780</v>
      </c>
      <c r="F7324">
        <v>20160720</v>
      </c>
      <c r="G7324" t="s">
        <v>3551</v>
      </c>
      <c r="H7324" t="s">
        <v>1671</v>
      </c>
      <c r="I7324">
        <v>0</v>
      </c>
      <c r="J7324" t="s">
        <v>1709</v>
      </c>
      <c r="K7324" t="s">
        <v>1558</v>
      </c>
      <c r="L7324" t="s">
        <v>285</v>
      </c>
      <c r="M7324" t="str">
        <f t="shared" si="541"/>
        <v>07</v>
      </c>
      <c r="N7324" t="s">
        <v>12</v>
      </c>
    </row>
    <row r="7325" spans="1:14" x14ac:dyDescent="0.25">
      <c r="A7325">
        <v>20160722</v>
      </c>
      <c r="B7325" t="str">
        <f>"064122"</f>
        <v>064122</v>
      </c>
      <c r="C7325" t="str">
        <f>"05591"</f>
        <v>05591</v>
      </c>
      <c r="D7325" t="s">
        <v>1670</v>
      </c>
      <c r="E7325" s="3">
        <v>1164.75</v>
      </c>
      <c r="F7325">
        <v>20160720</v>
      </c>
      <c r="G7325" t="s">
        <v>3551</v>
      </c>
      <c r="H7325" t="s">
        <v>1671</v>
      </c>
      <c r="I7325">
        <v>0</v>
      </c>
      <c r="J7325" t="s">
        <v>1709</v>
      </c>
      <c r="K7325" t="s">
        <v>1558</v>
      </c>
      <c r="L7325" t="s">
        <v>285</v>
      </c>
      <c r="M7325" t="str">
        <f t="shared" si="541"/>
        <v>07</v>
      </c>
      <c r="N7325" t="s">
        <v>12</v>
      </c>
    </row>
    <row r="7326" spans="1:14" x14ac:dyDescent="0.25">
      <c r="A7326">
        <v>20160722</v>
      </c>
      <c r="B7326" t="str">
        <f>"064123"</f>
        <v>064123</v>
      </c>
      <c r="C7326" t="str">
        <f>"20430"</f>
        <v>20430</v>
      </c>
      <c r="D7326" t="s">
        <v>5970</v>
      </c>
      <c r="E7326" s="3">
        <v>79.41</v>
      </c>
      <c r="F7326">
        <v>20160720</v>
      </c>
      <c r="G7326" t="s">
        <v>1732</v>
      </c>
      <c r="H7326" t="s">
        <v>1648</v>
      </c>
      <c r="I7326">
        <v>0</v>
      </c>
      <c r="J7326" t="s">
        <v>1709</v>
      </c>
      <c r="K7326" t="s">
        <v>290</v>
      </c>
      <c r="L7326" t="s">
        <v>285</v>
      </c>
      <c r="M7326" t="str">
        <f t="shared" si="541"/>
        <v>07</v>
      </c>
      <c r="N7326" t="s">
        <v>12</v>
      </c>
    </row>
    <row r="7327" spans="1:14" x14ac:dyDescent="0.25">
      <c r="A7327">
        <v>20160722</v>
      </c>
      <c r="B7327" t="str">
        <f>"064124"</f>
        <v>064124</v>
      </c>
      <c r="C7327" t="str">
        <f>"21091"</f>
        <v>21091</v>
      </c>
      <c r="D7327" t="s">
        <v>2855</v>
      </c>
      <c r="E7327" s="3">
        <v>241.81</v>
      </c>
      <c r="F7327">
        <v>20160720</v>
      </c>
      <c r="G7327" t="s">
        <v>1854</v>
      </c>
      <c r="H7327" t="s">
        <v>5971</v>
      </c>
      <c r="I7327">
        <v>0</v>
      </c>
      <c r="J7327" t="s">
        <v>1709</v>
      </c>
      <c r="K7327" t="s">
        <v>1856</v>
      </c>
      <c r="L7327" t="s">
        <v>285</v>
      </c>
      <c r="M7327" t="str">
        <f t="shared" si="541"/>
        <v>07</v>
      </c>
      <c r="N7327" t="s">
        <v>12</v>
      </c>
    </row>
    <row r="7328" spans="1:14" x14ac:dyDescent="0.25">
      <c r="A7328">
        <v>20160722</v>
      </c>
      <c r="B7328" t="str">
        <f>"064126"</f>
        <v>064126</v>
      </c>
      <c r="C7328" t="str">
        <f>"21610"</f>
        <v>21610</v>
      </c>
      <c r="D7328" t="s">
        <v>4892</v>
      </c>
      <c r="E7328" s="3">
        <v>530</v>
      </c>
      <c r="F7328">
        <v>20160720</v>
      </c>
      <c r="G7328" t="s">
        <v>3139</v>
      </c>
      <c r="H7328" t="s">
        <v>5972</v>
      </c>
      <c r="I7328">
        <v>0</v>
      </c>
      <c r="J7328" t="s">
        <v>1709</v>
      </c>
      <c r="K7328" t="s">
        <v>1779</v>
      </c>
      <c r="L7328" t="s">
        <v>285</v>
      </c>
      <c r="M7328" t="str">
        <f t="shared" si="541"/>
        <v>07</v>
      </c>
      <c r="N7328" t="s">
        <v>12</v>
      </c>
    </row>
    <row r="7329" spans="1:14" x14ac:dyDescent="0.25">
      <c r="A7329">
        <v>20160722</v>
      </c>
      <c r="B7329" t="str">
        <f>"064126"</f>
        <v>064126</v>
      </c>
      <c r="C7329" t="str">
        <f>"21610"</f>
        <v>21610</v>
      </c>
      <c r="D7329" t="s">
        <v>4892</v>
      </c>
      <c r="E7329" s="3">
        <v>530</v>
      </c>
      <c r="F7329">
        <v>20160720</v>
      </c>
      <c r="G7329" t="s">
        <v>2105</v>
      </c>
      <c r="H7329" t="s">
        <v>5972</v>
      </c>
      <c r="I7329">
        <v>0</v>
      </c>
      <c r="J7329" t="s">
        <v>1709</v>
      </c>
      <c r="K7329" t="s">
        <v>1782</v>
      </c>
      <c r="L7329" t="s">
        <v>285</v>
      </c>
      <c r="M7329" t="str">
        <f t="shared" si="541"/>
        <v>07</v>
      </c>
      <c r="N7329" t="s">
        <v>12</v>
      </c>
    </row>
    <row r="7330" spans="1:14" x14ac:dyDescent="0.25">
      <c r="A7330">
        <v>20160722</v>
      </c>
      <c r="B7330" t="str">
        <f>"064126"</f>
        <v>064126</v>
      </c>
      <c r="C7330" t="str">
        <f>"21610"</f>
        <v>21610</v>
      </c>
      <c r="D7330" t="s">
        <v>4892</v>
      </c>
      <c r="E7330" s="3">
        <v>2647.35</v>
      </c>
      <c r="F7330">
        <v>20160720</v>
      </c>
      <c r="G7330" t="s">
        <v>1840</v>
      </c>
      <c r="H7330" t="s">
        <v>5972</v>
      </c>
      <c r="I7330">
        <v>0</v>
      </c>
      <c r="J7330" t="s">
        <v>1709</v>
      </c>
      <c r="K7330" t="s">
        <v>1744</v>
      </c>
      <c r="L7330" t="s">
        <v>285</v>
      </c>
      <c r="M7330" t="str">
        <f t="shared" si="541"/>
        <v>07</v>
      </c>
      <c r="N7330" t="s">
        <v>12</v>
      </c>
    </row>
    <row r="7331" spans="1:14" x14ac:dyDescent="0.25">
      <c r="A7331">
        <v>20160722</v>
      </c>
      <c r="B7331" t="str">
        <f>"064128"</f>
        <v>064128</v>
      </c>
      <c r="C7331" t="str">
        <f>"25172"</f>
        <v>25172</v>
      </c>
      <c r="D7331" t="s">
        <v>5973</v>
      </c>
      <c r="E7331" s="3">
        <v>34916.39</v>
      </c>
      <c r="F7331">
        <v>20160720</v>
      </c>
      <c r="G7331" t="s">
        <v>5974</v>
      </c>
      <c r="H7331" t="s">
        <v>5975</v>
      </c>
      <c r="I7331">
        <v>0</v>
      </c>
      <c r="J7331" t="s">
        <v>1709</v>
      </c>
      <c r="K7331" t="s">
        <v>1984</v>
      </c>
      <c r="L7331" t="s">
        <v>285</v>
      </c>
      <c r="M7331" t="str">
        <f t="shared" si="541"/>
        <v>07</v>
      </c>
      <c r="N7331" t="s">
        <v>12</v>
      </c>
    </row>
    <row r="7332" spans="1:14" x14ac:dyDescent="0.25">
      <c r="A7332">
        <v>20160722</v>
      </c>
      <c r="B7332" t="str">
        <f>"064128"</f>
        <v>064128</v>
      </c>
      <c r="C7332" t="str">
        <f>"25172"</f>
        <v>25172</v>
      </c>
      <c r="D7332" t="s">
        <v>5973</v>
      </c>
      <c r="E7332" s="3">
        <v>234.15</v>
      </c>
      <c r="F7332">
        <v>20160720</v>
      </c>
      <c r="G7332" t="s">
        <v>5976</v>
      </c>
      <c r="H7332" t="s">
        <v>5975</v>
      </c>
      <c r="I7332">
        <v>0</v>
      </c>
      <c r="J7332" t="s">
        <v>1709</v>
      </c>
      <c r="K7332" t="s">
        <v>1984</v>
      </c>
      <c r="L7332" t="s">
        <v>285</v>
      </c>
      <c r="M7332" t="str">
        <f t="shared" si="541"/>
        <v>07</v>
      </c>
      <c r="N7332" t="s">
        <v>12</v>
      </c>
    </row>
    <row r="7333" spans="1:14" x14ac:dyDescent="0.25">
      <c r="A7333">
        <v>20160722</v>
      </c>
      <c r="B7333" t="str">
        <f>"064129"</f>
        <v>064129</v>
      </c>
      <c r="C7333" t="str">
        <f>"24960"</f>
        <v>24960</v>
      </c>
      <c r="D7333" t="s">
        <v>39</v>
      </c>
      <c r="E7333" s="3">
        <v>537.6</v>
      </c>
      <c r="F7333">
        <v>20160720</v>
      </c>
      <c r="G7333" t="s">
        <v>1841</v>
      </c>
      <c r="H7333" t="s">
        <v>5977</v>
      </c>
      <c r="I7333">
        <v>0</v>
      </c>
      <c r="J7333" t="s">
        <v>1709</v>
      </c>
      <c r="K7333" t="s">
        <v>1775</v>
      </c>
      <c r="L7333" t="s">
        <v>285</v>
      </c>
      <c r="M7333" t="str">
        <f t="shared" si="541"/>
        <v>07</v>
      </c>
      <c r="N7333" t="s">
        <v>12</v>
      </c>
    </row>
    <row r="7334" spans="1:14" x14ac:dyDescent="0.25">
      <c r="A7334">
        <v>20160722</v>
      </c>
      <c r="B7334" t="str">
        <f>"064130"</f>
        <v>064130</v>
      </c>
      <c r="C7334" t="str">
        <f>"25163"</f>
        <v>25163</v>
      </c>
      <c r="D7334" t="s">
        <v>5978</v>
      </c>
      <c r="E7334" s="3">
        <v>6493.51</v>
      </c>
      <c r="F7334">
        <v>20160720</v>
      </c>
      <c r="G7334" t="s">
        <v>5979</v>
      </c>
      <c r="H7334" t="s">
        <v>5980</v>
      </c>
      <c r="I7334">
        <v>0</v>
      </c>
      <c r="J7334" t="s">
        <v>1709</v>
      </c>
      <c r="K7334" t="s">
        <v>1984</v>
      </c>
      <c r="L7334" t="s">
        <v>285</v>
      </c>
      <c r="M7334" t="str">
        <f t="shared" si="541"/>
        <v>07</v>
      </c>
      <c r="N7334" t="s">
        <v>12</v>
      </c>
    </row>
    <row r="7335" spans="1:14" x14ac:dyDescent="0.25">
      <c r="A7335">
        <v>20160722</v>
      </c>
      <c r="B7335" t="str">
        <f>"064130"</f>
        <v>064130</v>
      </c>
      <c r="C7335" t="str">
        <f>"25163"</f>
        <v>25163</v>
      </c>
      <c r="D7335" t="s">
        <v>5978</v>
      </c>
      <c r="E7335" s="3">
        <v>822.88</v>
      </c>
      <c r="F7335">
        <v>20160720</v>
      </c>
      <c r="G7335" t="s">
        <v>5981</v>
      </c>
      <c r="H7335" t="s">
        <v>5980</v>
      </c>
      <c r="I7335">
        <v>0</v>
      </c>
      <c r="J7335" t="s">
        <v>1709</v>
      </c>
      <c r="K7335" t="s">
        <v>1984</v>
      </c>
      <c r="L7335" t="s">
        <v>285</v>
      </c>
      <c r="M7335" t="str">
        <f t="shared" si="541"/>
        <v>07</v>
      </c>
      <c r="N7335" t="s">
        <v>12</v>
      </c>
    </row>
    <row r="7336" spans="1:14" x14ac:dyDescent="0.25">
      <c r="A7336">
        <v>20160722</v>
      </c>
      <c r="B7336" t="str">
        <f>"064131"</f>
        <v>064131</v>
      </c>
      <c r="C7336" t="str">
        <f>"25853"</f>
        <v>25853</v>
      </c>
      <c r="D7336" t="s">
        <v>532</v>
      </c>
      <c r="E7336" s="3">
        <v>2000</v>
      </c>
      <c r="F7336">
        <v>20160720</v>
      </c>
      <c r="G7336" t="s">
        <v>1725</v>
      </c>
      <c r="H7336" t="s">
        <v>5346</v>
      </c>
      <c r="I7336">
        <v>0</v>
      </c>
      <c r="J7336" t="s">
        <v>1709</v>
      </c>
      <c r="K7336" t="s">
        <v>290</v>
      </c>
      <c r="L7336" t="s">
        <v>285</v>
      </c>
      <c r="M7336" t="str">
        <f t="shared" si="541"/>
        <v>07</v>
      </c>
      <c r="N7336" t="s">
        <v>12</v>
      </c>
    </row>
    <row r="7337" spans="1:14" x14ac:dyDescent="0.25">
      <c r="A7337">
        <v>20160722</v>
      </c>
      <c r="B7337" t="str">
        <f>"064132"</f>
        <v>064132</v>
      </c>
      <c r="C7337" t="str">
        <f>"29500"</f>
        <v>29500</v>
      </c>
      <c r="D7337" t="s">
        <v>1698</v>
      </c>
      <c r="E7337" s="3">
        <v>32</v>
      </c>
      <c r="F7337">
        <v>20160720</v>
      </c>
      <c r="G7337" t="s">
        <v>1859</v>
      </c>
      <c r="H7337" t="s">
        <v>5982</v>
      </c>
      <c r="I7337">
        <v>0</v>
      </c>
      <c r="J7337" t="s">
        <v>1709</v>
      </c>
      <c r="K7337" t="s">
        <v>1861</v>
      </c>
      <c r="L7337" t="s">
        <v>285</v>
      </c>
      <c r="M7337" t="str">
        <f t="shared" si="541"/>
        <v>07</v>
      </c>
      <c r="N7337" t="s">
        <v>12</v>
      </c>
    </row>
    <row r="7338" spans="1:14" x14ac:dyDescent="0.25">
      <c r="A7338">
        <v>20160722</v>
      </c>
      <c r="B7338" t="str">
        <f>"064134"</f>
        <v>064134</v>
      </c>
      <c r="C7338" t="str">
        <f>"29680"</f>
        <v>29680</v>
      </c>
      <c r="D7338" t="s">
        <v>653</v>
      </c>
      <c r="E7338" s="3">
        <v>89.28</v>
      </c>
      <c r="F7338">
        <v>20160720</v>
      </c>
      <c r="G7338" t="s">
        <v>1732</v>
      </c>
      <c r="H7338" t="s">
        <v>1648</v>
      </c>
      <c r="I7338">
        <v>0</v>
      </c>
      <c r="J7338" t="s">
        <v>1709</v>
      </c>
      <c r="K7338" t="s">
        <v>290</v>
      </c>
      <c r="L7338" t="s">
        <v>285</v>
      </c>
      <c r="M7338" t="str">
        <f t="shared" si="541"/>
        <v>07</v>
      </c>
      <c r="N7338" t="s">
        <v>12</v>
      </c>
    </row>
    <row r="7339" spans="1:14" x14ac:dyDescent="0.25">
      <c r="A7339">
        <v>20160722</v>
      </c>
      <c r="B7339" t="str">
        <f t="shared" ref="B7339:B7362" si="544">"064135"</f>
        <v>064135</v>
      </c>
      <c r="C7339" t="str">
        <f t="shared" ref="C7339:C7362" si="545">"06470"</f>
        <v>06470</v>
      </c>
      <c r="D7339" t="s">
        <v>2654</v>
      </c>
      <c r="E7339" s="3">
        <v>56.15</v>
      </c>
      <c r="F7339">
        <v>20160720</v>
      </c>
      <c r="G7339" t="s">
        <v>5983</v>
      </c>
      <c r="H7339" t="s">
        <v>3792</v>
      </c>
      <c r="I7339">
        <v>0</v>
      </c>
      <c r="J7339" t="s">
        <v>1709</v>
      </c>
      <c r="K7339" t="s">
        <v>1856</v>
      </c>
      <c r="L7339" t="s">
        <v>285</v>
      </c>
      <c r="M7339" t="str">
        <f t="shared" si="541"/>
        <v>07</v>
      </c>
      <c r="N7339" t="s">
        <v>12</v>
      </c>
    </row>
    <row r="7340" spans="1:14" x14ac:dyDescent="0.25">
      <c r="A7340">
        <v>20160722</v>
      </c>
      <c r="B7340" t="str">
        <f t="shared" si="544"/>
        <v>064135</v>
      </c>
      <c r="C7340" t="str">
        <f t="shared" si="545"/>
        <v>06470</v>
      </c>
      <c r="D7340" t="s">
        <v>2654</v>
      </c>
      <c r="E7340" s="3">
        <v>145.88999999999999</v>
      </c>
      <c r="F7340">
        <v>20160720</v>
      </c>
      <c r="G7340" t="s">
        <v>5983</v>
      </c>
      <c r="H7340" t="s">
        <v>3788</v>
      </c>
      <c r="I7340">
        <v>0</v>
      </c>
      <c r="J7340" t="s">
        <v>1709</v>
      </c>
      <c r="K7340" t="s">
        <v>1856</v>
      </c>
      <c r="L7340" t="s">
        <v>285</v>
      </c>
      <c r="M7340" t="str">
        <f t="shared" si="541"/>
        <v>07</v>
      </c>
      <c r="N7340" t="s">
        <v>12</v>
      </c>
    </row>
    <row r="7341" spans="1:14" x14ac:dyDescent="0.25">
      <c r="A7341">
        <v>20160722</v>
      </c>
      <c r="B7341" t="str">
        <f t="shared" si="544"/>
        <v>064135</v>
      </c>
      <c r="C7341" t="str">
        <f t="shared" si="545"/>
        <v>06470</v>
      </c>
      <c r="D7341" t="s">
        <v>2654</v>
      </c>
      <c r="E7341" s="3">
        <v>63.48</v>
      </c>
      <c r="F7341">
        <v>20160720</v>
      </c>
      <c r="G7341" t="s">
        <v>5983</v>
      </c>
      <c r="H7341" t="s">
        <v>3793</v>
      </c>
      <c r="I7341">
        <v>0</v>
      </c>
      <c r="J7341" t="s">
        <v>1709</v>
      </c>
      <c r="K7341" t="s">
        <v>1856</v>
      </c>
      <c r="L7341" t="s">
        <v>285</v>
      </c>
      <c r="M7341" t="str">
        <f t="shared" si="541"/>
        <v>07</v>
      </c>
      <c r="N7341" t="s">
        <v>12</v>
      </c>
    </row>
    <row r="7342" spans="1:14" x14ac:dyDescent="0.25">
      <c r="A7342">
        <v>20160722</v>
      </c>
      <c r="B7342" t="str">
        <f t="shared" si="544"/>
        <v>064135</v>
      </c>
      <c r="C7342" t="str">
        <f t="shared" si="545"/>
        <v>06470</v>
      </c>
      <c r="D7342" t="s">
        <v>2654</v>
      </c>
      <c r="E7342" s="3">
        <v>1495.94</v>
      </c>
      <c r="F7342">
        <v>20160720</v>
      </c>
      <c r="G7342" t="s">
        <v>5983</v>
      </c>
      <c r="H7342" t="s">
        <v>5984</v>
      </c>
      <c r="I7342">
        <v>0</v>
      </c>
      <c r="J7342" t="s">
        <v>1709</v>
      </c>
      <c r="K7342" t="s">
        <v>1856</v>
      </c>
      <c r="L7342" t="s">
        <v>285</v>
      </c>
      <c r="M7342" t="str">
        <f t="shared" si="541"/>
        <v>07</v>
      </c>
      <c r="N7342" t="s">
        <v>12</v>
      </c>
    </row>
    <row r="7343" spans="1:14" x14ac:dyDescent="0.25">
      <c r="A7343">
        <v>20160722</v>
      </c>
      <c r="B7343" t="str">
        <f t="shared" si="544"/>
        <v>064135</v>
      </c>
      <c r="C7343" t="str">
        <f t="shared" si="545"/>
        <v>06470</v>
      </c>
      <c r="D7343" t="s">
        <v>2654</v>
      </c>
      <c r="E7343" s="3">
        <v>81.67</v>
      </c>
      <c r="F7343">
        <v>20160720</v>
      </c>
      <c r="G7343" t="s">
        <v>2164</v>
      </c>
      <c r="H7343" t="s">
        <v>3784</v>
      </c>
      <c r="I7343">
        <v>0</v>
      </c>
      <c r="J7343" t="s">
        <v>1709</v>
      </c>
      <c r="K7343" t="s">
        <v>1861</v>
      </c>
      <c r="L7343" t="s">
        <v>285</v>
      </c>
      <c r="M7343" t="str">
        <f t="shared" si="541"/>
        <v>07</v>
      </c>
      <c r="N7343" t="s">
        <v>12</v>
      </c>
    </row>
    <row r="7344" spans="1:14" x14ac:dyDescent="0.25">
      <c r="A7344">
        <v>20160722</v>
      </c>
      <c r="B7344" t="str">
        <f t="shared" si="544"/>
        <v>064135</v>
      </c>
      <c r="C7344" t="str">
        <f t="shared" si="545"/>
        <v>06470</v>
      </c>
      <c r="D7344" t="s">
        <v>2654</v>
      </c>
      <c r="E7344" s="3">
        <v>63.48</v>
      </c>
      <c r="F7344">
        <v>20160720</v>
      </c>
      <c r="G7344" t="s">
        <v>2164</v>
      </c>
      <c r="H7344" t="s">
        <v>3785</v>
      </c>
      <c r="I7344">
        <v>0</v>
      </c>
      <c r="J7344" t="s">
        <v>1709</v>
      </c>
      <c r="K7344" t="s">
        <v>1861</v>
      </c>
      <c r="L7344" t="s">
        <v>285</v>
      </c>
      <c r="M7344" t="str">
        <f t="shared" si="541"/>
        <v>07</v>
      </c>
      <c r="N7344" t="s">
        <v>12</v>
      </c>
    </row>
    <row r="7345" spans="1:14" x14ac:dyDescent="0.25">
      <c r="A7345">
        <v>20160722</v>
      </c>
      <c r="B7345" t="str">
        <f t="shared" si="544"/>
        <v>064135</v>
      </c>
      <c r="C7345" t="str">
        <f t="shared" si="545"/>
        <v>06470</v>
      </c>
      <c r="D7345" t="s">
        <v>2654</v>
      </c>
      <c r="E7345" s="3">
        <v>58.44</v>
      </c>
      <c r="F7345">
        <v>20160720</v>
      </c>
      <c r="G7345" t="s">
        <v>2164</v>
      </c>
      <c r="H7345" t="s">
        <v>3790</v>
      </c>
      <c r="I7345">
        <v>0</v>
      </c>
      <c r="J7345" t="s">
        <v>1709</v>
      </c>
      <c r="K7345" t="s">
        <v>1861</v>
      </c>
      <c r="L7345" t="s">
        <v>285</v>
      </c>
      <c r="M7345" t="str">
        <f t="shared" si="541"/>
        <v>07</v>
      </c>
      <c r="N7345" t="s">
        <v>12</v>
      </c>
    </row>
    <row r="7346" spans="1:14" x14ac:dyDescent="0.25">
      <c r="A7346">
        <v>20160722</v>
      </c>
      <c r="B7346" t="str">
        <f t="shared" si="544"/>
        <v>064135</v>
      </c>
      <c r="C7346" t="str">
        <f t="shared" si="545"/>
        <v>06470</v>
      </c>
      <c r="D7346" t="s">
        <v>2654</v>
      </c>
      <c r="E7346" s="3">
        <v>64.680000000000007</v>
      </c>
      <c r="F7346">
        <v>20160720</v>
      </c>
      <c r="G7346" t="s">
        <v>2164</v>
      </c>
      <c r="H7346" t="s">
        <v>3796</v>
      </c>
      <c r="I7346">
        <v>0</v>
      </c>
      <c r="J7346" t="s">
        <v>1709</v>
      </c>
      <c r="K7346" t="s">
        <v>1861</v>
      </c>
      <c r="L7346" t="s">
        <v>285</v>
      </c>
      <c r="M7346" t="str">
        <f t="shared" si="541"/>
        <v>07</v>
      </c>
      <c r="N7346" t="s">
        <v>12</v>
      </c>
    </row>
    <row r="7347" spans="1:14" x14ac:dyDescent="0.25">
      <c r="A7347">
        <v>20160722</v>
      </c>
      <c r="B7347" t="str">
        <f t="shared" si="544"/>
        <v>064135</v>
      </c>
      <c r="C7347" t="str">
        <f t="shared" si="545"/>
        <v>06470</v>
      </c>
      <c r="D7347" t="s">
        <v>2654</v>
      </c>
      <c r="E7347" s="3">
        <v>65.28</v>
      </c>
      <c r="F7347">
        <v>20160720</v>
      </c>
      <c r="G7347" t="s">
        <v>2164</v>
      </c>
      <c r="H7347" t="s">
        <v>3786</v>
      </c>
      <c r="I7347">
        <v>0</v>
      </c>
      <c r="J7347" t="s">
        <v>1709</v>
      </c>
      <c r="K7347" t="s">
        <v>1861</v>
      </c>
      <c r="L7347" t="s">
        <v>285</v>
      </c>
      <c r="M7347" t="str">
        <f t="shared" si="541"/>
        <v>07</v>
      </c>
      <c r="N7347" t="s">
        <v>12</v>
      </c>
    </row>
    <row r="7348" spans="1:14" x14ac:dyDescent="0.25">
      <c r="A7348">
        <v>20160722</v>
      </c>
      <c r="B7348" t="str">
        <f t="shared" si="544"/>
        <v>064135</v>
      </c>
      <c r="C7348" t="str">
        <f t="shared" si="545"/>
        <v>06470</v>
      </c>
      <c r="D7348" t="s">
        <v>2654</v>
      </c>
      <c r="E7348" s="3">
        <v>59.1</v>
      </c>
      <c r="F7348">
        <v>20160720</v>
      </c>
      <c r="G7348" t="s">
        <v>2164</v>
      </c>
      <c r="H7348" t="s">
        <v>3794</v>
      </c>
      <c r="I7348">
        <v>0</v>
      </c>
      <c r="J7348" t="s">
        <v>1709</v>
      </c>
      <c r="K7348" t="s">
        <v>1861</v>
      </c>
      <c r="L7348" t="s">
        <v>285</v>
      </c>
      <c r="M7348" t="str">
        <f t="shared" si="541"/>
        <v>07</v>
      </c>
      <c r="N7348" t="s">
        <v>12</v>
      </c>
    </row>
    <row r="7349" spans="1:14" x14ac:dyDescent="0.25">
      <c r="A7349">
        <v>20160722</v>
      </c>
      <c r="B7349" t="str">
        <f t="shared" si="544"/>
        <v>064135</v>
      </c>
      <c r="C7349" t="str">
        <f t="shared" si="545"/>
        <v>06470</v>
      </c>
      <c r="D7349" t="s">
        <v>2654</v>
      </c>
      <c r="E7349" s="3">
        <v>58.92</v>
      </c>
      <c r="F7349">
        <v>20160720</v>
      </c>
      <c r="G7349" t="s">
        <v>2164</v>
      </c>
      <c r="H7349" t="s">
        <v>3787</v>
      </c>
      <c r="I7349">
        <v>0</v>
      </c>
      <c r="J7349" t="s">
        <v>1709</v>
      </c>
      <c r="K7349" t="s">
        <v>1861</v>
      </c>
      <c r="L7349" t="s">
        <v>285</v>
      </c>
      <c r="M7349" t="str">
        <f t="shared" si="541"/>
        <v>07</v>
      </c>
      <c r="N7349" t="s">
        <v>12</v>
      </c>
    </row>
    <row r="7350" spans="1:14" x14ac:dyDescent="0.25">
      <c r="A7350">
        <v>20160722</v>
      </c>
      <c r="B7350" t="str">
        <f t="shared" si="544"/>
        <v>064135</v>
      </c>
      <c r="C7350" t="str">
        <f t="shared" si="545"/>
        <v>06470</v>
      </c>
      <c r="D7350" t="s">
        <v>2654</v>
      </c>
      <c r="E7350" s="3">
        <v>58.92</v>
      </c>
      <c r="F7350">
        <v>20160720</v>
      </c>
      <c r="G7350" t="s">
        <v>2164</v>
      </c>
      <c r="H7350" t="s">
        <v>5985</v>
      </c>
      <c r="I7350">
        <v>0</v>
      </c>
      <c r="J7350" t="s">
        <v>1709</v>
      </c>
      <c r="K7350" t="s">
        <v>1861</v>
      </c>
      <c r="L7350" t="s">
        <v>285</v>
      </c>
      <c r="M7350" t="str">
        <f t="shared" ref="M7350:M7413" si="546">"07"</f>
        <v>07</v>
      </c>
      <c r="N7350" t="s">
        <v>12</v>
      </c>
    </row>
    <row r="7351" spans="1:14" x14ac:dyDescent="0.25">
      <c r="A7351">
        <v>20160722</v>
      </c>
      <c r="B7351" t="str">
        <f t="shared" si="544"/>
        <v>064135</v>
      </c>
      <c r="C7351" t="str">
        <f t="shared" si="545"/>
        <v>06470</v>
      </c>
      <c r="D7351" t="s">
        <v>2654</v>
      </c>
      <c r="E7351" s="3">
        <v>59.1</v>
      </c>
      <c r="F7351">
        <v>20160720</v>
      </c>
      <c r="G7351" t="s">
        <v>2164</v>
      </c>
      <c r="H7351" t="s">
        <v>3797</v>
      </c>
      <c r="I7351">
        <v>0</v>
      </c>
      <c r="J7351" t="s">
        <v>1709</v>
      </c>
      <c r="K7351" t="s">
        <v>1861</v>
      </c>
      <c r="L7351" t="s">
        <v>285</v>
      </c>
      <c r="M7351" t="str">
        <f t="shared" si="546"/>
        <v>07</v>
      </c>
      <c r="N7351" t="s">
        <v>12</v>
      </c>
    </row>
    <row r="7352" spans="1:14" x14ac:dyDescent="0.25">
      <c r="A7352">
        <v>20160722</v>
      </c>
      <c r="B7352" t="str">
        <f t="shared" si="544"/>
        <v>064135</v>
      </c>
      <c r="C7352" t="str">
        <f t="shared" si="545"/>
        <v>06470</v>
      </c>
      <c r="D7352" t="s">
        <v>2654</v>
      </c>
      <c r="E7352" s="3">
        <v>48.77</v>
      </c>
      <c r="F7352">
        <v>20160720</v>
      </c>
      <c r="G7352" t="s">
        <v>2164</v>
      </c>
      <c r="H7352" t="s">
        <v>2656</v>
      </c>
      <c r="I7352">
        <v>0</v>
      </c>
      <c r="J7352" t="s">
        <v>1709</v>
      </c>
      <c r="K7352" t="s">
        <v>1861</v>
      </c>
      <c r="L7352" t="s">
        <v>285</v>
      </c>
      <c r="M7352" t="str">
        <f t="shared" si="546"/>
        <v>07</v>
      </c>
      <c r="N7352" t="s">
        <v>12</v>
      </c>
    </row>
    <row r="7353" spans="1:14" x14ac:dyDescent="0.25">
      <c r="A7353">
        <v>20160722</v>
      </c>
      <c r="B7353" t="str">
        <f t="shared" si="544"/>
        <v>064135</v>
      </c>
      <c r="C7353" t="str">
        <f t="shared" si="545"/>
        <v>06470</v>
      </c>
      <c r="D7353" t="s">
        <v>2654</v>
      </c>
      <c r="E7353" s="3">
        <v>109.42</v>
      </c>
      <c r="F7353">
        <v>20160720</v>
      </c>
      <c r="G7353" t="s">
        <v>2164</v>
      </c>
      <c r="H7353" t="s">
        <v>3800</v>
      </c>
      <c r="I7353">
        <v>0</v>
      </c>
      <c r="J7353" t="s">
        <v>1709</v>
      </c>
      <c r="K7353" t="s">
        <v>1861</v>
      </c>
      <c r="L7353" t="s">
        <v>285</v>
      </c>
      <c r="M7353" t="str">
        <f t="shared" si="546"/>
        <v>07</v>
      </c>
      <c r="N7353" t="s">
        <v>12</v>
      </c>
    </row>
    <row r="7354" spans="1:14" x14ac:dyDescent="0.25">
      <c r="A7354">
        <v>20160722</v>
      </c>
      <c r="B7354" t="str">
        <f t="shared" si="544"/>
        <v>064135</v>
      </c>
      <c r="C7354" t="str">
        <f t="shared" si="545"/>
        <v>06470</v>
      </c>
      <c r="D7354" t="s">
        <v>2654</v>
      </c>
      <c r="E7354" s="3">
        <v>109.42</v>
      </c>
      <c r="F7354">
        <v>20160720</v>
      </c>
      <c r="G7354" t="s">
        <v>2164</v>
      </c>
      <c r="H7354" t="s">
        <v>3798</v>
      </c>
      <c r="I7354">
        <v>0</v>
      </c>
      <c r="J7354" t="s">
        <v>1709</v>
      </c>
      <c r="K7354" t="s">
        <v>1861</v>
      </c>
      <c r="L7354" t="s">
        <v>285</v>
      </c>
      <c r="M7354" t="str">
        <f t="shared" si="546"/>
        <v>07</v>
      </c>
      <c r="N7354" t="s">
        <v>12</v>
      </c>
    </row>
    <row r="7355" spans="1:14" x14ac:dyDescent="0.25">
      <c r="A7355">
        <v>20160722</v>
      </c>
      <c r="B7355" t="str">
        <f t="shared" si="544"/>
        <v>064135</v>
      </c>
      <c r="C7355" t="str">
        <f t="shared" si="545"/>
        <v>06470</v>
      </c>
      <c r="D7355" t="s">
        <v>2654</v>
      </c>
      <c r="E7355" s="3">
        <v>109.42</v>
      </c>
      <c r="F7355">
        <v>20160720</v>
      </c>
      <c r="G7355" t="s">
        <v>2164</v>
      </c>
      <c r="H7355" t="s">
        <v>3803</v>
      </c>
      <c r="I7355">
        <v>0</v>
      </c>
      <c r="J7355" t="s">
        <v>1709</v>
      </c>
      <c r="K7355" t="s">
        <v>1861</v>
      </c>
      <c r="L7355" t="s">
        <v>285</v>
      </c>
      <c r="M7355" t="str">
        <f t="shared" si="546"/>
        <v>07</v>
      </c>
      <c r="N7355" t="s">
        <v>12</v>
      </c>
    </row>
    <row r="7356" spans="1:14" x14ac:dyDescent="0.25">
      <c r="A7356">
        <v>20160722</v>
      </c>
      <c r="B7356" t="str">
        <f t="shared" si="544"/>
        <v>064135</v>
      </c>
      <c r="C7356" t="str">
        <f t="shared" si="545"/>
        <v>06470</v>
      </c>
      <c r="D7356" t="s">
        <v>2654</v>
      </c>
      <c r="E7356" s="3">
        <v>58.92</v>
      </c>
      <c r="F7356">
        <v>20160720</v>
      </c>
      <c r="G7356" t="s">
        <v>2164</v>
      </c>
      <c r="H7356" t="s">
        <v>3795</v>
      </c>
      <c r="I7356">
        <v>0</v>
      </c>
      <c r="J7356" t="s">
        <v>1709</v>
      </c>
      <c r="K7356" t="s">
        <v>1861</v>
      </c>
      <c r="L7356" t="s">
        <v>285</v>
      </c>
      <c r="M7356" t="str">
        <f t="shared" si="546"/>
        <v>07</v>
      </c>
      <c r="N7356" t="s">
        <v>12</v>
      </c>
    </row>
    <row r="7357" spans="1:14" x14ac:dyDescent="0.25">
      <c r="A7357">
        <v>20160722</v>
      </c>
      <c r="B7357" t="str">
        <f t="shared" si="544"/>
        <v>064135</v>
      </c>
      <c r="C7357" t="str">
        <f t="shared" si="545"/>
        <v>06470</v>
      </c>
      <c r="D7357" t="s">
        <v>2654</v>
      </c>
      <c r="E7357" s="3">
        <v>58.92</v>
      </c>
      <c r="F7357">
        <v>20160720</v>
      </c>
      <c r="G7357" t="s">
        <v>2164</v>
      </c>
      <c r="H7357" t="s">
        <v>3802</v>
      </c>
      <c r="I7357">
        <v>0</v>
      </c>
      <c r="J7357" t="s">
        <v>1709</v>
      </c>
      <c r="K7357" t="s">
        <v>1861</v>
      </c>
      <c r="L7357" t="s">
        <v>285</v>
      </c>
      <c r="M7357" t="str">
        <f t="shared" si="546"/>
        <v>07</v>
      </c>
      <c r="N7357" t="s">
        <v>12</v>
      </c>
    </row>
    <row r="7358" spans="1:14" x14ac:dyDescent="0.25">
      <c r="A7358">
        <v>20160722</v>
      </c>
      <c r="B7358" t="str">
        <f t="shared" si="544"/>
        <v>064135</v>
      </c>
      <c r="C7358" t="str">
        <f t="shared" si="545"/>
        <v>06470</v>
      </c>
      <c r="D7358" t="s">
        <v>2654</v>
      </c>
      <c r="E7358" s="3">
        <v>54.66</v>
      </c>
      <c r="F7358">
        <v>20160720</v>
      </c>
      <c r="G7358" t="s">
        <v>2164</v>
      </c>
      <c r="H7358" t="s">
        <v>3801</v>
      </c>
      <c r="I7358">
        <v>0</v>
      </c>
      <c r="J7358" t="s">
        <v>1709</v>
      </c>
      <c r="K7358" t="s">
        <v>1861</v>
      </c>
      <c r="L7358" t="s">
        <v>285</v>
      </c>
      <c r="M7358" t="str">
        <f t="shared" si="546"/>
        <v>07</v>
      </c>
      <c r="N7358" t="s">
        <v>12</v>
      </c>
    </row>
    <row r="7359" spans="1:14" x14ac:dyDescent="0.25">
      <c r="A7359">
        <v>20160722</v>
      </c>
      <c r="B7359" t="str">
        <f t="shared" si="544"/>
        <v>064135</v>
      </c>
      <c r="C7359" t="str">
        <f t="shared" si="545"/>
        <v>06470</v>
      </c>
      <c r="D7359" t="s">
        <v>2654</v>
      </c>
      <c r="E7359" s="3">
        <v>64.44</v>
      </c>
      <c r="F7359">
        <v>20160720</v>
      </c>
      <c r="G7359" t="s">
        <v>2164</v>
      </c>
      <c r="H7359" t="s">
        <v>3791</v>
      </c>
      <c r="I7359">
        <v>0</v>
      </c>
      <c r="J7359" t="s">
        <v>1709</v>
      </c>
      <c r="K7359" t="s">
        <v>1861</v>
      </c>
      <c r="L7359" t="s">
        <v>285</v>
      </c>
      <c r="M7359" t="str">
        <f t="shared" si="546"/>
        <v>07</v>
      </c>
      <c r="N7359" t="s">
        <v>12</v>
      </c>
    </row>
    <row r="7360" spans="1:14" x14ac:dyDescent="0.25">
      <c r="A7360">
        <v>20160722</v>
      </c>
      <c r="B7360" t="str">
        <f t="shared" si="544"/>
        <v>064135</v>
      </c>
      <c r="C7360" t="str">
        <f t="shared" si="545"/>
        <v>06470</v>
      </c>
      <c r="D7360" t="s">
        <v>2654</v>
      </c>
      <c r="E7360" s="3">
        <v>109.42</v>
      </c>
      <c r="F7360">
        <v>20160720</v>
      </c>
      <c r="G7360" t="s">
        <v>2164</v>
      </c>
      <c r="H7360" t="s">
        <v>3799</v>
      </c>
      <c r="I7360">
        <v>0</v>
      </c>
      <c r="J7360" t="s">
        <v>1709</v>
      </c>
      <c r="K7360" t="s">
        <v>1861</v>
      </c>
      <c r="L7360" t="s">
        <v>285</v>
      </c>
      <c r="M7360" t="str">
        <f t="shared" si="546"/>
        <v>07</v>
      </c>
      <c r="N7360" t="s">
        <v>12</v>
      </c>
    </row>
    <row r="7361" spans="1:14" x14ac:dyDescent="0.25">
      <c r="A7361">
        <v>20160722</v>
      </c>
      <c r="B7361" t="str">
        <f t="shared" si="544"/>
        <v>064135</v>
      </c>
      <c r="C7361" t="str">
        <f t="shared" si="545"/>
        <v>06470</v>
      </c>
      <c r="D7361" t="s">
        <v>2654</v>
      </c>
      <c r="E7361" s="3">
        <v>183.11</v>
      </c>
      <c r="F7361">
        <v>20160720</v>
      </c>
      <c r="G7361" t="s">
        <v>2164</v>
      </c>
      <c r="H7361" t="s">
        <v>5986</v>
      </c>
      <c r="I7361">
        <v>0</v>
      </c>
      <c r="J7361" t="s">
        <v>1709</v>
      </c>
      <c r="K7361" t="s">
        <v>1861</v>
      </c>
      <c r="L7361" t="s">
        <v>285</v>
      </c>
      <c r="M7361" t="str">
        <f t="shared" si="546"/>
        <v>07</v>
      </c>
      <c r="N7361" t="s">
        <v>12</v>
      </c>
    </row>
    <row r="7362" spans="1:14" x14ac:dyDescent="0.25">
      <c r="A7362">
        <v>20160722</v>
      </c>
      <c r="B7362" t="str">
        <f t="shared" si="544"/>
        <v>064135</v>
      </c>
      <c r="C7362" t="str">
        <f t="shared" si="545"/>
        <v>06470</v>
      </c>
      <c r="D7362" t="s">
        <v>2654</v>
      </c>
      <c r="E7362" s="3">
        <v>81.739999999999995</v>
      </c>
      <c r="F7362">
        <v>20160720</v>
      </c>
      <c r="G7362" t="s">
        <v>2164</v>
      </c>
      <c r="H7362" t="s">
        <v>5987</v>
      </c>
      <c r="I7362">
        <v>0</v>
      </c>
      <c r="J7362" t="s">
        <v>1709</v>
      </c>
      <c r="K7362" t="s">
        <v>1861</v>
      </c>
      <c r="L7362" t="s">
        <v>285</v>
      </c>
      <c r="M7362" t="str">
        <f t="shared" si="546"/>
        <v>07</v>
      </c>
      <c r="N7362" t="s">
        <v>12</v>
      </c>
    </row>
    <row r="7363" spans="1:14" x14ac:dyDescent="0.25">
      <c r="A7363">
        <v>20160722</v>
      </c>
      <c r="B7363" t="str">
        <f>"064136"</f>
        <v>064136</v>
      </c>
      <c r="C7363" t="str">
        <f>"30130"</f>
        <v>30130</v>
      </c>
      <c r="D7363" t="s">
        <v>3082</v>
      </c>
      <c r="E7363" s="3">
        <v>243.8</v>
      </c>
      <c r="F7363">
        <v>20160720</v>
      </c>
      <c r="G7363" t="s">
        <v>1854</v>
      </c>
      <c r="H7363" t="s">
        <v>5988</v>
      </c>
      <c r="I7363">
        <v>0</v>
      </c>
      <c r="J7363" t="s">
        <v>1709</v>
      </c>
      <c r="K7363" t="s">
        <v>1856</v>
      </c>
      <c r="L7363" t="s">
        <v>285</v>
      </c>
      <c r="M7363" t="str">
        <f t="shared" si="546"/>
        <v>07</v>
      </c>
      <c r="N7363" t="s">
        <v>12</v>
      </c>
    </row>
    <row r="7364" spans="1:14" x14ac:dyDescent="0.25">
      <c r="A7364">
        <v>20160722</v>
      </c>
      <c r="B7364" t="str">
        <f>"064138"</f>
        <v>064138</v>
      </c>
      <c r="C7364" t="str">
        <f>"31367"</f>
        <v>31367</v>
      </c>
      <c r="D7364" t="s">
        <v>4916</v>
      </c>
      <c r="E7364" s="3">
        <v>59.38</v>
      </c>
      <c r="F7364">
        <v>20160721</v>
      </c>
      <c r="G7364" t="s">
        <v>2587</v>
      </c>
      <c r="H7364" t="s">
        <v>4979</v>
      </c>
      <c r="I7364">
        <v>0</v>
      </c>
      <c r="J7364" t="s">
        <v>1709</v>
      </c>
      <c r="K7364" t="s">
        <v>290</v>
      </c>
      <c r="L7364" t="s">
        <v>285</v>
      </c>
      <c r="M7364" t="str">
        <f t="shared" si="546"/>
        <v>07</v>
      </c>
      <c r="N7364" t="s">
        <v>12</v>
      </c>
    </row>
    <row r="7365" spans="1:14" x14ac:dyDescent="0.25">
      <c r="A7365">
        <v>20160722</v>
      </c>
      <c r="B7365" t="str">
        <f>"064138"</f>
        <v>064138</v>
      </c>
      <c r="C7365" t="str">
        <f>"31367"</f>
        <v>31367</v>
      </c>
      <c r="D7365" t="s">
        <v>4916</v>
      </c>
      <c r="E7365" s="3">
        <v>25.1</v>
      </c>
      <c r="F7365">
        <v>20160721</v>
      </c>
      <c r="G7365" t="s">
        <v>4240</v>
      </c>
      <c r="H7365" t="s">
        <v>4979</v>
      </c>
      <c r="I7365">
        <v>0</v>
      </c>
      <c r="J7365" t="s">
        <v>1709</v>
      </c>
      <c r="K7365" t="s">
        <v>290</v>
      </c>
      <c r="L7365" t="s">
        <v>285</v>
      </c>
      <c r="M7365" t="str">
        <f t="shared" si="546"/>
        <v>07</v>
      </c>
      <c r="N7365" t="s">
        <v>12</v>
      </c>
    </row>
    <row r="7366" spans="1:14" x14ac:dyDescent="0.25">
      <c r="A7366">
        <v>20160722</v>
      </c>
      <c r="B7366" t="str">
        <f>"064139"</f>
        <v>064139</v>
      </c>
      <c r="C7366" t="str">
        <f>"33705"</f>
        <v>33705</v>
      </c>
      <c r="D7366" t="s">
        <v>5989</v>
      </c>
      <c r="E7366" s="3">
        <v>2250</v>
      </c>
      <c r="F7366">
        <v>20160720</v>
      </c>
      <c r="G7366" t="s">
        <v>2983</v>
      </c>
      <c r="H7366" t="s">
        <v>5990</v>
      </c>
      <c r="I7366">
        <v>0</v>
      </c>
      <c r="J7366" t="s">
        <v>1709</v>
      </c>
      <c r="K7366" t="s">
        <v>290</v>
      </c>
      <c r="L7366" t="s">
        <v>285</v>
      </c>
      <c r="M7366" t="str">
        <f t="shared" si="546"/>
        <v>07</v>
      </c>
      <c r="N7366" t="s">
        <v>12</v>
      </c>
    </row>
    <row r="7367" spans="1:14" x14ac:dyDescent="0.25">
      <c r="A7367">
        <v>20160722</v>
      </c>
      <c r="B7367" t="str">
        <f>"064140"</f>
        <v>064140</v>
      </c>
      <c r="C7367" t="str">
        <f>"39422"</f>
        <v>39422</v>
      </c>
      <c r="D7367" t="s">
        <v>1141</v>
      </c>
      <c r="E7367" s="3">
        <v>215.44</v>
      </c>
      <c r="F7367">
        <v>20160721</v>
      </c>
      <c r="G7367" t="s">
        <v>5851</v>
      </c>
      <c r="H7367" t="s">
        <v>5684</v>
      </c>
      <c r="I7367">
        <v>0</v>
      </c>
      <c r="J7367" t="s">
        <v>1709</v>
      </c>
      <c r="K7367" t="s">
        <v>290</v>
      </c>
      <c r="L7367" t="s">
        <v>285</v>
      </c>
      <c r="M7367" t="str">
        <f t="shared" si="546"/>
        <v>07</v>
      </c>
      <c r="N7367" t="s">
        <v>12</v>
      </c>
    </row>
    <row r="7368" spans="1:14" x14ac:dyDescent="0.25">
      <c r="A7368">
        <v>20160722</v>
      </c>
      <c r="B7368" t="str">
        <f>"064141"</f>
        <v>064141</v>
      </c>
      <c r="C7368" t="str">
        <f>"43503"</f>
        <v>43503</v>
      </c>
      <c r="D7368" t="s">
        <v>5991</v>
      </c>
      <c r="E7368" s="3">
        <v>1071</v>
      </c>
      <c r="F7368">
        <v>20160720</v>
      </c>
      <c r="G7368" t="s">
        <v>3944</v>
      </c>
      <c r="H7368" t="s">
        <v>5992</v>
      </c>
      <c r="I7368">
        <v>0</v>
      </c>
      <c r="J7368" t="s">
        <v>1709</v>
      </c>
      <c r="K7368" t="s">
        <v>95</v>
      </c>
      <c r="L7368" t="s">
        <v>285</v>
      </c>
      <c r="M7368" t="str">
        <f t="shared" si="546"/>
        <v>07</v>
      </c>
      <c r="N7368" t="s">
        <v>12</v>
      </c>
    </row>
    <row r="7369" spans="1:14" x14ac:dyDescent="0.25">
      <c r="A7369">
        <v>20160722</v>
      </c>
      <c r="B7369" t="str">
        <f>"064142"</f>
        <v>064142</v>
      </c>
      <c r="C7369" t="str">
        <f>"43532"</f>
        <v>43532</v>
      </c>
      <c r="D7369" t="s">
        <v>1979</v>
      </c>
      <c r="E7369" s="3">
        <v>135</v>
      </c>
      <c r="F7369">
        <v>20160720</v>
      </c>
      <c r="G7369" t="s">
        <v>2083</v>
      </c>
      <c r="H7369" t="s">
        <v>5754</v>
      </c>
      <c r="I7369">
        <v>0</v>
      </c>
      <c r="J7369" t="s">
        <v>1709</v>
      </c>
      <c r="K7369" t="s">
        <v>290</v>
      </c>
      <c r="L7369" t="s">
        <v>285</v>
      </c>
      <c r="M7369" t="str">
        <f t="shared" si="546"/>
        <v>07</v>
      </c>
      <c r="N7369" t="s">
        <v>12</v>
      </c>
    </row>
    <row r="7370" spans="1:14" x14ac:dyDescent="0.25">
      <c r="A7370">
        <v>20160722</v>
      </c>
      <c r="B7370" t="str">
        <f>"064142"</f>
        <v>064142</v>
      </c>
      <c r="C7370" t="str">
        <f>"43532"</f>
        <v>43532</v>
      </c>
      <c r="D7370" t="s">
        <v>1979</v>
      </c>
      <c r="E7370" s="3">
        <v>205</v>
      </c>
      <c r="F7370">
        <v>20160720</v>
      </c>
      <c r="G7370" t="s">
        <v>2087</v>
      </c>
      <c r="H7370" t="s">
        <v>5754</v>
      </c>
      <c r="I7370">
        <v>0</v>
      </c>
      <c r="J7370" t="s">
        <v>1709</v>
      </c>
      <c r="K7370" t="s">
        <v>1643</v>
      </c>
      <c r="L7370" t="s">
        <v>285</v>
      </c>
      <c r="M7370" t="str">
        <f t="shared" si="546"/>
        <v>07</v>
      </c>
      <c r="N7370" t="s">
        <v>12</v>
      </c>
    </row>
    <row r="7371" spans="1:14" x14ac:dyDescent="0.25">
      <c r="A7371">
        <v>20160722</v>
      </c>
      <c r="B7371" t="str">
        <f>"064142"</f>
        <v>064142</v>
      </c>
      <c r="C7371" t="str">
        <f>"43532"</f>
        <v>43532</v>
      </c>
      <c r="D7371" t="s">
        <v>1979</v>
      </c>
      <c r="E7371" s="3">
        <v>200</v>
      </c>
      <c r="F7371">
        <v>20160720</v>
      </c>
      <c r="G7371" t="s">
        <v>2088</v>
      </c>
      <c r="H7371" t="s">
        <v>5754</v>
      </c>
      <c r="I7371">
        <v>0</v>
      </c>
      <c r="J7371" t="s">
        <v>1709</v>
      </c>
      <c r="K7371" t="s">
        <v>33</v>
      </c>
      <c r="L7371" t="s">
        <v>285</v>
      </c>
      <c r="M7371" t="str">
        <f t="shared" si="546"/>
        <v>07</v>
      </c>
      <c r="N7371" t="s">
        <v>12</v>
      </c>
    </row>
    <row r="7372" spans="1:14" x14ac:dyDescent="0.25">
      <c r="A7372">
        <v>20160722</v>
      </c>
      <c r="B7372" t="str">
        <f>"064144"</f>
        <v>064144</v>
      </c>
      <c r="C7372" t="str">
        <f>"45179"</f>
        <v>45179</v>
      </c>
      <c r="D7372" t="s">
        <v>262</v>
      </c>
      <c r="E7372" s="3">
        <v>48.72</v>
      </c>
      <c r="F7372">
        <v>20160721</v>
      </c>
      <c r="G7372" t="s">
        <v>4240</v>
      </c>
      <c r="H7372" t="s">
        <v>4979</v>
      </c>
      <c r="I7372">
        <v>0</v>
      </c>
      <c r="J7372" t="s">
        <v>1709</v>
      </c>
      <c r="K7372" t="s">
        <v>290</v>
      </c>
      <c r="L7372" t="s">
        <v>285</v>
      </c>
      <c r="M7372" t="str">
        <f t="shared" si="546"/>
        <v>07</v>
      </c>
      <c r="N7372" t="s">
        <v>12</v>
      </c>
    </row>
    <row r="7373" spans="1:14" x14ac:dyDescent="0.25">
      <c r="A7373">
        <v>20160722</v>
      </c>
      <c r="B7373" t="str">
        <f>"064150"</f>
        <v>064150</v>
      </c>
      <c r="C7373" t="str">
        <f>"46398"</f>
        <v>46398</v>
      </c>
      <c r="D7373" t="s">
        <v>1994</v>
      </c>
      <c r="E7373" s="3">
        <v>1776.97</v>
      </c>
      <c r="F7373">
        <v>20160720</v>
      </c>
      <c r="G7373" t="s">
        <v>1995</v>
      </c>
      <c r="H7373" t="s">
        <v>5993</v>
      </c>
      <c r="I7373">
        <v>0</v>
      </c>
      <c r="J7373" t="s">
        <v>1709</v>
      </c>
      <c r="K7373" t="s">
        <v>235</v>
      </c>
      <c r="L7373" t="s">
        <v>285</v>
      </c>
      <c r="M7373" t="str">
        <f t="shared" si="546"/>
        <v>07</v>
      </c>
      <c r="N7373" t="s">
        <v>12</v>
      </c>
    </row>
    <row r="7374" spans="1:14" x14ac:dyDescent="0.25">
      <c r="A7374">
        <v>20160722</v>
      </c>
      <c r="B7374" t="str">
        <f>"064150"</f>
        <v>064150</v>
      </c>
      <c r="C7374" t="str">
        <f>"46398"</f>
        <v>46398</v>
      </c>
      <c r="D7374" t="s">
        <v>1994</v>
      </c>
      <c r="E7374" s="3">
        <v>302.99</v>
      </c>
      <c r="F7374">
        <v>20160720</v>
      </c>
      <c r="G7374" t="s">
        <v>1998</v>
      </c>
      <c r="H7374" t="s">
        <v>5993</v>
      </c>
      <c r="I7374">
        <v>0</v>
      </c>
      <c r="J7374" t="s">
        <v>1709</v>
      </c>
      <c r="K7374" t="s">
        <v>1942</v>
      </c>
      <c r="L7374" t="s">
        <v>285</v>
      </c>
      <c r="M7374" t="str">
        <f t="shared" si="546"/>
        <v>07</v>
      </c>
      <c r="N7374" t="s">
        <v>12</v>
      </c>
    </row>
    <row r="7375" spans="1:14" x14ac:dyDescent="0.25">
      <c r="A7375">
        <v>20160722</v>
      </c>
      <c r="B7375" t="str">
        <f>"064152"</f>
        <v>064152</v>
      </c>
      <c r="C7375" t="str">
        <f>"47725"</f>
        <v>47725</v>
      </c>
      <c r="D7375" t="s">
        <v>1883</v>
      </c>
      <c r="E7375" s="3">
        <v>325</v>
      </c>
      <c r="F7375">
        <v>20160720</v>
      </c>
      <c r="G7375" t="s">
        <v>1859</v>
      </c>
      <c r="H7375" t="s">
        <v>5994</v>
      </c>
      <c r="I7375">
        <v>0</v>
      </c>
      <c r="J7375" t="s">
        <v>1709</v>
      </c>
      <c r="K7375" t="s">
        <v>1861</v>
      </c>
      <c r="L7375" t="s">
        <v>285</v>
      </c>
      <c r="M7375" t="str">
        <f t="shared" si="546"/>
        <v>07</v>
      </c>
      <c r="N7375" t="s">
        <v>12</v>
      </c>
    </row>
    <row r="7376" spans="1:14" x14ac:dyDescent="0.25">
      <c r="A7376">
        <v>20160722</v>
      </c>
      <c r="B7376" t="str">
        <f>"064154"</f>
        <v>064154</v>
      </c>
      <c r="C7376" t="str">
        <f>"49786"</f>
        <v>49786</v>
      </c>
      <c r="D7376" t="s">
        <v>4935</v>
      </c>
      <c r="E7376" s="3">
        <v>108.93</v>
      </c>
      <c r="F7376">
        <v>20160720</v>
      </c>
      <c r="G7376" t="s">
        <v>5995</v>
      </c>
      <c r="H7376" t="s">
        <v>5996</v>
      </c>
      <c r="I7376">
        <v>0</v>
      </c>
      <c r="J7376" t="s">
        <v>1709</v>
      </c>
      <c r="K7376" t="s">
        <v>290</v>
      </c>
      <c r="L7376" t="s">
        <v>285</v>
      </c>
      <c r="M7376" t="str">
        <f t="shared" si="546"/>
        <v>07</v>
      </c>
      <c r="N7376" t="s">
        <v>12</v>
      </c>
    </row>
    <row r="7377" spans="1:14" x14ac:dyDescent="0.25">
      <c r="A7377">
        <v>20160722</v>
      </c>
      <c r="B7377" t="str">
        <f>"064155"</f>
        <v>064155</v>
      </c>
      <c r="C7377" t="str">
        <f>"49861"</f>
        <v>49861</v>
      </c>
      <c r="D7377" t="s">
        <v>5997</v>
      </c>
      <c r="E7377" s="3">
        <v>66.44</v>
      </c>
      <c r="F7377">
        <v>20160721</v>
      </c>
      <c r="G7377" t="s">
        <v>1732</v>
      </c>
      <c r="H7377" t="s">
        <v>5684</v>
      </c>
      <c r="I7377">
        <v>0</v>
      </c>
      <c r="J7377" t="s">
        <v>1709</v>
      </c>
      <c r="K7377" t="s">
        <v>290</v>
      </c>
      <c r="L7377" t="s">
        <v>285</v>
      </c>
      <c r="M7377" t="str">
        <f t="shared" si="546"/>
        <v>07</v>
      </c>
      <c r="N7377" t="s">
        <v>12</v>
      </c>
    </row>
    <row r="7378" spans="1:14" x14ac:dyDescent="0.25">
      <c r="A7378">
        <v>20160722</v>
      </c>
      <c r="B7378" t="str">
        <f>"064161"</f>
        <v>064161</v>
      </c>
      <c r="C7378" t="str">
        <f>"49531"</f>
        <v>49531</v>
      </c>
      <c r="D7378" t="s">
        <v>5998</v>
      </c>
      <c r="E7378" s="3">
        <v>2000</v>
      </c>
      <c r="F7378">
        <v>20160720</v>
      </c>
      <c r="G7378" t="s">
        <v>5999</v>
      </c>
      <c r="H7378" t="s">
        <v>6000</v>
      </c>
      <c r="I7378">
        <v>0</v>
      </c>
      <c r="J7378" t="s">
        <v>1709</v>
      </c>
      <c r="K7378" t="s">
        <v>290</v>
      </c>
      <c r="L7378" t="s">
        <v>285</v>
      </c>
      <c r="M7378" t="str">
        <f t="shared" si="546"/>
        <v>07</v>
      </c>
      <c r="N7378" t="s">
        <v>12</v>
      </c>
    </row>
    <row r="7379" spans="1:14" x14ac:dyDescent="0.25">
      <c r="A7379">
        <v>20160722</v>
      </c>
      <c r="B7379" t="str">
        <f>"064162"</f>
        <v>064162</v>
      </c>
      <c r="C7379" t="str">
        <f>"61166"</f>
        <v>61166</v>
      </c>
      <c r="D7379" t="s">
        <v>3269</v>
      </c>
      <c r="E7379" s="3">
        <v>84.32</v>
      </c>
      <c r="F7379">
        <v>20160720</v>
      </c>
      <c r="G7379" t="s">
        <v>3270</v>
      </c>
      <c r="H7379" t="s">
        <v>3271</v>
      </c>
      <c r="I7379">
        <v>0</v>
      </c>
      <c r="J7379" t="s">
        <v>1709</v>
      </c>
      <c r="K7379" t="s">
        <v>1750</v>
      </c>
      <c r="L7379" t="s">
        <v>285</v>
      </c>
      <c r="M7379" t="str">
        <f t="shared" si="546"/>
        <v>07</v>
      </c>
      <c r="N7379" t="s">
        <v>12</v>
      </c>
    </row>
    <row r="7380" spans="1:14" x14ac:dyDescent="0.25">
      <c r="A7380">
        <v>20160722</v>
      </c>
      <c r="B7380" t="str">
        <f>"064163"</f>
        <v>064163</v>
      </c>
      <c r="C7380" t="str">
        <f>"58173"</f>
        <v>58173</v>
      </c>
      <c r="D7380" t="s">
        <v>2544</v>
      </c>
      <c r="E7380" s="3">
        <v>620</v>
      </c>
      <c r="F7380">
        <v>20160720</v>
      </c>
      <c r="G7380" t="s">
        <v>2545</v>
      </c>
      <c r="H7380" t="s">
        <v>6001</v>
      </c>
      <c r="I7380">
        <v>0</v>
      </c>
      <c r="J7380" t="s">
        <v>1709</v>
      </c>
      <c r="K7380" t="s">
        <v>1861</v>
      </c>
      <c r="L7380" t="s">
        <v>285</v>
      </c>
      <c r="M7380" t="str">
        <f t="shared" si="546"/>
        <v>07</v>
      </c>
      <c r="N7380" t="s">
        <v>12</v>
      </c>
    </row>
    <row r="7381" spans="1:14" x14ac:dyDescent="0.25">
      <c r="A7381">
        <v>20160722</v>
      </c>
      <c r="B7381" t="str">
        <f>"064165"</f>
        <v>064165</v>
      </c>
      <c r="C7381" t="str">
        <f>"58204"</f>
        <v>58204</v>
      </c>
      <c r="D7381" t="s">
        <v>1816</v>
      </c>
      <c r="E7381" s="3">
        <v>121.15</v>
      </c>
      <c r="F7381">
        <v>20160720</v>
      </c>
      <c r="G7381" t="s">
        <v>1974</v>
      </c>
      <c r="H7381" t="s">
        <v>6002</v>
      </c>
      <c r="I7381">
        <v>0</v>
      </c>
      <c r="J7381" t="s">
        <v>1709</v>
      </c>
      <c r="K7381" t="s">
        <v>290</v>
      </c>
      <c r="L7381" t="s">
        <v>285</v>
      </c>
      <c r="M7381" t="str">
        <f t="shared" si="546"/>
        <v>07</v>
      </c>
      <c r="N7381" t="s">
        <v>12</v>
      </c>
    </row>
    <row r="7382" spans="1:14" x14ac:dyDescent="0.25">
      <c r="A7382">
        <v>20160722</v>
      </c>
      <c r="B7382" t="str">
        <f>"064165"</f>
        <v>064165</v>
      </c>
      <c r="C7382" t="str">
        <f>"58204"</f>
        <v>58204</v>
      </c>
      <c r="D7382" t="s">
        <v>1816</v>
      </c>
      <c r="E7382" s="3">
        <v>8.6199999999999992</v>
      </c>
      <c r="F7382">
        <v>20160720</v>
      </c>
      <c r="G7382" t="s">
        <v>5995</v>
      </c>
      <c r="H7382" t="s">
        <v>6003</v>
      </c>
      <c r="I7382">
        <v>0</v>
      </c>
      <c r="J7382" t="s">
        <v>1709</v>
      </c>
      <c r="K7382" t="s">
        <v>290</v>
      </c>
      <c r="L7382" t="s">
        <v>285</v>
      </c>
      <c r="M7382" t="str">
        <f t="shared" si="546"/>
        <v>07</v>
      </c>
      <c r="N7382" t="s">
        <v>12</v>
      </c>
    </row>
    <row r="7383" spans="1:14" x14ac:dyDescent="0.25">
      <c r="A7383">
        <v>20160722</v>
      </c>
      <c r="B7383" t="str">
        <f>"064166"</f>
        <v>064166</v>
      </c>
      <c r="C7383" t="str">
        <f>"58987"</f>
        <v>58987</v>
      </c>
      <c r="D7383" t="s">
        <v>2549</v>
      </c>
      <c r="E7383" s="3">
        <v>349.6</v>
      </c>
      <c r="F7383">
        <v>20160720</v>
      </c>
      <c r="G7383" t="s">
        <v>2234</v>
      </c>
      <c r="H7383" t="s">
        <v>6004</v>
      </c>
      <c r="I7383">
        <v>0</v>
      </c>
      <c r="J7383" t="s">
        <v>1709</v>
      </c>
      <c r="K7383" t="s">
        <v>290</v>
      </c>
      <c r="L7383" t="s">
        <v>285</v>
      </c>
      <c r="M7383" t="str">
        <f t="shared" si="546"/>
        <v>07</v>
      </c>
      <c r="N7383" t="s">
        <v>12</v>
      </c>
    </row>
    <row r="7384" spans="1:14" x14ac:dyDescent="0.25">
      <c r="A7384">
        <v>20160722</v>
      </c>
      <c r="B7384" t="str">
        <f>"064166"</f>
        <v>064166</v>
      </c>
      <c r="C7384" t="str">
        <f>"58987"</f>
        <v>58987</v>
      </c>
      <c r="D7384" t="s">
        <v>2549</v>
      </c>
      <c r="E7384" s="3">
        <v>212.8</v>
      </c>
      <c r="F7384">
        <v>20160720</v>
      </c>
      <c r="G7384" t="s">
        <v>2234</v>
      </c>
      <c r="H7384" t="s">
        <v>6005</v>
      </c>
      <c r="I7384">
        <v>0</v>
      </c>
      <c r="J7384" t="s">
        <v>1709</v>
      </c>
      <c r="K7384" t="s">
        <v>290</v>
      </c>
      <c r="L7384" t="s">
        <v>285</v>
      </c>
      <c r="M7384" t="str">
        <f t="shared" si="546"/>
        <v>07</v>
      </c>
      <c r="N7384" t="s">
        <v>12</v>
      </c>
    </row>
    <row r="7385" spans="1:14" x14ac:dyDescent="0.25">
      <c r="A7385">
        <v>20160722</v>
      </c>
      <c r="B7385" t="str">
        <f>"064168"</f>
        <v>064168</v>
      </c>
      <c r="C7385" t="str">
        <f>"60179"</f>
        <v>60179</v>
      </c>
      <c r="D7385" t="s">
        <v>3118</v>
      </c>
      <c r="E7385" s="3">
        <v>312.04000000000002</v>
      </c>
      <c r="F7385">
        <v>20160720</v>
      </c>
      <c r="G7385" t="s">
        <v>2047</v>
      </c>
      <c r="H7385" t="s">
        <v>3119</v>
      </c>
      <c r="I7385">
        <v>0</v>
      </c>
      <c r="J7385" t="s">
        <v>1709</v>
      </c>
      <c r="K7385" t="s">
        <v>1882</v>
      </c>
      <c r="L7385" t="s">
        <v>285</v>
      </c>
      <c r="M7385" t="str">
        <f t="shared" si="546"/>
        <v>07</v>
      </c>
      <c r="N7385" t="s">
        <v>12</v>
      </c>
    </row>
    <row r="7386" spans="1:14" x14ac:dyDescent="0.25">
      <c r="A7386">
        <v>20160722</v>
      </c>
      <c r="B7386" t="str">
        <f>"064173"</f>
        <v>064173</v>
      </c>
      <c r="C7386" t="str">
        <f>"63288"</f>
        <v>63288</v>
      </c>
      <c r="D7386" t="s">
        <v>6006</v>
      </c>
      <c r="E7386" s="3">
        <v>46.44</v>
      </c>
      <c r="F7386">
        <v>20160721</v>
      </c>
      <c r="G7386" t="s">
        <v>5851</v>
      </c>
      <c r="H7386" t="s">
        <v>5684</v>
      </c>
      <c r="I7386">
        <v>0</v>
      </c>
      <c r="J7386" t="s">
        <v>1709</v>
      </c>
      <c r="K7386" t="s">
        <v>290</v>
      </c>
      <c r="L7386" t="s">
        <v>285</v>
      </c>
      <c r="M7386" t="str">
        <f t="shared" si="546"/>
        <v>07</v>
      </c>
      <c r="N7386" t="s">
        <v>12</v>
      </c>
    </row>
    <row r="7387" spans="1:14" x14ac:dyDescent="0.25">
      <c r="A7387">
        <v>20160722</v>
      </c>
      <c r="B7387" t="str">
        <f>"064174"</f>
        <v>064174</v>
      </c>
      <c r="C7387" t="str">
        <f>"60832"</f>
        <v>60832</v>
      </c>
      <c r="D7387" t="s">
        <v>1913</v>
      </c>
      <c r="E7387" s="3">
        <v>300</v>
      </c>
      <c r="F7387">
        <v>20160720</v>
      </c>
      <c r="G7387" t="s">
        <v>2588</v>
      </c>
      <c r="H7387" t="s">
        <v>6007</v>
      </c>
      <c r="I7387">
        <v>0</v>
      </c>
      <c r="J7387" t="s">
        <v>1709</v>
      </c>
      <c r="K7387" t="s">
        <v>1861</v>
      </c>
      <c r="L7387" t="s">
        <v>285</v>
      </c>
      <c r="M7387" t="str">
        <f t="shared" si="546"/>
        <v>07</v>
      </c>
      <c r="N7387" t="s">
        <v>12</v>
      </c>
    </row>
    <row r="7388" spans="1:14" x14ac:dyDescent="0.25">
      <c r="A7388">
        <v>20160722</v>
      </c>
      <c r="B7388" t="str">
        <f>"064176"</f>
        <v>064176</v>
      </c>
      <c r="C7388" t="str">
        <f>"63607"</f>
        <v>63607</v>
      </c>
      <c r="D7388" t="s">
        <v>6008</v>
      </c>
      <c r="E7388" s="3">
        <v>113.76</v>
      </c>
      <c r="F7388">
        <v>20160720</v>
      </c>
      <c r="G7388" t="s">
        <v>2407</v>
      </c>
      <c r="H7388" t="s">
        <v>5398</v>
      </c>
      <c r="I7388">
        <v>0</v>
      </c>
      <c r="J7388" t="s">
        <v>1709</v>
      </c>
      <c r="K7388" t="s">
        <v>290</v>
      </c>
      <c r="L7388" t="s">
        <v>285</v>
      </c>
      <c r="M7388" t="str">
        <f t="shared" si="546"/>
        <v>07</v>
      </c>
      <c r="N7388" t="s">
        <v>12</v>
      </c>
    </row>
    <row r="7389" spans="1:14" x14ac:dyDescent="0.25">
      <c r="A7389">
        <v>20160722</v>
      </c>
      <c r="B7389" t="str">
        <f>"064176"</f>
        <v>064176</v>
      </c>
      <c r="C7389" t="str">
        <f>"63607"</f>
        <v>63607</v>
      </c>
      <c r="D7389" t="s">
        <v>6008</v>
      </c>
      <c r="E7389" s="3">
        <v>719.41</v>
      </c>
      <c r="F7389">
        <v>20160720</v>
      </c>
      <c r="G7389" t="s">
        <v>2199</v>
      </c>
      <c r="H7389" t="s">
        <v>5398</v>
      </c>
      <c r="I7389">
        <v>0</v>
      </c>
      <c r="J7389" t="s">
        <v>1709</v>
      </c>
      <c r="K7389" t="s">
        <v>290</v>
      </c>
      <c r="L7389" t="s">
        <v>285</v>
      </c>
      <c r="M7389" t="str">
        <f t="shared" si="546"/>
        <v>07</v>
      </c>
      <c r="N7389" t="s">
        <v>12</v>
      </c>
    </row>
    <row r="7390" spans="1:14" x14ac:dyDescent="0.25">
      <c r="A7390">
        <v>20160722</v>
      </c>
      <c r="B7390" t="str">
        <f>"064176"</f>
        <v>064176</v>
      </c>
      <c r="C7390" t="str">
        <f>"63607"</f>
        <v>63607</v>
      </c>
      <c r="D7390" t="s">
        <v>6008</v>
      </c>
      <c r="E7390" s="3">
        <v>444.2</v>
      </c>
      <c r="F7390">
        <v>20160720</v>
      </c>
      <c r="G7390" t="s">
        <v>2199</v>
      </c>
      <c r="H7390" t="s">
        <v>5398</v>
      </c>
      <c r="I7390">
        <v>0</v>
      </c>
      <c r="J7390" t="s">
        <v>1709</v>
      </c>
      <c r="K7390" t="s">
        <v>290</v>
      </c>
      <c r="L7390" t="s">
        <v>285</v>
      </c>
      <c r="M7390" t="str">
        <f t="shared" si="546"/>
        <v>07</v>
      </c>
      <c r="N7390" t="s">
        <v>12</v>
      </c>
    </row>
    <row r="7391" spans="1:14" x14ac:dyDescent="0.25">
      <c r="A7391">
        <v>20160722</v>
      </c>
      <c r="B7391" t="str">
        <f>"064179"</f>
        <v>064179</v>
      </c>
      <c r="C7391" t="str">
        <f>"64610"</f>
        <v>64610</v>
      </c>
      <c r="D7391" t="s">
        <v>678</v>
      </c>
      <c r="E7391" s="3">
        <v>153.5</v>
      </c>
      <c r="F7391">
        <v>20160720</v>
      </c>
      <c r="G7391" t="s">
        <v>3114</v>
      </c>
      <c r="H7391" t="s">
        <v>6009</v>
      </c>
      <c r="I7391">
        <v>0</v>
      </c>
      <c r="J7391" t="s">
        <v>1709</v>
      </c>
      <c r="K7391" t="s">
        <v>33</v>
      </c>
      <c r="L7391" t="s">
        <v>285</v>
      </c>
      <c r="M7391" t="str">
        <f t="shared" si="546"/>
        <v>07</v>
      </c>
      <c r="N7391" t="s">
        <v>12</v>
      </c>
    </row>
    <row r="7392" spans="1:14" x14ac:dyDescent="0.25">
      <c r="A7392">
        <v>20160722</v>
      </c>
      <c r="B7392" t="str">
        <f t="shared" ref="B7392:B7398" si="547">"064181"</f>
        <v>064181</v>
      </c>
      <c r="C7392" t="str">
        <f t="shared" ref="C7392:C7398" si="548">"65106"</f>
        <v>65106</v>
      </c>
      <c r="D7392" t="s">
        <v>1568</v>
      </c>
      <c r="E7392" s="3">
        <v>220.56</v>
      </c>
      <c r="F7392">
        <v>20160720</v>
      </c>
      <c r="G7392" t="s">
        <v>1933</v>
      </c>
      <c r="H7392" t="s">
        <v>595</v>
      </c>
      <c r="I7392">
        <v>0</v>
      </c>
      <c r="J7392" t="s">
        <v>1709</v>
      </c>
      <c r="K7392" t="s">
        <v>1558</v>
      </c>
      <c r="L7392" t="s">
        <v>285</v>
      </c>
      <c r="M7392" t="str">
        <f t="shared" si="546"/>
        <v>07</v>
      </c>
      <c r="N7392" t="s">
        <v>12</v>
      </c>
    </row>
    <row r="7393" spans="1:14" x14ac:dyDescent="0.25">
      <c r="A7393">
        <v>20160722</v>
      </c>
      <c r="B7393" t="str">
        <f t="shared" si="547"/>
        <v>064181</v>
      </c>
      <c r="C7393" t="str">
        <f t="shared" si="548"/>
        <v>65106</v>
      </c>
      <c r="D7393" t="s">
        <v>1568</v>
      </c>
      <c r="E7393" s="3">
        <v>196.19</v>
      </c>
      <c r="F7393">
        <v>20160720</v>
      </c>
      <c r="G7393" t="s">
        <v>2565</v>
      </c>
      <c r="H7393" t="s">
        <v>595</v>
      </c>
      <c r="I7393">
        <v>0</v>
      </c>
      <c r="J7393" t="s">
        <v>1709</v>
      </c>
      <c r="K7393" t="s">
        <v>1558</v>
      </c>
      <c r="L7393" t="s">
        <v>285</v>
      </c>
      <c r="M7393" t="str">
        <f t="shared" si="546"/>
        <v>07</v>
      </c>
      <c r="N7393" t="s">
        <v>12</v>
      </c>
    </row>
    <row r="7394" spans="1:14" x14ac:dyDescent="0.25">
      <c r="A7394">
        <v>20160722</v>
      </c>
      <c r="B7394" t="str">
        <f t="shared" si="547"/>
        <v>064181</v>
      </c>
      <c r="C7394" t="str">
        <f t="shared" si="548"/>
        <v>65106</v>
      </c>
      <c r="D7394" t="s">
        <v>1568</v>
      </c>
      <c r="E7394" s="3">
        <v>324.11</v>
      </c>
      <c r="F7394">
        <v>20160720</v>
      </c>
      <c r="G7394" t="s">
        <v>5801</v>
      </c>
      <c r="H7394" t="s">
        <v>5398</v>
      </c>
      <c r="I7394">
        <v>0</v>
      </c>
      <c r="J7394" t="s">
        <v>1709</v>
      </c>
      <c r="K7394" t="s">
        <v>1519</v>
      </c>
      <c r="L7394" t="s">
        <v>285</v>
      </c>
      <c r="M7394" t="str">
        <f t="shared" si="546"/>
        <v>07</v>
      </c>
      <c r="N7394" t="s">
        <v>12</v>
      </c>
    </row>
    <row r="7395" spans="1:14" x14ac:dyDescent="0.25">
      <c r="A7395">
        <v>20160722</v>
      </c>
      <c r="B7395" t="str">
        <f t="shared" si="547"/>
        <v>064181</v>
      </c>
      <c r="C7395" t="str">
        <f t="shared" si="548"/>
        <v>65106</v>
      </c>
      <c r="D7395" t="s">
        <v>1568</v>
      </c>
      <c r="E7395" s="3">
        <v>135.1</v>
      </c>
      <c r="F7395">
        <v>20160720</v>
      </c>
      <c r="G7395" t="s">
        <v>5803</v>
      </c>
      <c r="H7395" t="s">
        <v>2023</v>
      </c>
      <c r="I7395">
        <v>0</v>
      </c>
      <c r="J7395" t="s">
        <v>1709</v>
      </c>
      <c r="K7395" t="s">
        <v>1558</v>
      </c>
      <c r="L7395" t="s">
        <v>285</v>
      </c>
      <c r="M7395" t="str">
        <f t="shared" si="546"/>
        <v>07</v>
      </c>
      <c r="N7395" t="s">
        <v>12</v>
      </c>
    </row>
    <row r="7396" spans="1:14" x14ac:dyDescent="0.25">
      <c r="A7396">
        <v>20160722</v>
      </c>
      <c r="B7396" t="str">
        <f t="shared" si="547"/>
        <v>064181</v>
      </c>
      <c r="C7396" t="str">
        <f t="shared" si="548"/>
        <v>65106</v>
      </c>
      <c r="D7396" t="s">
        <v>1568</v>
      </c>
      <c r="E7396" s="3">
        <v>373.12</v>
      </c>
      <c r="F7396">
        <v>20160720</v>
      </c>
      <c r="G7396" t="s">
        <v>6010</v>
      </c>
      <c r="H7396" t="s">
        <v>595</v>
      </c>
      <c r="I7396">
        <v>0</v>
      </c>
      <c r="J7396" t="s">
        <v>1709</v>
      </c>
      <c r="K7396" t="s">
        <v>2207</v>
      </c>
      <c r="L7396" t="s">
        <v>285</v>
      </c>
      <c r="M7396" t="str">
        <f t="shared" si="546"/>
        <v>07</v>
      </c>
      <c r="N7396" t="s">
        <v>12</v>
      </c>
    </row>
    <row r="7397" spans="1:14" x14ac:dyDescent="0.25">
      <c r="A7397">
        <v>20160722</v>
      </c>
      <c r="B7397" t="str">
        <f t="shared" si="547"/>
        <v>064181</v>
      </c>
      <c r="C7397" t="str">
        <f t="shared" si="548"/>
        <v>65106</v>
      </c>
      <c r="D7397" t="s">
        <v>1568</v>
      </c>
      <c r="E7397" s="3">
        <v>193.13</v>
      </c>
      <c r="F7397">
        <v>20160720</v>
      </c>
      <c r="G7397" t="s">
        <v>4061</v>
      </c>
      <c r="H7397" t="s">
        <v>5398</v>
      </c>
      <c r="I7397">
        <v>0</v>
      </c>
      <c r="J7397" t="s">
        <v>1709</v>
      </c>
      <c r="K7397" t="s">
        <v>2923</v>
      </c>
      <c r="L7397" t="s">
        <v>285</v>
      </c>
      <c r="M7397" t="str">
        <f t="shared" si="546"/>
        <v>07</v>
      </c>
      <c r="N7397" t="s">
        <v>12</v>
      </c>
    </row>
    <row r="7398" spans="1:14" x14ac:dyDescent="0.25">
      <c r="A7398">
        <v>20160722</v>
      </c>
      <c r="B7398" t="str">
        <f t="shared" si="547"/>
        <v>064181</v>
      </c>
      <c r="C7398" t="str">
        <f t="shared" si="548"/>
        <v>65106</v>
      </c>
      <c r="D7398" t="s">
        <v>1568</v>
      </c>
      <c r="E7398" s="3">
        <v>220.54</v>
      </c>
      <c r="F7398">
        <v>20160720</v>
      </c>
      <c r="G7398" t="s">
        <v>2673</v>
      </c>
      <c r="H7398" t="s">
        <v>595</v>
      </c>
      <c r="I7398">
        <v>0</v>
      </c>
      <c r="J7398" t="s">
        <v>1709</v>
      </c>
      <c r="K7398" t="s">
        <v>2207</v>
      </c>
      <c r="L7398" t="s">
        <v>285</v>
      </c>
      <c r="M7398" t="str">
        <f t="shared" si="546"/>
        <v>07</v>
      </c>
      <c r="N7398" t="s">
        <v>12</v>
      </c>
    </row>
    <row r="7399" spans="1:14" x14ac:dyDescent="0.25">
      <c r="A7399">
        <v>20160722</v>
      </c>
      <c r="B7399" t="str">
        <f>"064182"</f>
        <v>064182</v>
      </c>
      <c r="C7399" t="str">
        <f>"65826"</f>
        <v>65826</v>
      </c>
      <c r="D7399" t="s">
        <v>2386</v>
      </c>
      <c r="E7399" s="3">
        <v>1934.05</v>
      </c>
      <c r="F7399">
        <v>20160720</v>
      </c>
      <c r="G7399" t="s">
        <v>2547</v>
      </c>
      <c r="H7399" t="s">
        <v>5398</v>
      </c>
      <c r="I7399">
        <v>0</v>
      </c>
      <c r="J7399" t="s">
        <v>1709</v>
      </c>
      <c r="K7399" t="s">
        <v>1643</v>
      </c>
      <c r="L7399" t="s">
        <v>285</v>
      </c>
      <c r="M7399" t="str">
        <f t="shared" si="546"/>
        <v>07</v>
      </c>
      <c r="N7399" t="s">
        <v>12</v>
      </c>
    </row>
    <row r="7400" spans="1:14" x14ac:dyDescent="0.25">
      <c r="A7400">
        <v>20160722</v>
      </c>
      <c r="B7400" t="str">
        <f>"064183"</f>
        <v>064183</v>
      </c>
      <c r="C7400" t="str">
        <f>"73610"</f>
        <v>73610</v>
      </c>
      <c r="D7400" t="s">
        <v>2578</v>
      </c>
      <c r="E7400" s="3">
        <v>164.96</v>
      </c>
      <c r="F7400">
        <v>20160720</v>
      </c>
      <c r="G7400" t="s">
        <v>1859</v>
      </c>
      <c r="H7400" t="s">
        <v>2295</v>
      </c>
      <c r="I7400">
        <v>0</v>
      </c>
      <c r="J7400" t="s">
        <v>1709</v>
      </c>
      <c r="K7400" t="s">
        <v>1861</v>
      </c>
      <c r="L7400" t="s">
        <v>285</v>
      </c>
      <c r="M7400" t="str">
        <f t="shared" si="546"/>
        <v>07</v>
      </c>
      <c r="N7400" t="s">
        <v>12</v>
      </c>
    </row>
    <row r="7401" spans="1:14" x14ac:dyDescent="0.25">
      <c r="A7401">
        <v>20160722</v>
      </c>
      <c r="B7401" t="str">
        <f>"064183"</f>
        <v>064183</v>
      </c>
      <c r="C7401" t="str">
        <f>"73610"</f>
        <v>73610</v>
      </c>
      <c r="D7401" t="s">
        <v>2578</v>
      </c>
      <c r="E7401" s="3">
        <v>46.34</v>
      </c>
      <c r="F7401">
        <v>20160720</v>
      </c>
      <c r="G7401" t="s">
        <v>1859</v>
      </c>
      <c r="H7401" t="s">
        <v>2295</v>
      </c>
      <c r="I7401">
        <v>0</v>
      </c>
      <c r="J7401" t="s">
        <v>1709</v>
      </c>
      <c r="K7401" t="s">
        <v>1861</v>
      </c>
      <c r="L7401" t="s">
        <v>285</v>
      </c>
      <c r="M7401" t="str">
        <f t="shared" si="546"/>
        <v>07</v>
      </c>
      <c r="N7401" t="s">
        <v>12</v>
      </c>
    </row>
    <row r="7402" spans="1:14" x14ac:dyDescent="0.25">
      <c r="A7402">
        <v>20160722</v>
      </c>
      <c r="B7402" t="str">
        <f>"064185"</f>
        <v>064185</v>
      </c>
      <c r="C7402" t="str">
        <f>"78311"</f>
        <v>78311</v>
      </c>
      <c r="D7402" t="s">
        <v>458</v>
      </c>
      <c r="E7402" s="3">
        <v>47.76</v>
      </c>
      <c r="F7402">
        <v>20160720</v>
      </c>
      <c r="G7402" t="s">
        <v>4666</v>
      </c>
      <c r="H7402" t="s">
        <v>6011</v>
      </c>
      <c r="I7402">
        <v>0</v>
      </c>
      <c r="J7402" t="s">
        <v>1709</v>
      </c>
      <c r="K7402" t="s">
        <v>290</v>
      </c>
      <c r="L7402" t="s">
        <v>285</v>
      </c>
      <c r="M7402" t="str">
        <f t="shared" si="546"/>
        <v>07</v>
      </c>
      <c r="N7402" t="s">
        <v>12</v>
      </c>
    </row>
    <row r="7403" spans="1:14" x14ac:dyDescent="0.25">
      <c r="A7403">
        <v>20160722</v>
      </c>
      <c r="B7403" t="str">
        <f>"064186"</f>
        <v>064186</v>
      </c>
      <c r="C7403" t="str">
        <f>"70641"</f>
        <v>70641</v>
      </c>
      <c r="D7403" t="s">
        <v>6012</v>
      </c>
      <c r="E7403" s="3">
        <v>292</v>
      </c>
      <c r="F7403">
        <v>20160720</v>
      </c>
      <c r="G7403" t="s">
        <v>4550</v>
      </c>
      <c r="H7403" t="s">
        <v>6013</v>
      </c>
      <c r="I7403">
        <v>0</v>
      </c>
      <c r="J7403" t="s">
        <v>1709</v>
      </c>
      <c r="K7403" t="s">
        <v>290</v>
      </c>
      <c r="L7403" t="s">
        <v>285</v>
      </c>
      <c r="M7403" t="str">
        <f t="shared" si="546"/>
        <v>07</v>
      </c>
      <c r="N7403" t="s">
        <v>12</v>
      </c>
    </row>
    <row r="7404" spans="1:14" x14ac:dyDescent="0.25">
      <c r="A7404">
        <v>20160722</v>
      </c>
      <c r="B7404" t="str">
        <f>"064187"</f>
        <v>064187</v>
      </c>
      <c r="C7404" t="str">
        <f>"80110"</f>
        <v>80110</v>
      </c>
      <c r="D7404" t="s">
        <v>6014</v>
      </c>
      <c r="E7404" s="3">
        <v>190094</v>
      </c>
      <c r="F7404">
        <v>20160720</v>
      </c>
      <c r="G7404" t="s">
        <v>6015</v>
      </c>
      <c r="H7404" t="s">
        <v>6016</v>
      </c>
      <c r="I7404">
        <v>0</v>
      </c>
      <c r="J7404" t="s">
        <v>1709</v>
      </c>
      <c r="K7404" t="s">
        <v>1856</v>
      </c>
      <c r="L7404" t="s">
        <v>285</v>
      </c>
      <c r="M7404" t="str">
        <f t="shared" si="546"/>
        <v>07</v>
      </c>
      <c r="N7404" t="s">
        <v>12</v>
      </c>
    </row>
    <row r="7405" spans="1:14" x14ac:dyDescent="0.25">
      <c r="A7405">
        <v>20160722</v>
      </c>
      <c r="B7405" t="str">
        <f>"064188"</f>
        <v>064188</v>
      </c>
      <c r="C7405" t="str">
        <f>"80389"</f>
        <v>80389</v>
      </c>
      <c r="D7405" t="s">
        <v>2032</v>
      </c>
      <c r="E7405" s="3">
        <v>86.85</v>
      </c>
      <c r="F7405">
        <v>20160720</v>
      </c>
      <c r="G7405" t="s">
        <v>2033</v>
      </c>
      <c r="H7405" t="s">
        <v>6017</v>
      </c>
      <c r="I7405">
        <v>0</v>
      </c>
      <c r="J7405" t="s">
        <v>1709</v>
      </c>
      <c r="K7405" t="s">
        <v>1984</v>
      </c>
      <c r="L7405" t="s">
        <v>285</v>
      </c>
      <c r="M7405" t="str">
        <f t="shared" si="546"/>
        <v>07</v>
      </c>
      <c r="N7405" t="s">
        <v>12</v>
      </c>
    </row>
    <row r="7406" spans="1:14" x14ac:dyDescent="0.25">
      <c r="A7406">
        <v>20160722</v>
      </c>
      <c r="B7406" t="str">
        <f>"064188"</f>
        <v>064188</v>
      </c>
      <c r="C7406" t="str">
        <f>"80389"</f>
        <v>80389</v>
      </c>
      <c r="D7406" t="s">
        <v>2032</v>
      </c>
      <c r="E7406" s="3">
        <v>894.61</v>
      </c>
      <c r="F7406">
        <v>20160720</v>
      </c>
      <c r="G7406" t="s">
        <v>2035</v>
      </c>
      <c r="H7406" t="s">
        <v>6017</v>
      </c>
      <c r="I7406">
        <v>0</v>
      </c>
      <c r="J7406" t="s">
        <v>1709</v>
      </c>
      <c r="K7406" t="s">
        <v>1984</v>
      </c>
      <c r="L7406" t="s">
        <v>285</v>
      </c>
      <c r="M7406" t="str">
        <f t="shared" si="546"/>
        <v>07</v>
      </c>
      <c r="N7406" t="s">
        <v>12</v>
      </c>
    </row>
    <row r="7407" spans="1:14" x14ac:dyDescent="0.25">
      <c r="A7407">
        <v>20160722</v>
      </c>
      <c r="B7407" t="str">
        <f>"064188"</f>
        <v>064188</v>
      </c>
      <c r="C7407" t="str">
        <f>"80389"</f>
        <v>80389</v>
      </c>
      <c r="D7407" t="s">
        <v>2032</v>
      </c>
      <c r="E7407" s="3">
        <v>1445.11</v>
      </c>
      <c r="F7407">
        <v>20160720</v>
      </c>
      <c r="G7407" t="s">
        <v>2037</v>
      </c>
      <c r="H7407" t="s">
        <v>6017</v>
      </c>
      <c r="I7407">
        <v>0</v>
      </c>
      <c r="J7407" t="s">
        <v>1709</v>
      </c>
      <c r="K7407" t="s">
        <v>1984</v>
      </c>
      <c r="L7407" t="s">
        <v>285</v>
      </c>
      <c r="M7407" t="str">
        <f t="shared" si="546"/>
        <v>07</v>
      </c>
      <c r="N7407" t="s">
        <v>12</v>
      </c>
    </row>
    <row r="7408" spans="1:14" x14ac:dyDescent="0.25">
      <c r="A7408">
        <v>20160722</v>
      </c>
      <c r="B7408" t="str">
        <f t="shared" ref="B7408:B7413" si="549">"064189"</f>
        <v>064189</v>
      </c>
      <c r="C7408" t="str">
        <f t="shared" ref="C7408:C7413" si="550">"80481"</f>
        <v>80481</v>
      </c>
      <c r="D7408" t="s">
        <v>1935</v>
      </c>
      <c r="E7408" s="3">
        <v>74</v>
      </c>
      <c r="F7408">
        <v>20160720</v>
      </c>
      <c r="G7408" t="s">
        <v>1938</v>
      </c>
      <c r="H7408" t="s">
        <v>5501</v>
      </c>
      <c r="I7408">
        <v>0</v>
      </c>
      <c r="J7408" t="s">
        <v>1709</v>
      </c>
      <c r="K7408" t="s">
        <v>1643</v>
      </c>
      <c r="L7408" t="s">
        <v>285</v>
      </c>
      <c r="M7408" t="str">
        <f t="shared" si="546"/>
        <v>07</v>
      </c>
      <c r="N7408" t="s">
        <v>12</v>
      </c>
    </row>
    <row r="7409" spans="1:14" x14ac:dyDescent="0.25">
      <c r="A7409">
        <v>20160722</v>
      </c>
      <c r="B7409" t="str">
        <f t="shared" si="549"/>
        <v>064189</v>
      </c>
      <c r="C7409" t="str">
        <f t="shared" si="550"/>
        <v>80481</v>
      </c>
      <c r="D7409" t="s">
        <v>1935</v>
      </c>
      <c r="E7409" s="3">
        <v>74</v>
      </c>
      <c r="F7409">
        <v>20160720</v>
      </c>
      <c r="G7409" t="s">
        <v>1939</v>
      </c>
      <c r="H7409" t="s">
        <v>5501</v>
      </c>
      <c r="I7409">
        <v>0</v>
      </c>
      <c r="J7409" t="s">
        <v>1709</v>
      </c>
      <c r="K7409" t="s">
        <v>33</v>
      </c>
      <c r="L7409" t="s">
        <v>285</v>
      </c>
      <c r="M7409" t="str">
        <f t="shared" si="546"/>
        <v>07</v>
      </c>
      <c r="N7409" t="s">
        <v>12</v>
      </c>
    </row>
    <row r="7410" spans="1:14" x14ac:dyDescent="0.25">
      <c r="A7410">
        <v>20160722</v>
      </c>
      <c r="B7410" t="str">
        <f t="shared" si="549"/>
        <v>064189</v>
      </c>
      <c r="C7410" t="str">
        <f t="shared" si="550"/>
        <v>80481</v>
      </c>
      <c r="D7410" t="s">
        <v>1935</v>
      </c>
      <c r="E7410" s="3">
        <v>74</v>
      </c>
      <c r="F7410">
        <v>20160720</v>
      </c>
      <c r="G7410" t="s">
        <v>1940</v>
      </c>
      <c r="H7410" t="s">
        <v>5501</v>
      </c>
      <c r="I7410">
        <v>0</v>
      </c>
      <c r="J7410" t="s">
        <v>1709</v>
      </c>
      <c r="K7410" t="s">
        <v>290</v>
      </c>
      <c r="L7410" t="s">
        <v>285</v>
      </c>
      <c r="M7410" t="str">
        <f t="shared" si="546"/>
        <v>07</v>
      </c>
      <c r="N7410" t="s">
        <v>12</v>
      </c>
    </row>
    <row r="7411" spans="1:14" x14ac:dyDescent="0.25">
      <c r="A7411">
        <v>20160722</v>
      </c>
      <c r="B7411" t="str">
        <f t="shared" si="549"/>
        <v>064189</v>
      </c>
      <c r="C7411" t="str">
        <f t="shared" si="550"/>
        <v>80481</v>
      </c>
      <c r="D7411" t="s">
        <v>1935</v>
      </c>
      <c r="E7411" s="3">
        <v>74</v>
      </c>
      <c r="F7411">
        <v>20160720</v>
      </c>
      <c r="G7411" t="s">
        <v>1940</v>
      </c>
      <c r="H7411" t="s">
        <v>5501</v>
      </c>
      <c r="I7411">
        <v>0</v>
      </c>
      <c r="J7411" t="s">
        <v>1709</v>
      </c>
      <c r="K7411" t="s">
        <v>290</v>
      </c>
      <c r="L7411" t="s">
        <v>285</v>
      </c>
      <c r="M7411" t="str">
        <f t="shared" si="546"/>
        <v>07</v>
      </c>
      <c r="N7411" t="s">
        <v>12</v>
      </c>
    </row>
    <row r="7412" spans="1:14" x14ac:dyDescent="0.25">
      <c r="A7412">
        <v>20160722</v>
      </c>
      <c r="B7412" t="str">
        <f t="shared" si="549"/>
        <v>064189</v>
      </c>
      <c r="C7412" t="str">
        <f t="shared" si="550"/>
        <v>80481</v>
      </c>
      <c r="D7412" t="s">
        <v>1935</v>
      </c>
      <c r="E7412" s="3">
        <v>62.14</v>
      </c>
      <c r="F7412">
        <v>20160720</v>
      </c>
      <c r="G7412" t="s">
        <v>1941</v>
      </c>
      <c r="H7412" t="s">
        <v>6018</v>
      </c>
      <c r="I7412">
        <v>0</v>
      </c>
      <c r="J7412" t="s">
        <v>1709</v>
      </c>
      <c r="K7412" t="s">
        <v>1942</v>
      </c>
      <c r="L7412" t="s">
        <v>285</v>
      </c>
      <c r="M7412" t="str">
        <f t="shared" si="546"/>
        <v>07</v>
      </c>
      <c r="N7412" t="s">
        <v>12</v>
      </c>
    </row>
    <row r="7413" spans="1:14" x14ac:dyDescent="0.25">
      <c r="A7413">
        <v>20160722</v>
      </c>
      <c r="B7413" t="str">
        <f t="shared" si="549"/>
        <v>064189</v>
      </c>
      <c r="C7413" t="str">
        <f t="shared" si="550"/>
        <v>80481</v>
      </c>
      <c r="D7413" t="s">
        <v>1935</v>
      </c>
      <c r="E7413" s="3">
        <v>137.94999999999999</v>
      </c>
      <c r="F7413">
        <v>20160720</v>
      </c>
      <c r="G7413" t="s">
        <v>1941</v>
      </c>
      <c r="H7413" t="s">
        <v>5501</v>
      </c>
      <c r="I7413">
        <v>0</v>
      </c>
      <c r="J7413" t="s">
        <v>1709</v>
      </c>
      <c r="K7413" t="s">
        <v>1942</v>
      </c>
      <c r="L7413" t="s">
        <v>285</v>
      </c>
      <c r="M7413" t="str">
        <f t="shared" si="546"/>
        <v>07</v>
      </c>
      <c r="N7413" t="s">
        <v>12</v>
      </c>
    </row>
    <row r="7414" spans="1:14" x14ac:dyDescent="0.25">
      <c r="A7414">
        <v>20160722</v>
      </c>
      <c r="B7414" t="str">
        <f>"064190"</f>
        <v>064190</v>
      </c>
      <c r="C7414" t="str">
        <f>"80612"</f>
        <v>80612</v>
      </c>
      <c r="D7414" t="s">
        <v>2937</v>
      </c>
      <c r="E7414" s="3">
        <v>80.86</v>
      </c>
      <c r="F7414">
        <v>20160720</v>
      </c>
      <c r="G7414" t="s">
        <v>4578</v>
      </c>
      <c r="H7414" t="s">
        <v>2173</v>
      </c>
      <c r="I7414">
        <v>0</v>
      </c>
      <c r="J7414" t="s">
        <v>1709</v>
      </c>
      <c r="K7414" t="s">
        <v>133</v>
      </c>
      <c r="L7414" t="s">
        <v>285</v>
      </c>
      <c r="M7414" t="str">
        <f t="shared" ref="M7414:M7477" si="551">"07"</f>
        <v>07</v>
      </c>
      <c r="N7414" t="s">
        <v>12</v>
      </c>
    </row>
    <row r="7415" spans="1:14" x14ac:dyDescent="0.25">
      <c r="A7415">
        <v>20160722</v>
      </c>
      <c r="B7415" t="str">
        <f>"064193"</f>
        <v>064193</v>
      </c>
      <c r="C7415" t="str">
        <f>"83007"</f>
        <v>83007</v>
      </c>
      <c r="D7415" t="s">
        <v>4200</v>
      </c>
      <c r="E7415" s="3">
        <v>35.61</v>
      </c>
      <c r="F7415">
        <v>20160720</v>
      </c>
      <c r="G7415" t="s">
        <v>1732</v>
      </c>
      <c r="H7415" t="s">
        <v>1648</v>
      </c>
      <c r="I7415">
        <v>0</v>
      </c>
      <c r="J7415" t="s">
        <v>1709</v>
      </c>
      <c r="K7415" t="s">
        <v>290</v>
      </c>
      <c r="L7415" t="s">
        <v>285</v>
      </c>
      <c r="M7415" t="str">
        <f t="shared" si="551"/>
        <v>07</v>
      </c>
      <c r="N7415" t="s">
        <v>12</v>
      </c>
    </row>
    <row r="7416" spans="1:14" x14ac:dyDescent="0.25">
      <c r="A7416">
        <v>20160729</v>
      </c>
      <c r="B7416" t="str">
        <f>"064195"</f>
        <v>064195</v>
      </c>
      <c r="C7416" t="str">
        <f>"29779"</f>
        <v>29779</v>
      </c>
      <c r="D7416" t="s">
        <v>1806</v>
      </c>
      <c r="E7416" s="3">
        <v>568.74</v>
      </c>
      <c r="F7416">
        <v>20160727</v>
      </c>
      <c r="G7416" t="s">
        <v>2192</v>
      </c>
      <c r="H7416" t="s">
        <v>6019</v>
      </c>
      <c r="I7416">
        <v>0</v>
      </c>
      <c r="J7416" t="s">
        <v>1709</v>
      </c>
      <c r="K7416" t="s">
        <v>2194</v>
      </c>
      <c r="L7416" t="s">
        <v>285</v>
      </c>
      <c r="M7416" t="str">
        <f t="shared" si="551"/>
        <v>07</v>
      </c>
      <c r="N7416" t="s">
        <v>12</v>
      </c>
    </row>
    <row r="7417" spans="1:14" x14ac:dyDescent="0.25">
      <c r="A7417">
        <v>20160729</v>
      </c>
      <c r="B7417" t="str">
        <f>"064195"</f>
        <v>064195</v>
      </c>
      <c r="C7417" t="str">
        <f>"29779"</f>
        <v>29779</v>
      </c>
      <c r="D7417" t="s">
        <v>1806</v>
      </c>
      <c r="E7417" s="3">
        <v>568.74</v>
      </c>
      <c r="F7417">
        <v>20160727</v>
      </c>
      <c r="G7417" t="s">
        <v>2192</v>
      </c>
      <c r="H7417" t="s">
        <v>6020</v>
      </c>
      <c r="I7417">
        <v>0</v>
      </c>
      <c r="J7417" t="s">
        <v>1709</v>
      </c>
      <c r="K7417" t="s">
        <v>2194</v>
      </c>
      <c r="L7417" t="s">
        <v>285</v>
      </c>
      <c r="M7417" t="str">
        <f t="shared" si="551"/>
        <v>07</v>
      </c>
      <c r="N7417" t="s">
        <v>12</v>
      </c>
    </row>
    <row r="7418" spans="1:14" x14ac:dyDescent="0.25">
      <c r="A7418">
        <v>20160729</v>
      </c>
      <c r="B7418" t="str">
        <f>"064195"</f>
        <v>064195</v>
      </c>
      <c r="C7418" t="str">
        <f>"29779"</f>
        <v>29779</v>
      </c>
      <c r="D7418" t="s">
        <v>1806</v>
      </c>
      <c r="E7418" s="3">
        <v>837.48</v>
      </c>
      <c r="F7418">
        <v>20160727</v>
      </c>
      <c r="G7418" t="s">
        <v>2192</v>
      </c>
      <c r="H7418" t="s">
        <v>6021</v>
      </c>
      <c r="I7418">
        <v>0</v>
      </c>
      <c r="J7418" t="s">
        <v>1709</v>
      </c>
      <c r="K7418" t="s">
        <v>2194</v>
      </c>
      <c r="L7418" t="s">
        <v>285</v>
      </c>
      <c r="M7418" t="str">
        <f t="shared" si="551"/>
        <v>07</v>
      </c>
      <c r="N7418" t="s">
        <v>12</v>
      </c>
    </row>
    <row r="7419" spans="1:14" x14ac:dyDescent="0.25">
      <c r="A7419">
        <v>20160729</v>
      </c>
      <c r="B7419" t="str">
        <f>"064195"</f>
        <v>064195</v>
      </c>
      <c r="C7419" t="str">
        <f>"29779"</f>
        <v>29779</v>
      </c>
      <c r="D7419" t="s">
        <v>1806</v>
      </c>
      <c r="E7419" s="3">
        <v>818.74</v>
      </c>
      <c r="F7419">
        <v>20160727</v>
      </c>
      <c r="G7419" t="s">
        <v>2192</v>
      </c>
      <c r="H7419" t="s">
        <v>6022</v>
      </c>
      <c r="I7419">
        <v>0</v>
      </c>
      <c r="J7419" t="s">
        <v>1709</v>
      </c>
      <c r="K7419" t="s">
        <v>2194</v>
      </c>
      <c r="L7419" t="s">
        <v>285</v>
      </c>
      <c r="M7419" t="str">
        <f t="shared" si="551"/>
        <v>07</v>
      </c>
      <c r="N7419" t="s">
        <v>12</v>
      </c>
    </row>
    <row r="7420" spans="1:14" x14ac:dyDescent="0.25">
      <c r="A7420">
        <v>20160729</v>
      </c>
      <c r="B7420" t="str">
        <f>"064195"</f>
        <v>064195</v>
      </c>
      <c r="C7420" t="str">
        <f>"29779"</f>
        <v>29779</v>
      </c>
      <c r="D7420" t="s">
        <v>1806</v>
      </c>
      <c r="E7420" s="3">
        <v>912.48</v>
      </c>
      <c r="F7420">
        <v>20160727</v>
      </c>
      <c r="G7420" t="s">
        <v>2192</v>
      </c>
      <c r="H7420" t="s">
        <v>2051</v>
      </c>
      <c r="I7420">
        <v>0</v>
      </c>
      <c r="J7420" t="s">
        <v>1709</v>
      </c>
      <c r="K7420" t="s">
        <v>2194</v>
      </c>
      <c r="L7420" t="s">
        <v>285</v>
      </c>
      <c r="M7420" t="str">
        <f t="shared" si="551"/>
        <v>07</v>
      </c>
      <c r="N7420" t="s">
        <v>12</v>
      </c>
    </row>
    <row r="7421" spans="1:14" x14ac:dyDescent="0.25">
      <c r="A7421">
        <v>20160729</v>
      </c>
      <c r="B7421" t="str">
        <f t="shared" ref="B7421:B7449" si="552">"064196"</f>
        <v>064196</v>
      </c>
      <c r="C7421" t="str">
        <f t="shared" ref="C7421:C7449" si="553">"03846"</f>
        <v>03846</v>
      </c>
      <c r="D7421" t="s">
        <v>6023</v>
      </c>
      <c r="E7421" s="3">
        <v>342.22</v>
      </c>
      <c r="F7421">
        <v>20160727</v>
      </c>
      <c r="G7421" t="s">
        <v>1854</v>
      </c>
      <c r="H7421" t="s">
        <v>6024</v>
      </c>
      <c r="I7421">
        <v>0</v>
      </c>
      <c r="J7421" t="s">
        <v>1709</v>
      </c>
      <c r="K7421" t="s">
        <v>1856</v>
      </c>
      <c r="L7421" t="s">
        <v>285</v>
      </c>
      <c r="M7421" t="str">
        <f t="shared" si="551"/>
        <v>07</v>
      </c>
      <c r="N7421" t="s">
        <v>12</v>
      </c>
    </row>
    <row r="7422" spans="1:14" x14ac:dyDescent="0.25">
      <c r="A7422">
        <v>20160729</v>
      </c>
      <c r="B7422" t="str">
        <f t="shared" si="552"/>
        <v>064196</v>
      </c>
      <c r="C7422" t="str">
        <f t="shared" si="553"/>
        <v>03846</v>
      </c>
      <c r="D7422" t="s">
        <v>6023</v>
      </c>
      <c r="E7422" s="3">
        <v>345.5</v>
      </c>
      <c r="F7422">
        <v>20160727</v>
      </c>
      <c r="G7422" t="s">
        <v>1854</v>
      </c>
      <c r="H7422" t="s">
        <v>6025</v>
      </c>
      <c r="I7422">
        <v>0</v>
      </c>
      <c r="J7422" t="s">
        <v>1709</v>
      </c>
      <c r="K7422" t="s">
        <v>1856</v>
      </c>
      <c r="L7422" t="s">
        <v>285</v>
      </c>
      <c r="M7422" t="str">
        <f t="shared" si="551"/>
        <v>07</v>
      </c>
      <c r="N7422" t="s">
        <v>12</v>
      </c>
    </row>
    <row r="7423" spans="1:14" x14ac:dyDescent="0.25">
      <c r="A7423">
        <v>20160729</v>
      </c>
      <c r="B7423" t="str">
        <f t="shared" si="552"/>
        <v>064196</v>
      </c>
      <c r="C7423" t="str">
        <f t="shared" si="553"/>
        <v>03846</v>
      </c>
      <c r="D7423" t="s">
        <v>6023</v>
      </c>
      <c r="E7423" s="3">
        <v>338.5</v>
      </c>
      <c r="F7423">
        <v>20160727</v>
      </c>
      <c r="G7423" t="s">
        <v>1854</v>
      </c>
      <c r="H7423" t="s">
        <v>6026</v>
      </c>
      <c r="I7423">
        <v>0</v>
      </c>
      <c r="J7423" t="s">
        <v>1709</v>
      </c>
      <c r="K7423" t="s">
        <v>1856</v>
      </c>
      <c r="L7423" t="s">
        <v>285</v>
      </c>
      <c r="M7423" t="str">
        <f t="shared" si="551"/>
        <v>07</v>
      </c>
      <c r="N7423" t="s">
        <v>12</v>
      </c>
    </row>
    <row r="7424" spans="1:14" x14ac:dyDescent="0.25">
      <c r="A7424">
        <v>20160729</v>
      </c>
      <c r="B7424" t="str">
        <f t="shared" si="552"/>
        <v>064196</v>
      </c>
      <c r="C7424" t="str">
        <f t="shared" si="553"/>
        <v>03846</v>
      </c>
      <c r="D7424" t="s">
        <v>6023</v>
      </c>
      <c r="E7424" s="3">
        <v>398</v>
      </c>
      <c r="F7424">
        <v>20160727</v>
      </c>
      <c r="G7424" t="s">
        <v>1854</v>
      </c>
      <c r="H7424" t="s">
        <v>6027</v>
      </c>
      <c r="I7424">
        <v>0</v>
      </c>
      <c r="J7424" t="s">
        <v>1709</v>
      </c>
      <c r="K7424" t="s">
        <v>1856</v>
      </c>
      <c r="L7424" t="s">
        <v>285</v>
      </c>
      <c r="M7424" t="str">
        <f t="shared" si="551"/>
        <v>07</v>
      </c>
      <c r="N7424" t="s">
        <v>12</v>
      </c>
    </row>
    <row r="7425" spans="1:14" x14ac:dyDescent="0.25">
      <c r="A7425">
        <v>20160729</v>
      </c>
      <c r="B7425" t="str">
        <f t="shared" si="552"/>
        <v>064196</v>
      </c>
      <c r="C7425" t="str">
        <f t="shared" si="553"/>
        <v>03846</v>
      </c>
      <c r="D7425" t="s">
        <v>6023</v>
      </c>
      <c r="E7425" s="3">
        <v>348.6</v>
      </c>
      <c r="F7425">
        <v>20160727</v>
      </c>
      <c r="G7425" t="s">
        <v>1854</v>
      </c>
      <c r="H7425" t="s">
        <v>6028</v>
      </c>
      <c r="I7425">
        <v>0</v>
      </c>
      <c r="J7425" t="s">
        <v>1709</v>
      </c>
      <c r="K7425" t="s">
        <v>1856</v>
      </c>
      <c r="L7425" t="s">
        <v>285</v>
      </c>
      <c r="M7425" t="str">
        <f t="shared" si="551"/>
        <v>07</v>
      </c>
      <c r="N7425" t="s">
        <v>12</v>
      </c>
    </row>
    <row r="7426" spans="1:14" x14ac:dyDescent="0.25">
      <c r="A7426">
        <v>20160729</v>
      </c>
      <c r="B7426" t="str">
        <f t="shared" si="552"/>
        <v>064196</v>
      </c>
      <c r="C7426" t="str">
        <f t="shared" si="553"/>
        <v>03846</v>
      </c>
      <c r="D7426" t="s">
        <v>6023</v>
      </c>
      <c r="E7426" s="3">
        <v>286</v>
      </c>
      <c r="F7426">
        <v>20160727</v>
      </c>
      <c r="G7426" t="s">
        <v>1854</v>
      </c>
      <c r="H7426" t="s">
        <v>6029</v>
      </c>
      <c r="I7426">
        <v>0</v>
      </c>
      <c r="J7426" t="s">
        <v>1709</v>
      </c>
      <c r="K7426" t="s">
        <v>1856</v>
      </c>
      <c r="L7426" t="s">
        <v>285</v>
      </c>
      <c r="M7426" t="str">
        <f t="shared" si="551"/>
        <v>07</v>
      </c>
      <c r="N7426" t="s">
        <v>12</v>
      </c>
    </row>
    <row r="7427" spans="1:14" x14ac:dyDescent="0.25">
      <c r="A7427">
        <v>20160729</v>
      </c>
      <c r="B7427" t="str">
        <f t="shared" si="552"/>
        <v>064196</v>
      </c>
      <c r="C7427" t="str">
        <f t="shared" si="553"/>
        <v>03846</v>
      </c>
      <c r="D7427" t="s">
        <v>6023</v>
      </c>
      <c r="E7427" s="3">
        <v>530.21</v>
      </c>
      <c r="F7427">
        <v>20160727</v>
      </c>
      <c r="G7427" t="s">
        <v>1854</v>
      </c>
      <c r="H7427" t="s">
        <v>6030</v>
      </c>
      <c r="I7427">
        <v>0</v>
      </c>
      <c r="J7427" t="s">
        <v>1709</v>
      </c>
      <c r="K7427" t="s">
        <v>1856</v>
      </c>
      <c r="L7427" t="s">
        <v>285</v>
      </c>
      <c r="M7427" t="str">
        <f t="shared" si="551"/>
        <v>07</v>
      </c>
      <c r="N7427" t="s">
        <v>12</v>
      </c>
    </row>
    <row r="7428" spans="1:14" x14ac:dyDescent="0.25">
      <c r="A7428">
        <v>20160729</v>
      </c>
      <c r="B7428" t="str">
        <f t="shared" si="552"/>
        <v>064196</v>
      </c>
      <c r="C7428" t="str">
        <f t="shared" si="553"/>
        <v>03846</v>
      </c>
      <c r="D7428" t="s">
        <v>6023</v>
      </c>
      <c r="E7428" s="3">
        <v>530.21</v>
      </c>
      <c r="F7428">
        <v>20160727</v>
      </c>
      <c r="G7428" t="s">
        <v>1854</v>
      </c>
      <c r="H7428" t="s">
        <v>6031</v>
      </c>
      <c r="I7428">
        <v>0</v>
      </c>
      <c r="J7428" t="s">
        <v>1709</v>
      </c>
      <c r="K7428" t="s">
        <v>1856</v>
      </c>
      <c r="L7428" t="s">
        <v>285</v>
      </c>
      <c r="M7428" t="str">
        <f t="shared" si="551"/>
        <v>07</v>
      </c>
      <c r="N7428" t="s">
        <v>12</v>
      </c>
    </row>
    <row r="7429" spans="1:14" x14ac:dyDescent="0.25">
      <c r="A7429">
        <v>20160729</v>
      </c>
      <c r="B7429" t="str">
        <f t="shared" si="552"/>
        <v>064196</v>
      </c>
      <c r="C7429" t="str">
        <f t="shared" si="553"/>
        <v>03846</v>
      </c>
      <c r="D7429" t="s">
        <v>6023</v>
      </c>
      <c r="E7429" s="3">
        <v>526.49</v>
      </c>
      <c r="F7429">
        <v>20160727</v>
      </c>
      <c r="G7429" t="s">
        <v>1854</v>
      </c>
      <c r="H7429" t="s">
        <v>6032</v>
      </c>
      <c r="I7429">
        <v>0</v>
      </c>
      <c r="J7429" t="s">
        <v>1709</v>
      </c>
      <c r="K7429" t="s">
        <v>1856</v>
      </c>
      <c r="L7429" t="s">
        <v>285</v>
      </c>
      <c r="M7429" t="str">
        <f t="shared" si="551"/>
        <v>07</v>
      </c>
      <c r="N7429" t="s">
        <v>12</v>
      </c>
    </row>
    <row r="7430" spans="1:14" x14ac:dyDescent="0.25">
      <c r="A7430">
        <v>20160729</v>
      </c>
      <c r="B7430" t="str">
        <f t="shared" si="552"/>
        <v>064196</v>
      </c>
      <c r="C7430" t="str">
        <f t="shared" si="553"/>
        <v>03846</v>
      </c>
      <c r="D7430" t="s">
        <v>6023</v>
      </c>
      <c r="E7430" s="3">
        <v>521.49</v>
      </c>
      <c r="F7430">
        <v>20160727</v>
      </c>
      <c r="G7430" t="s">
        <v>1854</v>
      </c>
      <c r="H7430" t="s">
        <v>6033</v>
      </c>
      <c r="I7430">
        <v>0</v>
      </c>
      <c r="J7430" t="s">
        <v>1709</v>
      </c>
      <c r="K7430" t="s">
        <v>1856</v>
      </c>
      <c r="L7430" t="s">
        <v>285</v>
      </c>
      <c r="M7430" t="str">
        <f t="shared" si="551"/>
        <v>07</v>
      </c>
      <c r="N7430" t="s">
        <v>12</v>
      </c>
    </row>
    <row r="7431" spans="1:14" x14ac:dyDescent="0.25">
      <c r="A7431">
        <v>20160729</v>
      </c>
      <c r="B7431" t="str">
        <f t="shared" si="552"/>
        <v>064196</v>
      </c>
      <c r="C7431" t="str">
        <f t="shared" si="553"/>
        <v>03846</v>
      </c>
      <c r="D7431" t="s">
        <v>6023</v>
      </c>
      <c r="E7431" s="3">
        <v>112</v>
      </c>
      <c r="F7431">
        <v>20160727</v>
      </c>
      <c r="G7431" t="s">
        <v>1854</v>
      </c>
      <c r="H7431" t="s">
        <v>6034</v>
      </c>
      <c r="I7431">
        <v>0</v>
      </c>
      <c r="J7431" t="s">
        <v>1709</v>
      </c>
      <c r="K7431" t="s">
        <v>1856</v>
      </c>
      <c r="L7431" t="s">
        <v>285</v>
      </c>
      <c r="M7431" t="str">
        <f t="shared" si="551"/>
        <v>07</v>
      </c>
      <c r="N7431" t="s">
        <v>12</v>
      </c>
    </row>
    <row r="7432" spans="1:14" x14ac:dyDescent="0.25">
      <c r="A7432">
        <v>20160729</v>
      </c>
      <c r="B7432" t="str">
        <f t="shared" si="552"/>
        <v>064196</v>
      </c>
      <c r="C7432" t="str">
        <f t="shared" si="553"/>
        <v>03846</v>
      </c>
      <c r="D7432" t="s">
        <v>6023</v>
      </c>
      <c r="E7432" s="3">
        <v>59.5</v>
      </c>
      <c r="F7432">
        <v>20160727</v>
      </c>
      <c r="G7432" t="s">
        <v>1854</v>
      </c>
      <c r="H7432" t="s">
        <v>6035</v>
      </c>
      <c r="I7432">
        <v>0</v>
      </c>
      <c r="J7432" t="s">
        <v>1709</v>
      </c>
      <c r="K7432" t="s">
        <v>1856</v>
      </c>
      <c r="L7432" t="s">
        <v>285</v>
      </c>
      <c r="M7432" t="str">
        <f t="shared" si="551"/>
        <v>07</v>
      </c>
      <c r="N7432" t="s">
        <v>12</v>
      </c>
    </row>
    <row r="7433" spans="1:14" x14ac:dyDescent="0.25">
      <c r="A7433">
        <v>20160729</v>
      </c>
      <c r="B7433" t="str">
        <f t="shared" si="552"/>
        <v>064196</v>
      </c>
      <c r="C7433" t="str">
        <f t="shared" si="553"/>
        <v>03846</v>
      </c>
      <c r="D7433" t="s">
        <v>6023</v>
      </c>
      <c r="E7433" s="3">
        <v>336</v>
      </c>
      <c r="F7433">
        <v>20160727</v>
      </c>
      <c r="G7433" t="s">
        <v>1854</v>
      </c>
      <c r="H7433" t="s">
        <v>6032</v>
      </c>
      <c r="I7433">
        <v>0</v>
      </c>
      <c r="J7433" t="s">
        <v>1709</v>
      </c>
      <c r="K7433" t="s">
        <v>1856</v>
      </c>
      <c r="L7433" t="s">
        <v>285</v>
      </c>
      <c r="M7433" t="str">
        <f t="shared" si="551"/>
        <v>07</v>
      </c>
      <c r="N7433" t="s">
        <v>12</v>
      </c>
    </row>
    <row r="7434" spans="1:14" x14ac:dyDescent="0.25">
      <c r="A7434">
        <v>20160729</v>
      </c>
      <c r="B7434" t="str">
        <f t="shared" si="552"/>
        <v>064196</v>
      </c>
      <c r="C7434" t="str">
        <f t="shared" si="553"/>
        <v>03846</v>
      </c>
      <c r="D7434" t="s">
        <v>6023</v>
      </c>
      <c r="E7434" s="3">
        <v>283.5</v>
      </c>
      <c r="F7434">
        <v>20160727</v>
      </c>
      <c r="G7434" t="s">
        <v>1854</v>
      </c>
      <c r="H7434" t="s">
        <v>6036</v>
      </c>
      <c r="I7434">
        <v>0</v>
      </c>
      <c r="J7434" t="s">
        <v>1709</v>
      </c>
      <c r="K7434" t="s">
        <v>1856</v>
      </c>
      <c r="L7434" t="s">
        <v>285</v>
      </c>
      <c r="M7434" t="str">
        <f t="shared" si="551"/>
        <v>07</v>
      </c>
      <c r="N7434" t="s">
        <v>12</v>
      </c>
    </row>
    <row r="7435" spans="1:14" x14ac:dyDescent="0.25">
      <c r="A7435">
        <v>20160729</v>
      </c>
      <c r="B7435" t="str">
        <f t="shared" si="552"/>
        <v>064196</v>
      </c>
      <c r="C7435" t="str">
        <f t="shared" si="553"/>
        <v>03846</v>
      </c>
      <c r="D7435" t="s">
        <v>6023</v>
      </c>
      <c r="E7435" s="3">
        <v>283.5</v>
      </c>
      <c r="F7435">
        <v>20160727</v>
      </c>
      <c r="G7435" t="s">
        <v>1854</v>
      </c>
      <c r="H7435" t="s">
        <v>6037</v>
      </c>
      <c r="I7435">
        <v>0</v>
      </c>
      <c r="J7435" t="s">
        <v>1709</v>
      </c>
      <c r="K7435" t="s">
        <v>1856</v>
      </c>
      <c r="L7435" t="s">
        <v>285</v>
      </c>
      <c r="M7435" t="str">
        <f t="shared" si="551"/>
        <v>07</v>
      </c>
      <c r="N7435" t="s">
        <v>12</v>
      </c>
    </row>
    <row r="7436" spans="1:14" x14ac:dyDescent="0.25">
      <c r="A7436">
        <v>20160729</v>
      </c>
      <c r="B7436" t="str">
        <f t="shared" si="552"/>
        <v>064196</v>
      </c>
      <c r="C7436" t="str">
        <f t="shared" si="553"/>
        <v>03846</v>
      </c>
      <c r="D7436" t="s">
        <v>6023</v>
      </c>
      <c r="E7436" s="3">
        <v>283.5</v>
      </c>
      <c r="F7436">
        <v>20160727</v>
      </c>
      <c r="G7436" t="s">
        <v>1854</v>
      </c>
      <c r="H7436" t="s">
        <v>6038</v>
      </c>
      <c r="I7436">
        <v>0</v>
      </c>
      <c r="J7436" t="s">
        <v>1709</v>
      </c>
      <c r="K7436" t="s">
        <v>1856</v>
      </c>
      <c r="L7436" t="s">
        <v>285</v>
      </c>
      <c r="M7436" t="str">
        <f t="shared" si="551"/>
        <v>07</v>
      </c>
      <c r="N7436" t="s">
        <v>12</v>
      </c>
    </row>
    <row r="7437" spans="1:14" x14ac:dyDescent="0.25">
      <c r="A7437">
        <v>20160729</v>
      </c>
      <c r="B7437" t="str">
        <f t="shared" si="552"/>
        <v>064196</v>
      </c>
      <c r="C7437" t="str">
        <f t="shared" si="553"/>
        <v>03846</v>
      </c>
      <c r="D7437" t="s">
        <v>6023</v>
      </c>
      <c r="E7437" s="3">
        <v>283.5</v>
      </c>
      <c r="F7437">
        <v>20160727</v>
      </c>
      <c r="G7437" t="s">
        <v>1854</v>
      </c>
      <c r="H7437" t="s">
        <v>6039</v>
      </c>
      <c r="I7437">
        <v>0</v>
      </c>
      <c r="J7437" t="s">
        <v>1709</v>
      </c>
      <c r="K7437" t="s">
        <v>1856</v>
      </c>
      <c r="L7437" t="s">
        <v>285</v>
      </c>
      <c r="M7437" t="str">
        <f t="shared" si="551"/>
        <v>07</v>
      </c>
      <c r="N7437" t="s">
        <v>12</v>
      </c>
    </row>
    <row r="7438" spans="1:14" x14ac:dyDescent="0.25">
      <c r="A7438">
        <v>20160729</v>
      </c>
      <c r="B7438" t="str">
        <f t="shared" si="552"/>
        <v>064196</v>
      </c>
      <c r="C7438" t="str">
        <f t="shared" si="553"/>
        <v>03846</v>
      </c>
      <c r="D7438" t="s">
        <v>6023</v>
      </c>
      <c r="E7438" s="3">
        <v>283.5</v>
      </c>
      <c r="F7438">
        <v>20160727</v>
      </c>
      <c r="G7438" t="s">
        <v>1854</v>
      </c>
      <c r="H7438" t="s">
        <v>6040</v>
      </c>
      <c r="I7438">
        <v>0</v>
      </c>
      <c r="J7438" t="s">
        <v>1709</v>
      </c>
      <c r="K7438" t="s">
        <v>1856</v>
      </c>
      <c r="L7438" t="s">
        <v>285</v>
      </c>
      <c r="M7438" t="str">
        <f t="shared" si="551"/>
        <v>07</v>
      </c>
      <c r="N7438" t="s">
        <v>12</v>
      </c>
    </row>
    <row r="7439" spans="1:14" x14ac:dyDescent="0.25">
      <c r="A7439">
        <v>20160729</v>
      </c>
      <c r="B7439" t="str">
        <f t="shared" si="552"/>
        <v>064196</v>
      </c>
      <c r="C7439" t="str">
        <f t="shared" si="553"/>
        <v>03846</v>
      </c>
      <c r="D7439" t="s">
        <v>6023</v>
      </c>
      <c r="E7439" s="3">
        <v>283.5</v>
      </c>
      <c r="F7439">
        <v>20160727</v>
      </c>
      <c r="G7439" t="s">
        <v>1854</v>
      </c>
      <c r="H7439" t="s">
        <v>6041</v>
      </c>
      <c r="I7439">
        <v>0</v>
      </c>
      <c r="J7439" t="s">
        <v>1709</v>
      </c>
      <c r="K7439" t="s">
        <v>1856</v>
      </c>
      <c r="L7439" t="s">
        <v>285</v>
      </c>
      <c r="M7439" t="str">
        <f t="shared" si="551"/>
        <v>07</v>
      </c>
      <c r="N7439" t="s">
        <v>12</v>
      </c>
    </row>
    <row r="7440" spans="1:14" x14ac:dyDescent="0.25">
      <c r="A7440">
        <v>20160729</v>
      </c>
      <c r="B7440" t="str">
        <f t="shared" si="552"/>
        <v>064196</v>
      </c>
      <c r="C7440" t="str">
        <f t="shared" si="553"/>
        <v>03846</v>
      </c>
      <c r="D7440" t="s">
        <v>6023</v>
      </c>
      <c r="E7440" s="3">
        <v>283.5</v>
      </c>
      <c r="F7440">
        <v>20160727</v>
      </c>
      <c r="G7440" t="s">
        <v>1854</v>
      </c>
      <c r="H7440" t="s">
        <v>6042</v>
      </c>
      <c r="I7440">
        <v>0</v>
      </c>
      <c r="J7440" t="s">
        <v>1709</v>
      </c>
      <c r="K7440" t="s">
        <v>1856</v>
      </c>
      <c r="L7440" t="s">
        <v>285</v>
      </c>
      <c r="M7440" t="str">
        <f t="shared" si="551"/>
        <v>07</v>
      </c>
      <c r="N7440" t="s">
        <v>12</v>
      </c>
    </row>
    <row r="7441" spans="1:14" x14ac:dyDescent="0.25">
      <c r="A7441">
        <v>20160729</v>
      </c>
      <c r="B7441" t="str">
        <f t="shared" si="552"/>
        <v>064196</v>
      </c>
      <c r="C7441" t="str">
        <f t="shared" si="553"/>
        <v>03846</v>
      </c>
      <c r="D7441" t="s">
        <v>6023</v>
      </c>
      <c r="E7441" s="3">
        <v>40</v>
      </c>
      <c r="F7441">
        <v>20160727</v>
      </c>
      <c r="G7441" t="s">
        <v>1854</v>
      </c>
      <c r="H7441" t="s">
        <v>6043</v>
      </c>
      <c r="I7441">
        <v>0</v>
      </c>
      <c r="J7441" t="s">
        <v>1709</v>
      </c>
      <c r="K7441" t="s">
        <v>1856</v>
      </c>
      <c r="L7441" t="s">
        <v>285</v>
      </c>
      <c r="M7441" t="str">
        <f t="shared" si="551"/>
        <v>07</v>
      </c>
      <c r="N7441" t="s">
        <v>12</v>
      </c>
    </row>
    <row r="7442" spans="1:14" x14ac:dyDescent="0.25">
      <c r="A7442">
        <v>20160729</v>
      </c>
      <c r="B7442" t="str">
        <f t="shared" si="552"/>
        <v>064196</v>
      </c>
      <c r="C7442" t="str">
        <f t="shared" si="553"/>
        <v>03846</v>
      </c>
      <c r="D7442" t="s">
        <v>6023</v>
      </c>
      <c r="E7442" s="3">
        <v>194.3</v>
      </c>
      <c r="F7442">
        <v>20160727</v>
      </c>
      <c r="G7442" t="s">
        <v>1854</v>
      </c>
      <c r="H7442" t="s">
        <v>3816</v>
      </c>
      <c r="I7442">
        <v>0</v>
      </c>
      <c r="J7442" t="s">
        <v>1709</v>
      </c>
      <c r="K7442" t="s">
        <v>1856</v>
      </c>
      <c r="L7442" t="s">
        <v>285</v>
      </c>
      <c r="M7442" t="str">
        <f t="shared" si="551"/>
        <v>07</v>
      </c>
      <c r="N7442" t="s">
        <v>12</v>
      </c>
    </row>
    <row r="7443" spans="1:14" x14ac:dyDescent="0.25">
      <c r="A7443">
        <v>20160729</v>
      </c>
      <c r="B7443" t="str">
        <f t="shared" si="552"/>
        <v>064196</v>
      </c>
      <c r="C7443" t="str">
        <f t="shared" si="553"/>
        <v>03846</v>
      </c>
      <c r="D7443" t="s">
        <v>6023</v>
      </c>
      <c r="E7443" s="3">
        <v>311.2</v>
      </c>
      <c r="F7443">
        <v>20160727</v>
      </c>
      <c r="G7443" t="s">
        <v>1854</v>
      </c>
      <c r="H7443" t="s">
        <v>3809</v>
      </c>
      <c r="I7443">
        <v>0</v>
      </c>
      <c r="J7443" t="s">
        <v>1709</v>
      </c>
      <c r="K7443" t="s">
        <v>1856</v>
      </c>
      <c r="L7443" t="s">
        <v>285</v>
      </c>
      <c r="M7443" t="str">
        <f t="shared" si="551"/>
        <v>07</v>
      </c>
      <c r="N7443" t="s">
        <v>12</v>
      </c>
    </row>
    <row r="7444" spans="1:14" x14ac:dyDescent="0.25">
      <c r="A7444">
        <v>20160729</v>
      </c>
      <c r="B7444" t="str">
        <f t="shared" si="552"/>
        <v>064196</v>
      </c>
      <c r="C7444" t="str">
        <f t="shared" si="553"/>
        <v>03846</v>
      </c>
      <c r="D7444" t="s">
        <v>6023</v>
      </c>
      <c r="E7444" s="3">
        <v>193.64</v>
      </c>
      <c r="F7444">
        <v>20160727</v>
      </c>
      <c r="G7444" t="s">
        <v>1854</v>
      </c>
      <c r="H7444" t="s">
        <v>3807</v>
      </c>
      <c r="I7444">
        <v>0</v>
      </c>
      <c r="J7444" t="s">
        <v>1709</v>
      </c>
      <c r="K7444" t="s">
        <v>1856</v>
      </c>
      <c r="L7444" t="s">
        <v>285</v>
      </c>
      <c r="M7444" t="str">
        <f t="shared" si="551"/>
        <v>07</v>
      </c>
      <c r="N7444" t="s">
        <v>12</v>
      </c>
    </row>
    <row r="7445" spans="1:14" x14ac:dyDescent="0.25">
      <c r="A7445">
        <v>20160729</v>
      </c>
      <c r="B7445" t="str">
        <f t="shared" si="552"/>
        <v>064196</v>
      </c>
      <c r="C7445" t="str">
        <f t="shared" si="553"/>
        <v>03846</v>
      </c>
      <c r="D7445" t="s">
        <v>6023</v>
      </c>
      <c r="E7445" s="3">
        <v>206.2</v>
      </c>
      <c r="F7445">
        <v>20160727</v>
      </c>
      <c r="G7445" t="s">
        <v>1854</v>
      </c>
      <c r="H7445" t="s">
        <v>3817</v>
      </c>
      <c r="I7445">
        <v>0</v>
      </c>
      <c r="J7445" t="s">
        <v>1709</v>
      </c>
      <c r="K7445" t="s">
        <v>1856</v>
      </c>
      <c r="L7445" t="s">
        <v>285</v>
      </c>
      <c r="M7445" t="str">
        <f t="shared" si="551"/>
        <v>07</v>
      </c>
      <c r="N7445" t="s">
        <v>12</v>
      </c>
    </row>
    <row r="7446" spans="1:14" x14ac:dyDescent="0.25">
      <c r="A7446">
        <v>20160729</v>
      </c>
      <c r="B7446" t="str">
        <f t="shared" si="552"/>
        <v>064196</v>
      </c>
      <c r="C7446" t="str">
        <f t="shared" si="553"/>
        <v>03846</v>
      </c>
      <c r="D7446" t="s">
        <v>6023</v>
      </c>
      <c r="E7446" s="3">
        <v>40</v>
      </c>
      <c r="F7446">
        <v>20160727</v>
      </c>
      <c r="G7446" t="s">
        <v>1854</v>
      </c>
      <c r="H7446" t="s">
        <v>6044</v>
      </c>
      <c r="I7446">
        <v>0</v>
      </c>
      <c r="J7446" t="s">
        <v>1709</v>
      </c>
      <c r="K7446" t="s">
        <v>1856</v>
      </c>
      <c r="L7446" t="s">
        <v>285</v>
      </c>
      <c r="M7446" t="str">
        <f t="shared" si="551"/>
        <v>07</v>
      </c>
      <c r="N7446" t="s">
        <v>12</v>
      </c>
    </row>
    <row r="7447" spans="1:14" x14ac:dyDescent="0.25">
      <c r="A7447">
        <v>20160729</v>
      </c>
      <c r="B7447" t="str">
        <f t="shared" si="552"/>
        <v>064196</v>
      </c>
      <c r="C7447" t="str">
        <f t="shared" si="553"/>
        <v>03846</v>
      </c>
      <c r="D7447" t="s">
        <v>6023</v>
      </c>
      <c r="E7447" s="3">
        <v>40</v>
      </c>
      <c r="F7447">
        <v>20160727</v>
      </c>
      <c r="G7447" t="s">
        <v>1854</v>
      </c>
      <c r="H7447" t="s">
        <v>6045</v>
      </c>
      <c r="I7447">
        <v>0</v>
      </c>
      <c r="J7447" t="s">
        <v>1709</v>
      </c>
      <c r="K7447" t="s">
        <v>1856</v>
      </c>
      <c r="L7447" t="s">
        <v>285</v>
      </c>
      <c r="M7447" t="str">
        <f t="shared" si="551"/>
        <v>07</v>
      </c>
      <c r="N7447" t="s">
        <v>12</v>
      </c>
    </row>
    <row r="7448" spans="1:14" x14ac:dyDescent="0.25">
      <c r="A7448">
        <v>20160729</v>
      </c>
      <c r="B7448" t="str">
        <f t="shared" si="552"/>
        <v>064196</v>
      </c>
      <c r="C7448" t="str">
        <f t="shared" si="553"/>
        <v>03846</v>
      </c>
      <c r="D7448" t="s">
        <v>6023</v>
      </c>
      <c r="E7448" s="3">
        <v>205.49</v>
      </c>
      <c r="F7448">
        <v>20160727</v>
      </c>
      <c r="G7448" t="s">
        <v>1854</v>
      </c>
      <c r="H7448" t="s">
        <v>3821</v>
      </c>
      <c r="I7448">
        <v>0</v>
      </c>
      <c r="J7448" t="s">
        <v>1709</v>
      </c>
      <c r="K7448" t="s">
        <v>1856</v>
      </c>
      <c r="L7448" t="s">
        <v>285</v>
      </c>
      <c r="M7448" t="str">
        <f t="shared" si="551"/>
        <v>07</v>
      </c>
      <c r="N7448" t="s">
        <v>12</v>
      </c>
    </row>
    <row r="7449" spans="1:14" x14ac:dyDescent="0.25">
      <c r="A7449">
        <v>20160729</v>
      </c>
      <c r="B7449" t="str">
        <f t="shared" si="552"/>
        <v>064196</v>
      </c>
      <c r="C7449" t="str">
        <f t="shared" si="553"/>
        <v>03846</v>
      </c>
      <c r="D7449" t="s">
        <v>6023</v>
      </c>
      <c r="E7449" s="3">
        <v>194.3</v>
      </c>
      <c r="F7449">
        <v>20160727</v>
      </c>
      <c r="G7449" t="s">
        <v>1854</v>
      </c>
      <c r="H7449" t="s">
        <v>3820</v>
      </c>
      <c r="I7449">
        <v>0</v>
      </c>
      <c r="J7449" t="s">
        <v>1709</v>
      </c>
      <c r="K7449" t="s">
        <v>1856</v>
      </c>
      <c r="L7449" t="s">
        <v>285</v>
      </c>
      <c r="M7449" t="str">
        <f t="shared" si="551"/>
        <v>07</v>
      </c>
      <c r="N7449" t="s">
        <v>12</v>
      </c>
    </row>
    <row r="7450" spans="1:14" x14ac:dyDescent="0.25">
      <c r="A7450">
        <v>20160729</v>
      </c>
      <c r="B7450" t="str">
        <f>"064197"</f>
        <v>064197</v>
      </c>
      <c r="C7450" t="str">
        <f>"04350"</f>
        <v>04350</v>
      </c>
      <c r="D7450" t="s">
        <v>1694</v>
      </c>
      <c r="E7450" s="3">
        <v>5350</v>
      </c>
      <c r="F7450">
        <v>20160727</v>
      </c>
      <c r="G7450" t="s">
        <v>2281</v>
      </c>
      <c r="H7450" t="s">
        <v>6046</v>
      </c>
      <c r="I7450">
        <v>0</v>
      </c>
      <c r="J7450" t="s">
        <v>1709</v>
      </c>
      <c r="K7450" t="s">
        <v>290</v>
      </c>
      <c r="L7450" t="s">
        <v>285</v>
      </c>
      <c r="M7450" t="str">
        <f t="shared" si="551"/>
        <v>07</v>
      </c>
      <c r="N7450" t="s">
        <v>12</v>
      </c>
    </row>
    <row r="7451" spans="1:14" x14ac:dyDescent="0.25">
      <c r="A7451">
        <v>20160729</v>
      </c>
      <c r="B7451" t="str">
        <f>"064198"</f>
        <v>064198</v>
      </c>
      <c r="C7451" t="str">
        <f>"07685"</f>
        <v>07685</v>
      </c>
      <c r="D7451" t="s">
        <v>1813</v>
      </c>
      <c r="E7451" s="3">
        <v>1076.46</v>
      </c>
      <c r="F7451">
        <v>20160727</v>
      </c>
      <c r="G7451" t="s">
        <v>3668</v>
      </c>
      <c r="H7451" t="s">
        <v>6047</v>
      </c>
      <c r="I7451">
        <v>0</v>
      </c>
      <c r="J7451" t="s">
        <v>1709</v>
      </c>
      <c r="K7451" t="s">
        <v>2820</v>
      </c>
      <c r="L7451" t="s">
        <v>285</v>
      </c>
      <c r="M7451" t="str">
        <f t="shared" si="551"/>
        <v>07</v>
      </c>
      <c r="N7451" t="s">
        <v>12</v>
      </c>
    </row>
    <row r="7452" spans="1:14" x14ac:dyDescent="0.25">
      <c r="A7452">
        <v>20160729</v>
      </c>
      <c r="B7452" t="str">
        <f>"064198"</f>
        <v>064198</v>
      </c>
      <c r="C7452" t="str">
        <f>"07685"</f>
        <v>07685</v>
      </c>
      <c r="D7452" t="s">
        <v>1813</v>
      </c>
      <c r="E7452" s="3">
        <v>4200</v>
      </c>
      <c r="F7452">
        <v>20160727</v>
      </c>
      <c r="G7452" t="s">
        <v>3668</v>
      </c>
      <c r="H7452" t="s">
        <v>6048</v>
      </c>
      <c r="I7452">
        <v>0</v>
      </c>
      <c r="J7452" t="s">
        <v>1709</v>
      </c>
      <c r="K7452" t="s">
        <v>2820</v>
      </c>
      <c r="L7452" t="s">
        <v>285</v>
      </c>
      <c r="M7452" t="str">
        <f t="shared" si="551"/>
        <v>07</v>
      </c>
      <c r="N7452" t="s">
        <v>12</v>
      </c>
    </row>
    <row r="7453" spans="1:14" x14ac:dyDescent="0.25">
      <c r="A7453">
        <v>20160729</v>
      </c>
      <c r="B7453" t="str">
        <f>"064198"</f>
        <v>064198</v>
      </c>
      <c r="C7453" t="str">
        <f>"07685"</f>
        <v>07685</v>
      </c>
      <c r="D7453" t="s">
        <v>1813</v>
      </c>
      <c r="E7453" s="3">
        <v>178.26</v>
      </c>
      <c r="F7453">
        <v>20160727</v>
      </c>
      <c r="G7453" t="s">
        <v>3668</v>
      </c>
      <c r="H7453" t="s">
        <v>6049</v>
      </c>
      <c r="I7453">
        <v>0</v>
      </c>
      <c r="J7453" t="s">
        <v>1709</v>
      </c>
      <c r="K7453" t="s">
        <v>2820</v>
      </c>
      <c r="L7453" t="s">
        <v>285</v>
      </c>
      <c r="M7453" t="str">
        <f t="shared" si="551"/>
        <v>07</v>
      </c>
      <c r="N7453" t="s">
        <v>12</v>
      </c>
    </row>
    <row r="7454" spans="1:14" x14ac:dyDescent="0.25">
      <c r="A7454">
        <v>20160729</v>
      </c>
      <c r="B7454" t="str">
        <f>"064199"</f>
        <v>064199</v>
      </c>
      <c r="C7454" t="str">
        <f>"07699"</f>
        <v>07699</v>
      </c>
      <c r="D7454" t="s">
        <v>2822</v>
      </c>
      <c r="E7454" s="3">
        <v>49.8</v>
      </c>
      <c r="F7454">
        <v>20160727</v>
      </c>
      <c r="G7454" t="s">
        <v>3540</v>
      </c>
      <c r="H7454" t="s">
        <v>4875</v>
      </c>
      <c r="I7454">
        <v>0</v>
      </c>
      <c r="J7454" t="s">
        <v>1709</v>
      </c>
      <c r="K7454" t="s">
        <v>2724</v>
      </c>
      <c r="L7454" t="s">
        <v>285</v>
      </c>
      <c r="M7454" t="str">
        <f t="shared" si="551"/>
        <v>07</v>
      </c>
      <c r="N7454" t="s">
        <v>12</v>
      </c>
    </row>
    <row r="7455" spans="1:14" x14ac:dyDescent="0.25">
      <c r="A7455">
        <v>20160729</v>
      </c>
      <c r="B7455" t="str">
        <f>"064200"</f>
        <v>064200</v>
      </c>
      <c r="C7455" t="str">
        <f>"00390"</f>
        <v>00390</v>
      </c>
      <c r="D7455" t="s">
        <v>1717</v>
      </c>
      <c r="E7455" s="3">
        <v>6339.23</v>
      </c>
      <c r="F7455">
        <v>20160727</v>
      </c>
      <c r="G7455" t="s">
        <v>2217</v>
      </c>
      <c r="H7455" t="s">
        <v>6050</v>
      </c>
      <c r="I7455">
        <v>0</v>
      </c>
      <c r="J7455" t="s">
        <v>1709</v>
      </c>
      <c r="K7455" t="s">
        <v>1984</v>
      </c>
      <c r="L7455" t="s">
        <v>285</v>
      </c>
      <c r="M7455" t="str">
        <f t="shared" si="551"/>
        <v>07</v>
      </c>
      <c r="N7455" t="s">
        <v>12</v>
      </c>
    </row>
    <row r="7456" spans="1:14" x14ac:dyDescent="0.25">
      <c r="A7456">
        <v>20160729</v>
      </c>
      <c r="B7456" t="str">
        <f>"064200"</f>
        <v>064200</v>
      </c>
      <c r="C7456" t="str">
        <f>"00390"</f>
        <v>00390</v>
      </c>
      <c r="D7456" t="s">
        <v>1717</v>
      </c>
      <c r="E7456" s="3">
        <v>136.69999999999999</v>
      </c>
      <c r="F7456">
        <v>20160727</v>
      </c>
      <c r="G7456" t="s">
        <v>2217</v>
      </c>
      <c r="H7456" t="s">
        <v>6050</v>
      </c>
      <c r="I7456">
        <v>0</v>
      </c>
      <c r="J7456" t="s">
        <v>1709</v>
      </c>
      <c r="K7456" t="s">
        <v>1984</v>
      </c>
      <c r="L7456" t="s">
        <v>285</v>
      </c>
      <c r="M7456" t="str">
        <f t="shared" si="551"/>
        <v>07</v>
      </c>
      <c r="N7456" t="s">
        <v>12</v>
      </c>
    </row>
    <row r="7457" spans="1:14" x14ac:dyDescent="0.25">
      <c r="A7457">
        <v>20160729</v>
      </c>
      <c r="B7457" t="str">
        <f>"064201"</f>
        <v>064201</v>
      </c>
      <c r="C7457" t="str">
        <f>"00392"</f>
        <v>00392</v>
      </c>
      <c r="D7457" t="s">
        <v>1717</v>
      </c>
      <c r="E7457" s="3">
        <v>462.63</v>
      </c>
      <c r="F7457">
        <v>20160727</v>
      </c>
      <c r="G7457" t="s">
        <v>2219</v>
      </c>
      <c r="H7457" t="s">
        <v>6051</v>
      </c>
      <c r="I7457">
        <v>0</v>
      </c>
      <c r="J7457" t="s">
        <v>1709</v>
      </c>
      <c r="K7457" t="s">
        <v>1984</v>
      </c>
      <c r="L7457" t="s">
        <v>285</v>
      </c>
      <c r="M7457" t="str">
        <f t="shared" si="551"/>
        <v>07</v>
      </c>
      <c r="N7457" t="s">
        <v>12</v>
      </c>
    </row>
    <row r="7458" spans="1:14" x14ac:dyDescent="0.25">
      <c r="A7458">
        <v>20160729</v>
      </c>
      <c r="B7458" t="str">
        <f>"064202"</f>
        <v>064202</v>
      </c>
      <c r="C7458" t="str">
        <f>"08132"</f>
        <v>08132</v>
      </c>
      <c r="D7458" t="s">
        <v>2436</v>
      </c>
      <c r="E7458" s="3">
        <v>57.4</v>
      </c>
      <c r="F7458">
        <v>20160727</v>
      </c>
      <c r="G7458" t="s">
        <v>2074</v>
      </c>
      <c r="H7458" t="s">
        <v>4509</v>
      </c>
      <c r="I7458">
        <v>0</v>
      </c>
      <c r="J7458" t="s">
        <v>1709</v>
      </c>
      <c r="K7458" t="s">
        <v>1861</v>
      </c>
      <c r="L7458" t="s">
        <v>285</v>
      </c>
      <c r="M7458" t="str">
        <f t="shared" si="551"/>
        <v>07</v>
      </c>
      <c r="N7458" t="s">
        <v>12</v>
      </c>
    </row>
    <row r="7459" spans="1:14" x14ac:dyDescent="0.25">
      <c r="A7459">
        <v>20160729</v>
      </c>
      <c r="B7459" t="str">
        <f t="shared" ref="B7459:B7475" si="554">"064203"</f>
        <v>064203</v>
      </c>
      <c r="C7459" t="str">
        <f t="shared" ref="C7459:C7475" si="555">"09170"</f>
        <v>09170</v>
      </c>
      <c r="D7459" t="s">
        <v>596</v>
      </c>
      <c r="E7459" s="3">
        <v>6.66</v>
      </c>
      <c r="F7459">
        <v>20160727</v>
      </c>
      <c r="G7459" t="s">
        <v>1854</v>
      </c>
      <c r="H7459" t="s">
        <v>6052</v>
      </c>
      <c r="I7459">
        <v>0</v>
      </c>
      <c r="J7459" t="s">
        <v>1709</v>
      </c>
      <c r="K7459" t="s">
        <v>1856</v>
      </c>
      <c r="L7459" t="s">
        <v>285</v>
      </c>
      <c r="M7459" t="str">
        <f t="shared" si="551"/>
        <v>07</v>
      </c>
      <c r="N7459" t="s">
        <v>12</v>
      </c>
    </row>
    <row r="7460" spans="1:14" x14ac:dyDescent="0.25">
      <c r="A7460">
        <v>20160729</v>
      </c>
      <c r="B7460" t="str">
        <f t="shared" si="554"/>
        <v>064203</v>
      </c>
      <c r="C7460" t="str">
        <f t="shared" si="555"/>
        <v>09170</v>
      </c>
      <c r="D7460" t="s">
        <v>596</v>
      </c>
      <c r="E7460" s="3">
        <v>283.75</v>
      </c>
      <c r="F7460">
        <v>20160727</v>
      </c>
      <c r="G7460" t="s">
        <v>1854</v>
      </c>
      <c r="H7460" t="s">
        <v>6052</v>
      </c>
      <c r="I7460">
        <v>0</v>
      </c>
      <c r="J7460" t="s">
        <v>1709</v>
      </c>
      <c r="K7460" t="s">
        <v>1856</v>
      </c>
      <c r="L7460" t="s">
        <v>285</v>
      </c>
      <c r="M7460" t="str">
        <f t="shared" si="551"/>
        <v>07</v>
      </c>
      <c r="N7460" t="s">
        <v>12</v>
      </c>
    </row>
    <row r="7461" spans="1:14" x14ac:dyDescent="0.25">
      <c r="A7461">
        <v>20160729</v>
      </c>
      <c r="B7461" t="str">
        <f t="shared" si="554"/>
        <v>064203</v>
      </c>
      <c r="C7461" t="str">
        <f t="shared" si="555"/>
        <v>09170</v>
      </c>
      <c r="D7461" t="s">
        <v>596</v>
      </c>
      <c r="E7461" s="3">
        <v>9.51</v>
      </c>
      <c r="F7461">
        <v>20160727</v>
      </c>
      <c r="G7461" t="s">
        <v>1854</v>
      </c>
      <c r="H7461" t="s">
        <v>6052</v>
      </c>
      <c r="I7461">
        <v>0</v>
      </c>
      <c r="J7461" t="s">
        <v>1709</v>
      </c>
      <c r="K7461" t="s">
        <v>1856</v>
      </c>
      <c r="L7461" t="s">
        <v>285</v>
      </c>
      <c r="M7461" t="str">
        <f t="shared" si="551"/>
        <v>07</v>
      </c>
      <c r="N7461" t="s">
        <v>12</v>
      </c>
    </row>
    <row r="7462" spans="1:14" x14ac:dyDescent="0.25">
      <c r="A7462">
        <v>20160729</v>
      </c>
      <c r="B7462" t="str">
        <f t="shared" si="554"/>
        <v>064203</v>
      </c>
      <c r="C7462" t="str">
        <f t="shared" si="555"/>
        <v>09170</v>
      </c>
      <c r="D7462" t="s">
        <v>596</v>
      </c>
      <c r="E7462" s="3">
        <v>405</v>
      </c>
      <c r="F7462">
        <v>20160727</v>
      </c>
      <c r="G7462" t="s">
        <v>1854</v>
      </c>
      <c r="H7462" t="s">
        <v>6052</v>
      </c>
      <c r="I7462">
        <v>0</v>
      </c>
      <c r="J7462" t="s">
        <v>1709</v>
      </c>
      <c r="K7462" t="s">
        <v>1856</v>
      </c>
      <c r="L7462" t="s">
        <v>285</v>
      </c>
      <c r="M7462" t="str">
        <f t="shared" si="551"/>
        <v>07</v>
      </c>
      <c r="N7462" t="s">
        <v>12</v>
      </c>
    </row>
    <row r="7463" spans="1:14" x14ac:dyDescent="0.25">
      <c r="A7463">
        <v>20160729</v>
      </c>
      <c r="B7463" t="str">
        <f t="shared" si="554"/>
        <v>064203</v>
      </c>
      <c r="C7463" t="str">
        <f t="shared" si="555"/>
        <v>09170</v>
      </c>
      <c r="D7463" t="s">
        <v>596</v>
      </c>
      <c r="E7463" s="3">
        <v>168.82</v>
      </c>
      <c r="F7463">
        <v>20160727</v>
      </c>
      <c r="G7463" t="s">
        <v>2360</v>
      </c>
      <c r="H7463" t="s">
        <v>2295</v>
      </c>
      <c r="I7463">
        <v>0</v>
      </c>
      <c r="J7463" t="s">
        <v>1709</v>
      </c>
      <c r="K7463" t="s">
        <v>1856</v>
      </c>
      <c r="L7463" t="s">
        <v>285</v>
      </c>
      <c r="M7463" t="str">
        <f t="shared" si="551"/>
        <v>07</v>
      </c>
      <c r="N7463" t="s">
        <v>12</v>
      </c>
    </row>
    <row r="7464" spans="1:14" x14ac:dyDescent="0.25">
      <c r="A7464">
        <v>20160729</v>
      </c>
      <c r="B7464" t="str">
        <f t="shared" si="554"/>
        <v>064203</v>
      </c>
      <c r="C7464" t="str">
        <f t="shared" si="555"/>
        <v>09170</v>
      </c>
      <c r="D7464" t="s">
        <v>596</v>
      </c>
      <c r="E7464" s="3">
        <v>110</v>
      </c>
      <c r="F7464">
        <v>20160727</v>
      </c>
      <c r="G7464" t="s">
        <v>3834</v>
      </c>
      <c r="H7464" t="s">
        <v>5953</v>
      </c>
      <c r="I7464">
        <v>0</v>
      </c>
      <c r="J7464" t="s">
        <v>1709</v>
      </c>
      <c r="K7464" t="s">
        <v>95</v>
      </c>
      <c r="L7464" t="s">
        <v>285</v>
      </c>
      <c r="M7464" t="str">
        <f t="shared" si="551"/>
        <v>07</v>
      </c>
      <c r="N7464" t="s">
        <v>12</v>
      </c>
    </row>
    <row r="7465" spans="1:14" x14ac:dyDescent="0.25">
      <c r="A7465">
        <v>20160729</v>
      </c>
      <c r="B7465" t="str">
        <f t="shared" si="554"/>
        <v>064203</v>
      </c>
      <c r="C7465" t="str">
        <f t="shared" si="555"/>
        <v>09170</v>
      </c>
      <c r="D7465" t="s">
        <v>596</v>
      </c>
      <c r="E7465" s="3">
        <v>25</v>
      </c>
      <c r="F7465">
        <v>20160727</v>
      </c>
      <c r="G7465" t="s">
        <v>4159</v>
      </c>
      <c r="H7465" t="s">
        <v>6053</v>
      </c>
      <c r="I7465">
        <v>0</v>
      </c>
      <c r="J7465" t="s">
        <v>1709</v>
      </c>
      <c r="K7465" t="s">
        <v>290</v>
      </c>
      <c r="L7465" t="s">
        <v>285</v>
      </c>
      <c r="M7465" t="str">
        <f t="shared" si="551"/>
        <v>07</v>
      </c>
      <c r="N7465" t="s">
        <v>12</v>
      </c>
    </row>
    <row r="7466" spans="1:14" x14ac:dyDescent="0.25">
      <c r="A7466">
        <v>20160729</v>
      </c>
      <c r="B7466" t="str">
        <f t="shared" si="554"/>
        <v>064203</v>
      </c>
      <c r="C7466" t="str">
        <f t="shared" si="555"/>
        <v>09170</v>
      </c>
      <c r="D7466" t="s">
        <v>596</v>
      </c>
      <c r="E7466" s="3">
        <v>46.75</v>
      </c>
      <c r="F7466">
        <v>20160727</v>
      </c>
      <c r="G7466" t="s">
        <v>2424</v>
      </c>
      <c r="H7466" t="s">
        <v>6054</v>
      </c>
      <c r="I7466">
        <v>0</v>
      </c>
      <c r="J7466" t="s">
        <v>1709</v>
      </c>
      <c r="K7466" t="s">
        <v>1775</v>
      </c>
      <c r="L7466" t="s">
        <v>285</v>
      </c>
      <c r="M7466" t="str">
        <f t="shared" si="551"/>
        <v>07</v>
      </c>
      <c r="N7466" t="s">
        <v>12</v>
      </c>
    </row>
    <row r="7467" spans="1:14" x14ac:dyDescent="0.25">
      <c r="A7467">
        <v>20160729</v>
      </c>
      <c r="B7467" t="str">
        <f t="shared" si="554"/>
        <v>064203</v>
      </c>
      <c r="C7467" t="str">
        <f t="shared" si="555"/>
        <v>09170</v>
      </c>
      <c r="D7467" t="s">
        <v>596</v>
      </c>
      <c r="E7467" s="3">
        <v>95.53</v>
      </c>
      <c r="F7467">
        <v>20160727</v>
      </c>
      <c r="G7467" t="s">
        <v>2416</v>
      </c>
      <c r="H7467" t="s">
        <v>6055</v>
      </c>
      <c r="I7467">
        <v>0</v>
      </c>
      <c r="J7467" t="s">
        <v>1709</v>
      </c>
      <c r="K7467" t="s">
        <v>1744</v>
      </c>
      <c r="L7467" t="s">
        <v>285</v>
      </c>
      <c r="M7467" t="str">
        <f t="shared" si="551"/>
        <v>07</v>
      </c>
      <c r="N7467" t="s">
        <v>12</v>
      </c>
    </row>
    <row r="7468" spans="1:14" x14ac:dyDescent="0.25">
      <c r="A7468">
        <v>20160729</v>
      </c>
      <c r="B7468" t="str">
        <f t="shared" si="554"/>
        <v>064203</v>
      </c>
      <c r="C7468" t="str">
        <f t="shared" si="555"/>
        <v>09170</v>
      </c>
      <c r="D7468" t="s">
        <v>596</v>
      </c>
      <c r="E7468" s="3">
        <v>48.72</v>
      </c>
      <c r="F7468">
        <v>20160727</v>
      </c>
      <c r="G7468" t="s">
        <v>2416</v>
      </c>
      <c r="H7468" t="s">
        <v>6055</v>
      </c>
      <c r="I7468">
        <v>0</v>
      </c>
      <c r="J7468" t="s">
        <v>1709</v>
      </c>
      <c r="K7468" t="s">
        <v>1744</v>
      </c>
      <c r="L7468" t="s">
        <v>285</v>
      </c>
      <c r="M7468" t="str">
        <f t="shared" si="551"/>
        <v>07</v>
      </c>
      <c r="N7468" t="s">
        <v>12</v>
      </c>
    </row>
    <row r="7469" spans="1:14" x14ac:dyDescent="0.25">
      <c r="A7469">
        <v>20160729</v>
      </c>
      <c r="B7469" t="str">
        <f t="shared" si="554"/>
        <v>064203</v>
      </c>
      <c r="C7469" t="str">
        <f t="shared" si="555"/>
        <v>09170</v>
      </c>
      <c r="D7469" t="s">
        <v>596</v>
      </c>
      <c r="E7469" s="3">
        <v>133.11000000000001</v>
      </c>
      <c r="F7469">
        <v>20160727</v>
      </c>
      <c r="G7469" t="s">
        <v>2416</v>
      </c>
      <c r="H7469" t="s">
        <v>6055</v>
      </c>
      <c r="I7469">
        <v>0</v>
      </c>
      <c r="J7469" t="s">
        <v>1709</v>
      </c>
      <c r="K7469" t="s">
        <v>1744</v>
      </c>
      <c r="L7469" t="s">
        <v>285</v>
      </c>
      <c r="M7469" t="str">
        <f t="shared" si="551"/>
        <v>07</v>
      </c>
      <c r="N7469" t="s">
        <v>12</v>
      </c>
    </row>
    <row r="7470" spans="1:14" x14ac:dyDescent="0.25">
      <c r="A7470">
        <v>20160729</v>
      </c>
      <c r="B7470" t="str">
        <f t="shared" si="554"/>
        <v>064203</v>
      </c>
      <c r="C7470" t="str">
        <f t="shared" si="555"/>
        <v>09170</v>
      </c>
      <c r="D7470" t="s">
        <v>596</v>
      </c>
      <c r="E7470" s="3">
        <v>525.79999999999995</v>
      </c>
      <c r="F7470">
        <v>20160727</v>
      </c>
      <c r="G7470" t="s">
        <v>5154</v>
      </c>
      <c r="H7470" t="s">
        <v>5860</v>
      </c>
      <c r="I7470">
        <v>0</v>
      </c>
      <c r="J7470" t="s">
        <v>1709</v>
      </c>
      <c r="K7470" t="s">
        <v>1775</v>
      </c>
      <c r="L7470" t="s">
        <v>285</v>
      </c>
      <c r="M7470" t="str">
        <f t="shared" si="551"/>
        <v>07</v>
      </c>
      <c r="N7470" t="s">
        <v>12</v>
      </c>
    </row>
    <row r="7471" spans="1:14" x14ac:dyDescent="0.25">
      <c r="A7471">
        <v>20160729</v>
      </c>
      <c r="B7471" t="str">
        <f t="shared" si="554"/>
        <v>064203</v>
      </c>
      <c r="C7471" t="str">
        <f t="shared" si="555"/>
        <v>09170</v>
      </c>
      <c r="D7471" t="s">
        <v>596</v>
      </c>
      <c r="E7471" s="3">
        <v>187</v>
      </c>
      <c r="F7471">
        <v>20160727</v>
      </c>
      <c r="G7471" t="s">
        <v>5154</v>
      </c>
      <c r="H7471" t="s">
        <v>5860</v>
      </c>
      <c r="I7471">
        <v>0</v>
      </c>
      <c r="J7471" t="s">
        <v>1709</v>
      </c>
      <c r="K7471" t="s">
        <v>1775</v>
      </c>
      <c r="L7471" t="s">
        <v>285</v>
      </c>
      <c r="M7471" t="str">
        <f t="shared" si="551"/>
        <v>07</v>
      </c>
      <c r="N7471" t="s">
        <v>12</v>
      </c>
    </row>
    <row r="7472" spans="1:14" x14ac:dyDescent="0.25">
      <c r="A7472">
        <v>20160729</v>
      </c>
      <c r="B7472" t="str">
        <f t="shared" si="554"/>
        <v>064203</v>
      </c>
      <c r="C7472" t="str">
        <f t="shared" si="555"/>
        <v>09170</v>
      </c>
      <c r="D7472" t="s">
        <v>596</v>
      </c>
      <c r="E7472" s="3">
        <v>89</v>
      </c>
      <c r="F7472">
        <v>20160727</v>
      </c>
      <c r="G7472" t="s">
        <v>6056</v>
      </c>
      <c r="H7472" t="s">
        <v>6057</v>
      </c>
      <c r="I7472">
        <v>0</v>
      </c>
      <c r="J7472" t="s">
        <v>1709</v>
      </c>
      <c r="K7472" t="s">
        <v>1942</v>
      </c>
      <c r="L7472" t="s">
        <v>285</v>
      </c>
      <c r="M7472" t="str">
        <f t="shared" si="551"/>
        <v>07</v>
      </c>
      <c r="N7472" t="s">
        <v>12</v>
      </c>
    </row>
    <row r="7473" spans="1:14" x14ac:dyDescent="0.25">
      <c r="A7473">
        <v>20160729</v>
      </c>
      <c r="B7473" t="str">
        <f t="shared" si="554"/>
        <v>064203</v>
      </c>
      <c r="C7473" t="str">
        <f t="shared" si="555"/>
        <v>09170</v>
      </c>
      <c r="D7473" t="s">
        <v>596</v>
      </c>
      <c r="E7473" s="3">
        <v>13.7</v>
      </c>
      <c r="F7473">
        <v>20160727</v>
      </c>
      <c r="G7473" t="s">
        <v>6056</v>
      </c>
      <c r="H7473" t="s">
        <v>6058</v>
      </c>
      <c r="I7473">
        <v>0</v>
      </c>
      <c r="J7473" t="s">
        <v>1709</v>
      </c>
      <c r="K7473" t="s">
        <v>1942</v>
      </c>
      <c r="L7473" t="s">
        <v>285</v>
      </c>
      <c r="M7473" t="str">
        <f t="shared" si="551"/>
        <v>07</v>
      </c>
      <c r="N7473" t="s">
        <v>12</v>
      </c>
    </row>
    <row r="7474" spans="1:14" x14ac:dyDescent="0.25">
      <c r="A7474">
        <v>20160729</v>
      </c>
      <c r="B7474" t="str">
        <f t="shared" si="554"/>
        <v>064203</v>
      </c>
      <c r="C7474" t="str">
        <f t="shared" si="555"/>
        <v>09170</v>
      </c>
      <c r="D7474" t="s">
        <v>596</v>
      </c>
      <c r="E7474" s="3">
        <v>500</v>
      </c>
      <c r="F7474">
        <v>20160727</v>
      </c>
      <c r="G7474" t="s">
        <v>2281</v>
      </c>
      <c r="H7474" t="s">
        <v>6059</v>
      </c>
      <c r="I7474">
        <v>0</v>
      </c>
      <c r="J7474" t="s">
        <v>1709</v>
      </c>
      <c r="K7474" t="s">
        <v>290</v>
      </c>
      <c r="L7474" t="s">
        <v>285</v>
      </c>
      <c r="M7474" t="str">
        <f t="shared" si="551"/>
        <v>07</v>
      </c>
      <c r="N7474" t="s">
        <v>12</v>
      </c>
    </row>
    <row r="7475" spans="1:14" x14ac:dyDescent="0.25">
      <c r="A7475">
        <v>20160729</v>
      </c>
      <c r="B7475" t="str">
        <f t="shared" si="554"/>
        <v>064203</v>
      </c>
      <c r="C7475" t="str">
        <f t="shared" si="555"/>
        <v>09170</v>
      </c>
      <c r="D7475" t="s">
        <v>596</v>
      </c>
      <c r="E7475" s="3">
        <v>649.9</v>
      </c>
      <c r="F7475">
        <v>20160727</v>
      </c>
      <c r="G7475" t="s">
        <v>2074</v>
      </c>
      <c r="H7475" t="s">
        <v>2064</v>
      </c>
      <c r="I7475">
        <v>0</v>
      </c>
      <c r="J7475" t="s">
        <v>1709</v>
      </c>
      <c r="K7475" t="s">
        <v>1861</v>
      </c>
      <c r="L7475" t="s">
        <v>285</v>
      </c>
      <c r="M7475" t="str">
        <f t="shared" si="551"/>
        <v>07</v>
      </c>
      <c r="N7475" t="s">
        <v>12</v>
      </c>
    </row>
    <row r="7476" spans="1:14" x14ac:dyDescent="0.25">
      <c r="A7476">
        <v>20160729</v>
      </c>
      <c r="B7476" t="str">
        <f>"064205"</f>
        <v>064205</v>
      </c>
      <c r="C7476" t="str">
        <f>"11759"</f>
        <v>11759</v>
      </c>
      <c r="D7476" t="s">
        <v>2089</v>
      </c>
      <c r="E7476" s="3">
        <v>627.36</v>
      </c>
      <c r="F7476">
        <v>20160727</v>
      </c>
      <c r="G7476" t="s">
        <v>2123</v>
      </c>
      <c r="H7476" t="s">
        <v>6060</v>
      </c>
      <c r="I7476">
        <v>0</v>
      </c>
      <c r="J7476" t="s">
        <v>1709</v>
      </c>
      <c r="K7476" t="s">
        <v>33</v>
      </c>
      <c r="L7476" t="s">
        <v>285</v>
      </c>
      <c r="M7476" t="str">
        <f t="shared" si="551"/>
        <v>07</v>
      </c>
      <c r="N7476" t="s">
        <v>12</v>
      </c>
    </row>
    <row r="7477" spans="1:14" x14ac:dyDescent="0.25">
      <c r="A7477">
        <v>20160729</v>
      </c>
      <c r="B7477" t="str">
        <f>"064205"</f>
        <v>064205</v>
      </c>
      <c r="C7477" t="str">
        <f>"11759"</f>
        <v>11759</v>
      </c>
      <c r="D7477" t="s">
        <v>2089</v>
      </c>
      <c r="E7477" s="3">
        <v>573.78</v>
      </c>
      <c r="F7477">
        <v>20160727</v>
      </c>
      <c r="G7477" t="s">
        <v>2090</v>
      </c>
      <c r="H7477" t="s">
        <v>6060</v>
      </c>
      <c r="I7477">
        <v>0</v>
      </c>
      <c r="J7477" t="s">
        <v>1709</v>
      </c>
      <c r="K7477" t="s">
        <v>33</v>
      </c>
      <c r="L7477" t="s">
        <v>285</v>
      </c>
      <c r="M7477" t="str">
        <f t="shared" si="551"/>
        <v>07</v>
      </c>
      <c r="N7477" t="s">
        <v>12</v>
      </c>
    </row>
    <row r="7478" spans="1:14" x14ac:dyDescent="0.25">
      <c r="A7478">
        <v>20160729</v>
      </c>
      <c r="B7478" t="str">
        <f>"064207"</f>
        <v>064207</v>
      </c>
      <c r="C7478" t="str">
        <f>"14821"</f>
        <v>14821</v>
      </c>
      <c r="D7478" t="s">
        <v>2461</v>
      </c>
      <c r="E7478" s="3">
        <v>435.28</v>
      </c>
      <c r="F7478">
        <v>20160727</v>
      </c>
      <c r="G7478" t="s">
        <v>2303</v>
      </c>
      <c r="H7478" t="s">
        <v>6061</v>
      </c>
      <c r="I7478">
        <v>0</v>
      </c>
      <c r="J7478" t="s">
        <v>1709</v>
      </c>
      <c r="K7478" t="s">
        <v>235</v>
      </c>
      <c r="L7478" t="s">
        <v>285</v>
      </c>
      <c r="M7478" t="str">
        <f t="shared" ref="M7478:M7529" si="556">"07"</f>
        <v>07</v>
      </c>
      <c r="N7478" t="s">
        <v>12</v>
      </c>
    </row>
    <row r="7479" spans="1:14" x14ac:dyDescent="0.25">
      <c r="A7479">
        <v>20160729</v>
      </c>
      <c r="B7479" t="str">
        <f>"064207"</f>
        <v>064207</v>
      </c>
      <c r="C7479" t="str">
        <f>"14821"</f>
        <v>14821</v>
      </c>
      <c r="D7479" t="s">
        <v>2461</v>
      </c>
      <c r="E7479" s="3">
        <v>1479</v>
      </c>
      <c r="F7479">
        <v>20160727</v>
      </c>
      <c r="G7479" t="s">
        <v>6062</v>
      </c>
      <c r="H7479" t="s">
        <v>5821</v>
      </c>
      <c r="I7479">
        <v>0</v>
      </c>
      <c r="J7479" t="s">
        <v>1709</v>
      </c>
      <c r="K7479" t="s">
        <v>290</v>
      </c>
      <c r="L7479" t="s">
        <v>285</v>
      </c>
      <c r="M7479" t="str">
        <f t="shared" si="556"/>
        <v>07</v>
      </c>
      <c r="N7479" t="s">
        <v>12</v>
      </c>
    </row>
    <row r="7480" spans="1:14" x14ac:dyDescent="0.25">
      <c r="A7480">
        <v>20160729</v>
      </c>
      <c r="B7480" t="str">
        <f>"064208"</f>
        <v>064208</v>
      </c>
      <c r="C7480" t="str">
        <f>"19425"</f>
        <v>19425</v>
      </c>
      <c r="D7480" t="s">
        <v>2631</v>
      </c>
      <c r="E7480" s="3">
        <v>2268.75</v>
      </c>
      <c r="F7480">
        <v>20160728</v>
      </c>
      <c r="G7480" t="s">
        <v>2360</v>
      </c>
      <c r="H7480" t="s">
        <v>2632</v>
      </c>
      <c r="I7480">
        <v>0</v>
      </c>
      <c r="J7480" t="s">
        <v>1709</v>
      </c>
      <c r="K7480" t="s">
        <v>1856</v>
      </c>
      <c r="L7480" t="s">
        <v>285</v>
      </c>
      <c r="M7480" t="str">
        <f t="shared" si="556"/>
        <v>07</v>
      </c>
      <c r="N7480" t="s">
        <v>12</v>
      </c>
    </row>
    <row r="7481" spans="1:14" x14ac:dyDescent="0.25">
      <c r="A7481">
        <v>20160729</v>
      </c>
      <c r="B7481" t="str">
        <f>"064208"</f>
        <v>064208</v>
      </c>
      <c r="C7481" t="str">
        <f>"19425"</f>
        <v>19425</v>
      </c>
      <c r="D7481" t="s">
        <v>2631</v>
      </c>
      <c r="E7481" s="3">
        <v>-962.65</v>
      </c>
      <c r="F7481">
        <v>20160726</v>
      </c>
      <c r="G7481" t="s">
        <v>2360</v>
      </c>
      <c r="H7481" t="s">
        <v>6063</v>
      </c>
      <c r="I7481">
        <v>0</v>
      </c>
      <c r="J7481" t="s">
        <v>1709</v>
      </c>
      <c r="K7481" t="s">
        <v>1856</v>
      </c>
      <c r="L7481" t="s">
        <v>1385</v>
      </c>
      <c r="M7481" t="str">
        <f t="shared" si="556"/>
        <v>07</v>
      </c>
      <c r="N7481" t="s">
        <v>12</v>
      </c>
    </row>
    <row r="7482" spans="1:14" x14ac:dyDescent="0.25">
      <c r="A7482">
        <v>20160729</v>
      </c>
      <c r="B7482" t="str">
        <f>"064209"</f>
        <v>064209</v>
      </c>
      <c r="C7482" t="str">
        <f>"25144"</f>
        <v>25144</v>
      </c>
      <c r="D7482" t="s">
        <v>3437</v>
      </c>
      <c r="E7482" s="3">
        <v>6055.4</v>
      </c>
      <c r="F7482">
        <v>20160727</v>
      </c>
      <c r="G7482" t="s">
        <v>2635</v>
      </c>
      <c r="H7482" t="s">
        <v>6064</v>
      </c>
      <c r="I7482">
        <v>0</v>
      </c>
      <c r="J7482" t="s">
        <v>1709</v>
      </c>
      <c r="K7482" t="s">
        <v>290</v>
      </c>
      <c r="L7482" t="s">
        <v>285</v>
      </c>
      <c r="M7482" t="str">
        <f t="shared" si="556"/>
        <v>07</v>
      </c>
      <c r="N7482" t="s">
        <v>12</v>
      </c>
    </row>
    <row r="7483" spans="1:14" x14ac:dyDescent="0.25">
      <c r="A7483">
        <v>20160729</v>
      </c>
      <c r="B7483" t="str">
        <f>"064210"</f>
        <v>064210</v>
      </c>
      <c r="C7483" t="str">
        <f>"25165"</f>
        <v>25165</v>
      </c>
      <c r="D7483" t="s">
        <v>1563</v>
      </c>
      <c r="E7483" s="3">
        <v>68.790000000000006</v>
      </c>
      <c r="F7483">
        <v>20160727</v>
      </c>
      <c r="G7483" t="s">
        <v>2720</v>
      </c>
      <c r="H7483" t="s">
        <v>6065</v>
      </c>
      <c r="I7483">
        <v>0</v>
      </c>
      <c r="J7483" t="s">
        <v>1709</v>
      </c>
      <c r="K7483" t="s">
        <v>2194</v>
      </c>
      <c r="L7483" t="s">
        <v>285</v>
      </c>
      <c r="M7483" t="str">
        <f t="shared" si="556"/>
        <v>07</v>
      </c>
      <c r="N7483" t="s">
        <v>12</v>
      </c>
    </row>
    <row r="7484" spans="1:14" x14ac:dyDescent="0.25">
      <c r="A7484">
        <v>20160729</v>
      </c>
      <c r="B7484" t="str">
        <f>"064211"</f>
        <v>064211</v>
      </c>
      <c r="C7484" t="str">
        <f>"77113"</f>
        <v>77113</v>
      </c>
      <c r="D7484" t="s">
        <v>3679</v>
      </c>
      <c r="E7484" s="3">
        <v>47.82</v>
      </c>
      <c r="F7484">
        <v>20160727</v>
      </c>
      <c r="G7484" t="s">
        <v>3680</v>
      </c>
      <c r="H7484" t="s">
        <v>5172</v>
      </c>
      <c r="I7484">
        <v>0</v>
      </c>
      <c r="J7484" t="s">
        <v>1709</v>
      </c>
      <c r="K7484" t="s">
        <v>1984</v>
      </c>
      <c r="L7484" t="s">
        <v>285</v>
      </c>
      <c r="M7484" t="str">
        <f t="shared" si="556"/>
        <v>07</v>
      </c>
      <c r="N7484" t="s">
        <v>12</v>
      </c>
    </row>
    <row r="7485" spans="1:14" x14ac:dyDescent="0.25">
      <c r="A7485">
        <v>20160729</v>
      </c>
      <c r="B7485" t="str">
        <f>"064212"</f>
        <v>064212</v>
      </c>
      <c r="C7485" t="str">
        <f>"54555"</f>
        <v>54555</v>
      </c>
      <c r="D7485" t="s">
        <v>2104</v>
      </c>
      <c r="E7485" s="3">
        <v>174</v>
      </c>
      <c r="F7485">
        <v>20160728</v>
      </c>
      <c r="G7485" t="s">
        <v>1765</v>
      </c>
      <c r="H7485" t="s">
        <v>6066</v>
      </c>
      <c r="I7485">
        <v>0</v>
      </c>
      <c r="J7485" t="s">
        <v>1709</v>
      </c>
      <c r="K7485" t="s">
        <v>1744</v>
      </c>
      <c r="L7485" t="s">
        <v>285</v>
      </c>
      <c r="M7485" t="str">
        <f t="shared" si="556"/>
        <v>07</v>
      </c>
      <c r="N7485" t="s">
        <v>12</v>
      </c>
    </row>
    <row r="7486" spans="1:14" x14ac:dyDescent="0.25">
      <c r="A7486">
        <v>20160729</v>
      </c>
      <c r="B7486" t="str">
        <f>"064213"</f>
        <v>064213</v>
      </c>
      <c r="C7486" t="str">
        <f>"28688"</f>
        <v>28688</v>
      </c>
      <c r="D7486" t="s">
        <v>6067</v>
      </c>
      <c r="E7486" s="3">
        <v>5680</v>
      </c>
      <c r="F7486">
        <v>20160728</v>
      </c>
      <c r="G7486" t="s">
        <v>2279</v>
      </c>
      <c r="H7486" t="s">
        <v>6068</v>
      </c>
      <c r="I7486">
        <v>0</v>
      </c>
      <c r="J7486" t="s">
        <v>1709</v>
      </c>
      <c r="K7486" t="s">
        <v>1861</v>
      </c>
      <c r="L7486" t="s">
        <v>285</v>
      </c>
      <c r="M7486" t="str">
        <f t="shared" si="556"/>
        <v>07</v>
      </c>
      <c r="N7486" t="s">
        <v>12</v>
      </c>
    </row>
    <row r="7487" spans="1:14" x14ac:dyDescent="0.25">
      <c r="A7487">
        <v>20160729</v>
      </c>
      <c r="B7487" t="str">
        <f>"064214"</f>
        <v>064214</v>
      </c>
      <c r="C7487" t="str">
        <f>"28718"</f>
        <v>28718</v>
      </c>
      <c r="D7487" t="s">
        <v>5175</v>
      </c>
      <c r="E7487" s="3">
        <v>1800</v>
      </c>
      <c r="F7487">
        <v>20160728</v>
      </c>
      <c r="G7487" t="s">
        <v>2192</v>
      </c>
      <c r="H7487" t="s">
        <v>6069</v>
      </c>
      <c r="I7487">
        <v>0</v>
      </c>
      <c r="J7487" t="s">
        <v>1709</v>
      </c>
      <c r="K7487" t="s">
        <v>2194</v>
      </c>
      <c r="L7487" t="s">
        <v>285</v>
      </c>
      <c r="M7487" t="str">
        <f t="shared" si="556"/>
        <v>07</v>
      </c>
      <c r="N7487" t="s">
        <v>12</v>
      </c>
    </row>
    <row r="7488" spans="1:14" x14ac:dyDescent="0.25">
      <c r="A7488">
        <v>20160729</v>
      </c>
      <c r="B7488" t="str">
        <f>"064215"</f>
        <v>064215</v>
      </c>
      <c r="C7488" t="str">
        <f>"29548"</f>
        <v>29548</v>
      </c>
      <c r="D7488" t="s">
        <v>1862</v>
      </c>
      <c r="E7488" s="3">
        <v>161.82</v>
      </c>
      <c r="F7488">
        <v>20160728</v>
      </c>
      <c r="G7488" t="s">
        <v>1859</v>
      </c>
      <c r="H7488" t="s">
        <v>5742</v>
      </c>
      <c r="I7488">
        <v>0</v>
      </c>
      <c r="J7488" t="s">
        <v>1709</v>
      </c>
      <c r="K7488" t="s">
        <v>1861</v>
      </c>
      <c r="L7488" t="s">
        <v>285</v>
      </c>
      <c r="M7488" t="str">
        <f t="shared" si="556"/>
        <v>07</v>
      </c>
      <c r="N7488" t="s">
        <v>12</v>
      </c>
    </row>
    <row r="7489" spans="1:14" x14ac:dyDescent="0.25">
      <c r="A7489">
        <v>20160729</v>
      </c>
      <c r="B7489" t="str">
        <f>"064220"</f>
        <v>064220</v>
      </c>
      <c r="C7489" t="str">
        <f>"43571"</f>
        <v>43571</v>
      </c>
      <c r="D7489" t="s">
        <v>6070</v>
      </c>
      <c r="E7489" s="3">
        <v>250</v>
      </c>
      <c r="F7489">
        <v>20160728</v>
      </c>
      <c r="G7489" t="s">
        <v>6071</v>
      </c>
      <c r="H7489" t="s">
        <v>6072</v>
      </c>
      <c r="I7489">
        <v>0</v>
      </c>
      <c r="J7489" t="s">
        <v>1709</v>
      </c>
      <c r="K7489" t="s">
        <v>290</v>
      </c>
      <c r="L7489" t="s">
        <v>285</v>
      </c>
      <c r="M7489" t="str">
        <f t="shared" si="556"/>
        <v>07</v>
      </c>
      <c r="N7489" t="s">
        <v>12</v>
      </c>
    </row>
    <row r="7490" spans="1:14" x14ac:dyDescent="0.25">
      <c r="A7490">
        <v>20160729</v>
      </c>
      <c r="B7490" t="str">
        <f>"064220"</f>
        <v>064220</v>
      </c>
      <c r="C7490" t="str">
        <f>"43571"</f>
        <v>43571</v>
      </c>
      <c r="D7490" t="s">
        <v>6070</v>
      </c>
      <c r="E7490" s="3">
        <v>200</v>
      </c>
      <c r="F7490">
        <v>20160728</v>
      </c>
      <c r="G7490" t="s">
        <v>6073</v>
      </c>
      <c r="H7490" t="s">
        <v>6072</v>
      </c>
      <c r="I7490">
        <v>0</v>
      </c>
      <c r="J7490" t="s">
        <v>1709</v>
      </c>
      <c r="K7490" t="s">
        <v>95</v>
      </c>
      <c r="L7490" t="s">
        <v>285</v>
      </c>
      <c r="M7490" t="str">
        <f t="shared" si="556"/>
        <v>07</v>
      </c>
      <c r="N7490" t="s">
        <v>12</v>
      </c>
    </row>
    <row r="7491" spans="1:14" x14ac:dyDescent="0.25">
      <c r="A7491">
        <v>20160729</v>
      </c>
      <c r="B7491" t="str">
        <f>"064221"</f>
        <v>064221</v>
      </c>
      <c r="C7491" t="str">
        <f>"45492"</f>
        <v>45492</v>
      </c>
      <c r="D7491" t="s">
        <v>3241</v>
      </c>
      <c r="E7491" s="3">
        <v>1920</v>
      </c>
      <c r="F7491">
        <v>20160728</v>
      </c>
      <c r="G7491" t="s">
        <v>1859</v>
      </c>
      <c r="H7491" t="s">
        <v>6074</v>
      </c>
      <c r="I7491">
        <v>0</v>
      </c>
      <c r="J7491" t="s">
        <v>1709</v>
      </c>
      <c r="K7491" t="s">
        <v>1861</v>
      </c>
      <c r="L7491" t="s">
        <v>285</v>
      </c>
      <c r="M7491" t="str">
        <f t="shared" si="556"/>
        <v>07</v>
      </c>
      <c r="N7491" t="s">
        <v>12</v>
      </c>
    </row>
    <row r="7492" spans="1:14" x14ac:dyDescent="0.25">
      <c r="A7492">
        <v>20160729</v>
      </c>
      <c r="B7492" t="str">
        <f>"064221"</f>
        <v>064221</v>
      </c>
      <c r="C7492" t="str">
        <f>"45492"</f>
        <v>45492</v>
      </c>
      <c r="D7492" t="s">
        <v>3241</v>
      </c>
      <c r="E7492" s="3">
        <v>136.54</v>
      </c>
      <c r="F7492">
        <v>20160728</v>
      </c>
      <c r="G7492" t="s">
        <v>1859</v>
      </c>
      <c r="H7492" t="s">
        <v>6075</v>
      </c>
      <c r="I7492">
        <v>0</v>
      </c>
      <c r="J7492" t="s">
        <v>1709</v>
      </c>
      <c r="K7492" t="s">
        <v>1861</v>
      </c>
      <c r="L7492" t="s">
        <v>285</v>
      </c>
      <c r="M7492" t="str">
        <f t="shared" si="556"/>
        <v>07</v>
      </c>
      <c r="N7492" t="s">
        <v>12</v>
      </c>
    </row>
    <row r="7493" spans="1:14" x14ac:dyDescent="0.25">
      <c r="A7493">
        <v>20160729</v>
      </c>
      <c r="B7493" t="str">
        <f>"064222"</f>
        <v>064222</v>
      </c>
      <c r="C7493" t="str">
        <f>"45668"</f>
        <v>45668</v>
      </c>
      <c r="D7493" t="s">
        <v>6076</v>
      </c>
      <c r="E7493" s="3">
        <v>8975.16</v>
      </c>
      <c r="F7493">
        <v>20160728</v>
      </c>
      <c r="G7493" t="s">
        <v>2983</v>
      </c>
      <c r="H7493" t="s">
        <v>6077</v>
      </c>
      <c r="I7493">
        <v>0</v>
      </c>
      <c r="J7493" t="s">
        <v>1709</v>
      </c>
      <c r="K7493" t="s">
        <v>290</v>
      </c>
      <c r="L7493" t="s">
        <v>285</v>
      </c>
      <c r="M7493" t="str">
        <f t="shared" si="556"/>
        <v>07</v>
      </c>
      <c r="N7493" t="s">
        <v>12</v>
      </c>
    </row>
    <row r="7494" spans="1:14" x14ac:dyDescent="0.25">
      <c r="A7494">
        <v>20160729</v>
      </c>
      <c r="B7494" t="str">
        <f>"064224"</f>
        <v>064224</v>
      </c>
      <c r="C7494" t="str">
        <f>"46369"</f>
        <v>46369</v>
      </c>
      <c r="D7494" t="s">
        <v>1991</v>
      </c>
      <c r="E7494" s="3">
        <v>1081</v>
      </c>
      <c r="F7494">
        <v>20160728</v>
      </c>
      <c r="G7494" t="s">
        <v>1992</v>
      </c>
      <c r="H7494" t="s">
        <v>6078</v>
      </c>
      <c r="I7494">
        <v>0</v>
      </c>
      <c r="J7494" t="s">
        <v>1709</v>
      </c>
      <c r="K7494" t="s">
        <v>1861</v>
      </c>
      <c r="L7494" t="s">
        <v>285</v>
      </c>
      <c r="M7494" t="str">
        <f t="shared" si="556"/>
        <v>07</v>
      </c>
      <c r="N7494" t="s">
        <v>12</v>
      </c>
    </row>
    <row r="7495" spans="1:14" x14ac:dyDescent="0.25">
      <c r="A7495">
        <v>20160729</v>
      </c>
      <c r="B7495" t="str">
        <f t="shared" ref="B7495:B7502" si="557">"064225"</f>
        <v>064225</v>
      </c>
      <c r="C7495" t="str">
        <f t="shared" ref="C7495:C7502" si="558">"46398"</f>
        <v>46398</v>
      </c>
      <c r="D7495" t="s">
        <v>1994</v>
      </c>
      <c r="E7495" s="3">
        <v>58.02</v>
      </c>
      <c r="F7495">
        <v>20160728</v>
      </c>
      <c r="G7495" t="s">
        <v>1995</v>
      </c>
      <c r="H7495" t="s">
        <v>6079</v>
      </c>
      <c r="I7495">
        <v>0</v>
      </c>
      <c r="J7495" t="s">
        <v>1709</v>
      </c>
      <c r="K7495" t="s">
        <v>235</v>
      </c>
      <c r="L7495" t="s">
        <v>285</v>
      </c>
      <c r="M7495" t="str">
        <f t="shared" si="556"/>
        <v>07</v>
      </c>
      <c r="N7495" t="s">
        <v>12</v>
      </c>
    </row>
    <row r="7496" spans="1:14" x14ac:dyDescent="0.25">
      <c r="A7496">
        <v>20160729</v>
      </c>
      <c r="B7496" t="str">
        <f t="shared" si="557"/>
        <v>064225</v>
      </c>
      <c r="C7496" t="str">
        <f t="shared" si="558"/>
        <v>46398</v>
      </c>
      <c r="D7496" t="s">
        <v>1994</v>
      </c>
      <c r="E7496" s="3">
        <v>30.36</v>
      </c>
      <c r="F7496">
        <v>20160728</v>
      </c>
      <c r="G7496" t="s">
        <v>1995</v>
      </c>
      <c r="H7496" t="s">
        <v>6080</v>
      </c>
      <c r="I7496">
        <v>0</v>
      </c>
      <c r="J7496" t="s">
        <v>1709</v>
      </c>
      <c r="K7496" t="s">
        <v>235</v>
      </c>
      <c r="L7496" t="s">
        <v>285</v>
      </c>
      <c r="M7496" t="str">
        <f t="shared" si="556"/>
        <v>07</v>
      </c>
      <c r="N7496" t="s">
        <v>12</v>
      </c>
    </row>
    <row r="7497" spans="1:14" x14ac:dyDescent="0.25">
      <c r="A7497">
        <v>20160729</v>
      </c>
      <c r="B7497" t="str">
        <f t="shared" si="557"/>
        <v>064225</v>
      </c>
      <c r="C7497" t="str">
        <f t="shared" si="558"/>
        <v>46398</v>
      </c>
      <c r="D7497" t="s">
        <v>1994</v>
      </c>
      <c r="E7497" s="3">
        <v>21.47</v>
      </c>
      <c r="F7497">
        <v>20160728</v>
      </c>
      <c r="G7497" t="s">
        <v>1995</v>
      </c>
      <c r="H7497" t="s">
        <v>4138</v>
      </c>
      <c r="I7497">
        <v>0</v>
      </c>
      <c r="J7497" t="s">
        <v>1709</v>
      </c>
      <c r="K7497" t="s">
        <v>235</v>
      </c>
      <c r="L7497" t="s">
        <v>285</v>
      </c>
      <c r="M7497" t="str">
        <f t="shared" si="556"/>
        <v>07</v>
      </c>
      <c r="N7497" t="s">
        <v>12</v>
      </c>
    </row>
    <row r="7498" spans="1:14" x14ac:dyDescent="0.25">
      <c r="A7498">
        <v>20160729</v>
      </c>
      <c r="B7498" t="str">
        <f t="shared" si="557"/>
        <v>064225</v>
      </c>
      <c r="C7498" t="str">
        <f t="shared" si="558"/>
        <v>46398</v>
      </c>
      <c r="D7498" t="s">
        <v>1994</v>
      </c>
      <c r="E7498" s="3">
        <v>21.47</v>
      </c>
      <c r="F7498">
        <v>20160728</v>
      </c>
      <c r="G7498" t="s">
        <v>1995</v>
      </c>
      <c r="H7498" t="s">
        <v>4709</v>
      </c>
      <c r="I7498">
        <v>0</v>
      </c>
      <c r="J7498" t="s">
        <v>1709</v>
      </c>
      <c r="K7498" t="s">
        <v>235</v>
      </c>
      <c r="L7498" t="s">
        <v>285</v>
      </c>
      <c r="M7498" t="str">
        <f t="shared" si="556"/>
        <v>07</v>
      </c>
      <c r="N7498" t="s">
        <v>12</v>
      </c>
    </row>
    <row r="7499" spans="1:14" x14ac:dyDescent="0.25">
      <c r="A7499">
        <v>20160729</v>
      </c>
      <c r="B7499" t="str">
        <f t="shared" si="557"/>
        <v>064225</v>
      </c>
      <c r="C7499" t="str">
        <f t="shared" si="558"/>
        <v>46398</v>
      </c>
      <c r="D7499" t="s">
        <v>1994</v>
      </c>
      <c r="E7499" s="3">
        <v>2002</v>
      </c>
      <c r="F7499">
        <v>20160728</v>
      </c>
      <c r="G7499" t="s">
        <v>1995</v>
      </c>
      <c r="H7499" t="s">
        <v>6081</v>
      </c>
      <c r="I7499">
        <v>0</v>
      </c>
      <c r="J7499" t="s">
        <v>1709</v>
      </c>
      <c r="K7499" t="s">
        <v>235</v>
      </c>
      <c r="L7499" t="s">
        <v>285</v>
      </c>
      <c r="M7499" t="str">
        <f t="shared" si="556"/>
        <v>07</v>
      </c>
      <c r="N7499" t="s">
        <v>12</v>
      </c>
    </row>
    <row r="7500" spans="1:14" x14ac:dyDescent="0.25">
      <c r="A7500">
        <v>20160729</v>
      </c>
      <c r="B7500" t="str">
        <f t="shared" si="557"/>
        <v>064225</v>
      </c>
      <c r="C7500" t="str">
        <f t="shared" si="558"/>
        <v>46398</v>
      </c>
      <c r="D7500" t="s">
        <v>1994</v>
      </c>
      <c r="E7500" s="3">
        <v>-1.58</v>
      </c>
      <c r="F7500">
        <v>20160728</v>
      </c>
      <c r="G7500" t="s">
        <v>1995</v>
      </c>
      <c r="H7500" t="s">
        <v>6082</v>
      </c>
      <c r="I7500">
        <v>0</v>
      </c>
      <c r="J7500" t="s">
        <v>1709</v>
      </c>
      <c r="K7500" t="s">
        <v>235</v>
      </c>
      <c r="L7500" t="s">
        <v>1385</v>
      </c>
      <c r="M7500" t="str">
        <f t="shared" si="556"/>
        <v>07</v>
      </c>
      <c r="N7500" t="s">
        <v>12</v>
      </c>
    </row>
    <row r="7501" spans="1:14" x14ac:dyDescent="0.25">
      <c r="A7501">
        <v>20160729</v>
      </c>
      <c r="B7501" t="str">
        <f t="shared" si="557"/>
        <v>064225</v>
      </c>
      <c r="C7501" t="str">
        <f t="shared" si="558"/>
        <v>46398</v>
      </c>
      <c r="D7501" t="s">
        <v>1994</v>
      </c>
      <c r="E7501" s="3">
        <v>-7.5</v>
      </c>
      <c r="F7501">
        <v>20160728</v>
      </c>
      <c r="G7501" t="s">
        <v>1995</v>
      </c>
      <c r="H7501" t="s">
        <v>6082</v>
      </c>
      <c r="I7501">
        <v>0</v>
      </c>
      <c r="J7501" t="s">
        <v>1709</v>
      </c>
      <c r="K7501" t="s">
        <v>235</v>
      </c>
      <c r="L7501" t="s">
        <v>1385</v>
      </c>
      <c r="M7501" t="str">
        <f t="shared" si="556"/>
        <v>07</v>
      </c>
      <c r="N7501" t="s">
        <v>12</v>
      </c>
    </row>
    <row r="7502" spans="1:14" x14ac:dyDescent="0.25">
      <c r="A7502">
        <v>20160729</v>
      </c>
      <c r="B7502" t="str">
        <f t="shared" si="557"/>
        <v>064225</v>
      </c>
      <c r="C7502" t="str">
        <f t="shared" si="558"/>
        <v>46398</v>
      </c>
      <c r="D7502" t="s">
        <v>1994</v>
      </c>
      <c r="E7502" s="3">
        <v>-58.02</v>
      </c>
      <c r="F7502">
        <v>20160728</v>
      </c>
      <c r="G7502" t="s">
        <v>1995</v>
      </c>
      <c r="H7502" t="s">
        <v>6083</v>
      </c>
      <c r="I7502">
        <v>0</v>
      </c>
      <c r="J7502" t="s">
        <v>1709</v>
      </c>
      <c r="K7502" t="s">
        <v>235</v>
      </c>
      <c r="L7502" t="s">
        <v>1385</v>
      </c>
      <c r="M7502" t="str">
        <f t="shared" si="556"/>
        <v>07</v>
      </c>
      <c r="N7502" t="s">
        <v>12</v>
      </c>
    </row>
    <row r="7503" spans="1:14" x14ac:dyDescent="0.25">
      <c r="A7503">
        <v>20160729</v>
      </c>
      <c r="B7503" t="str">
        <f>"064226"</f>
        <v>064226</v>
      </c>
      <c r="C7503" t="str">
        <f>"49898"</f>
        <v>49898</v>
      </c>
      <c r="D7503" t="s">
        <v>2342</v>
      </c>
      <c r="E7503" s="3">
        <v>54</v>
      </c>
      <c r="F7503">
        <v>20160728</v>
      </c>
      <c r="G7503" t="s">
        <v>1859</v>
      </c>
      <c r="H7503" t="s">
        <v>2295</v>
      </c>
      <c r="I7503">
        <v>0</v>
      </c>
      <c r="J7503" t="s">
        <v>1709</v>
      </c>
      <c r="K7503" t="s">
        <v>1861</v>
      </c>
      <c r="L7503" t="s">
        <v>285</v>
      </c>
      <c r="M7503" t="str">
        <f t="shared" si="556"/>
        <v>07</v>
      </c>
      <c r="N7503" t="s">
        <v>12</v>
      </c>
    </row>
    <row r="7504" spans="1:14" x14ac:dyDescent="0.25">
      <c r="A7504">
        <v>20160729</v>
      </c>
      <c r="B7504" t="str">
        <f>"064227"</f>
        <v>064227</v>
      </c>
      <c r="C7504" t="str">
        <f>"56570"</f>
        <v>56570</v>
      </c>
      <c r="D7504" t="s">
        <v>2687</v>
      </c>
      <c r="E7504" s="3">
        <v>49.4</v>
      </c>
      <c r="F7504">
        <v>20160728</v>
      </c>
      <c r="G7504" t="s">
        <v>2025</v>
      </c>
      <c r="H7504" t="s">
        <v>6084</v>
      </c>
      <c r="I7504">
        <v>0</v>
      </c>
      <c r="J7504" t="s">
        <v>1709</v>
      </c>
      <c r="K7504" t="s">
        <v>1984</v>
      </c>
      <c r="L7504" t="s">
        <v>285</v>
      </c>
      <c r="M7504" t="str">
        <f t="shared" si="556"/>
        <v>07</v>
      </c>
      <c r="N7504" t="s">
        <v>12</v>
      </c>
    </row>
    <row r="7505" spans="1:14" x14ac:dyDescent="0.25">
      <c r="A7505">
        <v>20160729</v>
      </c>
      <c r="B7505" t="str">
        <f>"064228"</f>
        <v>064228</v>
      </c>
      <c r="C7505" t="str">
        <f>"58200"</f>
        <v>58200</v>
      </c>
      <c r="D7505" t="s">
        <v>2454</v>
      </c>
      <c r="E7505" s="3">
        <v>20.399999999999999</v>
      </c>
      <c r="F7505">
        <v>20160728</v>
      </c>
      <c r="G7505" t="s">
        <v>3532</v>
      </c>
      <c r="H7505" t="s">
        <v>6085</v>
      </c>
      <c r="I7505">
        <v>0</v>
      </c>
      <c r="J7505" t="s">
        <v>1709</v>
      </c>
      <c r="K7505" t="s">
        <v>290</v>
      </c>
      <c r="L7505" t="s">
        <v>285</v>
      </c>
      <c r="M7505" t="str">
        <f t="shared" si="556"/>
        <v>07</v>
      </c>
      <c r="N7505" t="s">
        <v>12</v>
      </c>
    </row>
    <row r="7506" spans="1:14" x14ac:dyDescent="0.25">
      <c r="A7506">
        <v>20160729</v>
      </c>
      <c r="B7506" t="str">
        <f>"064228"</f>
        <v>064228</v>
      </c>
      <c r="C7506" t="str">
        <f>"58200"</f>
        <v>58200</v>
      </c>
      <c r="D7506" t="s">
        <v>2454</v>
      </c>
      <c r="E7506" s="3">
        <v>34.21</v>
      </c>
      <c r="F7506">
        <v>20160728</v>
      </c>
      <c r="G7506" t="s">
        <v>6086</v>
      </c>
      <c r="H7506" t="s">
        <v>6087</v>
      </c>
      <c r="I7506">
        <v>0</v>
      </c>
      <c r="J7506" t="s">
        <v>1709</v>
      </c>
      <c r="K7506" t="s">
        <v>1782</v>
      </c>
      <c r="L7506" t="s">
        <v>285</v>
      </c>
      <c r="M7506" t="str">
        <f t="shared" si="556"/>
        <v>07</v>
      </c>
      <c r="N7506" t="s">
        <v>12</v>
      </c>
    </row>
    <row r="7507" spans="1:14" x14ac:dyDescent="0.25">
      <c r="A7507">
        <v>20160729</v>
      </c>
      <c r="B7507" t="str">
        <f>"064228"</f>
        <v>064228</v>
      </c>
      <c r="C7507" t="str">
        <f>"58200"</f>
        <v>58200</v>
      </c>
      <c r="D7507" t="s">
        <v>2454</v>
      </c>
      <c r="E7507" s="3">
        <v>60.38</v>
      </c>
      <c r="F7507">
        <v>20160728</v>
      </c>
      <c r="G7507" t="s">
        <v>3109</v>
      </c>
      <c r="H7507" t="s">
        <v>6088</v>
      </c>
      <c r="I7507">
        <v>0</v>
      </c>
      <c r="J7507" t="s">
        <v>1709</v>
      </c>
      <c r="K7507" t="s">
        <v>1893</v>
      </c>
      <c r="L7507" t="s">
        <v>285</v>
      </c>
      <c r="M7507" t="str">
        <f t="shared" si="556"/>
        <v>07</v>
      </c>
      <c r="N7507" t="s">
        <v>12</v>
      </c>
    </row>
    <row r="7508" spans="1:14" x14ac:dyDescent="0.25">
      <c r="A7508">
        <v>20160729</v>
      </c>
      <c r="B7508" t="str">
        <f>"064228"</f>
        <v>064228</v>
      </c>
      <c r="C7508" t="str">
        <f>"58200"</f>
        <v>58200</v>
      </c>
      <c r="D7508" t="s">
        <v>2454</v>
      </c>
      <c r="E7508" s="3">
        <v>24</v>
      </c>
      <c r="F7508">
        <v>20160728</v>
      </c>
      <c r="G7508" t="s">
        <v>1880</v>
      </c>
      <c r="H7508" t="s">
        <v>6089</v>
      </c>
      <c r="I7508">
        <v>0</v>
      </c>
      <c r="J7508" t="s">
        <v>1709</v>
      </c>
      <c r="K7508" t="s">
        <v>1882</v>
      </c>
      <c r="L7508" t="s">
        <v>285</v>
      </c>
      <c r="M7508" t="str">
        <f t="shared" si="556"/>
        <v>07</v>
      </c>
      <c r="N7508" t="s">
        <v>12</v>
      </c>
    </row>
    <row r="7509" spans="1:14" x14ac:dyDescent="0.25">
      <c r="A7509">
        <v>20160729</v>
      </c>
      <c r="B7509" t="str">
        <f>"064229"</f>
        <v>064229</v>
      </c>
      <c r="C7509" t="str">
        <f>"58927"</f>
        <v>58927</v>
      </c>
      <c r="D7509" t="s">
        <v>1899</v>
      </c>
      <c r="E7509" s="3">
        <v>110</v>
      </c>
      <c r="F7509">
        <v>20160728</v>
      </c>
      <c r="G7509" t="s">
        <v>2699</v>
      </c>
      <c r="H7509" t="s">
        <v>1900</v>
      </c>
      <c r="I7509">
        <v>0</v>
      </c>
      <c r="J7509" t="s">
        <v>1709</v>
      </c>
      <c r="K7509" t="s">
        <v>1856</v>
      </c>
      <c r="L7509" t="s">
        <v>285</v>
      </c>
      <c r="M7509" t="str">
        <f t="shared" si="556"/>
        <v>07</v>
      </c>
      <c r="N7509" t="s">
        <v>12</v>
      </c>
    </row>
    <row r="7510" spans="1:14" x14ac:dyDescent="0.25">
      <c r="A7510">
        <v>20160729</v>
      </c>
      <c r="B7510" t="str">
        <f>"064229"</f>
        <v>064229</v>
      </c>
      <c r="C7510" t="str">
        <f>"58927"</f>
        <v>58927</v>
      </c>
      <c r="D7510" t="s">
        <v>1899</v>
      </c>
      <c r="E7510" s="3">
        <v>55</v>
      </c>
      <c r="F7510">
        <v>20160728</v>
      </c>
      <c r="G7510" t="s">
        <v>2699</v>
      </c>
      <c r="H7510" t="s">
        <v>1900</v>
      </c>
      <c r="I7510">
        <v>0</v>
      </c>
      <c r="J7510" t="s">
        <v>1709</v>
      </c>
      <c r="K7510" t="s">
        <v>1856</v>
      </c>
      <c r="L7510" t="s">
        <v>285</v>
      </c>
      <c r="M7510" t="str">
        <f t="shared" si="556"/>
        <v>07</v>
      </c>
      <c r="N7510" t="s">
        <v>12</v>
      </c>
    </row>
    <row r="7511" spans="1:14" x14ac:dyDescent="0.25">
      <c r="A7511">
        <v>20160729</v>
      </c>
      <c r="B7511" t="str">
        <f>"064230"</f>
        <v>064230</v>
      </c>
      <c r="C7511" t="str">
        <f>"58974"</f>
        <v>58974</v>
      </c>
      <c r="D7511" t="s">
        <v>6090</v>
      </c>
      <c r="E7511" s="3">
        <v>386.15</v>
      </c>
      <c r="F7511">
        <v>20160728</v>
      </c>
      <c r="G7511" t="s">
        <v>2275</v>
      </c>
      <c r="H7511" t="s">
        <v>6091</v>
      </c>
      <c r="I7511">
        <v>0</v>
      </c>
      <c r="J7511" t="s">
        <v>1709</v>
      </c>
      <c r="K7511" t="s">
        <v>95</v>
      </c>
      <c r="L7511" t="s">
        <v>285</v>
      </c>
      <c r="M7511" t="str">
        <f t="shared" si="556"/>
        <v>07</v>
      </c>
      <c r="N7511" t="s">
        <v>12</v>
      </c>
    </row>
    <row r="7512" spans="1:14" x14ac:dyDescent="0.25">
      <c r="A7512">
        <v>20160729</v>
      </c>
      <c r="B7512" t="str">
        <f>"064231"</f>
        <v>064231</v>
      </c>
      <c r="C7512" t="str">
        <f>"59097"</f>
        <v>59097</v>
      </c>
      <c r="D7512" t="s">
        <v>1755</v>
      </c>
      <c r="E7512" s="3">
        <v>49.9</v>
      </c>
      <c r="F7512">
        <v>20160728</v>
      </c>
      <c r="G7512" t="s">
        <v>4705</v>
      </c>
      <c r="H7512" t="s">
        <v>6092</v>
      </c>
      <c r="I7512">
        <v>0</v>
      </c>
      <c r="J7512" t="s">
        <v>1709</v>
      </c>
      <c r="K7512" t="s">
        <v>290</v>
      </c>
      <c r="L7512" t="s">
        <v>285</v>
      </c>
      <c r="M7512" t="str">
        <f t="shared" si="556"/>
        <v>07</v>
      </c>
      <c r="N7512" t="s">
        <v>12</v>
      </c>
    </row>
    <row r="7513" spans="1:14" x14ac:dyDescent="0.25">
      <c r="A7513">
        <v>20160729</v>
      </c>
      <c r="B7513" t="str">
        <f>"064233"</f>
        <v>064233</v>
      </c>
      <c r="C7513" t="str">
        <f>"62299"</f>
        <v>62299</v>
      </c>
      <c r="D7513" t="s">
        <v>1675</v>
      </c>
      <c r="E7513" s="3">
        <v>2253.6799999999998</v>
      </c>
      <c r="F7513">
        <v>20160728</v>
      </c>
      <c r="G7513" t="s">
        <v>6093</v>
      </c>
      <c r="H7513" t="s">
        <v>1677</v>
      </c>
      <c r="I7513">
        <v>0</v>
      </c>
      <c r="J7513" t="s">
        <v>1709</v>
      </c>
      <c r="K7513" t="s">
        <v>290</v>
      </c>
      <c r="L7513" t="s">
        <v>285</v>
      </c>
      <c r="M7513" t="str">
        <f t="shared" si="556"/>
        <v>07</v>
      </c>
      <c r="N7513" t="s">
        <v>12</v>
      </c>
    </row>
    <row r="7514" spans="1:14" x14ac:dyDescent="0.25">
      <c r="A7514">
        <v>20160729</v>
      </c>
      <c r="B7514" t="str">
        <f>"064233"</f>
        <v>064233</v>
      </c>
      <c r="C7514" t="str">
        <f>"62299"</f>
        <v>62299</v>
      </c>
      <c r="D7514" t="s">
        <v>1675</v>
      </c>
      <c r="E7514" s="3">
        <v>1832.1</v>
      </c>
      <c r="F7514">
        <v>20160728</v>
      </c>
      <c r="G7514" t="s">
        <v>6094</v>
      </c>
      <c r="H7514" t="s">
        <v>1677</v>
      </c>
      <c r="I7514">
        <v>0</v>
      </c>
      <c r="J7514" t="s">
        <v>1709</v>
      </c>
      <c r="K7514" t="s">
        <v>95</v>
      </c>
      <c r="L7514" t="s">
        <v>285</v>
      </c>
      <c r="M7514" t="str">
        <f t="shared" si="556"/>
        <v>07</v>
      </c>
      <c r="N7514" t="s">
        <v>12</v>
      </c>
    </row>
    <row r="7515" spans="1:14" x14ac:dyDescent="0.25">
      <c r="A7515">
        <v>20160729</v>
      </c>
      <c r="B7515" t="str">
        <f>"064234"</f>
        <v>064234</v>
      </c>
      <c r="C7515" t="str">
        <f>"60852"</f>
        <v>60852</v>
      </c>
      <c r="D7515" t="s">
        <v>6095</v>
      </c>
      <c r="E7515" s="3">
        <v>15000</v>
      </c>
      <c r="F7515">
        <v>20160728</v>
      </c>
      <c r="G7515" t="s">
        <v>6096</v>
      </c>
      <c r="H7515" t="s">
        <v>6097</v>
      </c>
      <c r="I7515">
        <v>0</v>
      </c>
      <c r="J7515" t="s">
        <v>1709</v>
      </c>
      <c r="K7515" t="s">
        <v>1744</v>
      </c>
      <c r="L7515" t="s">
        <v>285</v>
      </c>
      <c r="M7515" t="str">
        <f t="shared" si="556"/>
        <v>07</v>
      </c>
      <c r="N7515" t="s">
        <v>12</v>
      </c>
    </row>
    <row r="7516" spans="1:14" x14ac:dyDescent="0.25">
      <c r="A7516">
        <v>20160729</v>
      </c>
      <c r="B7516" t="str">
        <f>"064235"</f>
        <v>064235</v>
      </c>
      <c r="C7516" t="str">
        <f>"64610"</f>
        <v>64610</v>
      </c>
      <c r="D7516" t="s">
        <v>678</v>
      </c>
      <c r="E7516" s="3">
        <v>175.5</v>
      </c>
      <c r="F7516">
        <v>20160728</v>
      </c>
      <c r="G7516" t="s">
        <v>2162</v>
      </c>
      <c r="H7516" t="s">
        <v>6098</v>
      </c>
      <c r="I7516">
        <v>0</v>
      </c>
      <c r="J7516" t="s">
        <v>1709</v>
      </c>
      <c r="K7516" t="s">
        <v>1643</v>
      </c>
      <c r="L7516" t="s">
        <v>285</v>
      </c>
      <c r="M7516" t="str">
        <f t="shared" si="556"/>
        <v>07</v>
      </c>
      <c r="N7516" t="s">
        <v>12</v>
      </c>
    </row>
    <row r="7517" spans="1:14" x14ac:dyDescent="0.25">
      <c r="A7517">
        <v>20160729</v>
      </c>
      <c r="B7517" t="str">
        <f>"064235"</f>
        <v>064235</v>
      </c>
      <c r="C7517" t="str">
        <f>"64610"</f>
        <v>64610</v>
      </c>
      <c r="D7517" t="s">
        <v>678</v>
      </c>
      <c r="E7517" s="3">
        <v>187</v>
      </c>
      <c r="F7517">
        <v>20160728</v>
      </c>
      <c r="G7517" t="s">
        <v>2172</v>
      </c>
      <c r="H7517" t="s">
        <v>6099</v>
      </c>
      <c r="I7517">
        <v>0</v>
      </c>
      <c r="J7517" t="s">
        <v>1709</v>
      </c>
      <c r="K7517" t="s">
        <v>95</v>
      </c>
      <c r="L7517" t="s">
        <v>285</v>
      </c>
      <c r="M7517" t="str">
        <f t="shared" si="556"/>
        <v>07</v>
      </c>
      <c r="N7517" t="s">
        <v>12</v>
      </c>
    </row>
    <row r="7518" spans="1:14" x14ac:dyDescent="0.25">
      <c r="A7518">
        <v>20160729</v>
      </c>
      <c r="B7518" t="str">
        <f>"064235"</f>
        <v>064235</v>
      </c>
      <c r="C7518" t="str">
        <f>"64610"</f>
        <v>64610</v>
      </c>
      <c r="D7518" t="s">
        <v>678</v>
      </c>
      <c r="E7518" s="3">
        <v>187</v>
      </c>
      <c r="F7518">
        <v>20160728</v>
      </c>
      <c r="G7518" t="s">
        <v>2172</v>
      </c>
      <c r="H7518" t="s">
        <v>6009</v>
      </c>
      <c r="I7518">
        <v>0</v>
      </c>
      <c r="J7518" t="s">
        <v>1709</v>
      </c>
      <c r="K7518" t="s">
        <v>95</v>
      </c>
      <c r="L7518" t="s">
        <v>285</v>
      </c>
      <c r="M7518" t="str">
        <f t="shared" si="556"/>
        <v>07</v>
      </c>
      <c r="N7518" t="s">
        <v>12</v>
      </c>
    </row>
    <row r="7519" spans="1:14" x14ac:dyDescent="0.25">
      <c r="A7519">
        <v>20160729</v>
      </c>
      <c r="B7519" t="str">
        <f>"064236"</f>
        <v>064236</v>
      </c>
      <c r="C7519" t="str">
        <f>"64934"</f>
        <v>64934</v>
      </c>
      <c r="D7519" t="s">
        <v>2559</v>
      </c>
      <c r="E7519" s="3">
        <v>156.76</v>
      </c>
      <c r="F7519">
        <v>20160728</v>
      </c>
      <c r="G7519" t="s">
        <v>1765</v>
      </c>
      <c r="H7519" t="s">
        <v>6100</v>
      </c>
      <c r="I7519">
        <v>0</v>
      </c>
      <c r="J7519" t="s">
        <v>1709</v>
      </c>
      <c r="K7519" t="s">
        <v>1744</v>
      </c>
      <c r="L7519" t="s">
        <v>285</v>
      </c>
      <c r="M7519" t="str">
        <f t="shared" si="556"/>
        <v>07</v>
      </c>
      <c r="N7519" t="s">
        <v>12</v>
      </c>
    </row>
    <row r="7520" spans="1:14" x14ac:dyDescent="0.25">
      <c r="A7520">
        <v>20160729</v>
      </c>
      <c r="B7520" t="str">
        <f>"064237"</f>
        <v>064237</v>
      </c>
      <c r="C7520" t="str">
        <f>"64650"</f>
        <v>64650</v>
      </c>
      <c r="D7520" t="s">
        <v>1918</v>
      </c>
      <c r="E7520" s="3">
        <v>6097.12</v>
      </c>
      <c r="F7520">
        <v>20160728</v>
      </c>
      <c r="G7520" t="s">
        <v>2983</v>
      </c>
      <c r="H7520" t="s">
        <v>6101</v>
      </c>
      <c r="I7520">
        <v>0</v>
      </c>
      <c r="J7520" t="s">
        <v>1709</v>
      </c>
      <c r="K7520" t="s">
        <v>290</v>
      </c>
      <c r="L7520" t="s">
        <v>285</v>
      </c>
      <c r="M7520" t="str">
        <f t="shared" si="556"/>
        <v>07</v>
      </c>
      <c r="N7520" t="s">
        <v>12</v>
      </c>
    </row>
    <row r="7521" spans="1:14" x14ac:dyDescent="0.25">
      <c r="A7521">
        <v>20160729</v>
      </c>
      <c r="B7521" t="str">
        <f>"064239"</f>
        <v>064239</v>
      </c>
      <c r="C7521" t="str">
        <f>"77069"</f>
        <v>77069</v>
      </c>
      <c r="D7521" t="s">
        <v>6102</v>
      </c>
      <c r="E7521" s="3">
        <v>80</v>
      </c>
      <c r="F7521">
        <v>20160728</v>
      </c>
      <c r="G7521" t="s">
        <v>5358</v>
      </c>
      <c r="H7521" t="s">
        <v>6103</v>
      </c>
      <c r="I7521">
        <v>0</v>
      </c>
      <c r="J7521" t="s">
        <v>1709</v>
      </c>
      <c r="K7521" t="s">
        <v>2194</v>
      </c>
      <c r="L7521" t="s">
        <v>285</v>
      </c>
      <c r="M7521" t="str">
        <f t="shared" si="556"/>
        <v>07</v>
      </c>
      <c r="N7521" t="s">
        <v>12</v>
      </c>
    </row>
    <row r="7522" spans="1:14" x14ac:dyDescent="0.25">
      <c r="A7522">
        <v>20160729</v>
      </c>
      <c r="B7522" t="str">
        <f>"064239"</f>
        <v>064239</v>
      </c>
      <c r="C7522" t="str">
        <f>"77069"</f>
        <v>77069</v>
      </c>
      <c r="D7522" t="s">
        <v>6102</v>
      </c>
      <c r="E7522" s="3">
        <v>80</v>
      </c>
      <c r="F7522">
        <v>20160728</v>
      </c>
      <c r="G7522" t="s">
        <v>5358</v>
      </c>
      <c r="H7522" t="s">
        <v>6104</v>
      </c>
      <c r="I7522">
        <v>0</v>
      </c>
      <c r="J7522" t="s">
        <v>1709</v>
      </c>
      <c r="K7522" t="s">
        <v>2194</v>
      </c>
      <c r="L7522" t="s">
        <v>285</v>
      </c>
      <c r="M7522" t="str">
        <f t="shared" si="556"/>
        <v>07</v>
      </c>
      <c r="N7522" t="s">
        <v>12</v>
      </c>
    </row>
    <row r="7523" spans="1:14" x14ac:dyDescent="0.25">
      <c r="A7523">
        <v>20160729</v>
      </c>
      <c r="B7523" t="str">
        <f>"064239"</f>
        <v>064239</v>
      </c>
      <c r="C7523" t="str">
        <f>"77069"</f>
        <v>77069</v>
      </c>
      <c r="D7523" t="s">
        <v>6102</v>
      </c>
      <c r="E7523" s="3">
        <v>80</v>
      </c>
      <c r="F7523">
        <v>20160728</v>
      </c>
      <c r="G7523" t="s">
        <v>5358</v>
      </c>
      <c r="H7523" t="s">
        <v>6105</v>
      </c>
      <c r="I7523">
        <v>0</v>
      </c>
      <c r="J7523" t="s">
        <v>1709</v>
      </c>
      <c r="K7523" t="s">
        <v>2194</v>
      </c>
      <c r="L7523" t="s">
        <v>285</v>
      </c>
      <c r="M7523" t="str">
        <f t="shared" si="556"/>
        <v>07</v>
      </c>
      <c r="N7523" t="s">
        <v>12</v>
      </c>
    </row>
    <row r="7524" spans="1:14" x14ac:dyDescent="0.25">
      <c r="A7524">
        <v>20160729</v>
      </c>
      <c r="B7524" t="str">
        <f>"064239"</f>
        <v>064239</v>
      </c>
      <c r="C7524" t="str">
        <f>"77069"</f>
        <v>77069</v>
      </c>
      <c r="D7524" t="s">
        <v>6102</v>
      </c>
      <c r="E7524" s="3">
        <v>80</v>
      </c>
      <c r="F7524">
        <v>20160728</v>
      </c>
      <c r="G7524" t="s">
        <v>5358</v>
      </c>
      <c r="H7524" t="s">
        <v>6106</v>
      </c>
      <c r="I7524">
        <v>0</v>
      </c>
      <c r="J7524" t="s">
        <v>1709</v>
      </c>
      <c r="K7524" t="s">
        <v>2194</v>
      </c>
      <c r="L7524" t="s">
        <v>285</v>
      </c>
      <c r="M7524" t="str">
        <f t="shared" si="556"/>
        <v>07</v>
      </c>
      <c r="N7524" t="s">
        <v>12</v>
      </c>
    </row>
    <row r="7525" spans="1:14" x14ac:dyDescent="0.25">
      <c r="A7525">
        <v>20160729</v>
      </c>
      <c r="B7525" t="str">
        <f>"064241"</f>
        <v>064241</v>
      </c>
      <c r="C7525" t="str">
        <f>"78726"</f>
        <v>78726</v>
      </c>
      <c r="D7525" t="s">
        <v>2772</v>
      </c>
      <c r="E7525" s="3">
        <v>1140</v>
      </c>
      <c r="F7525">
        <v>20160728</v>
      </c>
      <c r="G7525" t="s">
        <v>2773</v>
      </c>
      <c r="H7525" t="s">
        <v>6107</v>
      </c>
      <c r="I7525">
        <v>0</v>
      </c>
      <c r="J7525" t="s">
        <v>1709</v>
      </c>
      <c r="K7525" t="s">
        <v>2252</v>
      </c>
      <c r="L7525" t="s">
        <v>285</v>
      </c>
      <c r="M7525" t="str">
        <f t="shared" si="556"/>
        <v>07</v>
      </c>
      <c r="N7525" t="s">
        <v>12</v>
      </c>
    </row>
    <row r="7526" spans="1:14" x14ac:dyDescent="0.25">
      <c r="A7526">
        <v>20160729</v>
      </c>
      <c r="B7526" t="str">
        <f>"064242"</f>
        <v>064242</v>
      </c>
      <c r="C7526" t="str">
        <f>"80600"</f>
        <v>80600</v>
      </c>
      <c r="D7526" t="s">
        <v>2411</v>
      </c>
      <c r="E7526" s="3">
        <v>173.11</v>
      </c>
      <c r="F7526">
        <v>20160728</v>
      </c>
      <c r="G7526" t="s">
        <v>5450</v>
      </c>
      <c r="H7526" t="s">
        <v>6108</v>
      </c>
      <c r="I7526">
        <v>0</v>
      </c>
      <c r="J7526" t="s">
        <v>1709</v>
      </c>
      <c r="K7526" t="s">
        <v>1744</v>
      </c>
      <c r="L7526" t="s">
        <v>285</v>
      </c>
      <c r="M7526" t="str">
        <f t="shared" si="556"/>
        <v>07</v>
      </c>
      <c r="N7526" t="s">
        <v>12</v>
      </c>
    </row>
    <row r="7527" spans="1:14" x14ac:dyDescent="0.25">
      <c r="A7527">
        <v>20160729</v>
      </c>
      <c r="B7527" t="str">
        <f>"064244"</f>
        <v>064244</v>
      </c>
      <c r="C7527" t="str">
        <f>"81299"</f>
        <v>81299</v>
      </c>
      <c r="D7527" t="s">
        <v>2415</v>
      </c>
      <c r="E7527" s="3">
        <v>550</v>
      </c>
      <c r="F7527">
        <v>20160728</v>
      </c>
      <c r="G7527" t="s">
        <v>3114</v>
      </c>
      <c r="H7527" t="s">
        <v>6109</v>
      </c>
      <c r="I7527">
        <v>0</v>
      </c>
      <c r="J7527" t="s">
        <v>1709</v>
      </c>
      <c r="K7527" t="s">
        <v>33</v>
      </c>
      <c r="L7527" t="s">
        <v>285</v>
      </c>
      <c r="M7527" t="str">
        <f t="shared" si="556"/>
        <v>07</v>
      </c>
      <c r="N7527" t="s">
        <v>12</v>
      </c>
    </row>
    <row r="7528" spans="1:14" x14ac:dyDescent="0.25">
      <c r="A7528">
        <v>20160729</v>
      </c>
      <c r="B7528" t="str">
        <f>"064245"</f>
        <v>064245</v>
      </c>
      <c r="C7528" t="str">
        <f>"83022"</f>
        <v>83022</v>
      </c>
      <c r="D7528" t="s">
        <v>394</v>
      </c>
      <c r="E7528" s="3">
        <v>16.32</v>
      </c>
      <c r="F7528">
        <v>20160728</v>
      </c>
      <c r="G7528" t="s">
        <v>1974</v>
      </c>
      <c r="H7528" t="s">
        <v>2169</v>
      </c>
      <c r="I7528">
        <v>0</v>
      </c>
      <c r="J7528" t="s">
        <v>1709</v>
      </c>
      <c r="K7528" t="s">
        <v>290</v>
      </c>
      <c r="L7528" t="s">
        <v>285</v>
      </c>
      <c r="M7528" t="str">
        <f t="shared" si="556"/>
        <v>07</v>
      </c>
      <c r="N7528" t="s">
        <v>12</v>
      </c>
    </row>
    <row r="7529" spans="1:14" x14ac:dyDescent="0.25">
      <c r="A7529">
        <v>20160729</v>
      </c>
      <c r="B7529" t="str">
        <f>"064246"</f>
        <v>064246</v>
      </c>
      <c r="C7529" t="str">
        <f>"84385"</f>
        <v>84385</v>
      </c>
      <c r="D7529" t="s">
        <v>6110</v>
      </c>
      <c r="E7529" s="3">
        <v>800</v>
      </c>
      <c r="F7529">
        <v>20160728</v>
      </c>
      <c r="G7529" t="s">
        <v>6111</v>
      </c>
      <c r="H7529" t="s">
        <v>6112</v>
      </c>
      <c r="I7529">
        <v>0</v>
      </c>
      <c r="J7529" t="s">
        <v>1709</v>
      </c>
      <c r="K7529" t="s">
        <v>290</v>
      </c>
      <c r="L7529" t="s">
        <v>285</v>
      </c>
      <c r="M7529" t="str">
        <f t="shared" si="556"/>
        <v>07</v>
      </c>
      <c r="N7529" t="s">
        <v>12</v>
      </c>
    </row>
    <row r="7530" spans="1:14" x14ac:dyDescent="0.25">
      <c r="A7530">
        <v>20160805</v>
      </c>
      <c r="B7530" t="str">
        <f>"064253"</f>
        <v>064253</v>
      </c>
      <c r="C7530" t="str">
        <f>"03710"</f>
        <v>03710</v>
      </c>
      <c r="D7530" t="s">
        <v>1553</v>
      </c>
      <c r="E7530" s="3">
        <v>686.11</v>
      </c>
      <c r="F7530">
        <v>20160804</v>
      </c>
      <c r="G7530" t="s">
        <v>2303</v>
      </c>
      <c r="H7530" t="s">
        <v>2295</v>
      </c>
      <c r="I7530">
        <v>0</v>
      </c>
      <c r="J7530" t="s">
        <v>1709</v>
      </c>
      <c r="K7530" t="s">
        <v>235</v>
      </c>
      <c r="L7530" t="s">
        <v>285</v>
      </c>
      <c r="M7530" t="str">
        <f t="shared" ref="M7530:M7593" si="559">"08"</f>
        <v>08</v>
      </c>
      <c r="N7530" t="s">
        <v>12</v>
      </c>
    </row>
    <row r="7531" spans="1:14" x14ac:dyDescent="0.25">
      <c r="A7531">
        <v>20160805</v>
      </c>
      <c r="B7531" t="str">
        <f>"064253"</f>
        <v>064253</v>
      </c>
      <c r="C7531" t="str">
        <f>"03710"</f>
        <v>03710</v>
      </c>
      <c r="D7531" t="s">
        <v>1553</v>
      </c>
      <c r="E7531" s="3">
        <v>29.84</v>
      </c>
      <c r="F7531">
        <v>20160804</v>
      </c>
      <c r="G7531" t="s">
        <v>2303</v>
      </c>
      <c r="H7531" t="s">
        <v>6113</v>
      </c>
      <c r="I7531">
        <v>0</v>
      </c>
      <c r="J7531" t="s">
        <v>1709</v>
      </c>
      <c r="K7531" t="s">
        <v>235</v>
      </c>
      <c r="L7531" t="s">
        <v>285</v>
      </c>
      <c r="M7531" t="str">
        <f t="shared" si="559"/>
        <v>08</v>
      </c>
      <c r="N7531" t="s">
        <v>12</v>
      </c>
    </row>
    <row r="7532" spans="1:14" x14ac:dyDescent="0.25">
      <c r="A7532">
        <v>20160805</v>
      </c>
      <c r="B7532" t="str">
        <f>"064253"</f>
        <v>064253</v>
      </c>
      <c r="C7532" t="str">
        <f>"03710"</f>
        <v>03710</v>
      </c>
      <c r="D7532" t="s">
        <v>1553</v>
      </c>
      <c r="E7532" s="3">
        <v>375.45</v>
      </c>
      <c r="F7532">
        <v>20160804</v>
      </c>
      <c r="G7532" t="s">
        <v>2049</v>
      </c>
      <c r="H7532" t="s">
        <v>595</v>
      </c>
      <c r="I7532">
        <v>0</v>
      </c>
      <c r="J7532" t="s">
        <v>1709</v>
      </c>
      <c r="K7532" t="s">
        <v>1775</v>
      </c>
      <c r="L7532" t="s">
        <v>285</v>
      </c>
      <c r="M7532" t="str">
        <f t="shared" si="559"/>
        <v>08</v>
      </c>
      <c r="N7532" t="s">
        <v>12</v>
      </c>
    </row>
    <row r="7533" spans="1:14" x14ac:dyDescent="0.25">
      <c r="A7533">
        <v>20160805</v>
      </c>
      <c r="B7533" t="str">
        <f>"064256"</f>
        <v>064256</v>
      </c>
      <c r="C7533" t="str">
        <f>"03846"</f>
        <v>03846</v>
      </c>
      <c r="D7533" t="s">
        <v>6023</v>
      </c>
      <c r="E7533" s="3">
        <v>1012.52</v>
      </c>
      <c r="F7533">
        <v>20160804</v>
      </c>
      <c r="G7533" t="s">
        <v>1854</v>
      </c>
      <c r="H7533" t="s">
        <v>6114</v>
      </c>
      <c r="I7533">
        <v>0</v>
      </c>
      <c r="J7533" t="s">
        <v>1709</v>
      </c>
      <c r="K7533" t="s">
        <v>1856</v>
      </c>
      <c r="L7533" t="s">
        <v>285</v>
      </c>
      <c r="M7533" t="str">
        <f t="shared" si="559"/>
        <v>08</v>
      </c>
      <c r="N7533" t="s">
        <v>12</v>
      </c>
    </row>
    <row r="7534" spans="1:14" x14ac:dyDescent="0.25">
      <c r="A7534">
        <v>20160805</v>
      </c>
      <c r="B7534" t="str">
        <f>"064257"</f>
        <v>064257</v>
      </c>
      <c r="C7534" t="str">
        <f>"03829"</f>
        <v>03829</v>
      </c>
      <c r="D7534" t="s">
        <v>1808</v>
      </c>
      <c r="E7534" s="3">
        <v>255.78</v>
      </c>
      <c r="F7534">
        <v>20160804</v>
      </c>
      <c r="G7534" t="s">
        <v>2427</v>
      </c>
      <c r="H7534" t="s">
        <v>5054</v>
      </c>
      <c r="I7534">
        <v>0</v>
      </c>
      <c r="J7534" t="s">
        <v>1709</v>
      </c>
      <c r="K7534" t="s">
        <v>1861</v>
      </c>
      <c r="L7534" t="s">
        <v>285</v>
      </c>
      <c r="M7534" t="str">
        <f t="shared" si="559"/>
        <v>08</v>
      </c>
      <c r="N7534" t="s">
        <v>12</v>
      </c>
    </row>
    <row r="7535" spans="1:14" x14ac:dyDescent="0.25">
      <c r="A7535">
        <v>20160805</v>
      </c>
      <c r="B7535" t="str">
        <f>"064257"</f>
        <v>064257</v>
      </c>
      <c r="C7535" t="str">
        <f>"03829"</f>
        <v>03829</v>
      </c>
      <c r="D7535" t="s">
        <v>1808</v>
      </c>
      <c r="E7535" s="3">
        <v>183.72</v>
      </c>
      <c r="F7535">
        <v>20160804</v>
      </c>
      <c r="G7535" t="s">
        <v>2427</v>
      </c>
      <c r="H7535" t="s">
        <v>6115</v>
      </c>
      <c r="I7535">
        <v>0</v>
      </c>
      <c r="J7535" t="s">
        <v>1709</v>
      </c>
      <c r="K7535" t="s">
        <v>1861</v>
      </c>
      <c r="L7535" t="s">
        <v>285</v>
      </c>
      <c r="M7535" t="str">
        <f t="shared" si="559"/>
        <v>08</v>
      </c>
      <c r="N7535" t="s">
        <v>12</v>
      </c>
    </row>
    <row r="7536" spans="1:14" x14ac:dyDescent="0.25">
      <c r="A7536">
        <v>20160805</v>
      </c>
      <c r="B7536" t="str">
        <f>"064257"</f>
        <v>064257</v>
      </c>
      <c r="C7536" t="str">
        <f>"03829"</f>
        <v>03829</v>
      </c>
      <c r="D7536" t="s">
        <v>1808</v>
      </c>
      <c r="E7536" s="3">
        <v>183.72</v>
      </c>
      <c r="F7536">
        <v>20160804</v>
      </c>
      <c r="G7536" t="s">
        <v>2427</v>
      </c>
      <c r="H7536" t="s">
        <v>6116</v>
      </c>
      <c r="I7536">
        <v>0</v>
      </c>
      <c r="J7536" t="s">
        <v>1709</v>
      </c>
      <c r="K7536" t="s">
        <v>1861</v>
      </c>
      <c r="L7536" t="s">
        <v>285</v>
      </c>
      <c r="M7536" t="str">
        <f t="shared" si="559"/>
        <v>08</v>
      </c>
      <c r="N7536" t="s">
        <v>12</v>
      </c>
    </row>
    <row r="7537" spans="1:14" x14ac:dyDescent="0.25">
      <c r="A7537">
        <v>20160805</v>
      </c>
      <c r="B7537" t="str">
        <f>"064257"</f>
        <v>064257</v>
      </c>
      <c r="C7537" t="str">
        <f>"03829"</f>
        <v>03829</v>
      </c>
      <c r="D7537" t="s">
        <v>1808</v>
      </c>
      <c r="E7537" s="3">
        <v>-70.72</v>
      </c>
      <c r="F7537">
        <v>20160729</v>
      </c>
      <c r="G7537" t="s">
        <v>2427</v>
      </c>
      <c r="H7537" t="s">
        <v>6117</v>
      </c>
      <c r="I7537">
        <v>0</v>
      </c>
      <c r="J7537" t="s">
        <v>1709</v>
      </c>
      <c r="K7537" t="s">
        <v>1861</v>
      </c>
      <c r="L7537" t="s">
        <v>1385</v>
      </c>
      <c r="M7537" t="str">
        <f t="shared" si="559"/>
        <v>08</v>
      </c>
      <c r="N7537" t="s">
        <v>12</v>
      </c>
    </row>
    <row r="7538" spans="1:14" x14ac:dyDescent="0.25">
      <c r="A7538">
        <v>20160805</v>
      </c>
      <c r="B7538" t="str">
        <f>"064258"</f>
        <v>064258</v>
      </c>
      <c r="C7538" t="str">
        <f>"08600"</f>
        <v>08600</v>
      </c>
      <c r="D7538" t="s">
        <v>3918</v>
      </c>
      <c r="E7538" s="3">
        <v>20732.259999999998</v>
      </c>
      <c r="F7538">
        <v>20160804</v>
      </c>
      <c r="G7538" t="s">
        <v>3921</v>
      </c>
      <c r="H7538" t="s">
        <v>6118</v>
      </c>
      <c r="I7538">
        <v>0</v>
      </c>
      <c r="J7538" t="s">
        <v>1709</v>
      </c>
      <c r="K7538" t="s">
        <v>1519</v>
      </c>
      <c r="L7538" t="s">
        <v>285</v>
      </c>
      <c r="M7538" t="str">
        <f t="shared" si="559"/>
        <v>08</v>
      </c>
      <c r="N7538" t="s">
        <v>12</v>
      </c>
    </row>
    <row r="7539" spans="1:14" x14ac:dyDescent="0.25">
      <c r="A7539">
        <v>20160805</v>
      </c>
      <c r="B7539" t="str">
        <f>"064260"</f>
        <v>064260</v>
      </c>
      <c r="C7539" t="str">
        <f>"13880"</f>
        <v>13880</v>
      </c>
      <c r="D7539" t="s">
        <v>4118</v>
      </c>
      <c r="E7539" s="3">
        <v>6.97</v>
      </c>
      <c r="F7539">
        <v>20160804</v>
      </c>
      <c r="G7539" t="s">
        <v>2983</v>
      </c>
      <c r="H7539" t="s">
        <v>6119</v>
      </c>
      <c r="I7539">
        <v>0</v>
      </c>
      <c r="J7539" t="s">
        <v>1709</v>
      </c>
      <c r="K7539" t="s">
        <v>290</v>
      </c>
      <c r="L7539" t="s">
        <v>285</v>
      </c>
      <c r="M7539" t="str">
        <f t="shared" si="559"/>
        <v>08</v>
      </c>
      <c r="N7539" t="s">
        <v>12</v>
      </c>
    </row>
    <row r="7540" spans="1:14" x14ac:dyDescent="0.25">
      <c r="A7540">
        <v>20160805</v>
      </c>
      <c r="B7540" t="str">
        <f>"064260"</f>
        <v>064260</v>
      </c>
      <c r="C7540" t="str">
        <f>"13880"</f>
        <v>13880</v>
      </c>
      <c r="D7540" t="s">
        <v>4118</v>
      </c>
      <c r="E7540" s="3">
        <v>63.6</v>
      </c>
      <c r="F7540">
        <v>20160804</v>
      </c>
      <c r="G7540" t="s">
        <v>3013</v>
      </c>
      <c r="H7540" t="s">
        <v>6119</v>
      </c>
      <c r="I7540">
        <v>0</v>
      </c>
      <c r="J7540" t="s">
        <v>1709</v>
      </c>
      <c r="K7540" t="s">
        <v>1984</v>
      </c>
      <c r="L7540" t="s">
        <v>285</v>
      </c>
      <c r="M7540" t="str">
        <f t="shared" si="559"/>
        <v>08</v>
      </c>
      <c r="N7540" t="s">
        <v>12</v>
      </c>
    </row>
    <row r="7541" spans="1:14" x14ac:dyDescent="0.25">
      <c r="A7541">
        <v>20160805</v>
      </c>
      <c r="B7541" t="str">
        <f>"064261"</f>
        <v>064261</v>
      </c>
      <c r="C7541" t="str">
        <f>"18981"</f>
        <v>18981</v>
      </c>
      <c r="D7541" t="s">
        <v>4998</v>
      </c>
      <c r="E7541" s="3">
        <v>14000</v>
      </c>
      <c r="F7541">
        <v>20160804</v>
      </c>
      <c r="G7541" t="s">
        <v>6120</v>
      </c>
      <c r="H7541" t="s">
        <v>6121</v>
      </c>
      <c r="I7541">
        <v>0</v>
      </c>
      <c r="J7541" t="s">
        <v>1709</v>
      </c>
      <c r="K7541" t="s">
        <v>1861</v>
      </c>
      <c r="L7541" t="s">
        <v>285</v>
      </c>
      <c r="M7541" t="str">
        <f t="shared" si="559"/>
        <v>08</v>
      </c>
      <c r="N7541" t="s">
        <v>12</v>
      </c>
    </row>
    <row r="7542" spans="1:14" x14ac:dyDescent="0.25">
      <c r="A7542">
        <v>20160805</v>
      </c>
      <c r="B7542" t="str">
        <f>"064261"</f>
        <v>064261</v>
      </c>
      <c r="C7542" t="str">
        <f>"18981"</f>
        <v>18981</v>
      </c>
      <c r="D7542" t="s">
        <v>4998</v>
      </c>
      <c r="E7542" s="3">
        <v>8000</v>
      </c>
      <c r="F7542">
        <v>20160804</v>
      </c>
      <c r="G7542" t="s">
        <v>6120</v>
      </c>
      <c r="H7542" t="s">
        <v>6122</v>
      </c>
      <c r="I7542">
        <v>0</v>
      </c>
      <c r="J7542" t="s">
        <v>1709</v>
      </c>
      <c r="K7542" t="s">
        <v>1861</v>
      </c>
      <c r="L7542" t="s">
        <v>285</v>
      </c>
      <c r="M7542" t="str">
        <f t="shared" si="559"/>
        <v>08</v>
      </c>
      <c r="N7542" t="s">
        <v>12</v>
      </c>
    </row>
    <row r="7543" spans="1:14" x14ac:dyDescent="0.25">
      <c r="A7543">
        <v>20160805</v>
      </c>
      <c r="B7543" t="str">
        <f>"064262"</f>
        <v>064262</v>
      </c>
      <c r="C7543" t="str">
        <f>"19101"</f>
        <v>19101</v>
      </c>
      <c r="D7543" t="s">
        <v>4004</v>
      </c>
      <c r="E7543" s="3">
        <v>1290</v>
      </c>
      <c r="F7543">
        <v>20160804</v>
      </c>
      <c r="G7543" t="s">
        <v>4005</v>
      </c>
      <c r="H7543" t="s">
        <v>6123</v>
      </c>
      <c r="I7543">
        <v>0</v>
      </c>
      <c r="J7543" t="s">
        <v>1709</v>
      </c>
      <c r="K7543" t="s">
        <v>290</v>
      </c>
      <c r="L7543" t="s">
        <v>285</v>
      </c>
      <c r="M7543" t="str">
        <f t="shared" si="559"/>
        <v>08</v>
      </c>
      <c r="N7543" t="s">
        <v>12</v>
      </c>
    </row>
    <row r="7544" spans="1:14" x14ac:dyDescent="0.25">
      <c r="A7544">
        <v>20160805</v>
      </c>
      <c r="B7544" t="str">
        <f>"064263"</f>
        <v>064263</v>
      </c>
      <c r="C7544" t="str">
        <f>"19309"</f>
        <v>19309</v>
      </c>
      <c r="D7544" t="s">
        <v>6124</v>
      </c>
      <c r="E7544" s="3">
        <v>52.43</v>
      </c>
      <c r="F7544">
        <v>20160804</v>
      </c>
      <c r="G7544" t="s">
        <v>3127</v>
      </c>
      <c r="H7544" t="s">
        <v>5724</v>
      </c>
      <c r="I7544">
        <v>0</v>
      </c>
      <c r="J7544" t="s">
        <v>1709</v>
      </c>
      <c r="K7544" t="s">
        <v>95</v>
      </c>
      <c r="L7544" t="s">
        <v>285</v>
      </c>
      <c r="M7544" t="str">
        <f t="shared" si="559"/>
        <v>08</v>
      </c>
      <c r="N7544" t="s">
        <v>12</v>
      </c>
    </row>
    <row r="7545" spans="1:14" x14ac:dyDescent="0.25">
      <c r="A7545">
        <v>20160805</v>
      </c>
      <c r="B7545" t="str">
        <f>"064264"</f>
        <v>064264</v>
      </c>
      <c r="C7545" t="str">
        <f>"21842"</f>
        <v>21842</v>
      </c>
      <c r="D7545" t="s">
        <v>2455</v>
      </c>
      <c r="E7545" s="3">
        <v>278.85000000000002</v>
      </c>
      <c r="F7545">
        <v>20160804</v>
      </c>
      <c r="G7545" t="s">
        <v>1854</v>
      </c>
      <c r="H7545" t="s">
        <v>6125</v>
      </c>
      <c r="I7545">
        <v>0</v>
      </c>
      <c r="J7545" t="s">
        <v>1709</v>
      </c>
      <c r="K7545" t="s">
        <v>1856</v>
      </c>
      <c r="L7545" t="s">
        <v>285</v>
      </c>
      <c r="M7545" t="str">
        <f t="shared" si="559"/>
        <v>08</v>
      </c>
      <c r="N7545" t="s">
        <v>12</v>
      </c>
    </row>
    <row r="7546" spans="1:14" x14ac:dyDescent="0.25">
      <c r="A7546">
        <v>20160805</v>
      </c>
      <c r="B7546" t="str">
        <f>"064264"</f>
        <v>064264</v>
      </c>
      <c r="C7546" t="str">
        <f>"21842"</f>
        <v>21842</v>
      </c>
      <c r="D7546" t="s">
        <v>2455</v>
      </c>
      <c r="E7546" s="3">
        <v>497.3</v>
      </c>
      <c r="F7546">
        <v>20160804</v>
      </c>
      <c r="G7546" t="s">
        <v>1854</v>
      </c>
      <c r="H7546" t="s">
        <v>6126</v>
      </c>
      <c r="I7546">
        <v>0</v>
      </c>
      <c r="J7546" t="s">
        <v>1709</v>
      </c>
      <c r="K7546" t="s">
        <v>1856</v>
      </c>
      <c r="L7546" t="s">
        <v>285</v>
      </c>
      <c r="M7546" t="str">
        <f t="shared" si="559"/>
        <v>08</v>
      </c>
      <c r="N7546" t="s">
        <v>12</v>
      </c>
    </row>
    <row r="7547" spans="1:14" x14ac:dyDescent="0.25">
      <c r="A7547">
        <v>20160805</v>
      </c>
      <c r="B7547" t="str">
        <f>"064264"</f>
        <v>064264</v>
      </c>
      <c r="C7547" t="str">
        <f>"21842"</f>
        <v>21842</v>
      </c>
      <c r="D7547" t="s">
        <v>2455</v>
      </c>
      <c r="E7547" s="3">
        <v>278.85000000000002</v>
      </c>
      <c r="F7547">
        <v>20160804</v>
      </c>
      <c r="G7547" t="s">
        <v>1854</v>
      </c>
      <c r="H7547" t="s">
        <v>6125</v>
      </c>
      <c r="I7547">
        <v>0</v>
      </c>
      <c r="J7547" t="s">
        <v>1709</v>
      </c>
      <c r="K7547" t="s">
        <v>1856</v>
      </c>
      <c r="L7547" t="s">
        <v>285</v>
      </c>
      <c r="M7547" t="str">
        <f t="shared" si="559"/>
        <v>08</v>
      </c>
      <c r="N7547" t="s">
        <v>12</v>
      </c>
    </row>
    <row r="7548" spans="1:14" x14ac:dyDescent="0.25">
      <c r="A7548">
        <v>20160805</v>
      </c>
      <c r="B7548" t="str">
        <f>"064265"</f>
        <v>064265</v>
      </c>
      <c r="C7548" t="str">
        <f>"14821"</f>
        <v>14821</v>
      </c>
      <c r="D7548" t="s">
        <v>2461</v>
      </c>
      <c r="E7548" s="3">
        <v>81.94</v>
      </c>
      <c r="F7548">
        <v>20160804</v>
      </c>
      <c r="G7548" t="s">
        <v>2303</v>
      </c>
      <c r="H7548" t="s">
        <v>3036</v>
      </c>
      <c r="I7548">
        <v>0</v>
      </c>
      <c r="J7548" t="s">
        <v>1709</v>
      </c>
      <c r="K7548" t="s">
        <v>235</v>
      </c>
      <c r="L7548" t="s">
        <v>285</v>
      </c>
      <c r="M7548" t="str">
        <f t="shared" si="559"/>
        <v>08</v>
      </c>
      <c r="N7548" t="s">
        <v>12</v>
      </c>
    </row>
    <row r="7549" spans="1:14" x14ac:dyDescent="0.25">
      <c r="A7549">
        <v>20160805</v>
      </c>
      <c r="B7549" t="str">
        <f>"064265"</f>
        <v>064265</v>
      </c>
      <c r="C7549" t="str">
        <f>"14821"</f>
        <v>14821</v>
      </c>
      <c r="D7549" t="s">
        <v>2461</v>
      </c>
      <c r="E7549" s="3">
        <v>1331.1</v>
      </c>
      <c r="F7549">
        <v>20160804</v>
      </c>
      <c r="G7549" t="s">
        <v>6062</v>
      </c>
      <c r="H7549" t="s">
        <v>5821</v>
      </c>
      <c r="I7549">
        <v>0</v>
      </c>
      <c r="J7549" t="s">
        <v>1709</v>
      </c>
      <c r="K7549" t="s">
        <v>290</v>
      </c>
      <c r="L7549" t="s">
        <v>285</v>
      </c>
      <c r="M7549" t="str">
        <f t="shared" si="559"/>
        <v>08</v>
      </c>
      <c r="N7549" t="s">
        <v>12</v>
      </c>
    </row>
    <row r="7550" spans="1:14" x14ac:dyDescent="0.25">
      <c r="A7550">
        <v>20160805</v>
      </c>
      <c r="B7550" t="str">
        <f>"064265"</f>
        <v>064265</v>
      </c>
      <c r="C7550" t="str">
        <f>"14821"</f>
        <v>14821</v>
      </c>
      <c r="D7550" t="s">
        <v>2461</v>
      </c>
      <c r="E7550" s="3">
        <v>1528.85</v>
      </c>
      <c r="F7550">
        <v>20160804</v>
      </c>
      <c r="G7550" t="s">
        <v>4229</v>
      </c>
      <c r="H7550" t="s">
        <v>3420</v>
      </c>
      <c r="I7550">
        <v>0</v>
      </c>
      <c r="J7550" t="s">
        <v>1709</v>
      </c>
      <c r="K7550" t="s">
        <v>1861</v>
      </c>
      <c r="L7550" t="s">
        <v>285</v>
      </c>
      <c r="M7550" t="str">
        <f t="shared" si="559"/>
        <v>08</v>
      </c>
      <c r="N7550" t="s">
        <v>12</v>
      </c>
    </row>
    <row r="7551" spans="1:14" x14ac:dyDescent="0.25">
      <c r="A7551">
        <v>20160805</v>
      </c>
      <c r="B7551" t="str">
        <f t="shared" ref="B7551:B7563" si="560">"064267"</f>
        <v>064267</v>
      </c>
      <c r="C7551" t="str">
        <f t="shared" ref="C7551:C7563" si="561">"20706"</f>
        <v>20706</v>
      </c>
      <c r="D7551" t="s">
        <v>1823</v>
      </c>
      <c r="E7551" s="3">
        <v>15023.49</v>
      </c>
      <c r="F7551">
        <v>20160804</v>
      </c>
      <c r="G7551" t="s">
        <v>2235</v>
      </c>
      <c r="H7551" t="s">
        <v>6127</v>
      </c>
      <c r="I7551">
        <v>0</v>
      </c>
      <c r="J7551" t="s">
        <v>1709</v>
      </c>
      <c r="K7551" t="s">
        <v>290</v>
      </c>
      <c r="L7551" t="s">
        <v>285</v>
      </c>
      <c r="M7551" t="str">
        <f t="shared" si="559"/>
        <v>08</v>
      </c>
      <c r="N7551" t="s">
        <v>12</v>
      </c>
    </row>
    <row r="7552" spans="1:14" x14ac:dyDescent="0.25">
      <c r="A7552">
        <v>20160805</v>
      </c>
      <c r="B7552" t="str">
        <f t="shared" si="560"/>
        <v>064267</v>
      </c>
      <c r="C7552" t="str">
        <f t="shared" si="561"/>
        <v>20706</v>
      </c>
      <c r="D7552" t="s">
        <v>1823</v>
      </c>
      <c r="E7552" s="3">
        <v>52.99</v>
      </c>
      <c r="F7552">
        <v>20160804</v>
      </c>
      <c r="G7552" t="s">
        <v>2237</v>
      </c>
      <c r="H7552" t="s">
        <v>6128</v>
      </c>
      <c r="I7552">
        <v>0</v>
      </c>
      <c r="J7552" t="s">
        <v>1709</v>
      </c>
      <c r="K7552" t="s">
        <v>1558</v>
      </c>
      <c r="L7552" t="s">
        <v>285</v>
      </c>
      <c r="M7552" t="str">
        <f t="shared" si="559"/>
        <v>08</v>
      </c>
      <c r="N7552" t="s">
        <v>12</v>
      </c>
    </row>
    <row r="7553" spans="1:14" x14ac:dyDescent="0.25">
      <c r="A7553">
        <v>20160805</v>
      </c>
      <c r="B7553" t="str">
        <f t="shared" si="560"/>
        <v>064267</v>
      </c>
      <c r="C7553" t="str">
        <f t="shared" si="561"/>
        <v>20706</v>
      </c>
      <c r="D7553" t="s">
        <v>1823</v>
      </c>
      <c r="E7553" s="3">
        <v>586.1</v>
      </c>
      <c r="F7553">
        <v>20160804</v>
      </c>
      <c r="G7553" t="s">
        <v>2239</v>
      </c>
      <c r="H7553" t="s">
        <v>6128</v>
      </c>
      <c r="I7553">
        <v>0</v>
      </c>
      <c r="J7553" t="s">
        <v>1709</v>
      </c>
      <c r="K7553" t="s">
        <v>95</v>
      </c>
      <c r="L7553" t="s">
        <v>285</v>
      </c>
      <c r="M7553" t="str">
        <f t="shared" si="559"/>
        <v>08</v>
      </c>
      <c r="N7553" t="s">
        <v>12</v>
      </c>
    </row>
    <row r="7554" spans="1:14" x14ac:dyDescent="0.25">
      <c r="A7554">
        <v>20160805</v>
      </c>
      <c r="B7554" t="str">
        <f t="shared" si="560"/>
        <v>064267</v>
      </c>
      <c r="C7554" t="str">
        <f t="shared" si="561"/>
        <v>20706</v>
      </c>
      <c r="D7554" t="s">
        <v>1823</v>
      </c>
      <c r="E7554" s="3">
        <v>2667.17</v>
      </c>
      <c r="F7554">
        <v>20160804</v>
      </c>
      <c r="G7554" t="s">
        <v>2241</v>
      </c>
      <c r="H7554" t="s">
        <v>6128</v>
      </c>
      <c r="I7554">
        <v>0</v>
      </c>
      <c r="J7554" t="s">
        <v>1709</v>
      </c>
      <c r="K7554" t="s">
        <v>1643</v>
      </c>
      <c r="L7554" t="s">
        <v>285</v>
      </c>
      <c r="M7554" t="str">
        <f t="shared" si="559"/>
        <v>08</v>
      </c>
      <c r="N7554" t="s">
        <v>12</v>
      </c>
    </row>
    <row r="7555" spans="1:14" x14ac:dyDescent="0.25">
      <c r="A7555">
        <v>20160805</v>
      </c>
      <c r="B7555" t="str">
        <f t="shared" si="560"/>
        <v>064267</v>
      </c>
      <c r="C7555" t="str">
        <f t="shared" si="561"/>
        <v>20706</v>
      </c>
      <c r="D7555" t="s">
        <v>1823</v>
      </c>
      <c r="E7555" s="3">
        <v>2013.9</v>
      </c>
      <c r="F7555">
        <v>20160804</v>
      </c>
      <c r="G7555" t="s">
        <v>2243</v>
      </c>
      <c r="H7555" t="s">
        <v>6128</v>
      </c>
      <c r="I7555">
        <v>0</v>
      </c>
      <c r="J7555" t="s">
        <v>1709</v>
      </c>
      <c r="K7555" t="s">
        <v>33</v>
      </c>
      <c r="L7555" t="s">
        <v>285</v>
      </c>
      <c r="M7555" t="str">
        <f t="shared" si="559"/>
        <v>08</v>
      </c>
      <c r="N7555" t="s">
        <v>12</v>
      </c>
    </row>
    <row r="7556" spans="1:14" x14ac:dyDescent="0.25">
      <c r="A7556">
        <v>20160805</v>
      </c>
      <c r="B7556" t="str">
        <f t="shared" si="560"/>
        <v>064267</v>
      </c>
      <c r="C7556" t="str">
        <f t="shared" si="561"/>
        <v>20706</v>
      </c>
      <c r="D7556" t="s">
        <v>1823</v>
      </c>
      <c r="E7556" s="3">
        <v>133.83000000000001</v>
      </c>
      <c r="F7556">
        <v>20160804</v>
      </c>
      <c r="G7556" t="s">
        <v>2245</v>
      </c>
      <c r="H7556" t="s">
        <v>6128</v>
      </c>
      <c r="I7556">
        <v>0</v>
      </c>
      <c r="J7556" t="s">
        <v>1709</v>
      </c>
      <c r="K7556" t="s">
        <v>2247</v>
      </c>
      <c r="L7556" t="s">
        <v>285</v>
      </c>
      <c r="M7556" t="str">
        <f t="shared" si="559"/>
        <v>08</v>
      </c>
      <c r="N7556" t="s">
        <v>12</v>
      </c>
    </row>
    <row r="7557" spans="1:14" x14ac:dyDescent="0.25">
      <c r="A7557">
        <v>20160805</v>
      </c>
      <c r="B7557" t="str">
        <f t="shared" si="560"/>
        <v>064267</v>
      </c>
      <c r="C7557" t="str">
        <f t="shared" si="561"/>
        <v>20706</v>
      </c>
      <c r="D7557" t="s">
        <v>1823</v>
      </c>
      <c r="E7557" s="3">
        <v>830.29</v>
      </c>
      <c r="F7557">
        <v>20160804</v>
      </c>
      <c r="G7557" t="s">
        <v>2248</v>
      </c>
      <c r="H7557" t="s">
        <v>6128</v>
      </c>
      <c r="I7557">
        <v>0</v>
      </c>
      <c r="J7557" t="s">
        <v>1709</v>
      </c>
      <c r="K7557" t="s">
        <v>1861</v>
      </c>
      <c r="L7557" t="s">
        <v>285</v>
      </c>
      <c r="M7557" t="str">
        <f t="shared" si="559"/>
        <v>08</v>
      </c>
      <c r="N7557" t="s">
        <v>12</v>
      </c>
    </row>
    <row r="7558" spans="1:14" x14ac:dyDescent="0.25">
      <c r="A7558">
        <v>20160805</v>
      </c>
      <c r="B7558" t="str">
        <f t="shared" si="560"/>
        <v>064267</v>
      </c>
      <c r="C7558" t="str">
        <f t="shared" si="561"/>
        <v>20706</v>
      </c>
      <c r="D7558" t="s">
        <v>1823</v>
      </c>
      <c r="E7558" s="3">
        <v>16113.93</v>
      </c>
      <c r="F7558">
        <v>20160804</v>
      </c>
      <c r="G7558" t="s">
        <v>2250</v>
      </c>
      <c r="H7558" t="s">
        <v>6127</v>
      </c>
      <c r="I7558">
        <v>0</v>
      </c>
      <c r="J7558" t="s">
        <v>1709</v>
      </c>
      <c r="K7558" t="s">
        <v>2252</v>
      </c>
      <c r="L7558" t="s">
        <v>285</v>
      </c>
      <c r="M7558" t="str">
        <f t="shared" si="559"/>
        <v>08</v>
      </c>
      <c r="N7558" t="s">
        <v>12</v>
      </c>
    </row>
    <row r="7559" spans="1:14" x14ac:dyDescent="0.25">
      <c r="A7559">
        <v>20160805</v>
      </c>
      <c r="B7559" t="str">
        <f t="shared" si="560"/>
        <v>064267</v>
      </c>
      <c r="C7559" t="str">
        <f t="shared" si="561"/>
        <v>20706</v>
      </c>
      <c r="D7559" t="s">
        <v>1823</v>
      </c>
      <c r="E7559" s="3">
        <v>850.84</v>
      </c>
      <c r="F7559">
        <v>20160804</v>
      </c>
      <c r="G7559" t="s">
        <v>2253</v>
      </c>
      <c r="H7559" t="s">
        <v>6127</v>
      </c>
      <c r="I7559">
        <v>0</v>
      </c>
      <c r="J7559" t="s">
        <v>1709</v>
      </c>
      <c r="K7559" t="s">
        <v>290</v>
      </c>
      <c r="L7559" t="s">
        <v>285</v>
      </c>
      <c r="M7559" t="str">
        <f t="shared" si="559"/>
        <v>08</v>
      </c>
      <c r="N7559" t="s">
        <v>12</v>
      </c>
    </row>
    <row r="7560" spans="1:14" x14ac:dyDescent="0.25">
      <c r="A7560">
        <v>20160805</v>
      </c>
      <c r="B7560" t="str">
        <f t="shared" si="560"/>
        <v>064267</v>
      </c>
      <c r="C7560" t="str">
        <f t="shared" si="561"/>
        <v>20706</v>
      </c>
      <c r="D7560" t="s">
        <v>1823</v>
      </c>
      <c r="E7560" s="3">
        <v>133.96</v>
      </c>
      <c r="F7560">
        <v>20160804</v>
      </c>
      <c r="G7560" t="s">
        <v>2255</v>
      </c>
      <c r="H7560" t="s">
        <v>6128</v>
      </c>
      <c r="I7560">
        <v>0</v>
      </c>
      <c r="J7560" t="s">
        <v>1709</v>
      </c>
      <c r="K7560" t="s">
        <v>95</v>
      </c>
      <c r="L7560" t="s">
        <v>285</v>
      </c>
      <c r="M7560" t="str">
        <f t="shared" si="559"/>
        <v>08</v>
      </c>
      <c r="N7560" t="s">
        <v>12</v>
      </c>
    </row>
    <row r="7561" spans="1:14" x14ac:dyDescent="0.25">
      <c r="A7561">
        <v>20160805</v>
      </c>
      <c r="B7561" t="str">
        <f t="shared" si="560"/>
        <v>064267</v>
      </c>
      <c r="C7561" t="str">
        <f t="shared" si="561"/>
        <v>20706</v>
      </c>
      <c r="D7561" t="s">
        <v>1823</v>
      </c>
      <c r="E7561" s="3">
        <v>86.58</v>
      </c>
      <c r="F7561">
        <v>20160804</v>
      </c>
      <c r="G7561" t="s">
        <v>2257</v>
      </c>
      <c r="H7561" t="s">
        <v>6128</v>
      </c>
      <c r="I7561">
        <v>0</v>
      </c>
      <c r="J7561" t="s">
        <v>1709</v>
      </c>
      <c r="K7561" t="s">
        <v>1643</v>
      </c>
      <c r="L7561" t="s">
        <v>285</v>
      </c>
      <c r="M7561" t="str">
        <f t="shared" si="559"/>
        <v>08</v>
      </c>
      <c r="N7561" t="s">
        <v>12</v>
      </c>
    </row>
    <row r="7562" spans="1:14" x14ac:dyDescent="0.25">
      <c r="A7562">
        <v>20160805</v>
      </c>
      <c r="B7562" t="str">
        <f t="shared" si="560"/>
        <v>064267</v>
      </c>
      <c r="C7562" t="str">
        <f t="shared" si="561"/>
        <v>20706</v>
      </c>
      <c r="D7562" t="s">
        <v>1823</v>
      </c>
      <c r="E7562" s="3">
        <v>46.46</v>
      </c>
      <c r="F7562">
        <v>20160804</v>
      </c>
      <c r="G7562" t="s">
        <v>2259</v>
      </c>
      <c r="H7562" t="s">
        <v>6128</v>
      </c>
      <c r="I7562">
        <v>0</v>
      </c>
      <c r="J7562" t="s">
        <v>1709</v>
      </c>
      <c r="K7562" t="s">
        <v>33</v>
      </c>
      <c r="L7562" t="s">
        <v>285</v>
      </c>
      <c r="M7562" t="str">
        <f t="shared" si="559"/>
        <v>08</v>
      </c>
      <c r="N7562" t="s">
        <v>12</v>
      </c>
    </row>
    <row r="7563" spans="1:14" x14ac:dyDescent="0.25">
      <c r="A7563">
        <v>20160805</v>
      </c>
      <c r="B7563" t="str">
        <f t="shared" si="560"/>
        <v>064267</v>
      </c>
      <c r="C7563" t="str">
        <f t="shared" si="561"/>
        <v>20706</v>
      </c>
      <c r="D7563" t="s">
        <v>1823</v>
      </c>
      <c r="E7563" s="3">
        <v>118.24</v>
      </c>
      <c r="F7563">
        <v>20160804</v>
      </c>
      <c r="G7563" t="s">
        <v>4361</v>
      </c>
      <c r="H7563" t="s">
        <v>6127</v>
      </c>
      <c r="I7563">
        <v>0</v>
      </c>
      <c r="J7563" t="s">
        <v>1709</v>
      </c>
      <c r="K7563" t="s">
        <v>290</v>
      </c>
      <c r="L7563" t="s">
        <v>285</v>
      </c>
      <c r="M7563" t="str">
        <f t="shared" si="559"/>
        <v>08</v>
      </c>
      <c r="N7563" t="s">
        <v>12</v>
      </c>
    </row>
    <row r="7564" spans="1:14" x14ac:dyDescent="0.25">
      <c r="A7564">
        <v>20160805</v>
      </c>
      <c r="B7564" t="str">
        <f>"064268"</f>
        <v>064268</v>
      </c>
      <c r="C7564" t="str">
        <f>"21098"</f>
        <v>21098</v>
      </c>
      <c r="D7564" t="s">
        <v>2261</v>
      </c>
      <c r="E7564" s="3">
        <v>544.91</v>
      </c>
      <c r="F7564">
        <v>20160804</v>
      </c>
      <c r="G7564" t="s">
        <v>6129</v>
      </c>
      <c r="H7564" t="s">
        <v>6130</v>
      </c>
      <c r="I7564">
        <v>0</v>
      </c>
      <c r="J7564" t="s">
        <v>1709</v>
      </c>
      <c r="K7564" t="s">
        <v>33</v>
      </c>
      <c r="L7564" t="s">
        <v>285</v>
      </c>
      <c r="M7564" t="str">
        <f t="shared" si="559"/>
        <v>08</v>
      </c>
      <c r="N7564" t="s">
        <v>12</v>
      </c>
    </row>
    <row r="7565" spans="1:14" x14ac:dyDescent="0.25">
      <c r="A7565">
        <v>20160805</v>
      </c>
      <c r="B7565" t="str">
        <f>"064269"</f>
        <v>064269</v>
      </c>
      <c r="C7565" t="str">
        <f>"21901"</f>
        <v>21901</v>
      </c>
      <c r="D7565" t="s">
        <v>1965</v>
      </c>
      <c r="E7565" s="3">
        <v>214.5</v>
      </c>
      <c r="F7565">
        <v>20160804</v>
      </c>
      <c r="G7565" t="s">
        <v>1854</v>
      </c>
      <c r="H7565" t="s">
        <v>6131</v>
      </c>
      <c r="I7565">
        <v>0</v>
      </c>
      <c r="J7565" t="s">
        <v>1709</v>
      </c>
      <c r="K7565" t="s">
        <v>1856</v>
      </c>
      <c r="L7565" t="s">
        <v>285</v>
      </c>
      <c r="M7565" t="str">
        <f t="shared" si="559"/>
        <v>08</v>
      </c>
      <c r="N7565" t="s">
        <v>12</v>
      </c>
    </row>
    <row r="7566" spans="1:14" x14ac:dyDescent="0.25">
      <c r="A7566">
        <v>20160805</v>
      </c>
      <c r="B7566" t="str">
        <f>"064269"</f>
        <v>064269</v>
      </c>
      <c r="C7566" t="str">
        <f>"21901"</f>
        <v>21901</v>
      </c>
      <c r="D7566" t="s">
        <v>1965</v>
      </c>
      <c r="E7566" s="3">
        <v>2922</v>
      </c>
      <c r="F7566">
        <v>20160804</v>
      </c>
      <c r="G7566" t="s">
        <v>1854</v>
      </c>
      <c r="H7566" t="s">
        <v>6132</v>
      </c>
      <c r="I7566">
        <v>0</v>
      </c>
      <c r="J7566" t="s">
        <v>1709</v>
      </c>
      <c r="K7566" t="s">
        <v>1856</v>
      </c>
      <c r="L7566" t="s">
        <v>285</v>
      </c>
      <c r="M7566" t="str">
        <f t="shared" si="559"/>
        <v>08</v>
      </c>
      <c r="N7566" t="s">
        <v>12</v>
      </c>
    </row>
    <row r="7567" spans="1:14" x14ac:dyDescent="0.25">
      <c r="A7567">
        <v>20160805</v>
      </c>
      <c r="B7567" t="str">
        <f>"064269"</f>
        <v>064269</v>
      </c>
      <c r="C7567" t="str">
        <f>"21901"</f>
        <v>21901</v>
      </c>
      <c r="D7567" t="s">
        <v>1965</v>
      </c>
      <c r="E7567" s="3">
        <v>2922</v>
      </c>
      <c r="F7567">
        <v>20160804</v>
      </c>
      <c r="G7567" t="s">
        <v>1854</v>
      </c>
      <c r="H7567" t="s">
        <v>6133</v>
      </c>
      <c r="I7567">
        <v>0</v>
      </c>
      <c r="J7567" t="s">
        <v>1709</v>
      </c>
      <c r="K7567" t="s">
        <v>1856</v>
      </c>
      <c r="L7567" t="s">
        <v>285</v>
      </c>
      <c r="M7567" t="str">
        <f t="shared" si="559"/>
        <v>08</v>
      </c>
      <c r="N7567" t="s">
        <v>12</v>
      </c>
    </row>
    <row r="7568" spans="1:14" x14ac:dyDescent="0.25">
      <c r="A7568">
        <v>20160805</v>
      </c>
      <c r="B7568" t="str">
        <f>"064271"</f>
        <v>064271</v>
      </c>
      <c r="C7568" t="str">
        <f>"24130"</f>
        <v>24130</v>
      </c>
      <c r="D7568" t="s">
        <v>2278</v>
      </c>
      <c r="E7568" s="3">
        <v>536.46</v>
      </c>
      <c r="F7568">
        <v>20160804</v>
      </c>
      <c r="G7568" t="s">
        <v>3668</v>
      </c>
      <c r="H7568" t="s">
        <v>6134</v>
      </c>
      <c r="I7568">
        <v>0</v>
      </c>
      <c r="J7568" t="s">
        <v>1709</v>
      </c>
      <c r="K7568" t="s">
        <v>2820</v>
      </c>
      <c r="L7568" t="s">
        <v>285</v>
      </c>
      <c r="M7568" t="str">
        <f t="shared" si="559"/>
        <v>08</v>
      </c>
      <c r="N7568" t="s">
        <v>12</v>
      </c>
    </row>
    <row r="7569" spans="1:14" x14ac:dyDescent="0.25">
      <c r="A7569">
        <v>20160805</v>
      </c>
      <c r="B7569" t="str">
        <f>"064271"</f>
        <v>064271</v>
      </c>
      <c r="C7569" t="str">
        <f>"24130"</f>
        <v>24130</v>
      </c>
      <c r="D7569" t="s">
        <v>2278</v>
      </c>
      <c r="E7569" s="3">
        <v>120</v>
      </c>
      <c r="F7569">
        <v>20160804</v>
      </c>
      <c r="G7569" t="s">
        <v>3668</v>
      </c>
      <c r="H7569" t="s">
        <v>6135</v>
      </c>
      <c r="I7569">
        <v>0</v>
      </c>
      <c r="J7569" t="s">
        <v>1709</v>
      </c>
      <c r="K7569" t="s">
        <v>2820</v>
      </c>
      <c r="L7569" t="s">
        <v>285</v>
      </c>
      <c r="M7569" t="str">
        <f t="shared" si="559"/>
        <v>08</v>
      </c>
      <c r="N7569" t="s">
        <v>12</v>
      </c>
    </row>
    <row r="7570" spans="1:14" x14ac:dyDescent="0.25">
      <c r="A7570">
        <v>20160805</v>
      </c>
      <c r="B7570" t="str">
        <f>"064271"</f>
        <v>064271</v>
      </c>
      <c r="C7570" t="str">
        <f>"24130"</f>
        <v>24130</v>
      </c>
      <c r="D7570" t="s">
        <v>2278</v>
      </c>
      <c r="E7570" s="3">
        <v>921.82</v>
      </c>
      <c r="F7570">
        <v>20160804</v>
      </c>
      <c r="G7570" t="s">
        <v>3668</v>
      </c>
      <c r="H7570" t="s">
        <v>6136</v>
      </c>
      <c r="I7570">
        <v>0</v>
      </c>
      <c r="J7570" t="s">
        <v>1709</v>
      </c>
      <c r="K7570" t="s">
        <v>2820</v>
      </c>
      <c r="L7570" t="s">
        <v>285</v>
      </c>
      <c r="M7570" t="str">
        <f t="shared" si="559"/>
        <v>08</v>
      </c>
      <c r="N7570" t="s">
        <v>12</v>
      </c>
    </row>
    <row r="7571" spans="1:14" x14ac:dyDescent="0.25">
      <c r="A7571">
        <v>20160805</v>
      </c>
      <c r="B7571" t="str">
        <f>"064271"</f>
        <v>064271</v>
      </c>
      <c r="C7571" t="str">
        <f>"24130"</f>
        <v>24130</v>
      </c>
      <c r="D7571" t="s">
        <v>2278</v>
      </c>
      <c r="E7571" s="3">
        <v>535</v>
      </c>
      <c r="F7571">
        <v>20160804</v>
      </c>
      <c r="G7571" t="s">
        <v>3981</v>
      </c>
      <c r="H7571" t="s">
        <v>6137</v>
      </c>
      <c r="I7571">
        <v>0</v>
      </c>
      <c r="J7571" t="s">
        <v>1709</v>
      </c>
      <c r="K7571" t="s">
        <v>2247</v>
      </c>
      <c r="L7571" t="s">
        <v>285</v>
      </c>
      <c r="M7571" t="str">
        <f t="shared" si="559"/>
        <v>08</v>
      </c>
      <c r="N7571" t="s">
        <v>12</v>
      </c>
    </row>
    <row r="7572" spans="1:14" x14ac:dyDescent="0.25">
      <c r="A7572">
        <v>20160805</v>
      </c>
      <c r="B7572" t="str">
        <f>"064271"</f>
        <v>064271</v>
      </c>
      <c r="C7572" t="str">
        <f>"24130"</f>
        <v>24130</v>
      </c>
      <c r="D7572" t="s">
        <v>2278</v>
      </c>
      <c r="E7572" s="3">
        <v>95</v>
      </c>
      <c r="F7572">
        <v>20160804</v>
      </c>
      <c r="G7572" t="s">
        <v>6138</v>
      </c>
      <c r="H7572" t="s">
        <v>6139</v>
      </c>
      <c r="I7572">
        <v>0</v>
      </c>
      <c r="J7572" t="s">
        <v>1709</v>
      </c>
      <c r="K7572" t="s">
        <v>1861</v>
      </c>
      <c r="L7572" t="s">
        <v>285</v>
      </c>
      <c r="M7572" t="str">
        <f t="shared" si="559"/>
        <v>08</v>
      </c>
      <c r="N7572" t="s">
        <v>12</v>
      </c>
    </row>
    <row r="7573" spans="1:14" x14ac:dyDescent="0.25">
      <c r="A7573">
        <v>20160805</v>
      </c>
      <c r="B7573" t="str">
        <f>"064272"</f>
        <v>064272</v>
      </c>
      <c r="C7573" t="str">
        <f>"25165"</f>
        <v>25165</v>
      </c>
      <c r="D7573" t="s">
        <v>1563</v>
      </c>
      <c r="E7573" s="3">
        <v>58.92</v>
      </c>
      <c r="F7573">
        <v>20160804</v>
      </c>
      <c r="G7573" t="s">
        <v>2115</v>
      </c>
      <c r="H7573" t="s">
        <v>6140</v>
      </c>
      <c r="I7573">
        <v>0</v>
      </c>
      <c r="J7573" t="s">
        <v>1709</v>
      </c>
      <c r="K7573" t="s">
        <v>290</v>
      </c>
      <c r="L7573" t="s">
        <v>285</v>
      </c>
      <c r="M7573" t="str">
        <f t="shared" si="559"/>
        <v>08</v>
      </c>
      <c r="N7573" t="s">
        <v>12</v>
      </c>
    </row>
    <row r="7574" spans="1:14" x14ac:dyDescent="0.25">
      <c r="A7574">
        <v>20160805</v>
      </c>
      <c r="B7574" t="str">
        <f>"064273"</f>
        <v>064273</v>
      </c>
      <c r="C7574" t="str">
        <f>"27015"</f>
        <v>27015</v>
      </c>
      <c r="D7574" t="s">
        <v>6141</v>
      </c>
      <c r="E7574" s="3">
        <v>149.80000000000001</v>
      </c>
      <c r="F7574">
        <v>20160804</v>
      </c>
      <c r="G7574" t="s">
        <v>6142</v>
      </c>
      <c r="H7574" t="s">
        <v>6143</v>
      </c>
      <c r="I7574">
        <v>0</v>
      </c>
      <c r="J7574" t="s">
        <v>1709</v>
      </c>
      <c r="K7574" t="s">
        <v>1942</v>
      </c>
      <c r="L7574" t="s">
        <v>285</v>
      </c>
      <c r="M7574" t="str">
        <f t="shared" si="559"/>
        <v>08</v>
      </c>
      <c r="N7574" t="s">
        <v>12</v>
      </c>
    </row>
    <row r="7575" spans="1:14" x14ac:dyDescent="0.25">
      <c r="A7575">
        <v>20160805</v>
      </c>
      <c r="B7575" t="str">
        <f>"064274"</f>
        <v>064274</v>
      </c>
      <c r="C7575" t="str">
        <f>"27900"</f>
        <v>27900</v>
      </c>
      <c r="D7575" t="s">
        <v>1596</v>
      </c>
      <c r="E7575" s="3">
        <v>800</v>
      </c>
      <c r="F7575">
        <v>20160804</v>
      </c>
      <c r="G7575" t="s">
        <v>4653</v>
      </c>
      <c r="H7575" t="s">
        <v>6144</v>
      </c>
      <c r="I7575">
        <v>0</v>
      </c>
      <c r="J7575" t="s">
        <v>1709</v>
      </c>
      <c r="K7575" t="s">
        <v>2764</v>
      </c>
      <c r="L7575" t="s">
        <v>285</v>
      </c>
      <c r="M7575" t="str">
        <f t="shared" si="559"/>
        <v>08</v>
      </c>
      <c r="N7575" t="s">
        <v>12</v>
      </c>
    </row>
    <row r="7576" spans="1:14" x14ac:dyDescent="0.25">
      <c r="A7576">
        <v>20160805</v>
      </c>
      <c r="B7576" t="str">
        <f>"064274"</f>
        <v>064274</v>
      </c>
      <c r="C7576" t="str">
        <f>"27900"</f>
        <v>27900</v>
      </c>
      <c r="D7576" t="s">
        <v>1596</v>
      </c>
      <c r="E7576" s="3">
        <v>100</v>
      </c>
      <c r="F7576">
        <v>20160804</v>
      </c>
      <c r="G7576" t="s">
        <v>2490</v>
      </c>
      <c r="H7576" t="s">
        <v>6145</v>
      </c>
      <c r="I7576">
        <v>0</v>
      </c>
      <c r="J7576" t="s">
        <v>1709</v>
      </c>
      <c r="K7576" t="s">
        <v>1856</v>
      </c>
      <c r="L7576" t="s">
        <v>285</v>
      </c>
      <c r="M7576" t="str">
        <f t="shared" si="559"/>
        <v>08</v>
      </c>
      <c r="N7576" t="s">
        <v>12</v>
      </c>
    </row>
    <row r="7577" spans="1:14" x14ac:dyDescent="0.25">
      <c r="A7577">
        <v>20160805</v>
      </c>
      <c r="B7577" t="str">
        <f>"064275"</f>
        <v>064275</v>
      </c>
      <c r="C7577" t="str">
        <f>"28680"</f>
        <v>28680</v>
      </c>
      <c r="D7577" t="s">
        <v>422</v>
      </c>
      <c r="E7577" s="3">
        <v>228.05</v>
      </c>
      <c r="F7577">
        <v>20160804</v>
      </c>
      <c r="G7577" t="s">
        <v>3618</v>
      </c>
      <c r="H7577" t="s">
        <v>5953</v>
      </c>
      <c r="I7577">
        <v>0</v>
      </c>
      <c r="J7577" t="s">
        <v>1709</v>
      </c>
      <c r="K7577" t="s">
        <v>290</v>
      </c>
      <c r="L7577" t="s">
        <v>285</v>
      </c>
      <c r="M7577" t="str">
        <f t="shared" si="559"/>
        <v>08</v>
      </c>
      <c r="N7577" t="s">
        <v>12</v>
      </c>
    </row>
    <row r="7578" spans="1:14" x14ac:dyDescent="0.25">
      <c r="A7578">
        <v>20160805</v>
      </c>
      <c r="B7578" t="str">
        <f>"064276"</f>
        <v>064276</v>
      </c>
      <c r="C7578" t="str">
        <f>"28688"</f>
        <v>28688</v>
      </c>
      <c r="D7578" t="s">
        <v>6067</v>
      </c>
      <c r="E7578" s="3">
        <v>1850</v>
      </c>
      <c r="F7578">
        <v>20160804</v>
      </c>
      <c r="G7578" t="s">
        <v>6138</v>
      </c>
      <c r="H7578" t="s">
        <v>6146</v>
      </c>
      <c r="I7578">
        <v>0</v>
      </c>
      <c r="J7578" t="s">
        <v>1709</v>
      </c>
      <c r="K7578" t="s">
        <v>1861</v>
      </c>
      <c r="L7578" t="s">
        <v>285</v>
      </c>
      <c r="M7578" t="str">
        <f t="shared" si="559"/>
        <v>08</v>
      </c>
      <c r="N7578" t="s">
        <v>12</v>
      </c>
    </row>
    <row r="7579" spans="1:14" x14ac:dyDescent="0.25">
      <c r="A7579">
        <v>20160805</v>
      </c>
      <c r="B7579" t="str">
        <f>"064276"</f>
        <v>064276</v>
      </c>
      <c r="C7579" t="str">
        <f>"28688"</f>
        <v>28688</v>
      </c>
      <c r="D7579" t="s">
        <v>6067</v>
      </c>
      <c r="E7579" s="3">
        <v>5384</v>
      </c>
      <c r="F7579">
        <v>20160804</v>
      </c>
      <c r="G7579" t="s">
        <v>6120</v>
      </c>
      <c r="H7579" t="s">
        <v>6147</v>
      </c>
      <c r="I7579">
        <v>0</v>
      </c>
      <c r="J7579" t="s">
        <v>1709</v>
      </c>
      <c r="K7579" t="s">
        <v>1861</v>
      </c>
      <c r="L7579" t="s">
        <v>285</v>
      </c>
      <c r="M7579" t="str">
        <f t="shared" si="559"/>
        <v>08</v>
      </c>
      <c r="N7579" t="s">
        <v>12</v>
      </c>
    </row>
    <row r="7580" spans="1:14" x14ac:dyDescent="0.25">
      <c r="A7580">
        <v>20160805</v>
      </c>
      <c r="B7580" t="str">
        <f>"064276"</f>
        <v>064276</v>
      </c>
      <c r="C7580" t="str">
        <f>"28688"</f>
        <v>28688</v>
      </c>
      <c r="D7580" t="s">
        <v>6067</v>
      </c>
      <c r="E7580" s="3">
        <v>3801</v>
      </c>
      <c r="F7580">
        <v>20160804</v>
      </c>
      <c r="G7580" t="s">
        <v>6120</v>
      </c>
      <c r="H7580" t="s">
        <v>6147</v>
      </c>
      <c r="I7580">
        <v>0</v>
      </c>
      <c r="J7580" t="s">
        <v>1709</v>
      </c>
      <c r="K7580" t="s">
        <v>1861</v>
      </c>
      <c r="L7580" t="s">
        <v>285</v>
      </c>
      <c r="M7580" t="str">
        <f t="shared" si="559"/>
        <v>08</v>
      </c>
      <c r="N7580" t="s">
        <v>12</v>
      </c>
    </row>
    <row r="7581" spans="1:14" x14ac:dyDescent="0.25">
      <c r="A7581">
        <v>20160805</v>
      </c>
      <c r="B7581" t="str">
        <f>"064277"</f>
        <v>064277</v>
      </c>
      <c r="C7581" t="str">
        <f>"29500"</f>
        <v>29500</v>
      </c>
      <c r="D7581" t="s">
        <v>1698</v>
      </c>
      <c r="E7581" s="3">
        <v>2170.4</v>
      </c>
      <c r="F7581">
        <v>20160804</v>
      </c>
      <c r="G7581" t="s">
        <v>1859</v>
      </c>
      <c r="H7581" t="s">
        <v>2295</v>
      </c>
      <c r="I7581">
        <v>0</v>
      </c>
      <c r="J7581" t="s">
        <v>1709</v>
      </c>
      <c r="K7581" t="s">
        <v>1861</v>
      </c>
      <c r="L7581" t="s">
        <v>285</v>
      </c>
      <c r="M7581" t="str">
        <f t="shared" si="559"/>
        <v>08</v>
      </c>
      <c r="N7581" t="s">
        <v>12</v>
      </c>
    </row>
    <row r="7582" spans="1:14" x14ac:dyDescent="0.25">
      <c r="A7582">
        <v>20160805</v>
      </c>
      <c r="B7582" t="str">
        <f>"064278"</f>
        <v>064278</v>
      </c>
      <c r="C7582" t="str">
        <f>"29548"</f>
        <v>29548</v>
      </c>
      <c r="D7582" t="s">
        <v>1862</v>
      </c>
      <c r="E7582" s="3">
        <v>105</v>
      </c>
      <c r="F7582">
        <v>20160804</v>
      </c>
      <c r="G7582" t="s">
        <v>1859</v>
      </c>
      <c r="H7582" t="s">
        <v>6148</v>
      </c>
      <c r="I7582">
        <v>0</v>
      </c>
      <c r="J7582" t="s">
        <v>1709</v>
      </c>
      <c r="K7582" t="s">
        <v>1861</v>
      </c>
      <c r="L7582" t="s">
        <v>285</v>
      </c>
      <c r="M7582" t="str">
        <f t="shared" si="559"/>
        <v>08</v>
      </c>
      <c r="N7582" t="s">
        <v>12</v>
      </c>
    </row>
    <row r="7583" spans="1:14" x14ac:dyDescent="0.25">
      <c r="A7583">
        <v>20160805</v>
      </c>
      <c r="B7583" t="str">
        <f>"064279"</f>
        <v>064279</v>
      </c>
      <c r="C7583" t="str">
        <f>"30390"</f>
        <v>30390</v>
      </c>
      <c r="D7583" t="s">
        <v>3087</v>
      </c>
      <c r="E7583" s="3">
        <v>634.98</v>
      </c>
      <c r="F7583">
        <v>20160804</v>
      </c>
      <c r="G7583" t="s">
        <v>2121</v>
      </c>
      <c r="H7583" t="s">
        <v>2091</v>
      </c>
      <c r="I7583">
        <v>0</v>
      </c>
      <c r="J7583" t="s">
        <v>1709</v>
      </c>
      <c r="K7583" t="s">
        <v>290</v>
      </c>
      <c r="L7583" t="s">
        <v>285</v>
      </c>
      <c r="M7583" t="str">
        <f t="shared" si="559"/>
        <v>08</v>
      </c>
      <c r="N7583" t="s">
        <v>12</v>
      </c>
    </row>
    <row r="7584" spans="1:14" x14ac:dyDescent="0.25">
      <c r="A7584">
        <v>20160805</v>
      </c>
      <c r="B7584" t="str">
        <f>"064280"</f>
        <v>064280</v>
      </c>
      <c r="C7584" t="str">
        <f>"30479"</f>
        <v>30479</v>
      </c>
      <c r="D7584" t="s">
        <v>2663</v>
      </c>
      <c r="E7584" s="3">
        <v>3864.5</v>
      </c>
      <c r="F7584">
        <v>20160804</v>
      </c>
      <c r="G7584" t="s">
        <v>2664</v>
      </c>
      <c r="H7584" t="s">
        <v>6149</v>
      </c>
      <c r="I7584">
        <v>0</v>
      </c>
      <c r="J7584" t="s">
        <v>1709</v>
      </c>
      <c r="K7584" t="s">
        <v>1744</v>
      </c>
      <c r="L7584" t="s">
        <v>285</v>
      </c>
      <c r="M7584" t="str">
        <f t="shared" si="559"/>
        <v>08</v>
      </c>
      <c r="N7584" t="s">
        <v>12</v>
      </c>
    </row>
    <row r="7585" spans="1:14" x14ac:dyDescent="0.25">
      <c r="A7585">
        <v>20160805</v>
      </c>
      <c r="B7585" t="str">
        <f>"064283"</f>
        <v>064283</v>
      </c>
      <c r="C7585" t="str">
        <f>"35430"</f>
        <v>35430</v>
      </c>
      <c r="D7585" t="s">
        <v>2302</v>
      </c>
      <c r="E7585" s="3">
        <v>10.5</v>
      </c>
      <c r="F7585">
        <v>20160804</v>
      </c>
      <c r="G7585" t="s">
        <v>2303</v>
      </c>
      <c r="H7585" t="s">
        <v>6150</v>
      </c>
      <c r="I7585">
        <v>0</v>
      </c>
      <c r="J7585" t="s">
        <v>1709</v>
      </c>
      <c r="K7585" t="s">
        <v>235</v>
      </c>
      <c r="L7585" t="s">
        <v>285</v>
      </c>
      <c r="M7585" t="str">
        <f t="shared" si="559"/>
        <v>08</v>
      </c>
      <c r="N7585" t="s">
        <v>12</v>
      </c>
    </row>
    <row r="7586" spans="1:14" x14ac:dyDescent="0.25">
      <c r="A7586">
        <v>20160805</v>
      </c>
      <c r="B7586" t="str">
        <f>"064284"</f>
        <v>064284</v>
      </c>
      <c r="C7586" t="str">
        <f>"19081"</f>
        <v>19081</v>
      </c>
      <c r="D7586" t="s">
        <v>6151</v>
      </c>
      <c r="E7586" s="3">
        <v>62.3</v>
      </c>
      <c r="F7586">
        <v>20160804</v>
      </c>
      <c r="G7586" t="s">
        <v>6142</v>
      </c>
      <c r="H7586" t="s">
        <v>6152</v>
      </c>
      <c r="I7586">
        <v>0</v>
      </c>
      <c r="J7586" t="s">
        <v>1709</v>
      </c>
      <c r="K7586" t="s">
        <v>1942</v>
      </c>
      <c r="L7586" t="s">
        <v>285</v>
      </c>
      <c r="M7586" t="str">
        <f t="shared" si="559"/>
        <v>08</v>
      </c>
      <c r="N7586" t="s">
        <v>12</v>
      </c>
    </row>
    <row r="7587" spans="1:14" x14ac:dyDescent="0.25">
      <c r="A7587">
        <v>20160805</v>
      </c>
      <c r="B7587" t="str">
        <f t="shared" ref="B7587:B7593" si="562">"064285"</f>
        <v>064285</v>
      </c>
      <c r="C7587" t="str">
        <f t="shared" ref="C7587:C7593" si="563">"37500"</f>
        <v>37500</v>
      </c>
      <c r="D7587" t="s">
        <v>1652</v>
      </c>
      <c r="E7587" s="3">
        <v>120</v>
      </c>
      <c r="F7587">
        <v>20160804</v>
      </c>
      <c r="G7587" t="s">
        <v>2230</v>
      </c>
      <c r="H7587" t="s">
        <v>6153</v>
      </c>
      <c r="I7587">
        <v>0</v>
      </c>
      <c r="J7587" t="s">
        <v>1709</v>
      </c>
      <c r="K7587" t="s">
        <v>1643</v>
      </c>
      <c r="L7587" t="s">
        <v>285</v>
      </c>
      <c r="M7587" t="str">
        <f t="shared" si="559"/>
        <v>08</v>
      </c>
      <c r="N7587" t="s">
        <v>12</v>
      </c>
    </row>
    <row r="7588" spans="1:14" x14ac:dyDescent="0.25">
      <c r="A7588">
        <v>20160805</v>
      </c>
      <c r="B7588" t="str">
        <f t="shared" si="562"/>
        <v>064285</v>
      </c>
      <c r="C7588" t="str">
        <f t="shared" si="563"/>
        <v>37500</v>
      </c>
      <c r="D7588" t="s">
        <v>1652</v>
      </c>
      <c r="E7588" s="3">
        <v>59.8</v>
      </c>
      <c r="F7588">
        <v>20160804</v>
      </c>
      <c r="G7588" t="s">
        <v>2762</v>
      </c>
      <c r="H7588" t="s">
        <v>6154</v>
      </c>
      <c r="I7588">
        <v>0</v>
      </c>
      <c r="J7588" t="s">
        <v>1709</v>
      </c>
      <c r="K7588" t="s">
        <v>2764</v>
      </c>
      <c r="L7588" t="s">
        <v>285</v>
      </c>
      <c r="M7588" t="str">
        <f t="shared" si="559"/>
        <v>08</v>
      </c>
      <c r="N7588" t="s">
        <v>12</v>
      </c>
    </row>
    <row r="7589" spans="1:14" x14ac:dyDescent="0.25">
      <c r="A7589">
        <v>20160805</v>
      </c>
      <c r="B7589" t="str">
        <f t="shared" si="562"/>
        <v>064285</v>
      </c>
      <c r="C7589" t="str">
        <f t="shared" si="563"/>
        <v>37500</v>
      </c>
      <c r="D7589" t="s">
        <v>1652</v>
      </c>
      <c r="E7589" s="3">
        <v>79.569999999999993</v>
      </c>
      <c r="F7589">
        <v>20160804</v>
      </c>
      <c r="G7589" t="s">
        <v>2762</v>
      </c>
      <c r="H7589" t="s">
        <v>6154</v>
      </c>
      <c r="I7589">
        <v>0</v>
      </c>
      <c r="J7589" t="s">
        <v>1709</v>
      </c>
      <c r="K7589" t="s">
        <v>2764</v>
      </c>
      <c r="L7589" t="s">
        <v>285</v>
      </c>
      <c r="M7589" t="str">
        <f t="shared" si="559"/>
        <v>08</v>
      </c>
      <c r="N7589" t="s">
        <v>12</v>
      </c>
    </row>
    <row r="7590" spans="1:14" x14ac:dyDescent="0.25">
      <c r="A7590">
        <v>20160805</v>
      </c>
      <c r="B7590" t="str">
        <f t="shared" si="562"/>
        <v>064285</v>
      </c>
      <c r="C7590" t="str">
        <f t="shared" si="563"/>
        <v>37500</v>
      </c>
      <c r="D7590" t="s">
        <v>1652</v>
      </c>
      <c r="E7590" s="3">
        <v>5.44</v>
      </c>
      <c r="F7590">
        <v>20160804</v>
      </c>
      <c r="G7590" t="s">
        <v>2762</v>
      </c>
      <c r="H7590" t="s">
        <v>6154</v>
      </c>
      <c r="I7590">
        <v>0</v>
      </c>
      <c r="J7590" t="s">
        <v>1709</v>
      </c>
      <c r="K7590" t="s">
        <v>2764</v>
      </c>
      <c r="L7590" t="s">
        <v>285</v>
      </c>
      <c r="M7590" t="str">
        <f t="shared" si="559"/>
        <v>08</v>
      </c>
      <c r="N7590" t="s">
        <v>12</v>
      </c>
    </row>
    <row r="7591" spans="1:14" x14ac:dyDescent="0.25">
      <c r="A7591">
        <v>20160805</v>
      </c>
      <c r="B7591" t="str">
        <f t="shared" si="562"/>
        <v>064285</v>
      </c>
      <c r="C7591" t="str">
        <f t="shared" si="563"/>
        <v>37500</v>
      </c>
      <c r="D7591" t="s">
        <v>1652</v>
      </c>
      <c r="E7591" s="3">
        <v>52.56</v>
      </c>
      <c r="F7591">
        <v>20160804</v>
      </c>
      <c r="G7591" t="s">
        <v>2162</v>
      </c>
      <c r="H7591" t="s">
        <v>595</v>
      </c>
      <c r="I7591">
        <v>0</v>
      </c>
      <c r="J7591" t="s">
        <v>1709</v>
      </c>
      <c r="K7591" t="s">
        <v>1643</v>
      </c>
      <c r="L7591" t="s">
        <v>285</v>
      </c>
      <c r="M7591" t="str">
        <f t="shared" si="559"/>
        <v>08</v>
      </c>
      <c r="N7591" t="s">
        <v>12</v>
      </c>
    </row>
    <row r="7592" spans="1:14" x14ac:dyDescent="0.25">
      <c r="A7592">
        <v>20160805</v>
      </c>
      <c r="B7592" t="str">
        <f t="shared" si="562"/>
        <v>064285</v>
      </c>
      <c r="C7592" t="str">
        <f t="shared" si="563"/>
        <v>37500</v>
      </c>
      <c r="D7592" t="s">
        <v>1652</v>
      </c>
      <c r="E7592" s="3">
        <v>44.27</v>
      </c>
      <c r="F7592">
        <v>20160804</v>
      </c>
      <c r="G7592" t="s">
        <v>2162</v>
      </c>
      <c r="H7592" t="s">
        <v>595</v>
      </c>
      <c r="I7592">
        <v>0</v>
      </c>
      <c r="J7592" t="s">
        <v>1709</v>
      </c>
      <c r="K7592" t="s">
        <v>1643</v>
      </c>
      <c r="L7592" t="s">
        <v>285</v>
      </c>
      <c r="M7592" t="str">
        <f t="shared" si="559"/>
        <v>08</v>
      </c>
      <c r="N7592" t="s">
        <v>12</v>
      </c>
    </row>
    <row r="7593" spans="1:14" x14ac:dyDescent="0.25">
      <c r="A7593">
        <v>20160805</v>
      </c>
      <c r="B7593" t="str">
        <f t="shared" si="562"/>
        <v>064285</v>
      </c>
      <c r="C7593" t="str">
        <f t="shared" si="563"/>
        <v>37500</v>
      </c>
      <c r="D7593" t="s">
        <v>1652</v>
      </c>
      <c r="E7593" s="3">
        <v>35.79</v>
      </c>
      <c r="F7593">
        <v>20160804</v>
      </c>
      <c r="G7593" t="s">
        <v>3114</v>
      </c>
      <c r="H7593" t="s">
        <v>595</v>
      </c>
      <c r="I7593">
        <v>0</v>
      </c>
      <c r="J7593" t="s">
        <v>1709</v>
      </c>
      <c r="K7593" t="s">
        <v>33</v>
      </c>
      <c r="L7593" t="s">
        <v>285</v>
      </c>
      <c r="M7593" t="str">
        <f t="shared" si="559"/>
        <v>08</v>
      </c>
      <c r="N7593" t="s">
        <v>12</v>
      </c>
    </row>
    <row r="7594" spans="1:14" x14ac:dyDescent="0.25">
      <c r="A7594">
        <v>20160805</v>
      </c>
      <c r="B7594" t="str">
        <f>"064286"</f>
        <v>064286</v>
      </c>
      <c r="C7594" t="str">
        <f>"39425"</f>
        <v>39425</v>
      </c>
      <c r="D7594" t="s">
        <v>4390</v>
      </c>
      <c r="E7594" s="3">
        <v>1714.03</v>
      </c>
      <c r="F7594">
        <v>20160804</v>
      </c>
      <c r="G7594" t="s">
        <v>2490</v>
      </c>
      <c r="H7594" t="s">
        <v>6155</v>
      </c>
      <c r="I7594">
        <v>0</v>
      </c>
      <c r="J7594" t="s">
        <v>1709</v>
      </c>
      <c r="K7594" t="s">
        <v>1856</v>
      </c>
      <c r="L7594" t="s">
        <v>285</v>
      </c>
      <c r="M7594" t="str">
        <f t="shared" ref="M7594:M7657" si="564">"08"</f>
        <v>08</v>
      </c>
      <c r="N7594" t="s">
        <v>12</v>
      </c>
    </row>
    <row r="7595" spans="1:14" x14ac:dyDescent="0.25">
      <c r="A7595">
        <v>20160805</v>
      </c>
      <c r="B7595" t="str">
        <f>"064287"</f>
        <v>064287</v>
      </c>
      <c r="C7595" t="str">
        <f>"39916"</f>
        <v>39916</v>
      </c>
      <c r="D7595" t="s">
        <v>6156</v>
      </c>
      <c r="E7595" s="3">
        <v>56.92</v>
      </c>
      <c r="F7595">
        <v>20160804</v>
      </c>
      <c r="G7595" t="s">
        <v>4545</v>
      </c>
      <c r="H7595" t="s">
        <v>6157</v>
      </c>
      <c r="I7595">
        <v>0</v>
      </c>
      <c r="J7595" t="s">
        <v>1709</v>
      </c>
      <c r="K7595" t="s">
        <v>1775</v>
      </c>
      <c r="L7595" t="s">
        <v>285</v>
      </c>
      <c r="M7595" t="str">
        <f t="shared" si="564"/>
        <v>08</v>
      </c>
      <c r="N7595" t="s">
        <v>12</v>
      </c>
    </row>
    <row r="7596" spans="1:14" x14ac:dyDescent="0.25">
      <c r="A7596">
        <v>20160805</v>
      </c>
      <c r="B7596" t="str">
        <f>"064288"</f>
        <v>064288</v>
      </c>
      <c r="C7596" t="str">
        <f>"40567"</f>
        <v>40567</v>
      </c>
      <c r="D7596" t="s">
        <v>4791</v>
      </c>
      <c r="E7596" s="3">
        <v>63</v>
      </c>
      <c r="F7596">
        <v>20160804</v>
      </c>
      <c r="G7596" t="s">
        <v>4792</v>
      </c>
      <c r="H7596" t="s">
        <v>5398</v>
      </c>
      <c r="I7596">
        <v>0</v>
      </c>
      <c r="J7596" t="s">
        <v>1709</v>
      </c>
      <c r="K7596" t="s">
        <v>33</v>
      </c>
      <c r="L7596" t="s">
        <v>285</v>
      </c>
      <c r="M7596" t="str">
        <f t="shared" si="564"/>
        <v>08</v>
      </c>
      <c r="N7596" t="s">
        <v>12</v>
      </c>
    </row>
    <row r="7597" spans="1:14" x14ac:dyDescent="0.25">
      <c r="A7597">
        <v>20160805</v>
      </c>
      <c r="B7597" t="str">
        <f>"064290"</f>
        <v>064290</v>
      </c>
      <c r="C7597" t="str">
        <f>"42197"</f>
        <v>42197</v>
      </c>
      <c r="D7597" t="s">
        <v>5524</v>
      </c>
      <c r="E7597" s="3">
        <v>182.25</v>
      </c>
      <c r="F7597">
        <v>20160804</v>
      </c>
      <c r="G7597" t="s">
        <v>2762</v>
      </c>
      <c r="H7597" t="s">
        <v>6158</v>
      </c>
      <c r="I7597">
        <v>0</v>
      </c>
      <c r="J7597" t="s">
        <v>1709</v>
      </c>
      <c r="K7597" t="s">
        <v>2764</v>
      </c>
      <c r="L7597" t="s">
        <v>285</v>
      </c>
      <c r="M7597" t="str">
        <f t="shared" si="564"/>
        <v>08</v>
      </c>
      <c r="N7597" t="s">
        <v>12</v>
      </c>
    </row>
    <row r="7598" spans="1:14" x14ac:dyDescent="0.25">
      <c r="A7598">
        <v>20160805</v>
      </c>
      <c r="B7598" t="str">
        <f>"064292"</f>
        <v>064292</v>
      </c>
      <c r="C7598" t="str">
        <f>"45130"</f>
        <v>45130</v>
      </c>
      <c r="D7598" t="s">
        <v>6159</v>
      </c>
      <c r="E7598" s="3">
        <v>3419.97</v>
      </c>
      <c r="F7598">
        <v>20160804</v>
      </c>
      <c r="G7598" t="s">
        <v>6160</v>
      </c>
      <c r="H7598" t="s">
        <v>6161</v>
      </c>
      <c r="I7598">
        <v>0</v>
      </c>
      <c r="J7598" t="s">
        <v>1709</v>
      </c>
      <c r="K7598" t="s">
        <v>1643</v>
      </c>
      <c r="L7598" t="s">
        <v>285</v>
      </c>
      <c r="M7598" t="str">
        <f t="shared" si="564"/>
        <v>08</v>
      </c>
      <c r="N7598" t="s">
        <v>12</v>
      </c>
    </row>
    <row r="7599" spans="1:14" x14ac:dyDescent="0.25">
      <c r="A7599">
        <v>20160805</v>
      </c>
      <c r="B7599" t="str">
        <f>"064293"</f>
        <v>064293</v>
      </c>
      <c r="C7599" t="str">
        <f>"45710"</f>
        <v>45710</v>
      </c>
      <c r="D7599" t="s">
        <v>3255</v>
      </c>
      <c r="E7599" s="3">
        <v>1250</v>
      </c>
      <c r="F7599">
        <v>20160804</v>
      </c>
      <c r="G7599" t="s">
        <v>1963</v>
      </c>
      <c r="H7599" t="s">
        <v>6162</v>
      </c>
      <c r="I7599">
        <v>0</v>
      </c>
      <c r="J7599" t="s">
        <v>1709</v>
      </c>
      <c r="K7599" t="s">
        <v>290</v>
      </c>
      <c r="L7599" t="s">
        <v>285</v>
      </c>
      <c r="M7599" t="str">
        <f t="shared" si="564"/>
        <v>08</v>
      </c>
      <c r="N7599" t="s">
        <v>12</v>
      </c>
    </row>
    <row r="7600" spans="1:14" x14ac:dyDescent="0.25">
      <c r="A7600">
        <v>20160805</v>
      </c>
      <c r="B7600" t="str">
        <f>"064295"</f>
        <v>064295</v>
      </c>
      <c r="C7600" t="str">
        <f>"46351"</f>
        <v>46351</v>
      </c>
      <c r="D7600" t="s">
        <v>2518</v>
      </c>
      <c r="E7600" s="3">
        <v>633.32000000000005</v>
      </c>
      <c r="F7600">
        <v>20160804</v>
      </c>
      <c r="G7600" t="s">
        <v>1995</v>
      </c>
      <c r="H7600" t="s">
        <v>6050</v>
      </c>
      <c r="I7600">
        <v>0</v>
      </c>
      <c r="J7600" t="s">
        <v>1709</v>
      </c>
      <c r="K7600" t="s">
        <v>235</v>
      </c>
      <c r="L7600" t="s">
        <v>285</v>
      </c>
      <c r="M7600" t="str">
        <f t="shared" si="564"/>
        <v>08</v>
      </c>
      <c r="N7600" t="s">
        <v>12</v>
      </c>
    </row>
    <row r="7601" spans="1:14" x14ac:dyDescent="0.25">
      <c r="A7601">
        <v>20160805</v>
      </c>
      <c r="B7601" t="str">
        <f>"064298"</f>
        <v>064298</v>
      </c>
      <c r="C7601" t="str">
        <f>"49898"</f>
        <v>49898</v>
      </c>
      <c r="D7601" t="s">
        <v>2342</v>
      </c>
      <c r="E7601" s="3">
        <v>173.49</v>
      </c>
      <c r="F7601">
        <v>20160804</v>
      </c>
      <c r="G7601" t="s">
        <v>1859</v>
      </c>
      <c r="H7601" t="s">
        <v>6163</v>
      </c>
      <c r="I7601">
        <v>0</v>
      </c>
      <c r="J7601" t="s">
        <v>1709</v>
      </c>
      <c r="K7601" t="s">
        <v>1861</v>
      </c>
      <c r="L7601" t="s">
        <v>285</v>
      </c>
      <c r="M7601" t="str">
        <f t="shared" si="564"/>
        <v>08</v>
      </c>
      <c r="N7601" t="s">
        <v>12</v>
      </c>
    </row>
    <row r="7602" spans="1:14" x14ac:dyDescent="0.25">
      <c r="A7602">
        <v>20160805</v>
      </c>
      <c r="B7602" t="str">
        <f>"064298"</f>
        <v>064298</v>
      </c>
      <c r="C7602" t="str">
        <f>"49898"</f>
        <v>49898</v>
      </c>
      <c r="D7602" t="s">
        <v>2342</v>
      </c>
      <c r="E7602" s="3">
        <v>139.93</v>
      </c>
      <c r="F7602">
        <v>20160804</v>
      </c>
      <c r="G7602" t="s">
        <v>1859</v>
      </c>
      <c r="H7602" t="s">
        <v>2295</v>
      </c>
      <c r="I7602">
        <v>0</v>
      </c>
      <c r="J7602" t="s">
        <v>1709</v>
      </c>
      <c r="K7602" t="s">
        <v>1861</v>
      </c>
      <c r="L7602" t="s">
        <v>285</v>
      </c>
      <c r="M7602" t="str">
        <f t="shared" si="564"/>
        <v>08</v>
      </c>
      <c r="N7602" t="s">
        <v>12</v>
      </c>
    </row>
    <row r="7603" spans="1:14" x14ac:dyDescent="0.25">
      <c r="A7603">
        <v>20160805</v>
      </c>
      <c r="B7603" t="str">
        <f>"064298"</f>
        <v>064298</v>
      </c>
      <c r="C7603" t="str">
        <f>"49898"</f>
        <v>49898</v>
      </c>
      <c r="D7603" t="s">
        <v>2342</v>
      </c>
      <c r="E7603" s="3">
        <v>180.1</v>
      </c>
      <c r="F7603">
        <v>20160804</v>
      </c>
      <c r="G7603" t="s">
        <v>1859</v>
      </c>
      <c r="H7603" t="s">
        <v>2295</v>
      </c>
      <c r="I7603">
        <v>0</v>
      </c>
      <c r="J7603" t="s">
        <v>1709</v>
      </c>
      <c r="K7603" t="s">
        <v>1861</v>
      </c>
      <c r="L7603" t="s">
        <v>285</v>
      </c>
      <c r="M7603" t="str">
        <f t="shared" si="564"/>
        <v>08</v>
      </c>
      <c r="N7603" t="s">
        <v>12</v>
      </c>
    </row>
    <row r="7604" spans="1:14" x14ac:dyDescent="0.25">
      <c r="A7604">
        <v>20160805</v>
      </c>
      <c r="B7604" t="str">
        <f>"064299"</f>
        <v>064299</v>
      </c>
      <c r="C7604" t="str">
        <f>"50476"</f>
        <v>50476</v>
      </c>
      <c r="D7604" t="s">
        <v>4814</v>
      </c>
      <c r="E7604" s="3">
        <v>180</v>
      </c>
      <c r="F7604">
        <v>20160804</v>
      </c>
      <c r="G7604" t="s">
        <v>1788</v>
      </c>
      <c r="H7604" t="s">
        <v>6164</v>
      </c>
      <c r="I7604">
        <v>0</v>
      </c>
      <c r="J7604" t="s">
        <v>1709</v>
      </c>
      <c r="K7604" t="s">
        <v>1643</v>
      </c>
      <c r="L7604" t="s">
        <v>285</v>
      </c>
      <c r="M7604" t="str">
        <f t="shared" si="564"/>
        <v>08</v>
      </c>
      <c r="N7604" t="s">
        <v>12</v>
      </c>
    </row>
    <row r="7605" spans="1:14" x14ac:dyDescent="0.25">
      <c r="A7605">
        <v>20160805</v>
      </c>
      <c r="B7605" t="str">
        <f>"064301"</f>
        <v>064301</v>
      </c>
      <c r="C7605" t="str">
        <f>"55920"</f>
        <v>55920</v>
      </c>
      <c r="D7605" t="s">
        <v>6165</v>
      </c>
      <c r="E7605" s="3">
        <v>200</v>
      </c>
      <c r="F7605">
        <v>20160804</v>
      </c>
      <c r="G7605" t="s">
        <v>6056</v>
      </c>
      <c r="H7605" t="s">
        <v>6166</v>
      </c>
      <c r="I7605">
        <v>0</v>
      </c>
      <c r="J7605" t="s">
        <v>1709</v>
      </c>
      <c r="K7605" t="s">
        <v>1942</v>
      </c>
      <c r="L7605" t="s">
        <v>285</v>
      </c>
      <c r="M7605" t="str">
        <f t="shared" si="564"/>
        <v>08</v>
      </c>
      <c r="N7605" t="s">
        <v>12</v>
      </c>
    </row>
    <row r="7606" spans="1:14" x14ac:dyDescent="0.25">
      <c r="A7606">
        <v>20160805</v>
      </c>
      <c r="B7606" t="str">
        <f>"064302"</f>
        <v>064302</v>
      </c>
      <c r="C7606" t="str">
        <f>"56705"</f>
        <v>56705</v>
      </c>
      <c r="D7606" t="s">
        <v>6167</v>
      </c>
      <c r="E7606" s="3">
        <v>1507.83</v>
      </c>
      <c r="F7606">
        <v>20160804</v>
      </c>
      <c r="G7606" t="s">
        <v>2773</v>
      </c>
      <c r="H7606" t="s">
        <v>6168</v>
      </c>
      <c r="I7606">
        <v>0</v>
      </c>
      <c r="J7606" t="s">
        <v>1709</v>
      </c>
      <c r="K7606" t="s">
        <v>2252</v>
      </c>
      <c r="L7606" t="s">
        <v>285</v>
      </c>
      <c r="M7606" t="str">
        <f t="shared" si="564"/>
        <v>08</v>
      </c>
      <c r="N7606" t="s">
        <v>12</v>
      </c>
    </row>
    <row r="7607" spans="1:14" x14ac:dyDescent="0.25">
      <c r="A7607">
        <v>20160805</v>
      </c>
      <c r="B7607" t="str">
        <f>"064304"</f>
        <v>064304</v>
      </c>
      <c r="C7607" t="str">
        <f>"58190"</f>
        <v>58190</v>
      </c>
      <c r="D7607" t="s">
        <v>4282</v>
      </c>
      <c r="E7607" s="3">
        <v>397.5</v>
      </c>
      <c r="F7607">
        <v>20160804</v>
      </c>
      <c r="G7607" t="s">
        <v>4283</v>
      </c>
      <c r="H7607" t="s">
        <v>6169</v>
      </c>
      <c r="I7607">
        <v>0</v>
      </c>
      <c r="J7607" t="s">
        <v>1709</v>
      </c>
      <c r="K7607" t="s">
        <v>1856</v>
      </c>
      <c r="L7607" t="s">
        <v>285</v>
      </c>
      <c r="M7607" t="str">
        <f t="shared" si="564"/>
        <v>08</v>
      </c>
      <c r="N7607" t="s">
        <v>12</v>
      </c>
    </row>
    <row r="7608" spans="1:14" x14ac:dyDescent="0.25">
      <c r="A7608">
        <v>20160805</v>
      </c>
      <c r="B7608" t="str">
        <f>"064306"</f>
        <v>064306</v>
      </c>
      <c r="C7608" t="str">
        <f>"58202"</f>
        <v>58202</v>
      </c>
      <c r="D7608" t="s">
        <v>2695</v>
      </c>
      <c r="E7608" s="3">
        <v>242.8</v>
      </c>
      <c r="F7608">
        <v>20160804</v>
      </c>
      <c r="G7608" t="s">
        <v>4287</v>
      </c>
      <c r="H7608" t="s">
        <v>6170</v>
      </c>
      <c r="I7608">
        <v>0</v>
      </c>
      <c r="J7608" t="s">
        <v>1709</v>
      </c>
      <c r="K7608" t="s">
        <v>95</v>
      </c>
      <c r="L7608" t="s">
        <v>285</v>
      </c>
      <c r="M7608" t="str">
        <f t="shared" si="564"/>
        <v>08</v>
      </c>
      <c r="N7608" t="s">
        <v>12</v>
      </c>
    </row>
    <row r="7609" spans="1:14" x14ac:dyDescent="0.25">
      <c r="A7609">
        <v>20160805</v>
      </c>
      <c r="B7609" t="str">
        <f>"064306"</f>
        <v>064306</v>
      </c>
      <c r="C7609" t="str">
        <f>"58202"</f>
        <v>58202</v>
      </c>
      <c r="D7609" t="s">
        <v>2695</v>
      </c>
      <c r="E7609" s="3">
        <v>299.98</v>
      </c>
      <c r="F7609">
        <v>20160804</v>
      </c>
      <c r="G7609" t="s">
        <v>4287</v>
      </c>
      <c r="H7609" t="s">
        <v>6171</v>
      </c>
      <c r="I7609">
        <v>0</v>
      </c>
      <c r="J7609" t="s">
        <v>1709</v>
      </c>
      <c r="K7609" t="s">
        <v>95</v>
      </c>
      <c r="L7609" t="s">
        <v>285</v>
      </c>
      <c r="M7609" t="str">
        <f t="shared" si="564"/>
        <v>08</v>
      </c>
      <c r="N7609" t="s">
        <v>12</v>
      </c>
    </row>
    <row r="7610" spans="1:14" x14ac:dyDescent="0.25">
      <c r="A7610">
        <v>20160805</v>
      </c>
      <c r="B7610" t="str">
        <f>"064309"</f>
        <v>064309</v>
      </c>
      <c r="C7610" t="str">
        <f>"61221"</f>
        <v>61221</v>
      </c>
      <c r="D7610" t="s">
        <v>1906</v>
      </c>
      <c r="E7610" s="3">
        <v>480</v>
      </c>
      <c r="F7610">
        <v>20160804</v>
      </c>
      <c r="G7610" t="s">
        <v>6172</v>
      </c>
      <c r="H7610" t="s">
        <v>6173</v>
      </c>
      <c r="I7610">
        <v>0</v>
      </c>
      <c r="J7610" t="s">
        <v>1709</v>
      </c>
      <c r="K7610" t="s">
        <v>33</v>
      </c>
      <c r="L7610" t="s">
        <v>285</v>
      </c>
      <c r="M7610" t="str">
        <f t="shared" si="564"/>
        <v>08</v>
      </c>
      <c r="N7610" t="s">
        <v>12</v>
      </c>
    </row>
    <row r="7611" spans="1:14" x14ac:dyDescent="0.25">
      <c r="A7611">
        <v>20160805</v>
      </c>
      <c r="B7611" t="str">
        <f>"064310"</f>
        <v>064310</v>
      </c>
      <c r="C7611" t="str">
        <f>"63053"</f>
        <v>63053</v>
      </c>
      <c r="D7611" t="s">
        <v>2012</v>
      </c>
      <c r="E7611" s="3">
        <v>403.03</v>
      </c>
      <c r="F7611">
        <v>20160804</v>
      </c>
      <c r="G7611" t="s">
        <v>3618</v>
      </c>
      <c r="H7611" t="s">
        <v>5953</v>
      </c>
      <c r="I7611">
        <v>0</v>
      </c>
      <c r="J7611" t="s">
        <v>1709</v>
      </c>
      <c r="K7611" t="s">
        <v>290</v>
      </c>
      <c r="L7611" t="s">
        <v>285</v>
      </c>
      <c r="M7611" t="str">
        <f t="shared" si="564"/>
        <v>08</v>
      </c>
      <c r="N7611" t="s">
        <v>12</v>
      </c>
    </row>
    <row r="7612" spans="1:14" x14ac:dyDescent="0.25">
      <c r="A7612">
        <v>20160805</v>
      </c>
      <c r="B7612" t="str">
        <f>"064311"</f>
        <v>064311</v>
      </c>
      <c r="C7612" t="str">
        <f>"64610"</f>
        <v>64610</v>
      </c>
      <c r="D7612" t="s">
        <v>678</v>
      </c>
      <c r="E7612" s="3">
        <v>41.3</v>
      </c>
      <c r="F7612">
        <v>20160804</v>
      </c>
      <c r="G7612" t="s">
        <v>2172</v>
      </c>
      <c r="H7612" t="s">
        <v>6174</v>
      </c>
      <c r="I7612">
        <v>0</v>
      </c>
      <c r="J7612" t="s">
        <v>1709</v>
      </c>
      <c r="K7612" t="s">
        <v>95</v>
      </c>
      <c r="L7612" t="s">
        <v>285</v>
      </c>
      <c r="M7612" t="str">
        <f t="shared" si="564"/>
        <v>08</v>
      </c>
      <c r="N7612" t="s">
        <v>12</v>
      </c>
    </row>
    <row r="7613" spans="1:14" x14ac:dyDescent="0.25">
      <c r="A7613">
        <v>20160805</v>
      </c>
      <c r="B7613" t="str">
        <f>"064312"</f>
        <v>064312</v>
      </c>
      <c r="C7613" t="str">
        <f>"64803"</f>
        <v>64803</v>
      </c>
      <c r="D7613" t="s">
        <v>6175</v>
      </c>
      <c r="E7613" s="3">
        <v>151.5</v>
      </c>
      <c r="F7613">
        <v>20160804</v>
      </c>
      <c r="G7613" t="s">
        <v>3551</v>
      </c>
      <c r="H7613" t="s">
        <v>5398</v>
      </c>
      <c r="I7613">
        <v>0</v>
      </c>
      <c r="J7613" t="s">
        <v>1709</v>
      </c>
      <c r="K7613" t="s">
        <v>1558</v>
      </c>
      <c r="L7613" t="s">
        <v>285</v>
      </c>
      <c r="M7613" t="str">
        <f t="shared" si="564"/>
        <v>08</v>
      </c>
      <c r="N7613" t="s">
        <v>12</v>
      </c>
    </row>
    <row r="7614" spans="1:14" x14ac:dyDescent="0.25">
      <c r="A7614">
        <v>20160805</v>
      </c>
      <c r="B7614" t="str">
        <f>"064315"</f>
        <v>064315</v>
      </c>
      <c r="C7614" t="str">
        <f>"71225"</f>
        <v>71225</v>
      </c>
      <c r="D7614" t="s">
        <v>1920</v>
      </c>
      <c r="E7614" s="3">
        <v>95</v>
      </c>
      <c r="F7614">
        <v>20160804</v>
      </c>
      <c r="G7614" t="s">
        <v>1854</v>
      </c>
      <c r="H7614" t="s">
        <v>6176</v>
      </c>
      <c r="I7614">
        <v>0</v>
      </c>
      <c r="J7614" t="s">
        <v>1709</v>
      </c>
      <c r="K7614" t="s">
        <v>1856</v>
      </c>
      <c r="L7614" t="s">
        <v>285</v>
      </c>
      <c r="M7614" t="str">
        <f t="shared" si="564"/>
        <v>08</v>
      </c>
      <c r="N7614" t="s">
        <v>12</v>
      </c>
    </row>
    <row r="7615" spans="1:14" x14ac:dyDescent="0.25">
      <c r="A7615">
        <v>20160805</v>
      </c>
      <c r="B7615" t="str">
        <f>"064317"</f>
        <v>064317</v>
      </c>
      <c r="C7615" t="str">
        <f>"72340"</f>
        <v>72340</v>
      </c>
      <c r="D7615" t="s">
        <v>1762</v>
      </c>
      <c r="E7615" s="3">
        <v>531.20000000000005</v>
      </c>
      <c r="F7615">
        <v>20160804</v>
      </c>
      <c r="G7615" t="s">
        <v>2768</v>
      </c>
      <c r="H7615" t="s">
        <v>6177</v>
      </c>
      <c r="I7615">
        <v>0</v>
      </c>
      <c r="J7615" t="s">
        <v>1709</v>
      </c>
      <c r="K7615" t="s">
        <v>1861</v>
      </c>
      <c r="L7615" t="s">
        <v>285</v>
      </c>
      <c r="M7615" t="str">
        <f t="shared" si="564"/>
        <v>08</v>
      </c>
      <c r="N7615" t="s">
        <v>12</v>
      </c>
    </row>
    <row r="7616" spans="1:14" x14ac:dyDescent="0.25">
      <c r="A7616">
        <v>20160805</v>
      </c>
      <c r="B7616" t="str">
        <f t="shared" ref="B7616:B7621" si="565">"064318"</f>
        <v>064318</v>
      </c>
      <c r="C7616" t="str">
        <f t="shared" ref="C7616:C7621" si="566">"72730"</f>
        <v>72730</v>
      </c>
      <c r="D7616" t="s">
        <v>1400</v>
      </c>
      <c r="E7616" s="3">
        <v>551.54</v>
      </c>
      <c r="F7616">
        <v>20160804</v>
      </c>
      <c r="G7616" t="s">
        <v>1758</v>
      </c>
      <c r="H7616" t="s">
        <v>595</v>
      </c>
      <c r="I7616">
        <v>0</v>
      </c>
      <c r="J7616" t="s">
        <v>1709</v>
      </c>
      <c r="K7616" t="s">
        <v>1643</v>
      </c>
      <c r="L7616" t="s">
        <v>285</v>
      </c>
      <c r="M7616" t="str">
        <f t="shared" si="564"/>
        <v>08</v>
      </c>
      <c r="N7616" t="s">
        <v>12</v>
      </c>
    </row>
    <row r="7617" spans="1:14" x14ac:dyDescent="0.25">
      <c r="A7617">
        <v>20160805</v>
      </c>
      <c r="B7617" t="str">
        <f t="shared" si="565"/>
        <v>064318</v>
      </c>
      <c r="C7617" t="str">
        <f t="shared" si="566"/>
        <v>72730</v>
      </c>
      <c r="D7617" t="s">
        <v>1400</v>
      </c>
      <c r="E7617" s="3">
        <v>159.66</v>
      </c>
      <c r="F7617">
        <v>20160804</v>
      </c>
      <c r="G7617" t="s">
        <v>1758</v>
      </c>
      <c r="H7617" t="s">
        <v>595</v>
      </c>
      <c r="I7617">
        <v>0</v>
      </c>
      <c r="J7617" t="s">
        <v>1709</v>
      </c>
      <c r="K7617" t="s">
        <v>1643</v>
      </c>
      <c r="L7617" t="s">
        <v>285</v>
      </c>
      <c r="M7617" t="str">
        <f t="shared" si="564"/>
        <v>08</v>
      </c>
      <c r="N7617" t="s">
        <v>12</v>
      </c>
    </row>
    <row r="7618" spans="1:14" x14ac:dyDescent="0.25">
      <c r="A7618">
        <v>20160805</v>
      </c>
      <c r="B7618" t="str">
        <f t="shared" si="565"/>
        <v>064318</v>
      </c>
      <c r="C7618" t="str">
        <f t="shared" si="566"/>
        <v>72730</v>
      </c>
      <c r="D7618" t="s">
        <v>1400</v>
      </c>
      <c r="E7618" s="3">
        <v>99.99</v>
      </c>
      <c r="F7618">
        <v>20160804</v>
      </c>
      <c r="G7618" t="s">
        <v>5059</v>
      </c>
      <c r="H7618" t="s">
        <v>6178</v>
      </c>
      <c r="I7618">
        <v>0</v>
      </c>
      <c r="J7618" t="s">
        <v>1709</v>
      </c>
      <c r="K7618" t="s">
        <v>1519</v>
      </c>
      <c r="L7618" t="s">
        <v>285</v>
      </c>
      <c r="M7618" t="str">
        <f t="shared" si="564"/>
        <v>08</v>
      </c>
      <c r="N7618" t="s">
        <v>12</v>
      </c>
    </row>
    <row r="7619" spans="1:14" x14ac:dyDescent="0.25">
      <c r="A7619">
        <v>20160805</v>
      </c>
      <c r="B7619" t="str">
        <f t="shared" si="565"/>
        <v>064318</v>
      </c>
      <c r="C7619" t="str">
        <f t="shared" si="566"/>
        <v>72730</v>
      </c>
      <c r="D7619" t="s">
        <v>1400</v>
      </c>
      <c r="E7619" s="3">
        <v>-40</v>
      </c>
      <c r="F7619">
        <v>20160713</v>
      </c>
      <c r="G7619" t="s">
        <v>5059</v>
      </c>
      <c r="H7619" t="s">
        <v>6179</v>
      </c>
      <c r="I7619">
        <v>0</v>
      </c>
      <c r="J7619" t="s">
        <v>1709</v>
      </c>
      <c r="K7619" t="s">
        <v>1519</v>
      </c>
      <c r="L7619" t="s">
        <v>1385</v>
      </c>
      <c r="M7619" t="str">
        <f t="shared" si="564"/>
        <v>08</v>
      </c>
      <c r="N7619" t="s">
        <v>12</v>
      </c>
    </row>
    <row r="7620" spans="1:14" x14ac:dyDescent="0.25">
      <c r="A7620">
        <v>20160805</v>
      </c>
      <c r="B7620" t="str">
        <f t="shared" si="565"/>
        <v>064318</v>
      </c>
      <c r="C7620" t="str">
        <f t="shared" si="566"/>
        <v>72730</v>
      </c>
      <c r="D7620" t="s">
        <v>1400</v>
      </c>
      <c r="E7620" s="3">
        <v>97.36</v>
      </c>
      <c r="F7620">
        <v>20160804</v>
      </c>
      <c r="G7620" t="s">
        <v>2648</v>
      </c>
      <c r="H7620" t="s">
        <v>6180</v>
      </c>
      <c r="I7620">
        <v>0</v>
      </c>
      <c r="J7620" t="s">
        <v>1709</v>
      </c>
      <c r="K7620" t="s">
        <v>2377</v>
      </c>
      <c r="L7620" t="s">
        <v>285</v>
      </c>
      <c r="M7620" t="str">
        <f t="shared" si="564"/>
        <v>08</v>
      </c>
      <c r="N7620" t="s">
        <v>12</v>
      </c>
    </row>
    <row r="7621" spans="1:14" x14ac:dyDescent="0.25">
      <c r="A7621">
        <v>20160805</v>
      </c>
      <c r="B7621" t="str">
        <f t="shared" si="565"/>
        <v>064318</v>
      </c>
      <c r="C7621" t="str">
        <f t="shared" si="566"/>
        <v>72730</v>
      </c>
      <c r="D7621" t="s">
        <v>1400</v>
      </c>
      <c r="E7621" s="3">
        <v>121.14</v>
      </c>
      <c r="F7621">
        <v>20160804</v>
      </c>
      <c r="G7621" t="s">
        <v>2047</v>
      </c>
      <c r="H7621" t="s">
        <v>6180</v>
      </c>
      <c r="I7621">
        <v>0</v>
      </c>
      <c r="J7621" t="s">
        <v>1709</v>
      </c>
      <c r="K7621" t="s">
        <v>1882</v>
      </c>
      <c r="L7621" t="s">
        <v>285</v>
      </c>
      <c r="M7621" t="str">
        <f t="shared" si="564"/>
        <v>08</v>
      </c>
      <c r="N7621" t="s">
        <v>12</v>
      </c>
    </row>
    <row r="7622" spans="1:14" x14ac:dyDescent="0.25">
      <c r="A7622">
        <v>20160805</v>
      </c>
      <c r="B7622" t="str">
        <f>"064319"</f>
        <v>064319</v>
      </c>
      <c r="C7622" t="str">
        <f>"73190"</f>
        <v>73190</v>
      </c>
      <c r="D7622" t="s">
        <v>6181</v>
      </c>
      <c r="E7622" s="3">
        <v>57</v>
      </c>
      <c r="F7622">
        <v>20160804</v>
      </c>
      <c r="G7622" t="s">
        <v>2049</v>
      </c>
      <c r="H7622" t="s">
        <v>6182</v>
      </c>
      <c r="I7622">
        <v>0</v>
      </c>
      <c r="J7622" t="s">
        <v>1709</v>
      </c>
      <c r="K7622" t="s">
        <v>1775</v>
      </c>
      <c r="L7622" t="s">
        <v>285</v>
      </c>
      <c r="M7622" t="str">
        <f t="shared" si="564"/>
        <v>08</v>
      </c>
      <c r="N7622" t="s">
        <v>12</v>
      </c>
    </row>
    <row r="7623" spans="1:14" x14ac:dyDescent="0.25">
      <c r="A7623">
        <v>20160805</v>
      </c>
      <c r="B7623" t="str">
        <f>"064319"</f>
        <v>064319</v>
      </c>
      <c r="C7623" t="str">
        <f>"73190"</f>
        <v>73190</v>
      </c>
      <c r="D7623" t="s">
        <v>6181</v>
      </c>
      <c r="E7623" s="3">
        <v>57</v>
      </c>
      <c r="F7623">
        <v>20160804</v>
      </c>
      <c r="G7623" t="s">
        <v>2049</v>
      </c>
      <c r="H7623" t="s">
        <v>6183</v>
      </c>
      <c r="I7623">
        <v>0</v>
      </c>
      <c r="J7623" t="s">
        <v>1709</v>
      </c>
      <c r="K7623" t="s">
        <v>1775</v>
      </c>
      <c r="L7623" t="s">
        <v>285</v>
      </c>
      <c r="M7623" t="str">
        <f t="shared" si="564"/>
        <v>08</v>
      </c>
      <c r="N7623" t="s">
        <v>12</v>
      </c>
    </row>
    <row r="7624" spans="1:14" x14ac:dyDescent="0.25">
      <c r="A7624">
        <v>20160805</v>
      </c>
      <c r="B7624" t="str">
        <f>"064320"</f>
        <v>064320</v>
      </c>
      <c r="C7624" t="str">
        <f>"73865"</f>
        <v>73865</v>
      </c>
      <c r="D7624" t="s">
        <v>6184</v>
      </c>
      <c r="E7624" s="3">
        <v>3500</v>
      </c>
      <c r="F7624">
        <v>20160804</v>
      </c>
      <c r="G7624" t="s">
        <v>2588</v>
      </c>
      <c r="H7624" t="s">
        <v>6185</v>
      </c>
      <c r="I7624">
        <v>0</v>
      </c>
      <c r="J7624" t="s">
        <v>1709</v>
      </c>
      <c r="K7624" t="s">
        <v>1861</v>
      </c>
      <c r="L7624" t="s">
        <v>285</v>
      </c>
      <c r="M7624" t="str">
        <f t="shared" si="564"/>
        <v>08</v>
      </c>
      <c r="N7624" t="s">
        <v>12</v>
      </c>
    </row>
    <row r="7625" spans="1:14" x14ac:dyDescent="0.25">
      <c r="A7625">
        <v>20160805</v>
      </c>
      <c r="B7625" t="str">
        <f>"064320"</f>
        <v>064320</v>
      </c>
      <c r="C7625" t="str">
        <f>"73865"</f>
        <v>73865</v>
      </c>
      <c r="D7625" t="s">
        <v>6184</v>
      </c>
      <c r="E7625" s="3">
        <v>3100</v>
      </c>
      <c r="F7625">
        <v>20160804</v>
      </c>
      <c r="G7625" t="s">
        <v>2588</v>
      </c>
      <c r="H7625" t="s">
        <v>6186</v>
      </c>
      <c r="I7625">
        <v>0</v>
      </c>
      <c r="J7625" t="s">
        <v>1709</v>
      </c>
      <c r="K7625" t="s">
        <v>1861</v>
      </c>
      <c r="L7625" t="s">
        <v>285</v>
      </c>
      <c r="M7625" t="str">
        <f t="shared" si="564"/>
        <v>08</v>
      </c>
      <c r="N7625" t="s">
        <v>12</v>
      </c>
    </row>
    <row r="7626" spans="1:14" x14ac:dyDescent="0.25">
      <c r="A7626">
        <v>20160805</v>
      </c>
      <c r="B7626" t="str">
        <f>"064321"</f>
        <v>064321</v>
      </c>
      <c r="C7626" t="str">
        <f>"74001"</f>
        <v>74001</v>
      </c>
      <c r="D7626" t="s">
        <v>5387</v>
      </c>
      <c r="E7626" s="3">
        <v>794</v>
      </c>
      <c r="F7626">
        <v>20160804</v>
      </c>
      <c r="G7626" t="s">
        <v>2626</v>
      </c>
      <c r="H7626" t="s">
        <v>6187</v>
      </c>
      <c r="I7626">
        <v>0</v>
      </c>
      <c r="J7626" t="s">
        <v>1709</v>
      </c>
      <c r="K7626" t="s">
        <v>290</v>
      </c>
      <c r="L7626" t="s">
        <v>285</v>
      </c>
      <c r="M7626" t="str">
        <f t="shared" si="564"/>
        <v>08</v>
      </c>
      <c r="N7626" t="s">
        <v>12</v>
      </c>
    </row>
    <row r="7627" spans="1:14" x14ac:dyDescent="0.25">
      <c r="A7627">
        <v>20160805</v>
      </c>
      <c r="B7627" t="str">
        <f>"064322"</f>
        <v>064322</v>
      </c>
      <c r="C7627" t="str">
        <f>"74160"</f>
        <v>74160</v>
      </c>
      <c r="D7627" t="s">
        <v>3141</v>
      </c>
      <c r="E7627" s="3">
        <v>244.25</v>
      </c>
      <c r="F7627">
        <v>20160804</v>
      </c>
      <c r="G7627" t="s">
        <v>2162</v>
      </c>
      <c r="H7627" t="s">
        <v>6009</v>
      </c>
      <c r="I7627">
        <v>0</v>
      </c>
      <c r="J7627" t="s">
        <v>1709</v>
      </c>
      <c r="K7627" t="s">
        <v>1643</v>
      </c>
      <c r="L7627" t="s">
        <v>285</v>
      </c>
      <c r="M7627" t="str">
        <f t="shared" si="564"/>
        <v>08</v>
      </c>
      <c r="N7627" t="s">
        <v>12</v>
      </c>
    </row>
    <row r="7628" spans="1:14" x14ac:dyDescent="0.25">
      <c r="A7628">
        <v>20160805</v>
      </c>
      <c r="B7628" t="str">
        <f>"064323"</f>
        <v>064323</v>
      </c>
      <c r="C7628" t="str">
        <f>"77120"</f>
        <v>77120</v>
      </c>
      <c r="D7628" t="s">
        <v>4613</v>
      </c>
      <c r="E7628" s="3">
        <v>20</v>
      </c>
      <c r="F7628">
        <v>20160804</v>
      </c>
      <c r="G7628" t="s">
        <v>2279</v>
      </c>
      <c r="H7628" t="s">
        <v>6188</v>
      </c>
      <c r="I7628">
        <v>0</v>
      </c>
      <c r="J7628" t="s">
        <v>1709</v>
      </c>
      <c r="K7628" t="s">
        <v>1861</v>
      </c>
      <c r="L7628" t="s">
        <v>285</v>
      </c>
      <c r="M7628" t="str">
        <f t="shared" si="564"/>
        <v>08</v>
      </c>
      <c r="N7628" t="s">
        <v>12</v>
      </c>
    </row>
    <row r="7629" spans="1:14" x14ac:dyDescent="0.25">
      <c r="A7629">
        <v>20160805</v>
      </c>
      <c r="B7629" t="str">
        <f>"064323"</f>
        <v>064323</v>
      </c>
      <c r="C7629" t="str">
        <f>"77120"</f>
        <v>77120</v>
      </c>
      <c r="D7629" t="s">
        <v>4613</v>
      </c>
      <c r="E7629" s="3">
        <v>20</v>
      </c>
      <c r="F7629">
        <v>20160804</v>
      </c>
      <c r="G7629" t="s">
        <v>2279</v>
      </c>
      <c r="H7629" t="s">
        <v>6188</v>
      </c>
      <c r="I7629">
        <v>0</v>
      </c>
      <c r="J7629" t="s">
        <v>1709</v>
      </c>
      <c r="K7629" t="s">
        <v>1861</v>
      </c>
      <c r="L7629" t="s">
        <v>285</v>
      </c>
      <c r="M7629" t="str">
        <f t="shared" si="564"/>
        <v>08</v>
      </c>
      <c r="N7629" t="s">
        <v>12</v>
      </c>
    </row>
    <row r="7630" spans="1:14" x14ac:dyDescent="0.25">
      <c r="A7630">
        <v>20160805</v>
      </c>
      <c r="B7630" t="str">
        <f>"064324"</f>
        <v>064324</v>
      </c>
      <c r="C7630" t="str">
        <f>"78726"</f>
        <v>78726</v>
      </c>
      <c r="D7630" t="s">
        <v>2772</v>
      </c>
      <c r="E7630" s="3">
        <v>10860</v>
      </c>
      <c r="F7630">
        <v>20160804</v>
      </c>
      <c r="G7630" t="s">
        <v>2773</v>
      </c>
      <c r="H7630" t="s">
        <v>6189</v>
      </c>
      <c r="I7630">
        <v>0</v>
      </c>
      <c r="J7630" t="s">
        <v>1709</v>
      </c>
      <c r="K7630" t="s">
        <v>2252</v>
      </c>
      <c r="L7630" t="s">
        <v>285</v>
      </c>
      <c r="M7630" t="str">
        <f t="shared" si="564"/>
        <v>08</v>
      </c>
      <c r="N7630" t="s">
        <v>12</v>
      </c>
    </row>
    <row r="7631" spans="1:14" x14ac:dyDescent="0.25">
      <c r="A7631">
        <v>20160805</v>
      </c>
      <c r="B7631" t="str">
        <f>"064324"</f>
        <v>064324</v>
      </c>
      <c r="C7631" t="str">
        <f>"78726"</f>
        <v>78726</v>
      </c>
      <c r="D7631" t="s">
        <v>2772</v>
      </c>
      <c r="E7631" s="3">
        <v>1836</v>
      </c>
      <c r="F7631">
        <v>20160804</v>
      </c>
      <c r="G7631" t="s">
        <v>2773</v>
      </c>
      <c r="H7631" t="s">
        <v>6107</v>
      </c>
      <c r="I7631">
        <v>0</v>
      </c>
      <c r="J7631" t="s">
        <v>1709</v>
      </c>
      <c r="K7631" t="s">
        <v>2252</v>
      </c>
      <c r="L7631" t="s">
        <v>285</v>
      </c>
      <c r="M7631" t="str">
        <f t="shared" si="564"/>
        <v>08</v>
      </c>
      <c r="N7631" t="s">
        <v>12</v>
      </c>
    </row>
    <row r="7632" spans="1:14" x14ac:dyDescent="0.25">
      <c r="A7632">
        <v>20160805</v>
      </c>
      <c r="B7632" t="str">
        <f>"064325"</f>
        <v>064325</v>
      </c>
      <c r="C7632" t="str">
        <f>"79661"</f>
        <v>79661</v>
      </c>
      <c r="D7632" t="s">
        <v>2403</v>
      </c>
      <c r="E7632" s="3">
        <v>184</v>
      </c>
      <c r="F7632">
        <v>20160804</v>
      </c>
      <c r="G7632" t="s">
        <v>5918</v>
      </c>
      <c r="H7632" t="s">
        <v>6190</v>
      </c>
      <c r="I7632">
        <v>0</v>
      </c>
      <c r="J7632" t="s">
        <v>1709</v>
      </c>
      <c r="K7632" t="s">
        <v>1643</v>
      </c>
      <c r="L7632" t="s">
        <v>285</v>
      </c>
      <c r="M7632" t="str">
        <f t="shared" si="564"/>
        <v>08</v>
      </c>
      <c r="N7632" t="s">
        <v>12</v>
      </c>
    </row>
    <row r="7633" spans="1:14" x14ac:dyDescent="0.25">
      <c r="A7633">
        <v>20160805</v>
      </c>
      <c r="B7633" t="str">
        <f>"064326"</f>
        <v>064326</v>
      </c>
      <c r="C7633" t="str">
        <f>"80481"</f>
        <v>80481</v>
      </c>
      <c r="D7633" t="s">
        <v>1935</v>
      </c>
      <c r="E7633" s="3">
        <v>74</v>
      </c>
      <c r="F7633">
        <v>20160804</v>
      </c>
      <c r="G7633" t="s">
        <v>1940</v>
      </c>
      <c r="H7633" t="s">
        <v>5977</v>
      </c>
      <c r="I7633">
        <v>0</v>
      </c>
      <c r="J7633" t="s">
        <v>1709</v>
      </c>
      <c r="K7633" t="s">
        <v>290</v>
      </c>
      <c r="L7633" t="s">
        <v>285</v>
      </c>
      <c r="M7633" t="str">
        <f t="shared" si="564"/>
        <v>08</v>
      </c>
      <c r="N7633" t="s">
        <v>12</v>
      </c>
    </row>
    <row r="7634" spans="1:14" x14ac:dyDescent="0.25">
      <c r="A7634">
        <v>20160805</v>
      </c>
      <c r="B7634" t="str">
        <f>"064326"</f>
        <v>064326</v>
      </c>
      <c r="C7634" t="str">
        <f>"80481"</f>
        <v>80481</v>
      </c>
      <c r="D7634" t="s">
        <v>1935</v>
      </c>
      <c r="E7634" s="3">
        <v>74</v>
      </c>
      <c r="F7634">
        <v>20160804</v>
      </c>
      <c r="G7634" t="s">
        <v>1940</v>
      </c>
      <c r="H7634" t="s">
        <v>5977</v>
      </c>
      <c r="I7634">
        <v>0</v>
      </c>
      <c r="J7634" t="s">
        <v>1709</v>
      </c>
      <c r="K7634" t="s">
        <v>290</v>
      </c>
      <c r="L7634" t="s">
        <v>285</v>
      </c>
      <c r="M7634" t="str">
        <f t="shared" si="564"/>
        <v>08</v>
      </c>
      <c r="N7634" t="s">
        <v>12</v>
      </c>
    </row>
    <row r="7635" spans="1:14" x14ac:dyDescent="0.25">
      <c r="A7635">
        <v>20160805</v>
      </c>
      <c r="B7635" t="str">
        <f>"064326"</f>
        <v>064326</v>
      </c>
      <c r="C7635" t="str">
        <f>"80481"</f>
        <v>80481</v>
      </c>
      <c r="D7635" t="s">
        <v>1935</v>
      </c>
      <c r="E7635" s="3">
        <v>78.78</v>
      </c>
      <c r="F7635">
        <v>20160804</v>
      </c>
      <c r="G7635" t="s">
        <v>1941</v>
      </c>
      <c r="H7635" t="s">
        <v>6191</v>
      </c>
      <c r="I7635">
        <v>0</v>
      </c>
      <c r="J7635" t="s">
        <v>1709</v>
      </c>
      <c r="K7635" t="s">
        <v>1942</v>
      </c>
      <c r="L7635" t="s">
        <v>285</v>
      </c>
      <c r="M7635" t="str">
        <f t="shared" si="564"/>
        <v>08</v>
      </c>
      <c r="N7635" t="s">
        <v>12</v>
      </c>
    </row>
    <row r="7636" spans="1:14" x14ac:dyDescent="0.25">
      <c r="A7636">
        <v>20160805</v>
      </c>
      <c r="B7636" t="str">
        <f>"064326"</f>
        <v>064326</v>
      </c>
      <c r="C7636" t="str">
        <f>"80481"</f>
        <v>80481</v>
      </c>
      <c r="D7636" t="s">
        <v>1935</v>
      </c>
      <c r="E7636" s="3">
        <v>136.85</v>
      </c>
      <c r="F7636">
        <v>20160804</v>
      </c>
      <c r="G7636" t="s">
        <v>1941</v>
      </c>
      <c r="H7636" t="s">
        <v>5977</v>
      </c>
      <c r="I7636">
        <v>0</v>
      </c>
      <c r="J7636" t="s">
        <v>1709</v>
      </c>
      <c r="K7636" t="s">
        <v>1942</v>
      </c>
      <c r="L7636" t="s">
        <v>285</v>
      </c>
      <c r="M7636" t="str">
        <f t="shared" si="564"/>
        <v>08</v>
      </c>
      <c r="N7636" t="s">
        <v>12</v>
      </c>
    </row>
    <row r="7637" spans="1:14" x14ac:dyDescent="0.25">
      <c r="A7637">
        <v>20160805</v>
      </c>
      <c r="B7637" t="str">
        <f>"064327"</f>
        <v>064327</v>
      </c>
      <c r="C7637" t="str">
        <f>"82126"</f>
        <v>82126</v>
      </c>
      <c r="D7637" t="s">
        <v>1800</v>
      </c>
      <c r="E7637" s="3">
        <v>15</v>
      </c>
      <c r="F7637">
        <v>20160804</v>
      </c>
      <c r="G7637" t="s">
        <v>2785</v>
      </c>
      <c r="H7637" t="s">
        <v>5398</v>
      </c>
      <c r="I7637">
        <v>0</v>
      </c>
      <c r="J7637" t="s">
        <v>1709</v>
      </c>
      <c r="K7637" t="s">
        <v>95</v>
      </c>
      <c r="L7637" t="s">
        <v>285</v>
      </c>
      <c r="M7637" t="str">
        <f t="shared" si="564"/>
        <v>08</v>
      </c>
      <c r="N7637" t="s">
        <v>12</v>
      </c>
    </row>
    <row r="7638" spans="1:14" x14ac:dyDescent="0.25">
      <c r="A7638">
        <v>20160805</v>
      </c>
      <c r="B7638" t="str">
        <f>"064328"</f>
        <v>064328</v>
      </c>
      <c r="C7638" t="str">
        <f>"82432"</f>
        <v>82432</v>
      </c>
      <c r="D7638" t="s">
        <v>4454</v>
      </c>
      <c r="E7638" s="3">
        <v>33.880000000000003</v>
      </c>
      <c r="F7638">
        <v>20160804</v>
      </c>
      <c r="G7638" t="s">
        <v>3127</v>
      </c>
      <c r="H7638" t="s">
        <v>5724</v>
      </c>
      <c r="I7638">
        <v>0</v>
      </c>
      <c r="J7638" t="s">
        <v>1709</v>
      </c>
      <c r="K7638" t="s">
        <v>95</v>
      </c>
      <c r="L7638" t="s">
        <v>285</v>
      </c>
      <c r="M7638" t="str">
        <f t="shared" si="564"/>
        <v>08</v>
      </c>
      <c r="N7638" t="s">
        <v>12</v>
      </c>
    </row>
    <row r="7639" spans="1:14" x14ac:dyDescent="0.25">
      <c r="A7639">
        <v>20160812</v>
      </c>
      <c r="B7639" t="str">
        <f>"064329"</f>
        <v>064329</v>
      </c>
      <c r="C7639" t="str">
        <f>"00314"</f>
        <v>00314</v>
      </c>
      <c r="D7639" t="s">
        <v>2607</v>
      </c>
      <c r="E7639" s="3">
        <v>258.35000000000002</v>
      </c>
      <c r="F7639">
        <v>20160810</v>
      </c>
      <c r="G7639" t="s">
        <v>2671</v>
      </c>
      <c r="H7639" t="s">
        <v>6192</v>
      </c>
      <c r="I7639">
        <v>0</v>
      </c>
      <c r="J7639" t="s">
        <v>1709</v>
      </c>
      <c r="K7639" t="s">
        <v>33</v>
      </c>
      <c r="L7639" t="s">
        <v>285</v>
      </c>
      <c r="M7639" t="str">
        <f t="shared" si="564"/>
        <v>08</v>
      </c>
      <c r="N7639" t="s">
        <v>12</v>
      </c>
    </row>
    <row r="7640" spans="1:14" x14ac:dyDescent="0.25">
      <c r="A7640">
        <v>20160812</v>
      </c>
      <c r="B7640" t="str">
        <f>"064330"</f>
        <v>064330</v>
      </c>
      <c r="C7640" t="str">
        <f>"02230"</f>
        <v>02230</v>
      </c>
      <c r="D7640" t="s">
        <v>1945</v>
      </c>
      <c r="E7640" s="3">
        <v>63.19</v>
      </c>
      <c r="F7640">
        <v>20160810</v>
      </c>
      <c r="G7640" t="s">
        <v>2333</v>
      </c>
      <c r="H7640" t="s">
        <v>5501</v>
      </c>
      <c r="I7640">
        <v>0</v>
      </c>
      <c r="J7640" t="s">
        <v>1709</v>
      </c>
      <c r="K7640" t="s">
        <v>290</v>
      </c>
      <c r="L7640" t="s">
        <v>285</v>
      </c>
      <c r="M7640" t="str">
        <f t="shared" si="564"/>
        <v>08</v>
      </c>
      <c r="N7640" t="s">
        <v>12</v>
      </c>
    </row>
    <row r="7641" spans="1:14" x14ac:dyDescent="0.25">
      <c r="A7641">
        <v>20160812</v>
      </c>
      <c r="B7641" t="str">
        <f>"064331"</f>
        <v>064331</v>
      </c>
      <c r="C7641" t="str">
        <f>"29779"</f>
        <v>29779</v>
      </c>
      <c r="D7641" t="s">
        <v>1806</v>
      </c>
      <c r="E7641" s="3">
        <v>550</v>
      </c>
      <c r="F7641">
        <v>20160810</v>
      </c>
      <c r="G7641" t="s">
        <v>2192</v>
      </c>
      <c r="H7641" t="s">
        <v>6193</v>
      </c>
      <c r="I7641">
        <v>0</v>
      </c>
      <c r="J7641" t="s">
        <v>1709</v>
      </c>
      <c r="K7641" t="s">
        <v>2194</v>
      </c>
      <c r="L7641" t="s">
        <v>285</v>
      </c>
      <c r="M7641" t="str">
        <f t="shared" si="564"/>
        <v>08</v>
      </c>
      <c r="N7641" t="s">
        <v>12</v>
      </c>
    </row>
    <row r="7642" spans="1:14" x14ac:dyDescent="0.25">
      <c r="A7642">
        <v>20160812</v>
      </c>
      <c r="B7642" t="str">
        <f>"064331"</f>
        <v>064331</v>
      </c>
      <c r="C7642" t="str">
        <f>"29779"</f>
        <v>29779</v>
      </c>
      <c r="D7642" t="s">
        <v>1806</v>
      </c>
      <c r="E7642" s="3">
        <v>1680</v>
      </c>
      <c r="F7642">
        <v>20160810</v>
      </c>
      <c r="G7642" t="s">
        <v>2192</v>
      </c>
      <c r="H7642" t="s">
        <v>6194</v>
      </c>
      <c r="I7642">
        <v>0</v>
      </c>
      <c r="J7642" t="s">
        <v>1709</v>
      </c>
      <c r="K7642" t="s">
        <v>2194</v>
      </c>
      <c r="L7642" t="s">
        <v>285</v>
      </c>
      <c r="M7642" t="str">
        <f t="shared" si="564"/>
        <v>08</v>
      </c>
      <c r="N7642" t="s">
        <v>12</v>
      </c>
    </row>
    <row r="7643" spans="1:14" x14ac:dyDescent="0.25">
      <c r="A7643">
        <v>20160812</v>
      </c>
      <c r="B7643" t="str">
        <f>"064331"</f>
        <v>064331</v>
      </c>
      <c r="C7643" t="str">
        <f>"29779"</f>
        <v>29779</v>
      </c>
      <c r="D7643" t="s">
        <v>1806</v>
      </c>
      <c r="E7643" s="3">
        <v>1435</v>
      </c>
      <c r="F7643">
        <v>20160810</v>
      </c>
      <c r="G7643" t="s">
        <v>2192</v>
      </c>
      <c r="H7643" t="s">
        <v>6195</v>
      </c>
      <c r="I7643">
        <v>0</v>
      </c>
      <c r="J7643" t="s">
        <v>1709</v>
      </c>
      <c r="K7643" t="s">
        <v>2194</v>
      </c>
      <c r="L7643" t="s">
        <v>285</v>
      </c>
      <c r="M7643" t="str">
        <f t="shared" si="564"/>
        <v>08</v>
      </c>
      <c r="N7643" t="s">
        <v>12</v>
      </c>
    </row>
    <row r="7644" spans="1:14" x14ac:dyDescent="0.25">
      <c r="A7644">
        <v>20160812</v>
      </c>
      <c r="B7644" t="str">
        <f>"064333"</f>
        <v>064333</v>
      </c>
      <c r="C7644" t="str">
        <f>"08719"</f>
        <v>08719</v>
      </c>
      <c r="D7644" t="s">
        <v>2052</v>
      </c>
      <c r="E7644" s="3">
        <v>120.83</v>
      </c>
      <c r="F7644">
        <v>20160810</v>
      </c>
      <c r="G7644" t="s">
        <v>1974</v>
      </c>
      <c r="H7644" t="s">
        <v>5398</v>
      </c>
      <c r="I7644">
        <v>0</v>
      </c>
      <c r="J7644" t="s">
        <v>1709</v>
      </c>
      <c r="K7644" t="s">
        <v>290</v>
      </c>
      <c r="L7644" t="s">
        <v>285</v>
      </c>
      <c r="M7644" t="str">
        <f t="shared" si="564"/>
        <v>08</v>
      </c>
      <c r="N7644" t="s">
        <v>12</v>
      </c>
    </row>
    <row r="7645" spans="1:14" x14ac:dyDescent="0.25">
      <c r="A7645">
        <v>20160812</v>
      </c>
      <c r="B7645" t="str">
        <f>"064337"</f>
        <v>064337</v>
      </c>
      <c r="C7645" t="str">
        <f>"11081"</f>
        <v>11081</v>
      </c>
      <c r="D7645" t="s">
        <v>6196</v>
      </c>
      <c r="E7645" s="3">
        <v>815</v>
      </c>
      <c r="F7645">
        <v>20160810</v>
      </c>
      <c r="G7645" t="s">
        <v>6197</v>
      </c>
      <c r="H7645" t="s">
        <v>6198</v>
      </c>
      <c r="I7645">
        <v>0</v>
      </c>
      <c r="J7645" t="s">
        <v>1709</v>
      </c>
      <c r="K7645" t="s">
        <v>290</v>
      </c>
      <c r="L7645" t="s">
        <v>285</v>
      </c>
      <c r="M7645" t="str">
        <f t="shared" si="564"/>
        <v>08</v>
      </c>
      <c r="N7645" t="s">
        <v>12</v>
      </c>
    </row>
    <row r="7646" spans="1:14" x14ac:dyDescent="0.25">
      <c r="A7646">
        <v>20160812</v>
      </c>
      <c r="B7646" t="str">
        <f>"064338"</f>
        <v>064338</v>
      </c>
      <c r="C7646" t="str">
        <f>"11570"</f>
        <v>11570</v>
      </c>
      <c r="D7646" t="s">
        <v>5816</v>
      </c>
      <c r="E7646" s="3">
        <v>203.48</v>
      </c>
      <c r="F7646">
        <v>20160811</v>
      </c>
      <c r="G7646" t="s">
        <v>1916</v>
      </c>
      <c r="H7646" t="s">
        <v>6199</v>
      </c>
      <c r="I7646">
        <v>0</v>
      </c>
      <c r="J7646" t="s">
        <v>1709</v>
      </c>
      <c r="K7646" t="s">
        <v>1782</v>
      </c>
      <c r="L7646" t="s">
        <v>285</v>
      </c>
      <c r="M7646" t="str">
        <f t="shared" si="564"/>
        <v>08</v>
      </c>
      <c r="N7646" t="s">
        <v>12</v>
      </c>
    </row>
    <row r="7647" spans="1:14" x14ac:dyDescent="0.25">
      <c r="A7647">
        <v>20160812</v>
      </c>
      <c r="B7647" t="str">
        <f>"064339"</f>
        <v>064339</v>
      </c>
      <c r="C7647" t="str">
        <f>"19140"</f>
        <v>19140</v>
      </c>
      <c r="D7647" t="s">
        <v>4122</v>
      </c>
      <c r="E7647" s="3">
        <v>12261</v>
      </c>
      <c r="F7647">
        <v>20160811</v>
      </c>
      <c r="G7647" t="s">
        <v>4123</v>
      </c>
      <c r="H7647" t="s">
        <v>6200</v>
      </c>
      <c r="I7647">
        <v>0</v>
      </c>
      <c r="J7647" t="s">
        <v>1709</v>
      </c>
      <c r="K7647" t="s">
        <v>235</v>
      </c>
      <c r="L7647" t="s">
        <v>285</v>
      </c>
      <c r="M7647" t="str">
        <f t="shared" si="564"/>
        <v>08</v>
      </c>
      <c r="N7647" t="s">
        <v>12</v>
      </c>
    </row>
    <row r="7648" spans="1:14" x14ac:dyDescent="0.25">
      <c r="A7648">
        <v>20160812</v>
      </c>
      <c r="B7648" t="str">
        <f>"064341"</f>
        <v>064341</v>
      </c>
      <c r="C7648" t="str">
        <f>"22284"</f>
        <v>22284</v>
      </c>
      <c r="D7648" t="s">
        <v>2231</v>
      </c>
      <c r="E7648" s="3">
        <v>219.45</v>
      </c>
      <c r="F7648">
        <v>20160812</v>
      </c>
      <c r="G7648" t="s">
        <v>1859</v>
      </c>
      <c r="H7648" t="s">
        <v>6201</v>
      </c>
      <c r="I7648">
        <v>0</v>
      </c>
      <c r="J7648" t="s">
        <v>1709</v>
      </c>
      <c r="K7648" t="s">
        <v>1861</v>
      </c>
      <c r="L7648" t="s">
        <v>285</v>
      </c>
      <c r="M7648" t="str">
        <f t="shared" si="564"/>
        <v>08</v>
      </c>
      <c r="N7648" t="s">
        <v>12</v>
      </c>
    </row>
    <row r="7649" spans="1:14" x14ac:dyDescent="0.25">
      <c r="A7649">
        <v>20160812</v>
      </c>
      <c r="B7649" t="str">
        <f>"064342"</f>
        <v>064342</v>
      </c>
      <c r="C7649" t="str">
        <f>"14184"</f>
        <v>14184</v>
      </c>
      <c r="D7649" t="s">
        <v>6202</v>
      </c>
      <c r="E7649" s="3">
        <v>62.69</v>
      </c>
      <c r="F7649">
        <v>20160810</v>
      </c>
      <c r="G7649" t="s">
        <v>6056</v>
      </c>
      <c r="H7649" t="s">
        <v>6203</v>
      </c>
      <c r="I7649">
        <v>0</v>
      </c>
      <c r="J7649" t="s">
        <v>1709</v>
      </c>
      <c r="K7649" t="s">
        <v>1942</v>
      </c>
      <c r="L7649" t="s">
        <v>285</v>
      </c>
      <c r="M7649" t="str">
        <f t="shared" si="564"/>
        <v>08</v>
      </c>
      <c r="N7649" t="s">
        <v>12</v>
      </c>
    </row>
    <row r="7650" spans="1:14" x14ac:dyDescent="0.25">
      <c r="A7650">
        <v>20160812</v>
      </c>
      <c r="B7650" t="str">
        <f>"064343"</f>
        <v>064343</v>
      </c>
      <c r="C7650" t="str">
        <f>"19425"</f>
        <v>19425</v>
      </c>
      <c r="D7650" t="s">
        <v>2631</v>
      </c>
      <c r="E7650" s="3">
        <v>192</v>
      </c>
      <c r="F7650">
        <v>20160810</v>
      </c>
      <c r="G7650" t="s">
        <v>2360</v>
      </c>
      <c r="H7650" t="s">
        <v>6204</v>
      </c>
      <c r="I7650">
        <v>0</v>
      </c>
      <c r="J7650" t="s">
        <v>1709</v>
      </c>
      <c r="K7650" t="s">
        <v>1856</v>
      </c>
      <c r="L7650" t="s">
        <v>285</v>
      </c>
      <c r="M7650" t="str">
        <f t="shared" si="564"/>
        <v>08</v>
      </c>
      <c r="N7650" t="s">
        <v>12</v>
      </c>
    </row>
    <row r="7651" spans="1:14" x14ac:dyDescent="0.25">
      <c r="A7651">
        <v>20160812</v>
      </c>
      <c r="B7651" t="str">
        <f>"064343"</f>
        <v>064343</v>
      </c>
      <c r="C7651" t="str">
        <f>"19425"</f>
        <v>19425</v>
      </c>
      <c r="D7651" t="s">
        <v>2631</v>
      </c>
      <c r="E7651" s="3">
        <v>358.8</v>
      </c>
      <c r="F7651">
        <v>20160810</v>
      </c>
      <c r="G7651" t="s">
        <v>2360</v>
      </c>
      <c r="H7651" t="s">
        <v>6205</v>
      </c>
      <c r="I7651">
        <v>0</v>
      </c>
      <c r="J7651" t="s">
        <v>1709</v>
      </c>
      <c r="K7651" t="s">
        <v>1856</v>
      </c>
      <c r="L7651" t="s">
        <v>285</v>
      </c>
      <c r="M7651" t="str">
        <f t="shared" si="564"/>
        <v>08</v>
      </c>
      <c r="N7651" t="s">
        <v>12</v>
      </c>
    </row>
    <row r="7652" spans="1:14" x14ac:dyDescent="0.25">
      <c r="A7652">
        <v>20160812</v>
      </c>
      <c r="B7652" t="str">
        <f>"064343"</f>
        <v>064343</v>
      </c>
      <c r="C7652" t="str">
        <f>"19425"</f>
        <v>19425</v>
      </c>
      <c r="D7652" t="s">
        <v>2631</v>
      </c>
      <c r="E7652" s="3">
        <v>735</v>
      </c>
      <c r="F7652">
        <v>20160810</v>
      </c>
      <c r="G7652" t="s">
        <v>2360</v>
      </c>
      <c r="H7652" t="s">
        <v>6206</v>
      </c>
      <c r="I7652">
        <v>0</v>
      </c>
      <c r="J7652" t="s">
        <v>1709</v>
      </c>
      <c r="K7652" t="s">
        <v>1856</v>
      </c>
      <c r="L7652" t="s">
        <v>285</v>
      </c>
      <c r="M7652" t="str">
        <f t="shared" si="564"/>
        <v>08</v>
      </c>
      <c r="N7652" t="s">
        <v>12</v>
      </c>
    </row>
    <row r="7653" spans="1:14" x14ac:dyDescent="0.25">
      <c r="A7653">
        <v>20160812</v>
      </c>
      <c r="B7653" t="str">
        <f>"064343"</f>
        <v>064343</v>
      </c>
      <c r="C7653" t="str">
        <f>"19425"</f>
        <v>19425</v>
      </c>
      <c r="D7653" t="s">
        <v>2631</v>
      </c>
      <c r="E7653" s="3">
        <v>465.4</v>
      </c>
      <c r="F7653">
        <v>20160810</v>
      </c>
      <c r="G7653" t="s">
        <v>2360</v>
      </c>
      <c r="H7653" t="s">
        <v>6207</v>
      </c>
      <c r="I7653">
        <v>0</v>
      </c>
      <c r="J7653" t="s">
        <v>1709</v>
      </c>
      <c r="K7653" t="s">
        <v>1856</v>
      </c>
      <c r="L7653" t="s">
        <v>285</v>
      </c>
      <c r="M7653" t="str">
        <f t="shared" si="564"/>
        <v>08</v>
      </c>
      <c r="N7653" t="s">
        <v>12</v>
      </c>
    </row>
    <row r="7654" spans="1:14" x14ac:dyDescent="0.25">
      <c r="A7654">
        <v>20160812</v>
      </c>
      <c r="B7654" t="str">
        <f>"064343"</f>
        <v>064343</v>
      </c>
      <c r="C7654" t="str">
        <f>"19425"</f>
        <v>19425</v>
      </c>
      <c r="D7654" t="s">
        <v>2631</v>
      </c>
      <c r="E7654" s="3">
        <v>181.6</v>
      </c>
      <c r="F7654">
        <v>20160810</v>
      </c>
      <c r="G7654" t="s">
        <v>2360</v>
      </c>
      <c r="H7654" t="s">
        <v>6208</v>
      </c>
      <c r="I7654">
        <v>0</v>
      </c>
      <c r="J7654" t="s">
        <v>1709</v>
      </c>
      <c r="K7654" t="s">
        <v>1856</v>
      </c>
      <c r="L7654" t="s">
        <v>285</v>
      </c>
      <c r="M7654" t="str">
        <f t="shared" si="564"/>
        <v>08</v>
      </c>
      <c r="N7654" t="s">
        <v>12</v>
      </c>
    </row>
    <row r="7655" spans="1:14" x14ac:dyDescent="0.25">
      <c r="A7655">
        <v>20160812</v>
      </c>
      <c r="B7655" t="str">
        <f>"064344"</f>
        <v>064344</v>
      </c>
      <c r="C7655" t="str">
        <f>"20683"</f>
        <v>20683</v>
      </c>
      <c r="D7655" t="s">
        <v>1818</v>
      </c>
      <c r="E7655" s="3">
        <v>51.19</v>
      </c>
      <c r="F7655">
        <v>20160810</v>
      </c>
      <c r="G7655" t="s">
        <v>2469</v>
      </c>
      <c r="H7655" t="s">
        <v>6209</v>
      </c>
      <c r="I7655">
        <v>0</v>
      </c>
      <c r="J7655" t="s">
        <v>1709</v>
      </c>
      <c r="K7655" t="s">
        <v>290</v>
      </c>
      <c r="L7655" t="s">
        <v>285</v>
      </c>
      <c r="M7655" t="str">
        <f t="shared" si="564"/>
        <v>08</v>
      </c>
      <c r="N7655" t="s">
        <v>12</v>
      </c>
    </row>
    <row r="7656" spans="1:14" x14ac:dyDescent="0.25">
      <c r="A7656">
        <v>20160812</v>
      </c>
      <c r="B7656" t="str">
        <f>"064344"</f>
        <v>064344</v>
      </c>
      <c r="C7656" t="str">
        <f>"20683"</f>
        <v>20683</v>
      </c>
      <c r="D7656" t="s">
        <v>1818</v>
      </c>
      <c r="E7656" s="3">
        <v>51.21</v>
      </c>
      <c r="F7656">
        <v>20160810</v>
      </c>
      <c r="G7656" t="s">
        <v>2469</v>
      </c>
      <c r="H7656" t="s">
        <v>6210</v>
      </c>
      <c r="I7656">
        <v>0</v>
      </c>
      <c r="J7656" t="s">
        <v>1709</v>
      </c>
      <c r="K7656" t="s">
        <v>290</v>
      </c>
      <c r="L7656" t="s">
        <v>285</v>
      </c>
      <c r="M7656" t="str">
        <f t="shared" si="564"/>
        <v>08</v>
      </c>
      <c r="N7656" t="s">
        <v>12</v>
      </c>
    </row>
    <row r="7657" spans="1:14" x14ac:dyDescent="0.25">
      <c r="A7657">
        <v>20160812</v>
      </c>
      <c r="B7657" t="str">
        <f>"064344"</f>
        <v>064344</v>
      </c>
      <c r="C7657" t="str">
        <f>"20683"</f>
        <v>20683</v>
      </c>
      <c r="D7657" t="s">
        <v>1818</v>
      </c>
      <c r="E7657" s="3">
        <v>12.84</v>
      </c>
      <c r="F7657">
        <v>20160810</v>
      </c>
      <c r="G7657" t="s">
        <v>2333</v>
      </c>
      <c r="H7657" t="s">
        <v>6209</v>
      </c>
      <c r="I7657">
        <v>0</v>
      </c>
      <c r="J7657" t="s">
        <v>1709</v>
      </c>
      <c r="K7657" t="s">
        <v>290</v>
      </c>
      <c r="L7657" t="s">
        <v>285</v>
      </c>
      <c r="M7657" t="str">
        <f t="shared" si="564"/>
        <v>08</v>
      </c>
      <c r="N7657" t="s">
        <v>12</v>
      </c>
    </row>
    <row r="7658" spans="1:14" x14ac:dyDescent="0.25">
      <c r="A7658">
        <v>20160812</v>
      </c>
      <c r="B7658" t="str">
        <f>"064344"</f>
        <v>064344</v>
      </c>
      <c r="C7658" t="str">
        <f>"20683"</f>
        <v>20683</v>
      </c>
      <c r="D7658" t="s">
        <v>1818</v>
      </c>
      <c r="E7658" s="3">
        <v>12.82</v>
      </c>
      <c r="F7658">
        <v>20160810</v>
      </c>
      <c r="G7658" t="s">
        <v>2333</v>
      </c>
      <c r="H7658" t="s">
        <v>6210</v>
      </c>
      <c r="I7658">
        <v>0</v>
      </c>
      <c r="J7658" t="s">
        <v>1709</v>
      </c>
      <c r="K7658" t="s">
        <v>290</v>
      </c>
      <c r="L7658" t="s">
        <v>285</v>
      </c>
      <c r="M7658" t="str">
        <f t="shared" ref="M7658:M7721" si="567">"08"</f>
        <v>08</v>
      </c>
      <c r="N7658" t="s">
        <v>12</v>
      </c>
    </row>
    <row r="7659" spans="1:14" x14ac:dyDescent="0.25">
      <c r="A7659">
        <v>20160812</v>
      </c>
      <c r="B7659" t="str">
        <f>"064345"</f>
        <v>064345</v>
      </c>
      <c r="C7659" t="str">
        <f>"20696"</f>
        <v>20696</v>
      </c>
      <c r="D7659" t="s">
        <v>4233</v>
      </c>
      <c r="E7659" s="3">
        <v>60</v>
      </c>
      <c r="F7659">
        <v>20160810</v>
      </c>
      <c r="G7659" t="s">
        <v>2279</v>
      </c>
      <c r="H7659" t="s">
        <v>6211</v>
      </c>
      <c r="I7659">
        <v>0</v>
      </c>
      <c r="J7659" t="s">
        <v>1709</v>
      </c>
      <c r="K7659" t="s">
        <v>1861</v>
      </c>
      <c r="L7659" t="s">
        <v>285</v>
      </c>
      <c r="M7659" t="str">
        <f t="shared" si="567"/>
        <v>08</v>
      </c>
      <c r="N7659" t="s">
        <v>12</v>
      </c>
    </row>
    <row r="7660" spans="1:14" x14ac:dyDescent="0.25">
      <c r="A7660">
        <v>20160812</v>
      </c>
      <c r="B7660" t="str">
        <f>"064346"</f>
        <v>064346</v>
      </c>
      <c r="C7660" t="str">
        <f>"21080"</f>
        <v>21080</v>
      </c>
      <c r="D7660" t="s">
        <v>6212</v>
      </c>
      <c r="E7660" s="3">
        <v>280</v>
      </c>
      <c r="F7660">
        <v>20160811</v>
      </c>
      <c r="G7660" t="s">
        <v>6213</v>
      </c>
      <c r="H7660" t="s">
        <v>6214</v>
      </c>
      <c r="I7660">
        <v>0</v>
      </c>
      <c r="J7660" t="s">
        <v>1709</v>
      </c>
      <c r="K7660" t="s">
        <v>235</v>
      </c>
      <c r="L7660" t="s">
        <v>285</v>
      </c>
      <c r="M7660" t="str">
        <f t="shared" si="567"/>
        <v>08</v>
      </c>
      <c r="N7660" t="s">
        <v>12</v>
      </c>
    </row>
    <row r="7661" spans="1:14" x14ac:dyDescent="0.25">
      <c r="A7661">
        <v>20160812</v>
      </c>
      <c r="B7661" t="str">
        <f>"064347"</f>
        <v>064347</v>
      </c>
      <c r="C7661" t="str">
        <f>"21769"</f>
        <v>21769</v>
      </c>
      <c r="D7661" t="s">
        <v>1836</v>
      </c>
      <c r="E7661" s="3">
        <v>1218</v>
      </c>
      <c r="F7661">
        <v>20160811</v>
      </c>
      <c r="G7661" t="s">
        <v>2192</v>
      </c>
      <c r="H7661" t="s">
        <v>6215</v>
      </c>
      <c r="I7661">
        <v>0</v>
      </c>
      <c r="J7661" t="s">
        <v>1709</v>
      </c>
      <c r="K7661" t="s">
        <v>2194</v>
      </c>
      <c r="L7661" t="s">
        <v>285</v>
      </c>
      <c r="M7661" t="str">
        <f t="shared" si="567"/>
        <v>08</v>
      </c>
      <c r="N7661" t="s">
        <v>12</v>
      </c>
    </row>
    <row r="7662" spans="1:14" x14ac:dyDescent="0.25">
      <c r="A7662">
        <v>20160812</v>
      </c>
      <c r="B7662" t="str">
        <f>"064348"</f>
        <v>064348</v>
      </c>
      <c r="C7662" t="str">
        <f>"24130"</f>
        <v>24130</v>
      </c>
      <c r="D7662" t="s">
        <v>2278</v>
      </c>
      <c r="E7662" s="3">
        <v>325</v>
      </c>
      <c r="F7662">
        <v>20160810</v>
      </c>
      <c r="G7662" t="s">
        <v>2281</v>
      </c>
      <c r="H7662" t="s">
        <v>6216</v>
      </c>
      <c r="I7662">
        <v>0</v>
      </c>
      <c r="J7662" t="s">
        <v>1709</v>
      </c>
      <c r="K7662" t="s">
        <v>290</v>
      </c>
      <c r="L7662" t="s">
        <v>285</v>
      </c>
      <c r="M7662" t="str">
        <f t="shared" si="567"/>
        <v>08</v>
      </c>
      <c r="N7662" t="s">
        <v>12</v>
      </c>
    </row>
    <row r="7663" spans="1:14" x14ac:dyDescent="0.25">
      <c r="A7663">
        <v>20160812</v>
      </c>
      <c r="B7663" t="str">
        <f>"064348"</f>
        <v>064348</v>
      </c>
      <c r="C7663" t="str">
        <f>"24130"</f>
        <v>24130</v>
      </c>
      <c r="D7663" t="s">
        <v>2278</v>
      </c>
      <c r="E7663" s="3">
        <v>2400</v>
      </c>
      <c r="F7663">
        <v>20160810</v>
      </c>
      <c r="G7663" t="s">
        <v>2281</v>
      </c>
      <c r="H7663" t="s">
        <v>6217</v>
      </c>
      <c r="I7663">
        <v>0</v>
      </c>
      <c r="J7663" t="s">
        <v>1709</v>
      </c>
      <c r="K7663" t="s">
        <v>290</v>
      </c>
      <c r="L7663" t="s">
        <v>285</v>
      </c>
      <c r="M7663" t="str">
        <f t="shared" si="567"/>
        <v>08</v>
      </c>
      <c r="N7663" t="s">
        <v>12</v>
      </c>
    </row>
    <row r="7664" spans="1:14" x14ac:dyDescent="0.25">
      <c r="A7664">
        <v>20160812</v>
      </c>
      <c r="B7664" t="str">
        <f>"064348"</f>
        <v>064348</v>
      </c>
      <c r="C7664" t="str">
        <f>"24130"</f>
        <v>24130</v>
      </c>
      <c r="D7664" t="s">
        <v>2278</v>
      </c>
      <c r="E7664" s="3">
        <v>982.5</v>
      </c>
      <c r="F7664">
        <v>20160810</v>
      </c>
      <c r="G7664" t="s">
        <v>4289</v>
      </c>
      <c r="H7664" t="s">
        <v>6218</v>
      </c>
      <c r="I7664">
        <v>0</v>
      </c>
      <c r="J7664" t="s">
        <v>1709</v>
      </c>
      <c r="K7664" t="s">
        <v>1643</v>
      </c>
      <c r="L7664" t="s">
        <v>285</v>
      </c>
      <c r="M7664" t="str">
        <f t="shared" si="567"/>
        <v>08</v>
      </c>
      <c r="N7664" t="s">
        <v>12</v>
      </c>
    </row>
    <row r="7665" spans="1:14" x14ac:dyDescent="0.25">
      <c r="A7665">
        <v>20160812</v>
      </c>
      <c r="B7665" t="str">
        <f>"064349"</f>
        <v>064349</v>
      </c>
      <c r="C7665" t="str">
        <f>"24196"</f>
        <v>24196</v>
      </c>
      <c r="D7665" t="s">
        <v>6219</v>
      </c>
      <c r="E7665" s="3">
        <v>22000</v>
      </c>
      <c r="F7665">
        <v>20160810</v>
      </c>
      <c r="G7665" t="s">
        <v>6220</v>
      </c>
      <c r="H7665" t="s">
        <v>6221</v>
      </c>
      <c r="I7665">
        <v>0</v>
      </c>
      <c r="J7665" t="s">
        <v>1709</v>
      </c>
      <c r="K7665" t="s">
        <v>290</v>
      </c>
      <c r="L7665" t="s">
        <v>285</v>
      </c>
      <c r="M7665" t="str">
        <f t="shared" si="567"/>
        <v>08</v>
      </c>
      <c r="N7665" t="s">
        <v>12</v>
      </c>
    </row>
    <row r="7666" spans="1:14" x14ac:dyDescent="0.25">
      <c r="A7666">
        <v>20160812</v>
      </c>
      <c r="B7666" t="str">
        <f>"064351"</f>
        <v>064351</v>
      </c>
      <c r="C7666" t="str">
        <f>"27900"</f>
        <v>27900</v>
      </c>
      <c r="D7666" t="s">
        <v>1596</v>
      </c>
      <c r="E7666" s="3">
        <v>858.71</v>
      </c>
      <c r="F7666">
        <v>20160810</v>
      </c>
      <c r="G7666" t="s">
        <v>2083</v>
      </c>
      <c r="H7666" t="s">
        <v>6222</v>
      </c>
      <c r="I7666">
        <v>0</v>
      </c>
      <c r="J7666" t="s">
        <v>1709</v>
      </c>
      <c r="K7666" t="s">
        <v>290</v>
      </c>
      <c r="L7666" t="s">
        <v>285</v>
      </c>
      <c r="M7666" t="str">
        <f t="shared" si="567"/>
        <v>08</v>
      </c>
      <c r="N7666" t="s">
        <v>12</v>
      </c>
    </row>
    <row r="7667" spans="1:14" x14ac:dyDescent="0.25">
      <c r="A7667">
        <v>20160812</v>
      </c>
      <c r="B7667" t="str">
        <f>"064351"</f>
        <v>064351</v>
      </c>
      <c r="C7667" t="str">
        <f>"27900"</f>
        <v>27900</v>
      </c>
      <c r="D7667" t="s">
        <v>1596</v>
      </c>
      <c r="E7667" s="3">
        <v>858.71</v>
      </c>
      <c r="F7667">
        <v>20160810</v>
      </c>
      <c r="G7667" t="s">
        <v>2086</v>
      </c>
      <c r="H7667" t="s">
        <v>6222</v>
      </c>
      <c r="I7667">
        <v>0</v>
      </c>
      <c r="J7667" t="s">
        <v>1709</v>
      </c>
      <c r="K7667" t="s">
        <v>95</v>
      </c>
      <c r="L7667" t="s">
        <v>285</v>
      </c>
      <c r="M7667" t="str">
        <f t="shared" si="567"/>
        <v>08</v>
      </c>
      <c r="N7667" t="s">
        <v>12</v>
      </c>
    </row>
    <row r="7668" spans="1:14" x14ac:dyDescent="0.25">
      <c r="A7668">
        <v>20160812</v>
      </c>
      <c r="B7668" t="str">
        <f>"064351"</f>
        <v>064351</v>
      </c>
      <c r="C7668" t="str">
        <f>"27900"</f>
        <v>27900</v>
      </c>
      <c r="D7668" t="s">
        <v>1596</v>
      </c>
      <c r="E7668" s="3">
        <v>858.71</v>
      </c>
      <c r="F7668">
        <v>20160810</v>
      </c>
      <c r="G7668" t="s">
        <v>2087</v>
      </c>
      <c r="H7668" t="s">
        <v>6222</v>
      </c>
      <c r="I7668">
        <v>0</v>
      </c>
      <c r="J7668" t="s">
        <v>1709</v>
      </c>
      <c r="K7668" t="s">
        <v>1643</v>
      </c>
      <c r="L7668" t="s">
        <v>285</v>
      </c>
      <c r="M7668" t="str">
        <f t="shared" si="567"/>
        <v>08</v>
      </c>
      <c r="N7668" t="s">
        <v>12</v>
      </c>
    </row>
    <row r="7669" spans="1:14" x14ac:dyDescent="0.25">
      <c r="A7669">
        <v>20160812</v>
      </c>
      <c r="B7669" t="str">
        <f>"064351"</f>
        <v>064351</v>
      </c>
      <c r="C7669" t="str">
        <f>"27900"</f>
        <v>27900</v>
      </c>
      <c r="D7669" t="s">
        <v>1596</v>
      </c>
      <c r="E7669" s="3">
        <v>858.7</v>
      </c>
      <c r="F7669">
        <v>20160810</v>
      </c>
      <c r="G7669" t="s">
        <v>2088</v>
      </c>
      <c r="H7669" t="s">
        <v>6222</v>
      </c>
      <c r="I7669">
        <v>0</v>
      </c>
      <c r="J7669" t="s">
        <v>1709</v>
      </c>
      <c r="K7669" t="s">
        <v>33</v>
      </c>
      <c r="L7669" t="s">
        <v>285</v>
      </c>
      <c r="M7669" t="str">
        <f t="shared" si="567"/>
        <v>08</v>
      </c>
      <c r="N7669" t="s">
        <v>12</v>
      </c>
    </row>
    <row r="7670" spans="1:14" x14ac:dyDescent="0.25">
      <c r="A7670">
        <v>20160812</v>
      </c>
      <c r="B7670" t="str">
        <f>"064352"</f>
        <v>064352</v>
      </c>
      <c r="C7670" t="str">
        <f>"28820"</f>
        <v>28820</v>
      </c>
      <c r="D7670" t="s">
        <v>2647</v>
      </c>
      <c r="E7670" s="3">
        <v>118</v>
      </c>
      <c r="F7670">
        <v>20160810</v>
      </c>
      <c r="G7670" t="s">
        <v>2648</v>
      </c>
      <c r="H7670" t="s">
        <v>6223</v>
      </c>
      <c r="I7670">
        <v>0</v>
      </c>
      <c r="J7670" t="s">
        <v>1709</v>
      </c>
      <c r="K7670" t="s">
        <v>2377</v>
      </c>
      <c r="L7670" t="s">
        <v>285</v>
      </c>
      <c r="M7670" t="str">
        <f t="shared" si="567"/>
        <v>08</v>
      </c>
      <c r="N7670" t="s">
        <v>12</v>
      </c>
    </row>
    <row r="7671" spans="1:14" x14ac:dyDescent="0.25">
      <c r="A7671">
        <v>20160812</v>
      </c>
      <c r="B7671" t="str">
        <f>"064353"</f>
        <v>064353</v>
      </c>
      <c r="C7671" t="str">
        <f>"29500"</f>
        <v>29500</v>
      </c>
      <c r="D7671" t="s">
        <v>1698</v>
      </c>
      <c r="E7671" s="3">
        <v>60.45</v>
      </c>
      <c r="F7671">
        <v>20160811</v>
      </c>
      <c r="G7671" t="s">
        <v>1859</v>
      </c>
      <c r="H7671" t="s">
        <v>2295</v>
      </c>
      <c r="I7671">
        <v>0</v>
      </c>
      <c r="J7671" t="s">
        <v>1709</v>
      </c>
      <c r="K7671" t="s">
        <v>1861</v>
      </c>
      <c r="L7671" t="s">
        <v>285</v>
      </c>
      <c r="M7671" t="str">
        <f t="shared" si="567"/>
        <v>08</v>
      </c>
      <c r="N7671" t="s">
        <v>12</v>
      </c>
    </row>
    <row r="7672" spans="1:14" x14ac:dyDescent="0.25">
      <c r="A7672">
        <v>20160812</v>
      </c>
      <c r="B7672" t="str">
        <f>"064354"</f>
        <v>064354</v>
      </c>
      <c r="C7672" t="str">
        <f>"29548"</f>
        <v>29548</v>
      </c>
      <c r="D7672" t="s">
        <v>1862</v>
      </c>
      <c r="E7672" s="3">
        <v>365</v>
      </c>
      <c r="F7672">
        <v>20160811</v>
      </c>
      <c r="G7672" t="s">
        <v>1859</v>
      </c>
      <c r="H7672" t="s">
        <v>6224</v>
      </c>
      <c r="I7672">
        <v>0</v>
      </c>
      <c r="J7672" t="s">
        <v>1709</v>
      </c>
      <c r="K7672" t="s">
        <v>1861</v>
      </c>
      <c r="L7672" t="s">
        <v>285</v>
      </c>
      <c r="M7672" t="str">
        <f t="shared" si="567"/>
        <v>08</v>
      </c>
      <c r="N7672" t="s">
        <v>12</v>
      </c>
    </row>
    <row r="7673" spans="1:14" x14ac:dyDescent="0.25">
      <c r="A7673">
        <v>20160812</v>
      </c>
      <c r="B7673" t="str">
        <f>"064355"</f>
        <v>064355</v>
      </c>
      <c r="C7673" t="str">
        <f>"29622"</f>
        <v>29622</v>
      </c>
      <c r="D7673" t="s">
        <v>1734</v>
      </c>
      <c r="E7673" s="3">
        <v>5.24</v>
      </c>
      <c r="F7673">
        <v>20160811</v>
      </c>
      <c r="G7673" t="s">
        <v>3226</v>
      </c>
      <c r="H7673" t="s">
        <v>6225</v>
      </c>
      <c r="I7673">
        <v>0</v>
      </c>
      <c r="J7673" t="s">
        <v>1709</v>
      </c>
      <c r="K7673" t="s">
        <v>2377</v>
      </c>
      <c r="L7673" t="s">
        <v>285</v>
      </c>
      <c r="M7673" t="str">
        <f t="shared" si="567"/>
        <v>08</v>
      </c>
      <c r="N7673" t="s">
        <v>12</v>
      </c>
    </row>
    <row r="7674" spans="1:14" x14ac:dyDescent="0.25">
      <c r="A7674">
        <v>20160812</v>
      </c>
      <c r="B7674" t="str">
        <f>"064357"</f>
        <v>064357</v>
      </c>
      <c r="C7674" t="str">
        <f>"31361"</f>
        <v>31361</v>
      </c>
      <c r="D7674" t="s">
        <v>6226</v>
      </c>
      <c r="E7674" s="3">
        <v>139.27000000000001</v>
      </c>
      <c r="F7674">
        <v>20160811</v>
      </c>
      <c r="G7674" t="s">
        <v>3079</v>
      </c>
      <c r="H7674" t="s">
        <v>6227</v>
      </c>
      <c r="I7674">
        <v>0</v>
      </c>
      <c r="J7674" t="s">
        <v>1709</v>
      </c>
      <c r="K7674" t="s">
        <v>95</v>
      </c>
      <c r="L7674" t="s">
        <v>285</v>
      </c>
      <c r="M7674" t="str">
        <f t="shared" si="567"/>
        <v>08</v>
      </c>
      <c r="N7674" t="s">
        <v>12</v>
      </c>
    </row>
    <row r="7675" spans="1:14" x14ac:dyDescent="0.25">
      <c r="A7675">
        <v>20160812</v>
      </c>
      <c r="B7675" t="str">
        <f t="shared" ref="B7675:B7683" si="568">"064362"</f>
        <v>064362</v>
      </c>
      <c r="C7675" t="str">
        <f t="shared" ref="C7675:C7683" si="569">"41230"</f>
        <v>41230</v>
      </c>
      <c r="D7675" t="s">
        <v>604</v>
      </c>
      <c r="E7675" s="3">
        <v>34.380000000000003</v>
      </c>
      <c r="F7675">
        <v>20160811</v>
      </c>
      <c r="G7675" t="s">
        <v>2230</v>
      </c>
      <c r="H7675" t="s">
        <v>6228</v>
      </c>
      <c r="I7675">
        <v>0</v>
      </c>
      <c r="J7675" t="s">
        <v>1709</v>
      </c>
      <c r="K7675" t="s">
        <v>1643</v>
      </c>
      <c r="L7675" t="s">
        <v>285</v>
      </c>
      <c r="M7675" t="str">
        <f t="shared" si="567"/>
        <v>08</v>
      </c>
      <c r="N7675" t="s">
        <v>12</v>
      </c>
    </row>
    <row r="7676" spans="1:14" x14ac:dyDescent="0.25">
      <c r="A7676">
        <v>20160812</v>
      </c>
      <c r="B7676" t="str">
        <f t="shared" si="568"/>
        <v>064362</v>
      </c>
      <c r="C7676" t="str">
        <f t="shared" si="569"/>
        <v>41230</v>
      </c>
      <c r="D7676" t="s">
        <v>604</v>
      </c>
      <c r="E7676" s="3">
        <v>24.95</v>
      </c>
      <c r="F7676">
        <v>20160811</v>
      </c>
      <c r="G7676" t="s">
        <v>1758</v>
      </c>
      <c r="H7676" t="s">
        <v>6229</v>
      </c>
      <c r="I7676">
        <v>0</v>
      </c>
      <c r="J7676" t="s">
        <v>1709</v>
      </c>
      <c r="K7676" t="s">
        <v>1643</v>
      </c>
      <c r="L7676" t="s">
        <v>285</v>
      </c>
      <c r="M7676" t="str">
        <f t="shared" si="567"/>
        <v>08</v>
      </c>
      <c r="N7676" t="s">
        <v>12</v>
      </c>
    </row>
    <row r="7677" spans="1:14" x14ac:dyDescent="0.25">
      <c r="A7677">
        <v>20160812</v>
      </c>
      <c r="B7677" t="str">
        <f t="shared" si="568"/>
        <v>064362</v>
      </c>
      <c r="C7677" t="str">
        <f t="shared" si="569"/>
        <v>41230</v>
      </c>
      <c r="D7677" t="s">
        <v>604</v>
      </c>
      <c r="E7677" s="3">
        <v>478</v>
      </c>
      <c r="F7677">
        <v>20160811</v>
      </c>
      <c r="G7677" t="s">
        <v>5887</v>
      </c>
      <c r="H7677" t="s">
        <v>6230</v>
      </c>
      <c r="I7677">
        <v>0</v>
      </c>
      <c r="J7677" t="s">
        <v>1709</v>
      </c>
      <c r="K7677" t="s">
        <v>1643</v>
      </c>
      <c r="L7677" t="s">
        <v>285</v>
      </c>
      <c r="M7677" t="str">
        <f t="shared" si="567"/>
        <v>08</v>
      </c>
      <c r="N7677" t="s">
        <v>12</v>
      </c>
    </row>
    <row r="7678" spans="1:14" x14ac:dyDescent="0.25">
      <c r="A7678">
        <v>20160812</v>
      </c>
      <c r="B7678" t="str">
        <f t="shared" si="568"/>
        <v>064362</v>
      </c>
      <c r="C7678" t="str">
        <f t="shared" si="569"/>
        <v>41230</v>
      </c>
      <c r="D7678" t="s">
        <v>604</v>
      </c>
      <c r="E7678" s="3">
        <v>199.8</v>
      </c>
      <c r="F7678">
        <v>20160811</v>
      </c>
      <c r="G7678" t="s">
        <v>2074</v>
      </c>
      <c r="H7678" t="s">
        <v>2295</v>
      </c>
      <c r="I7678">
        <v>0</v>
      </c>
      <c r="J7678" t="s">
        <v>1709</v>
      </c>
      <c r="K7678" t="s">
        <v>1861</v>
      </c>
      <c r="L7678" t="s">
        <v>285</v>
      </c>
      <c r="M7678" t="str">
        <f t="shared" si="567"/>
        <v>08</v>
      </c>
      <c r="N7678" t="s">
        <v>12</v>
      </c>
    </row>
    <row r="7679" spans="1:14" x14ac:dyDescent="0.25">
      <c r="A7679">
        <v>20160812</v>
      </c>
      <c r="B7679" t="str">
        <f t="shared" si="568"/>
        <v>064362</v>
      </c>
      <c r="C7679" t="str">
        <f t="shared" si="569"/>
        <v>41230</v>
      </c>
      <c r="D7679" t="s">
        <v>604</v>
      </c>
      <c r="E7679" s="3">
        <v>580.30999999999995</v>
      </c>
      <c r="F7679">
        <v>20160811</v>
      </c>
      <c r="G7679" t="s">
        <v>2074</v>
      </c>
      <c r="H7679" t="s">
        <v>2295</v>
      </c>
      <c r="I7679">
        <v>0</v>
      </c>
      <c r="J7679" t="s">
        <v>1709</v>
      </c>
      <c r="K7679" t="s">
        <v>1861</v>
      </c>
      <c r="L7679" t="s">
        <v>285</v>
      </c>
      <c r="M7679" t="str">
        <f t="shared" si="567"/>
        <v>08</v>
      </c>
      <c r="N7679" t="s">
        <v>12</v>
      </c>
    </row>
    <row r="7680" spans="1:14" x14ac:dyDescent="0.25">
      <c r="A7680">
        <v>20160812</v>
      </c>
      <c r="B7680" t="str">
        <f t="shared" si="568"/>
        <v>064362</v>
      </c>
      <c r="C7680" t="str">
        <f t="shared" si="569"/>
        <v>41230</v>
      </c>
      <c r="D7680" t="s">
        <v>604</v>
      </c>
      <c r="E7680" s="3">
        <v>206.77</v>
      </c>
      <c r="F7680">
        <v>20160811</v>
      </c>
      <c r="G7680" t="s">
        <v>2074</v>
      </c>
      <c r="H7680" t="s">
        <v>2295</v>
      </c>
      <c r="I7680">
        <v>0</v>
      </c>
      <c r="J7680" t="s">
        <v>1709</v>
      </c>
      <c r="K7680" t="s">
        <v>1861</v>
      </c>
      <c r="L7680" t="s">
        <v>285</v>
      </c>
      <c r="M7680" t="str">
        <f t="shared" si="567"/>
        <v>08</v>
      </c>
      <c r="N7680" t="s">
        <v>12</v>
      </c>
    </row>
    <row r="7681" spans="1:14" x14ac:dyDescent="0.25">
      <c r="A7681">
        <v>20160812</v>
      </c>
      <c r="B7681" t="str">
        <f t="shared" si="568"/>
        <v>064362</v>
      </c>
      <c r="C7681" t="str">
        <f t="shared" si="569"/>
        <v>41230</v>
      </c>
      <c r="D7681" t="s">
        <v>604</v>
      </c>
      <c r="E7681" s="3">
        <v>66.599999999999994</v>
      </c>
      <c r="F7681">
        <v>20160811</v>
      </c>
      <c r="G7681" t="s">
        <v>2074</v>
      </c>
      <c r="H7681" t="s">
        <v>2295</v>
      </c>
      <c r="I7681">
        <v>0</v>
      </c>
      <c r="J7681" t="s">
        <v>1709</v>
      </c>
      <c r="K7681" t="s">
        <v>1861</v>
      </c>
      <c r="L7681" t="s">
        <v>285</v>
      </c>
      <c r="M7681" t="str">
        <f t="shared" si="567"/>
        <v>08</v>
      </c>
      <c r="N7681" t="s">
        <v>12</v>
      </c>
    </row>
    <row r="7682" spans="1:14" x14ac:dyDescent="0.25">
      <c r="A7682">
        <v>20160812</v>
      </c>
      <c r="B7682" t="str">
        <f t="shared" si="568"/>
        <v>064362</v>
      </c>
      <c r="C7682" t="str">
        <f t="shared" si="569"/>
        <v>41230</v>
      </c>
      <c r="D7682" t="s">
        <v>604</v>
      </c>
      <c r="E7682" s="3">
        <v>71.42</v>
      </c>
      <c r="F7682">
        <v>20160811</v>
      </c>
      <c r="G7682" t="s">
        <v>2074</v>
      </c>
      <c r="H7682" t="s">
        <v>2295</v>
      </c>
      <c r="I7682">
        <v>0</v>
      </c>
      <c r="J7682" t="s">
        <v>1709</v>
      </c>
      <c r="K7682" t="s">
        <v>1861</v>
      </c>
      <c r="L7682" t="s">
        <v>285</v>
      </c>
      <c r="M7682" t="str">
        <f t="shared" si="567"/>
        <v>08</v>
      </c>
      <c r="N7682" t="s">
        <v>12</v>
      </c>
    </row>
    <row r="7683" spans="1:14" x14ac:dyDescent="0.25">
      <c r="A7683">
        <v>20160812</v>
      </c>
      <c r="B7683" t="str">
        <f t="shared" si="568"/>
        <v>064362</v>
      </c>
      <c r="C7683" t="str">
        <f t="shared" si="569"/>
        <v>41230</v>
      </c>
      <c r="D7683" t="s">
        <v>604</v>
      </c>
      <c r="E7683" s="3">
        <v>149.75</v>
      </c>
      <c r="F7683">
        <v>20160811</v>
      </c>
      <c r="G7683" t="s">
        <v>2074</v>
      </c>
      <c r="H7683" t="s">
        <v>2295</v>
      </c>
      <c r="I7683">
        <v>0</v>
      </c>
      <c r="J7683" t="s">
        <v>1709</v>
      </c>
      <c r="K7683" t="s">
        <v>1861</v>
      </c>
      <c r="L7683" t="s">
        <v>285</v>
      </c>
      <c r="M7683" t="str">
        <f t="shared" si="567"/>
        <v>08</v>
      </c>
      <c r="N7683" t="s">
        <v>12</v>
      </c>
    </row>
    <row r="7684" spans="1:14" x14ac:dyDescent="0.25">
      <c r="A7684">
        <v>20160812</v>
      </c>
      <c r="B7684" t="str">
        <f>"064363"</f>
        <v>064363</v>
      </c>
      <c r="C7684" t="str">
        <f>"42194"</f>
        <v>42194</v>
      </c>
      <c r="D7684" t="s">
        <v>1874</v>
      </c>
      <c r="E7684" s="3">
        <v>89754.64</v>
      </c>
      <c r="F7684">
        <v>20160811</v>
      </c>
      <c r="G7684" t="s">
        <v>2890</v>
      </c>
      <c r="H7684" t="s">
        <v>6231</v>
      </c>
      <c r="I7684">
        <v>0</v>
      </c>
      <c r="J7684" t="s">
        <v>1709</v>
      </c>
      <c r="K7684" t="s">
        <v>1861</v>
      </c>
      <c r="L7684" t="s">
        <v>285</v>
      </c>
      <c r="M7684" t="str">
        <f t="shared" si="567"/>
        <v>08</v>
      </c>
      <c r="N7684" t="s">
        <v>12</v>
      </c>
    </row>
    <row r="7685" spans="1:14" x14ac:dyDescent="0.25">
      <c r="A7685">
        <v>20160812</v>
      </c>
      <c r="B7685" t="str">
        <f>"064364"</f>
        <v>064364</v>
      </c>
      <c r="C7685" t="str">
        <f>"42256"</f>
        <v>42256</v>
      </c>
      <c r="D7685" t="s">
        <v>6232</v>
      </c>
      <c r="E7685" s="3">
        <v>235</v>
      </c>
      <c r="F7685">
        <v>20160811</v>
      </c>
      <c r="G7685" t="s">
        <v>1840</v>
      </c>
      <c r="H7685" t="s">
        <v>6233</v>
      </c>
      <c r="I7685">
        <v>0</v>
      </c>
      <c r="J7685" t="s">
        <v>1709</v>
      </c>
      <c r="K7685" t="s">
        <v>1744</v>
      </c>
      <c r="L7685" t="s">
        <v>285</v>
      </c>
      <c r="M7685" t="str">
        <f t="shared" si="567"/>
        <v>08</v>
      </c>
      <c r="N7685" t="s">
        <v>12</v>
      </c>
    </row>
    <row r="7686" spans="1:14" x14ac:dyDescent="0.25">
      <c r="A7686">
        <v>20160812</v>
      </c>
      <c r="B7686" t="str">
        <f>"064366"</f>
        <v>064366</v>
      </c>
      <c r="C7686" t="str">
        <f>"43532"</f>
        <v>43532</v>
      </c>
      <c r="D7686" t="s">
        <v>1979</v>
      </c>
      <c r="E7686" s="3">
        <v>470</v>
      </c>
      <c r="F7686">
        <v>20160811</v>
      </c>
      <c r="G7686" t="s">
        <v>2087</v>
      </c>
      <c r="H7686" t="s">
        <v>5754</v>
      </c>
      <c r="I7686">
        <v>0</v>
      </c>
      <c r="J7686" t="s">
        <v>1709</v>
      </c>
      <c r="K7686" t="s">
        <v>1643</v>
      </c>
      <c r="L7686" t="s">
        <v>285</v>
      </c>
      <c r="M7686" t="str">
        <f t="shared" si="567"/>
        <v>08</v>
      </c>
      <c r="N7686" t="s">
        <v>12</v>
      </c>
    </row>
    <row r="7687" spans="1:14" x14ac:dyDescent="0.25">
      <c r="A7687">
        <v>20160812</v>
      </c>
      <c r="B7687" t="str">
        <f>"064366"</f>
        <v>064366</v>
      </c>
      <c r="C7687" t="str">
        <f>"43532"</f>
        <v>43532</v>
      </c>
      <c r="D7687" t="s">
        <v>1979</v>
      </c>
      <c r="E7687" s="3">
        <v>475</v>
      </c>
      <c r="F7687">
        <v>20160811</v>
      </c>
      <c r="G7687" t="s">
        <v>2088</v>
      </c>
      <c r="H7687" t="s">
        <v>5754</v>
      </c>
      <c r="I7687">
        <v>0</v>
      </c>
      <c r="J7687" t="s">
        <v>1709</v>
      </c>
      <c r="K7687" t="s">
        <v>33</v>
      </c>
      <c r="L7687" t="s">
        <v>285</v>
      </c>
      <c r="M7687" t="str">
        <f t="shared" si="567"/>
        <v>08</v>
      </c>
      <c r="N7687" t="s">
        <v>12</v>
      </c>
    </row>
    <row r="7688" spans="1:14" x14ac:dyDescent="0.25">
      <c r="A7688">
        <v>20160812</v>
      </c>
      <c r="B7688" t="str">
        <f>"064367"</f>
        <v>064367</v>
      </c>
      <c r="C7688" t="str">
        <f>"55929"</f>
        <v>55929</v>
      </c>
      <c r="D7688" t="s">
        <v>1003</v>
      </c>
      <c r="E7688" s="3">
        <v>20.7</v>
      </c>
      <c r="F7688">
        <v>20160811</v>
      </c>
      <c r="G7688" t="s">
        <v>3942</v>
      </c>
      <c r="H7688" t="s">
        <v>6234</v>
      </c>
      <c r="I7688">
        <v>0</v>
      </c>
      <c r="J7688" t="s">
        <v>1709</v>
      </c>
      <c r="K7688" t="s">
        <v>95</v>
      </c>
      <c r="L7688" t="s">
        <v>285</v>
      </c>
      <c r="M7688" t="str">
        <f t="shared" si="567"/>
        <v>08</v>
      </c>
      <c r="N7688" t="s">
        <v>12</v>
      </c>
    </row>
    <row r="7689" spans="1:14" x14ac:dyDescent="0.25">
      <c r="A7689">
        <v>20160812</v>
      </c>
      <c r="B7689" t="str">
        <f>"064368"</f>
        <v>064368</v>
      </c>
      <c r="C7689" t="str">
        <f>"45496"</f>
        <v>45496</v>
      </c>
      <c r="D7689" t="s">
        <v>2327</v>
      </c>
      <c r="E7689" s="3">
        <v>146.88</v>
      </c>
      <c r="F7689">
        <v>20160811</v>
      </c>
      <c r="G7689" t="s">
        <v>2047</v>
      </c>
      <c r="H7689" t="s">
        <v>595</v>
      </c>
      <c r="I7689">
        <v>0</v>
      </c>
      <c r="J7689" t="s">
        <v>1709</v>
      </c>
      <c r="K7689" t="s">
        <v>1882</v>
      </c>
      <c r="L7689" t="s">
        <v>285</v>
      </c>
      <c r="M7689" t="str">
        <f t="shared" si="567"/>
        <v>08</v>
      </c>
      <c r="N7689" t="s">
        <v>12</v>
      </c>
    </row>
    <row r="7690" spans="1:14" x14ac:dyDescent="0.25">
      <c r="A7690">
        <v>20160812</v>
      </c>
      <c r="B7690" t="str">
        <f>"064369"</f>
        <v>064369</v>
      </c>
      <c r="C7690" t="str">
        <f>"45855"</f>
        <v>45855</v>
      </c>
      <c r="D7690" t="s">
        <v>2546</v>
      </c>
      <c r="E7690" s="3">
        <v>60.91</v>
      </c>
      <c r="F7690">
        <v>20160811</v>
      </c>
      <c r="G7690" t="s">
        <v>2995</v>
      </c>
      <c r="H7690" t="s">
        <v>6235</v>
      </c>
      <c r="I7690">
        <v>0</v>
      </c>
      <c r="J7690" t="s">
        <v>1709</v>
      </c>
      <c r="K7690" t="s">
        <v>2194</v>
      </c>
      <c r="L7690" t="s">
        <v>285</v>
      </c>
      <c r="M7690" t="str">
        <f t="shared" si="567"/>
        <v>08</v>
      </c>
      <c r="N7690" t="s">
        <v>12</v>
      </c>
    </row>
    <row r="7691" spans="1:14" x14ac:dyDescent="0.25">
      <c r="A7691">
        <v>20160812</v>
      </c>
      <c r="B7691" t="str">
        <f>"064370"</f>
        <v>064370</v>
      </c>
      <c r="C7691" t="str">
        <f>"46351"</f>
        <v>46351</v>
      </c>
      <c r="D7691" t="s">
        <v>2518</v>
      </c>
      <c r="E7691" s="3">
        <v>10363.49</v>
      </c>
      <c r="F7691">
        <v>20160811</v>
      </c>
      <c r="G7691" t="s">
        <v>1995</v>
      </c>
      <c r="H7691" t="s">
        <v>5977</v>
      </c>
      <c r="I7691">
        <v>0</v>
      </c>
      <c r="J7691" t="s">
        <v>1709</v>
      </c>
      <c r="K7691" t="s">
        <v>235</v>
      </c>
      <c r="L7691" t="s">
        <v>285</v>
      </c>
      <c r="M7691" t="str">
        <f t="shared" si="567"/>
        <v>08</v>
      </c>
      <c r="N7691" t="s">
        <v>12</v>
      </c>
    </row>
    <row r="7692" spans="1:14" x14ac:dyDescent="0.25">
      <c r="A7692">
        <v>20160812</v>
      </c>
      <c r="B7692" t="str">
        <f>"064370"</f>
        <v>064370</v>
      </c>
      <c r="C7692" t="str">
        <f>"46351"</f>
        <v>46351</v>
      </c>
      <c r="D7692" t="s">
        <v>2518</v>
      </c>
      <c r="E7692" s="3">
        <v>4248.04</v>
      </c>
      <c r="F7692">
        <v>20160811</v>
      </c>
      <c r="G7692" t="s">
        <v>2523</v>
      </c>
      <c r="H7692" t="s">
        <v>5977</v>
      </c>
      <c r="I7692">
        <v>0</v>
      </c>
      <c r="J7692" t="s">
        <v>1709</v>
      </c>
      <c r="K7692" t="s">
        <v>1942</v>
      </c>
      <c r="L7692" t="s">
        <v>285</v>
      </c>
      <c r="M7692" t="str">
        <f t="shared" si="567"/>
        <v>08</v>
      </c>
      <c r="N7692" t="s">
        <v>12</v>
      </c>
    </row>
    <row r="7693" spans="1:14" x14ac:dyDescent="0.25">
      <c r="A7693">
        <v>20160812</v>
      </c>
      <c r="B7693" t="str">
        <f>"064372"</f>
        <v>064372</v>
      </c>
      <c r="C7693" t="str">
        <f>"47728"</f>
        <v>47728</v>
      </c>
      <c r="D7693" t="s">
        <v>2329</v>
      </c>
      <c r="E7693" s="3">
        <v>1595</v>
      </c>
      <c r="F7693">
        <v>20160811</v>
      </c>
      <c r="G7693" t="s">
        <v>6213</v>
      </c>
      <c r="H7693" t="s">
        <v>6236</v>
      </c>
      <c r="I7693">
        <v>0</v>
      </c>
      <c r="J7693" t="s">
        <v>1709</v>
      </c>
      <c r="K7693" t="s">
        <v>235</v>
      </c>
      <c r="L7693" t="s">
        <v>285</v>
      </c>
      <c r="M7693" t="str">
        <f t="shared" si="567"/>
        <v>08</v>
      </c>
      <c r="N7693" t="s">
        <v>12</v>
      </c>
    </row>
    <row r="7694" spans="1:14" x14ac:dyDescent="0.25">
      <c r="A7694">
        <v>20160812</v>
      </c>
      <c r="B7694" t="str">
        <f>"064373"</f>
        <v>064373</v>
      </c>
      <c r="C7694" t="str">
        <f>"47725"</f>
        <v>47725</v>
      </c>
      <c r="D7694" t="s">
        <v>1883</v>
      </c>
      <c r="E7694" s="3">
        <v>237</v>
      </c>
      <c r="F7694">
        <v>20160811</v>
      </c>
      <c r="G7694" t="s">
        <v>1859</v>
      </c>
      <c r="H7694" t="s">
        <v>6237</v>
      </c>
      <c r="I7694">
        <v>0</v>
      </c>
      <c r="J7694" t="s">
        <v>1709</v>
      </c>
      <c r="K7694" t="s">
        <v>1861</v>
      </c>
      <c r="L7694" t="s">
        <v>285</v>
      </c>
      <c r="M7694" t="str">
        <f t="shared" si="567"/>
        <v>08</v>
      </c>
      <c r="N7694" t="s">
        <v>12</v>
      </c>
    </row>
    <row r="7695" spans="1:14" x14ac:dyDescent="0.25">
      <c r="A7695">
        <v>20160812</v>
      </c>
      <c r="B7695" t="str">
        <f>"064373"</f>
        <v>064373</v>
      </c>
      <c r="C7695" t="str">
        <f>"47725"</f>
        <v>47725</v>
      </c>
      <c r="D7695" t="s">
        <v>1883</v>
      </c>
      <c r="E7695" s="3">
        <v>201</v>
      </c>
      <c r="F7695">
        <v>20160811</v>
      </c>
      <c r="G7695" t="s">
        <v>1859</v>
      </c>
      <c r="H7695" t="s">
        <v>6238</v>
      </c>
      <c r="I7695">
        <v>0</v>
      </c>
      <c r="J7695" t="s">
        <v>1709</v>
      </c>
      <c r="K7695" t="s">
        <v>1861</v>
      </c>
      <c r="L7695" t="s">
        <v>285</v>
      </c>
      <c r="M7695" t="str">
        <f t="shared" si="567"/>
        <v>08</v>
      </c>
      <c r="N7695" t="s">
        <v>12</v>
      </c>
    </row>
    <row r="7696" spans="1:14" x14ac:dyDescent="0.25">
      <c r="A7696">
        <v>20160812</v>
      </c>
      <c r="B7696" t="str">
        <f>"064375"</f>
        <v>064375</v>
      </c>
      <c r="C7696" t="str">
        <f>"49786"</f>
        <v>49786</v>
      </c>
      <c r="D7696" t="s">
        <v>4935</v>
      </c>
      <c r="E7696" s="3">
        <v>58.51</v>
      </c>
      <c r="F7696">
        <v>20160811</v>
      </c>
      <c r="G7696" t="s">
        <v>6056</v>
      </c>
      <c r="H7696" t="s">
        <v>6239</v>
      </c>
      <c r="I7696">
        <v>0</v>
      </c>
      <c r="J7696" t="s">
        <v>1709</v>
      </c>
      <c r="K7696" t="s">
        <v>1942</v>
      </c>
      <c r="L7696" t="s">
        <v>285</v>
      </c>
      <c r="M7696" t="str">
        <f t="shared" si="567"/>
        <v>08</v>
      </c>
      <c r="N7696" t="s">
        <v>12</v>
      </c>
    </row>
    <row r="7697" spans="1:14" x14ac:dyDescent="0.25">
      <c r="A7697">
        <v>20160812</v>
      </c>
      <c r="B7697" t="str">
        <f>"064376"</f>
        <v>064376</v>
      </c>
      <c r="C7697" t="str">
        <f>"50476"</f>
        <v>50476</v>
      </c>
      <c r="D7697" t="s">
        <v>4814</v>
      </c>
      <c r="E7697" s="3">
        <v>300</v>
      </c>
      <c r="F7697">
        <v>20160811</v>
      </c>
      <c r="G7697" t="s">
        <v>1788</v>
      </c>
      <c r="H7697" t="s">
        <v>6240</v>
      </c>
      <c r="I7697">
        <v>0</v>
      </c>
      <c r="J7697" t="s">
        <v>1709</v>
      </c>
      <c r="K7697" t="s">
        <v>1643</v>
      </c>
      <c r="L7697" t="s">
        <v>285</v>
      </c>
      <c r="M7697" t="str">
        <f t="shared" si="567"/>
        <v>08</v>
      </c>
      <c r="N7697" t="s">
        <v>12</v>
      </c>
    </row>
    <row r="7698" spans="1:14" x14ac:dyDescent="0.25">
      <c r="A7698">
        <v>20160812</v>
      </c>
      <c r="B7698" t="str">
        <f>"064376"</f>
        <v>064376</v>
      </c>
      <c r="C7698" t="str">
        <f>"50476"</f>
        <v>50476</v>
      </c>
      <c r="D7698" t="s">
        <v>4814</v>
      </c>
      <c r="E7698" s="3">
        <v>300</v>
      </c>
      <c r="F7698">
        <v>20160811</v>
      </c>
      <c r="G7698" t="s">
        <v>1788</v>
      </c>
      <c r="H7698" t="s">
        <v>6241</v>
      </c>
      <c r="I7698">
        <v>0</v>
      </c>
      <c r="J7698" t="s">
        <v>1709</v>
      </c>
      <c r="K7698" t="s">
        <v>1643</v>
      </c>
      <c r="L7698" t="s">
        <v>285</v>
      </c>
      <c r="M7698" t="str">
        <f t="shared" si="567"/>
        <v>08</v>
      </c>
      <c r="N7698" t="s">
        <v>12</v>
      </c>
    </row>
    <row r="7699" spans="1:14" x14ac:dyDescent="0.25">
      <c r="A7699">
        <v>20160812</v>
      </c>
      <c r="B7699" t="str">
        <f>"064377"</f>
        <v>064377</v>
      </c>
      <c r="C7699" t="str">
        <f>"52185"</f>
        <v>52185</v>
      </c>
      <c r="D7699" t="s">
        <v>2130</v>
      </c>
      <c r="E7699" s="3">
        <v>297.89999999999998</v>
      </c>
      <c r="F7699">
        <v>20160811</v>
      </c>
      <c r="G7699" t="s">
        <v>2588</v>
      </c>
      <c r="H7699" t="s">
        <v>6242</v>
      </c>
      <c r="I7699">
        <v>0</v>
      </c>
      <c r="J7699" t="s">
        <v>1709</v>
      </c>
      <c r="K7699" t="s">
        <v>1861</v>
      </c>
      <c r="L7699" t="s">
        <v>285</v>
      </c>
      <c r="M7699" t="str">
        <f t="shared" si="567"/>
        <v>08</v>
      </c>
      <c r="N7699" t="s">
        <v>12</v>
      </c>
    </row>
    <row r="7700" spans="1:14" x14ac:dyDescent="0.25">
      <c r="A7700">
        <v>20160812</v>
      </c>
      <c r="B7700" t="str">
        <f>"064378"</f>
        <v>064378</v>
      </c>
      <c r="C7700" t="str">
        <f>"52994"</f>
        <v>52994</v>
      </c>
      <c r="D7700" t="s">
        <v>6243</v>
      </c>
      <c r="E7700" s="3">
        <v>50000</v>
      </c>
      <c r="F7700">
        <v>20160811</v>
      </c>
      <c r="G7700" t="s">
        <v>6096</v>
      </c>
      <c r="H7700" t="s">
        <v>6244</v>
      </c>
      <c r="I7700">
        <v>0</v>
      </c>
      <c r="J7700" t="s">
        <v>1709</v>
      </c>
      <c r="K7700" t="s">
        <v>1744</v>
      </c>
      <c r="L7700" t="s">
        <v>285</v>
      </c>
      <c r="M7700" t="str">
        <f t="shared" si="567"/>
        <v>08</v>
      </c>
      <c r="N7700" t="s">
        <v>12</v>
      </c>
    </row>
    <row r="7701" spans="1:14" x14ac:dyDescent="0.25">
      <c r="A7701">
        <v>20160812</v>
      </c>
      <c r="B7701" t="str">
        <f>"064380"</f>
        <v>064380</v>
      </c>
      <c r="C7701" t="str">
        <f>"60835"</f>
        <v>60835</v>
      </c>
      <c r="D7701" t="s">
        <v>1904</v>
      </c>
      <c r="E7701" s="3">
        <v>210</v>
      </c>
      <c r="F7701">
        <v>20160811</v>
      </c>
      <c r="G7701" t="s">
        <v>1854</v>
      </c>
      <c r="H7701" t="s">
        <v>6245</v>
      </c>
      <c r="I7701">
        <v>0</v>
      </c>
      <c r="J7701" t="s">
        <v>1709</v>
      </c>
      <c r="K7701" t="s">
        <v>1856</v>
      </c>
      <c r="L7701" t="s">
        <v>285</v>
      </c>
      <c r="M7701" t="str">
        <f t="shared" si="567"/>
        <v>08</v>
      </c>
      <c r="N7701" t="s">
        <v>12</v>
      </c>
    </row>
    <row r="7702" spans="1:14" x14ac:dyDescent="0.25">
      <c r="A7702">
        <v>20160812</v>
      </c>
      <c r="B7702" t="str">
        <f>"064380"</f>
        <v>064380</v>
      </c>
      <c r="C7702" t="str">
        <f>"60835"</f>
        <v>60835</v>
      </c>
      <c r="D7702" t="s">
        <v>1904</v>
      </c>
      <c r="E7702" s="3">
        <v>700</v>
      </c>
      <c r="F7702">
        <v>20160811</v>
      </c>
      <c r="G7702" t="s">
        <v>1854</v>
      </c>
      <c r="H7702" t="s">
        <v>6246</v>
      </c>
      <c r="I7702">
        <v>0</v>
      </c>
      <c r="J7702" t="s">
        <v>1709</v>
      </c>
      <c r="K7702" t="s">
        <v>1856</v>
      </c>
      <c r="L7702" t="s">
        <v>285</v>
      </c>
      <c r="M7702" t="str">
        <f t="shared" si="567"/>
        <v>08</v>
      </c>
      <c r="N7702" t="s">
        <v>12</v>
      </c>
    </row>
    <row r="7703" spans="1:14" x14ac:dyDescent="0.25">
      <c r="A7703">
        <v>20160812</v>
      </c>
      <c r="B7703" t="str">
        <f>"064381"</f>
        <v>064381</v>
      </c>
      <c r="C7703" t="str">
        <f>"61275"</f>
        <v>61275</v>
      </c>
      <c r="D7703" t="s">
        <v>6247</v>
      </c>
      <c r="E7703" s="3">
        <v>1038</v>
      </c>
      <c r="F7703">
        <v>20160811</v>
      </c>
      <c r="G7703" t="s">
        <v>6248</v>
      </c>
      <c r="H7703" t="s">
        <v>6249</v>
      </c>
      <c r="I7703">
        <v>0</v>
      </c>
      <c r="J7703" t="s">
        <v>1709</v>
      </c>
      <c r="K7703" t="s">
        <v>1882</v>
      </c>
      <c r="L7703" t="s">
        <v>285</v>
      </c>
      <c r="M7703" t="str">
        <f t="shared" si="567"/>
        <v>08</v>
      </c>
      <c r="N7703" t="s">
        <v>12</v>
      </c>
    </row>
    <row r="7704" spans="1:14" x14ac:dyDescent="0.25">
      <c r="A7704">
        <v>20160812</v>
      </c>
      <c r="B7704" t="str">
        <f>"064383"</f>
        <v>064383</v>
      </c>
      <c r="C7704" t="str">
        <f>"62340"</f>
        <v>62340</v>
      </c>
      <c r="D7704" t="s">
        <v>1911</v>
      </c>
      <c r="E7704" s="3">
        <v>4135.32</v>
      </c>
      <c r="F7704">
        <v>20160811</v>
      </c>
      <c r="G7704" t="s">
        <v>1912</v>
      </c>
      <c r="H7704" t="s">
        <v>5977</v>
      </c>
      <c r="I7704">
        <v>0</v>
      </c>
      <c r="J7704" t="s">
        <v>1709</v>
      </c>
      <c r="K7704" t="s">
        <v>1861</v>
      </c>
      <c r="L7704" t="s">
        <v>285</v>
      </c>
      <c r="M7704" t="str">
        <f t="shared" si="567"/>
        <v>08</v>
      </c>
      <c r="N7704" t="s">
        <v>12</v>
      </c>
    </row>
    <row r="7705" spans="1:14" x14ac:dyDescent="0.25">
      <c r="A7705">
        <v>20160812</v>
      </c>
      <c r="B7705" t="str">
        <f>"064386"</f>
        <v>064386</v>
      </c>
      <c r="C7705" t="str">
        <f>"64630"</f>
        <v>64630</v>
      </c>
      <c r="D7705" t="s">
        <v>5221</v>
      </c>
      <c r="E7705" s="3">
        <v>249</v>
      </c>
      <c r="F7705">
        <v>20160811</v>
      </c>
      <c r="G7705" t="s">
        <v>2983</v>
      </c>
      <c r="H7705" t="s">
        <v>6250</v>
      </c>
      <c r="I7705">
        <v>0</v>
      </c>
      <c r="J7705" t="s">
        <v>1709</v>
      </c>
      <c r="K7705" t="s">
        <v>290</v>
      </c>
      <c r="L7705" t="s">
        <v>285</v>
      </c>
      <c r="M7705" t="str">
        <f t="shared" si="567"/>
        <v>08</v>
      </c>
      <c r="N7705" t="s">
        <v>12</v>
      </c>
    </row>
    <row r="7706" spans="1:14" x14ac:dyDescent="0.25">
      <c r="A7706">
        <v>20160812</v>
      </c>
      <c r="B7706" t="str">
        <f>"064388"</f>
        <v>064388</v>
      </c>
      <c r="C7706" t="str">
        <f>"80611"</f>
        <v>80611</v>
      </c>
      <c r="D7706" t="s">
        <v>1796</v>
      </c>
      <c r="E7706" s="3">
        <v>2208.33</v>
      </c>
      <c r="F7706">
        <v>20160811</v>
      </c>
      <c r="G7706" t="s">
        <v>2414</v>
      </c>
      <c r="H7706" t="s">
        <v>5501</v>
      </c>
      <c r="I7706">
        <v>0</v>
      </c>
      <c r="J7706" t="s">
        <v>1709</v>
      </c>
      <c r="K7706" t="s">
        <v>133</v>
      </c>
      <c r="L7706" t="s">
        <v>285</v>
      </c>
      <c r="M7706" t="str">
        <f t="shared" si="567"/>
        <v>08</v>
      </c>
      <c r="N7706" t="s">
        <v>12</v>
      </c>
    </row>
    <row r="7707" spans="1:14" x14ac:dyDescent="0.25">
      <c r="A7707">
        <v>20160812</v>
      </c>
      <c r="B7707" t="str">
        <f>"064389"</f>
        <v>064389</v>
      </c>
      <c r="C7707" t="str">
        <f>"81299"</f>
        <v>81299</v>
      </c>
      <c r="D7707" t="s">
        <v>2415</v>
      </c>
      <c r="E7707" s="3">
        <v>1514.5</v>
      </c>
      <c r="F7707">
        <v>20160811</v>
      </c>
      <c r="G7707" t="s">
        <v>2049</v>
      </c>
      <c r="H7707" t="s">
        <v>6251</v>
      </c>
      <c r="I7707">
        <v>0</v>
      </c>
      <c r="J7707" t="s">
        <v>1709</v>
      </c>
      <c r="K7707" t="s">
        <v>1775</v>
      </c>
      <c r="L7707" t="s">
        <v>285</v>
      </c>
      <c r="M7707" t="str">
        <f t="shared" si="567"/>
        <v>08</v>
      </c>
      <c r="N7707" t="s">
        <v>12</v>
      </c>
    </row>
    <row r="7708" spans="1:14" x14ac:dyDescent="0.25">
      <c r="A7708">
        <v>20160812</v>
      </c>
      <c r="B7708" t="str">
        <f>"064390"</f>
        <v>064390</v>
      </c>
      <c r="C7708" t="str">
        <f>"81779"</f>
        <v>81779</v>
      </c>
      <c r="D7708" t="s">
        <v>4697</v>
      </c>
      <c r="E7708" s="3">
        <v>491.2</v>
      </c>
      <c r="F7708">
        <v>20160811</v>
      </c>
      <c r="G7708" t="s">
        <v>6252</v>
      </c>
      <c r="H7708" t="s">
        <v>595</v>
      </c>
      <c r="I7708">
        <v>0</v>
      </c>
      <c r="J7708" t="s">
        <v>1709</v>
      </c>
      <c r="K7708" t="s">
        <v>1942</v>
      </c>
      <c r="L7708" t="s">
        <v>285</v>
      </c>
      <c r="M7708" t="str">
        <f t="shared" si="567"/>
        <v>08</v>
      </c>
      <c r="N7708" t="s">
        <v>12</v>
      </c>
    </row>
    <row r="7709" spans="1:14" x14ac:dyDescent="0.25">
      <c r="A7709">
        <v>20160812</v>
      </c>
      <c r="B7709" t="str">
        <f>"064390"</f>
        <v>064390</v>
      </c>
      <c r="C7709" t="str">
        <f>"81779"</f>
        <v>81779</v>
      </c>
      <c r="D7709" t="s">
        <v>4697</v>
      </c>
      <c r="E7709" s="3">
        <v>1642.81</v>
      </c>
      <c r="F7709">
        <v>20160811</v>
      </c>
      <c r="G7709" t="s">
        <v>6252</v>
      </c>
      <c r="H7709" t="s">
        <v>6253</v>
      </c>
      <c r="I7709">
        <v>0</v>
      </c>
      <c r="J7709" t="s">
        <v>1709</v>
      </c>
      <c r="K7709" t="s">
        <v>1942</v>
      </c>
      <c r="L7709" t="s">
        <v>285</v>
      </c>
      <c r="M7709" t="str">
        <f t="shared" si="567"/>
        <v>08</v>
      </c>
      <c r="N7709" t="s">
        <v>12</v>
      </c>
    </row>
    <row r="7710" spans="1:14" x14ac:dyDescent="0.25">
      <c r="A7710">
        <v>20160812</v>
      </c>
      <c r="B7710" t="str">
        <f>"064391"</f>
        <v>064391</v>
      </c>
      <c r="C7710" t="str">
        <f>"83410"</f>
        <v>83410</v>
      </c>
      <c r="D7710" t="s">
        <v>2601</v>
      </c>
      <c r="E7710" s="3">
        <v>200</v>
      </c>
      <c r="F7710">
        <v>20160811</v>
      </c>
      <c r="G7710" t="s">
        <v>3402</v>
      </c>
      <c r="H7710" t="s">
        <v>6254</v>
      </c>
      <c r="I7710">
        <v>0</v>
      </c>
      <c r="J7710" t="s">
        <v>1709</v>
      </c>
      <c r="K7710" t="s">
        <v>2207</v>
      </c>
      <c r="L7710" t="s">
        <v>285</v>
      </c>
      <c r="M7710" t="str">
        <f t="shared" si="567"/>
        <v>08</v>
      </c>
      <c r="N7710" t="s">
        <v>12</v>
      </c>
    </row>
    <row r="7711" spans="1:14" x14ac:dyDescent="0.25">
      <c r="A7711">
        <v>20160819</v>
      </c>
      <c r="B7711" t="str">
        <f>"064393"</f>
        <v>064393</v>
      </c>
      <c r="C7711" t="str">
        <f>"03710"</f>
        <v>03710</v>
      </c>
      <c r="D7711" t="s">
        <v>1553</v>
      </c>
      <c r="E7711" s="3">
        <v>23.1</v>
      </c>
      <c r="F7711">
        <v>20160817</v>
      </c>
      <c r="G7711" t="s">
        <v>2303</v>
      </c>
      <c r="H7711" t="s">
        <v>595</v>
      </c>
      <c r="I7711">
        <v>0</v>
      </c>
      <c r="J7711" t="s">
        <v>1709</v>
      </c>
      <c r="K7711" t="s">
        <v>235</v>
      </c>
      <c r="L7711" t="s">
        <v>285</v>
      </c>
      <c r="M7711" t="str">
        <f t="shared" si="567"/>
        <v>08</v>
      </c>
      <c r="N7711" t="s">
        <v>12</v>
      </c>
    </row>
    <row r="7712" spans="1:14" x14ac:dyDescent="0.25">
      <c r="A7712">
        <v>20160819</v>
      </c>
      <c r="B7712" t="str">
        <f>"064393"</f>
        <v>064393</v>
      </c>
      <c r="C7712" t="str">
        <f>"03710"</f>
        <v>03710</v>
      </c>
      <c r="D7712" t="s">
        <v>1553</v>
      </c>
      <c r="E7712" s="3">
        <v>44.64</v>
      </c>
      <c r="F7712">
        <v>20160817</v>
      </c>
      <c r="G7712" t="s">
        <v>2303</v>
      </c>
      <c r="H7712" t="s">
        <v>6255</v>
      </c>
      <c r="I7712">
        <v>0</v>
      </c>
      <c r="J7712" t="s">
        <v>1709</v>
      </c>
      <c r="K7712" t="s">
        <v>235</v>
      </c>
      <c r="L7712" t="s">
        <v>285</v>
      </c>
      <c r="M7712" t="str">
        <f t="shared" si="567"/>
        <v>08</v>
      </c>
      <c r="N7712" t="s">
        <v>12</v>
      </c>
    </row>
    <row r="7713" spans="1:14" x14ac:dyDescent="0.25">
      <c r="A7713">
        <v>20160819</v>
      </c>
      <c r="B7713" t="str">
        <f>"064393"</f>
        <v>064393</v>
      </c>
      <c r="C7713" t="str">
        <f>"03710"</f>
        <v>03710</v>
      </c>
      <c r="D7713" t="s">
        <v>1553</v>
      </c>
      <c r="E7713" s="3">
        <v>400</v>
      </c>
      <c r="F7713">
        <v>20160817</v>
      </c>
      <c r="G7713" t="s">
        <v>6256</v>
      </c>
      <c r="H7713" t="s">
        <v>1685</v>
      </c>
      <c r="I7713">
        <v>0</v>
      </c>
      <c r="J7713" t="s">
        <v>1709</v>
      </c>
      <c r="K7713" t="s">
        <v>1558</v>
      </c>
      <c r="L7713" t="s">
        <v>285</v>
      </c>
      <c r="M7713" t="str">
        <f t="shared" si="567"/>
        <v>08</v>
      </c>
      <c r="N7713" t="s">
        <v>12</v>
      </c>
    </row>
    <row r="7714" spans="1:14" x14ac:dyDescent="0.25">
      <c r="A7714">
        <v>20160819</v>
      </c>
      <c r="B7714" t="str">
        <f>"064393"</f>
        <v>064393</v>
      </c>
      <c r="C7714" t="str">
        <f>"03710"</f>
        <v>03710</v>
      </c>
      <c r="D7714" t="s">
        <v>1553</v>
      </c>
      <c r="E7714" s="3">
        <v>880.35</v>
      </c>
      <c r="F7714">
        <v>20160817</v>
      </c>
      <c r="G7714" t="s">
        <v>1933</v>
      </c>
      <c r="H7714" t="s">
        <v>1685</v>
      </c>
      <c r="I7714">
        <v>0</v>
      </c>
      <c r="J7714" t="s">
        <v>1709</v>
      </c>
      <c r="K7714" t="s">
        <v>1558</v>
      </c>
      <c r="L7714" t="s">
        <v>285</v>
      </c>
      <c r="M7714" t="str">
        <f t="shared" si="567"/>
        <v>08</v>
      </c>
      <c r="N7714" t="s">
        <v>12</v>
      </c>
    </row>
    <row r="7715" spans="1:14" x14ac:dyDescent="0.25">
      <c r="A7715">
        <v>20160819</v>
      </c>
      <c r="B7715" t="str">
        <f>"064393"</f>
        <v>064393</v>
      </c>
      <c r="C7715" t="str">
        <f>"03710"</f>
        <v>03710</v>
      </c>
      <c r="D7715" t="s">
        <v>1553</v>
      </c>
      <c r="E7715" s="3">
        <v>86.62</v>
      </c>
      <c r="F7715">
        <v>20160817</v>
      </c>
      <c r="G7715" t="s">
        <v>2049</v>
      </c>
      <c r="H7715" t="s">
        <v>595</v>
      </c>
      <c r="I7715">
        <v>0</v>
      </c>
      <c r="J7715" t="s">
        <v>1709</v>
      </c>
      <c r="K7715" t="s">
        <v>1775</v>
      </c>
      <c r="L7715" t="s">
        <v>285</v>
      </c>
      <c r="M7715" t="str">
        <f t="shared" si="567"/>
        <v>08</v>
      </c>
      <c r="N7715" t="s">
        <v>12</v>
      </c>
    </row>
    <row r="7716" spans="1:14" x14ac:dyDescent="0.25">
      <c r="A7716">
        <v>20160819</v>
      </c>
      <c r="B7716" t="str">
        <f>"064394"</f>
        <v>064394</v>
      </c>
      <c r="C7716" t="str">
        <f>"01530"</f>
        <v>01530</v>
      </c>
      <c r="D7716" t="s">
        <v>1943</v>
      </c>
      <c r="E7716" s="3">
        <v>146</v>
      </c>
      <c r="F7716">
        <v>20160817</v>
      </c>
      <c r="G7716" t="s">
        <v>2424</v>
      </c>
      <c r="H7716" t="s">
        <v>6257</v>
      </c>
      <c r="I7716">
        <v>0</v>
      </c>
      <c r="J7716" t="s">
        <v>1709</v>
      </c>
      <c r="K7716" t="s">
        <v>1775</v>
      </c>
      <c r="L7716" t="s">
        <v>285</v>
      </c>
      <c r="M7716" t="str">
        <f t="shared" si="567"/>
        <v>08</v>
      </c>
      <c r="N7716" t="s">
        <v>12</v>
      </c>
    </row>
    <row r="7717" spans="1:14" x14ac:dyDescent="0.25">
      <c r="A7717">
        <v>20160819</v>
      </c>
      <c r="B7717" t="str">
        <f>"064394"</f>
        <v>064394</v>
      </c>
      <c r="C7717" t="str">
        <f>"01530"</f>
        <v>01530</v>
      </c>
      <c r="D7717" t="s">
        <v>1943</v>
      </c>
      <c r="E7717" s="3">
        <v>1</v>
      </c>
      <c r="F7717">
        <v>20160817</v>
      </c>
      <c r="G7717" t="s">
        <v>2424</v>
      </c>
      <c r="H7717" s="2">
        <v>42527</v>
      </c>
      <c r="I7717">
        <v>0</v>
      </c>
      <c r="J7717" t="s">
        <v>1709</v>
      </c>
      <c r="K7717" t="s">
        <v>1775</v>
      </c>
      <c r="L7717" t="s">
        <v>285</v>
      </c>
      <c r="M7717" t="str">
        <f t="shared" si="567"/>
        <v>08</v>
      </c>
      <c r="N7717" t="s">
        <v>12</v>
      </c>
    </row>
    <row r="7718" spans="1:14" x14ac:dyDescent="0.25">
      <c r="A7718">
        <v>20160819</v>
      </c>
      <c r="B7718" t="str">
        <f>"064395"</f>
        <v>064395</v>
      </c>
      <c r="C7718" t="str">
        <f>"29779"</f>
        <v>29779</v>
      </c>
      <c r="D7718" t="s">
        <v>1806</v>
      </c>
      <c r="E7718" s="3">
        <v>1785</v>
      </c>
      <c r="F7718">
        <v>20160817</v>
      </c>
      <c r="G7718" t="s">
        <v>2192</v>
      </c>
      <c r="H7718" t="s">
        <v>6258</v>
      </c>
      <c r="I7718">
        <v>0</v>
      </c>
      <c r="J7718" t="s">
        <v>1709</v>
      </c>
      <c r="K7718" t="s">
        <v>2194</v>
      </c>
      <c r="L7718" t="s">
        <v>285</v>
      </c>
      <c r="M7718" t="str">
        <f t="shared" si="567"/>
        <v>08</v>
      </c>
      <c r="N7718" t="s">
        <v>12</v>
      </c>
    </row>
    <row r="7719" spans="1:14" x14ac:dyDescent="0.25">
      <c r="A7719">
        <v>20160819</v>
      </c>
      <c r="B7719" t="str">
        <f>"064395"</f>
        <v>064395</v>
      </c>
      <c r="C7719" t="str">
        <f>"29779"</f>
        <v>29779</v>
      </c>
      <c r="D7719" t="s">
        <v>1806</v>
      </c>
      <c r="E7719" s="3">
        <v>825</v>
      </c>
      <c r="F7719">
        <v>20160818</v>
      </c>
      <c r="G7719" t="s">
        <v>2192</v>
      </c>
      <c r="H7719" t="s">
        <v>6259</v>
      </c>
      <c r="I7719">
        <v>0</v>
      </c>
      <c r="J7719" t="s">
        <v>1709</v>
      </c>
      <c r="K7719" t="s">
        <v>2194</v>
      </c>
      <c r="L7719" t="s">
        <v>285</v>
      </c>
      <c r="M7719" t="str">
        <f t="shared" si="567"/>
        <v>08</v>
      </c>
      <c r="N7719" t="s">
        <v>12</v>
      </c>
    </row>
    <row r="7720" spans="1:14" x14ac:dyDescent="0.25">
      <c r="A7720">
        <v>20160819</v>
      </c>
      <c r="B7720" t="str">
        <f>"064400"</f>
        <v>064400</v>
      </c>
      <c r="C7720" t="str">
        <f>"24208"</f>
        <v>24208</v>
      </c>
      <c r="D7720" t="s">
        <v>1541</v>
      </c>
      <c r="E7720" s="3">
        <v>95</v>
      </c>
      <c r="F7720">
        <v>20160817</v>
      </c>
      <c r="G7720" t="s">
        <v>1854</v>
      </c>
      <c r="H7720" t="s">
        <v>6260</v>
      </c>
      <c r="I7720">
        <v>0</v>
      </c>
      <c r="J7720" t="s">
        <v>1709</v>
      </c>
      <c r="K7720" t="s">
        <v>1856</v>
      </c>
      <c r="L7720" t="s">
        <v>285</v>
      </c>
      <c r="M7720" t="str">
        <f t="shared" si="567"/>
        <v>08</v>
      </c>
      <c r="N7720" t="s">
        <v>12</v>
      </c>
    </row>
    <row r="7721" spans="1:14" x14ac:dyDescent="0.25">
      <c r="A7721">
        <v>20160819</v>
      </c>
      <c r="B7721" t="str">
        <f>"064400"</f>
        <v>064400</v>
      </c>
      <c r="C7721" t="str">
        <f>"24208"</f>
        <v>24208</v>
      </c>
      <c r="D7721" t="s">
        <v>1541</v>
      </c>
      <c r="E7721" s="3">
        <v>145</v>
      </c>
      <c r="F7721">
        <v>20160817</v>
      </c>
      <c r="G7721" t="s">
        <v>1854</v>
      </c>
      <c r="H7721" t="s">
        <v>6261</v>
      </c>
      <c r="I7721">
        <v>0</v>
      </c>
      <c r="J7721" t="s">
        <v>1709</v>
      </c>
      <c r="K7721" t="s">
        <v>1856</v>
      </c>
      <c r="L7721" t="s">
        <v>285</v>
      </c>
      <c r="M7721" t="str">
        <f t="shared" si="567"/>
        <v>08</v>
      </c>
      <c r="N7721" t="s">
        <v>12</v>
      </c>
    </row>
    <row r="7722" spans="1:14" x14ac:dyDescent="0.25">
      <c r="A7722">
        <v>20160819</v>
      </c>
      <c r="B7722" t="str">
        <f>"064400"</f>
        <v>064400</v>
      </c>
      <c r="C7722" t="str">
        <f>"24208"</f>
        <v>24208</v>
      </c>
      <c r="D7722" t="s">
        <v>1541</v>
      </c>
      <c r="E7722" s="3">
        <v>75</v>
      </c>
      <c r="F7722">
        <v>20160817</v>
      </c>
      <c r="G7722" t="s">
        <v>1854</v>
      </c>
      <c r="H7722" t="s">
        <v>6262</v>
      </c>
      <c r="I7722">
        <v>0</v>
      </c>
      <c r="J7722" t="s">
        <v>1709</v>
      </c>
      <c r="K7722" t="s">
        <v>1856</v>
      </c>
      <c r="L7722" t="s">
        <v>285</v>
      </c>
      <c r="M7722" t="str">
        <f t="shared" ref="M7722:M7785" si="570">"08"</f>
        <v>08</v>
      </c>
      <c r="N7722" t="s">
        <v>12</v>
      </c>
    </row>
    <row r="7723" spans="1:14" x14ac:dyDescent="0.25">
      <c r="A7723">
        <v>20160819</v>
      </c>
      <c r="B7723" t="str">
        <f>"064400"</f>
        <v>064400</v>
      </c>
      <c r="C7723" t="str">
        <f>"24208"</f>
        <v>24208</v>
      </c>
      <c r="D7723" t="s">
        <v>1541</v>
      </c>
      <c r="E7723" s="3">
        <v>75</v>
      </c>
      <c r="F7723">
        <v>20160817</v>
      </c>
      <c r="G7723" t="s">
        <v>1854</v>
      </c>
      <c r="H7723" t="s">
        <v>6263</v>
      </c>
      <c r="I7723">
        <v>0</v>
      </c>
      <c r="J7723" t="s">
        <v>1709</v>
      </c>
      <c r="K7723" t="s">
        <v>1856</v>
      </c>
      <c r="L7723" t="s">
        <v>285</v>
      </c>
      <c r="M7723" t="str">
        <f t="shared" si="570"/>
        <v>08</v>
      </c>
      <c r="N7723" t="s">
        <v>12</v>
      </c>
    </row>
    <row r="7724" spans="1:14" x14ac:dyDescent="0.25">
      <c r="A7724">
        <v>20160819</v>
      </c>
      <c r="B7724" t="str">
        <f>"064402"</f>
        <v>064402</v>
      </c>
      <c r="C7724" t="str">
        <f>"08132"</f>
        <v>08132</v>
      </c>
      <c r="D7724" t="s">
        <v>2436</v>
      </c>
      <c r="E7724" s="3">
        <v>67.2</v>
      </c>
      <c r="F7724">
        <v>20160818</v>
      </c>
      <c r="G7724" t="s">
        <v>2074</v>
      </c>
      <c r="H7724" t="s">
        <v>6264</v>
      </c>
      <c r="I7724">
        <v>0</v>
      </c>
      <c r="J7724" t="s">
        <v>1709</v>
      </c>
      <c r="K7724" t="s">
        <v>1861</v>
      </c>
      <c r="L7724" t="s">
        <v>285</v>
      </c>
      <c r="M7724" t="str">
        <f t="shared" si="570"/>
        <v>08</v>
      </c>
      <c r="N7724" t="s">
        <v>12</v>
      </c>
    </row>
    <row r="7725" spans="1:14" x14ac:dyDescent="0.25">
      <c r="A7725">
        <v>20160819</v>
      </c>
      <c r="B7725" t="str">
        <f>"064402"</f>
        <v>064402</v>
      </c>
      <c r="C7725" t="str">
        <f>"08132"</f>
        <v>08132</v>
      </c>
      <c r="D7725" t="s">
        <v>2436</v>
      </c>
      <c r="E7725" s="3">
        <v>67.2</v>
      </c>
      <c r="F7725">
        <v>20160818</v>
      </c>
      <c r="G7725" t="s">
        <v>2074</v>
      </c>
      <c r="H7725" t="s">
        <v>6264</v>
      </c>
      <c r="I7725">
        <v>0</v>
      </c>
      <c r="J7725" t="s">
        <v>1709</v>
      </c>
      <c r="K7725" t="s">
        <v>1861</v>
      </c>
      <c r="L7725" t="s">
        <v>285</v>
      </c>
      <c r="M7725" t="str">
        <f t="shared" si="570"/>
        <v>08</v>
      </c>
      <c r="N7725" t="s">
        <v>12</v>
      </c>
    </row>
    <row r="7726" spans="1:14" x14ac:dyDescent="0.25">
      <c r="A7726">
        <v>20160819</v>
      </c>
      <c r="B7726" t="str">
        <f>"064408"</f>
        <v>064408</v>
      </c>
      <c r="C7726" t="str">
        <f>"19140"</f>
        <v>19140</v>
      </c>
      <c r="D7726" t="s">
        <v>4122</v>
      </c>
      <c r="E7726" s="3">
        <v>14022</v>
      </c>
      <c r="F7726">
        <v>20160817</v>
      </c>
      <c r="G7726" t="s">
        <v>4123</v>
      </c>
      <c r="H7726" t="s">
        <v>6265</v>
      </c>
      <c r="I7726">
        <v>0</v>
      </c>
      <c r="J7726" t="s">
        <v>1709</v>
      </c>
      <c r="K7726" t="s">
        <v>235</v>
      </c>
      <c r="L7726" t="s">
        <v>285</v>
      </c>
      <c r="M7726" t="str">
        <f t="shared" si="570"/>
        <v>08</v>
      </c>
      <c r="N7726" t="s">
        <v>12</v>
      </c>
    </row>
    <row r="7727" spans="1:14" x14ac:dyDescent="0.25">
      <c r="A7727">
        <v>20160819</v>
      </c>
      <c r="B7727" t="str">
        <f>"064410"</f>
        <v>064410</v>
      </c>
      <c r="C7727" t="str">
        <f>"74150"</f>
        <v>74150</v>
      </c>
      <c r="D7727" t="s">
        <v>3047</v>
      </c>
      <c r="E7727" s="3">
        <v>1663.2</v>
      </c>
      <c r="F7727">
        <v>20160817</v>
      </c>
      <c r="G7727" t="s">
        <v>2192</v>
      </c>
      <c r="H7727" t="s">
        <v>6266</v>
      </c>
      <c r="I7727">
        <v>0</v>
      </c>
      <c r="J7727" t="s">
        <v>1709</v>
      </c>
      <c r="K7727" t="s">
        <v>2194</v>
      </c>
      <c r="L7727" t="s">
        <v>285</v>
      </c>
      <c r="M7727" t="str">
        <f t="shared" si="570"/>
        <v>08</v>
      </c>
      <c r="N7727" t="s">
        <v>12</v>
      </c>
    </row>
    <row r="7728" spans="1:14" x14ac:dyDescent="0.25">
      <c r="A7728">
        <v>20160819</v>
      </c>
      <c r="B7728" t="str">
        <f>"064412"</f>
        <v>064412</v>
      </c>
      <c r="C7728" t="str">
        <f>"21091"</f>
        <v>21091</v>
      </c>
      <c r="D7728" t="s">
        <v>2855</v>
      </c>
      <c r="E7728" s="3">
        <v>448.42</v>
      </c>
      <c r="F7728">
        <v>20160817</v>
      </c>
      <c r="G7728" t="s">
        <v>1854</v>
      </c>
      <c r="H7728" t="s">
        <v>6267</v>
      </c>
      <c r="I7728">
        <v>0</v>
      </c>
      <c r="J7728" t="s">
        <v>1709</v>
      </c>
      <c r="K7728" t="s">
        <v>1856</v>
      </c>
      <c r="L7728" t="s">
        <v>285</v>
      </c>
      <c r="M7728" t="str">
        <f t="shared" si="570"/>
        <v>08</v>
      </c>
      <c r="N7728" t="s">
        <v>12</v>
      </c>
    </row>
    <row r="7729" spans="1:14" x14ac:dyDescent="0.25">
      <c r="A7729">
        <v>20160819</v>
      </c>
      <c r="B7729" t="str">
        <f>"064412"</f>
        <v>064412</v>
      </c>
      <c r="C7729" t="str">
        <f>"21091"</f>
        <v>21091</v>
      </c>
      <c r="D7729" t="s">
        <v>2855</v>
      </c>
      <c r="E7729" s="3">
        <v>344.12</v>
      </c>
      <c r="F7729">
        <v>20160817</v>
      </c>
      <c r="G7729" t="s">
        <v>1854</v>
      </c>
      <c r="H7729" t="s">
        <v>6268</v>
      </c>
      <c r="I7729">
        <v>0</v>
      </c>
      <c r="J7729" t="s">
        <v>1709</v>
      </c>
      <c r="K7729" t="s">
        <v>1856</v>
      </c>
      <c r="L7729" t="s">
        <v>285</v>
      </c>
      <c r="M7729" t="str">
        <f t="shared" si="570"/>
        <v>08</v>
      </c>
      <c r="N7729" t="s">
        <v>12</v>
      </c>
    </row>
    <row r="7730" spans="1:14" x14ac:dyDescent="0.25">
      <c r="A7730">
        <v>20160819</v>
      </c>
      <c r="B7730" t="str">
        <f>"064412"</f>
        <v>064412</v>
      </c>
      <c r="C7730" t="str">
        <f>"21091"</f>
        <v>21091</v>
      </c>
      <c r="D7730" t="s">
        <v>2855</v>
      </c>
      <c r="E7730" s="3">
        <v>199.3</v>
      </c>
      <c r="F7730">
        <v>20160817</v>
      </c>
      <c r="G7730" t="s">
        <v>1854</v>
      </c>
      <c r="H7730" t="s">
        <v>6269</v>
      </c>
      <c r="I7730">
        <v>0</v>
      </c>
      <c r="J7730" t="s">
        <v>1709</v>
      </c>
      <c r="K7730" t="s">
        <v>1856</v>
      </c>
      <c r="L7730" t="s">
        <v>285</v>
      </c>
      <c r="M7730" t="str">
        <f t="shared" si="570"/>
        <v>08</v>
      </c>
      <c r="N7730" t="s">
        <v>12</v>
      </c>
    </row>
    <row r="7731" spans="1:14" x14ac:dyDescent="0.25">
      <c r="A7731">
        <v>20160819</v>
      </c>
      <c r="B7731" t="str">
        <f>"064413"</f>
        <v>064413</v>
      </c>
      <c r="C7731" t="str">
        <f>"23646"</f>
        <v>23646</v>
      </c>
      <c r="D7731" t="s">
        <v>4765</v>
      </c>
      <c r="E7731" s="3">
        <v>60</v>
      </c>
      <c r="F7731">
        <v>20160817</v>
      </c>
      <c r="G7731" t="s">
        <v>4768</v>
      </c>
      <c r="H7731" t="s">
        <v>6270</v>
      </c>
      <c r="I7731">
        <v>0</v>
      </c>
      <c r="J7731" t="s">
        <v>1709</v>
      </c>
      <c r="K7731" t="s">
        <v>95</v>
      </c>
      <c r="L7731" t="s">
        <v>285</v>
      </c>
      <c r="M7731" t="str">
        <f t="shared" si="570"/>
        <v>08</v>
      </c>
      <c r="N7731" t="s">
        <v>12</v>
      </c>
    </row>
    <row r="7732" spans="1:14" x14ac:dyDescent="0.25">
      <c r="A7732">
        <v>20160819</v>
      </c>
      <c r="B7732" t="str">
        <f>"064413"</f>
        <v>064413</v>
      </c>
      <c r="C7732" t="str">
        <f>"23646"</f>
        <v>23646</v>
      </c>
      <c r="D7732" t="s">
        <v>4765</v>
      </c>
      <c r="E7732" s="3">
        <v>36</v>
      </c>
      <c r="F7732">
        <v>20160817</v>
      </c>
      <c r="G7732" t="s">
        <v>4769</v>
      </c>
      <c r="H7732" t="s">
        <v>6270</v>
      </c>
      <c r="I7732">
        <v>0</v>
      </c>
      <c r="J7732" t="s">
        <v>1709</v>
      </c>
      <c r="K7732" t="s">
        <v>1643</v>
      </c>
      <c r="L7732" t="s">
        <v>285</v>
      </c>
      <c r="M7732" t="str">
        <f t="shared" si="570"/>
        <v>08</v>
      </c>
      <c r="N7732" t="s">
        <v>12</v>
      </c>
    </row>
    <row r="7733" spans="1:14" x14ac:dyDescent="0.25">
      <c r="A7733">
        <v>20160819</v>
      </c>
      <c r="B7733" t="str">
        <f>"064413"</f>
        <v>064413</v>
      </c>
      <c r="C7733" t="str">
        <f>"23646"</f>
        <v>23646</v>
      </c>
      <c r="D7733" t="s">
        <v>4765</v>
      </c>
      <c r="E7733" s="3">
        <v>90</v>
      </c>
      <c r="F7733">
        <v>20160817</v>
      </c>
      <c r="G7733" t="s">
        <v>4769</v>
      </c>
      <c r="H7733" t="s">
        <v>6270</v>
      </c>
      <c r="I7733">
        <v>0</v>
      </c>
      <c r="J7733" t="s">
        <v>1709</v>
      </c>
      <c r="K7733" t="s">
        <v>1643</v>
      </c>
      <c r="L7733" t="s">
        <v>285</v>
      </c>
      <c r="M7733" t="str">
        <f t="shared" si="570"/>
        <v>08</v>
      </c>
      <c r="N7733" t="s">
        <v>12</v>
      </c>
    </row>
    <row r="7734" spans="1:14" x14ac:dyDescent="0.25">
      <c r="A7734">
        <v>20160819</v>
      </c>
      <c r="B7734" t="str">
        <f>"064414"</f>
        <v>064414</v>
      </c>
      <c r="C7734" t="str">
        <f>"23974"</f>
        <v>23974</v>
      </c>
      <c r="D7734" t="s">
        <v>1581</v>
      </c>
      <c r="E7734" s="3">
        <v>15900</v>
      </c>
      <c r="F7734">
        <v>20160817</v>
      </c>
      <c r="G7734" t="s">
        <v>6271</v>
      </c>
      <c r="H7734" t="s">
        <v>6272</v>
      </c>
      <c r="I7734">
        <v>0</v>
      </c>
      <c r="J7734" t="s">
        <v>1709</v>
      </c>
      <c r="K7734" t="s">
        <v>33</v>
      </c>
      <c r="L7734" t="s">
        <v>285</v>
      </c>
      <c r="M7734" t="str">
        <f t="shared" si="570"/>
        <v>08</v>
      </c>
      <c r="N7734" t="s">
        <v>12</v>
      </c>
    </row>
    <row r="7735" spans="1:14" x14ac:dyDescent="0.25">
      <c r="A7735">
        <v>20160819</v>
      </c>
      <c r="B7735" t="str">
        <f>"064415"</f>
        <v>064415</v>
      </c>
      <c r="C7735" t="str">
        <f>"24130"</f>
        <v>24130</v>
      </c>
      <c r="D7735" t="s">
        <v>2278</v>
      </c>
      <c r="E7735" s="3">
        <v>5388</v>
      </c>
      <c r="F7735">
        <v>20160817</v>
      </c>
      <c r="G7735" t="s">
        <v>3668</v>
      </c>
      <c r="H7735" t="s">
        <v>6273</v>
      </c>
      <c r="I7735">
        <v>0</v>
      </c>
      <c r="J7735" t="s">
        <v>1709</v>
      </c>
      <c r="K7735" t="s">
        <v>2820</v>
      </c>
      <c r="L7735" t="s">
        <v>285</v>
      </c>
      <c r="M7735" t="str">
        <f t="shared" si="570"/>
        <v>08</v>
      </c>
      <c r="N7735" t="s">
        <v>12</v>
      </c>
    </row>
    <row r="7736" spans="1:14" x14ac:dyDescent="0.25">
      <c r="A7736">
        <v>20160819</v>
      </c>
      <c r="B7736" t="str">
        <f>"064415"</f>
        <v>064415</v>
      </c>
      <c r="C7736" t="str">
        <f>"24130"</f>
        <v>24130</v>
      </c>
      <c r="D7736" t="s">
        <v>2278</v>
      </c>
      <c r="E7736" s="3">
        <v>757.5</v>
      </c>
      <c r="F7736">
        <v>20160817</v>
      </c>
      <c r="G7736" t="s">
        <v>3574</v>
      </c>
      <c r="H7736" t="s">
        <v>6274</v>
      </c>
      <c r="I7736">
        <v>0</v>
      </c>
      <c r="J7736" t="s">
        <v>1709</v>
      </c>
      <c r="K7736" t="s">
        <v>95</v>
      </c>
      <c r="L7736" t="s">
        <v>285</v>
      </c>
      <c r="M7736" t="str">
        <f t="shared" si="570"/>
        <v>08</v>
      </c>
      <c r="N7736" t="s">
        <v>12</v>
      </c>
    </row>
    <row r="7737" spans="1:14" x14ac:dyDescent="0.25">
      <c r="A7737">
        <v>20160819</v>
      </c>
      <c r="B7737" t="str">
        <f>"064416"</f>
        <v>064416</v>
      </c>
      <c r="C7737" t="str">
        <f>"25165"</f>
        <v>25165</v>
      </c>
      <c r="D7737" t="s">
        <v>1563</v>
      </c>
      <c r="E7737" s="3">
        <v>45.16</v>
      </c>
      <c r="F7737">
        <v>20160818</v>
      </c>
      <c r="G7737" t="s">
        <v>3461</v>
      </c>
      <c r="H7737" t="s">
        <v>6275</v>
      </c>
      <c r="I7737">
        <v>0</v>
      </c>
      <c r="J7737" t="s">
        <v>1709</v>
      </c>
      <c r="K7737" t="s">
        <v>290</v>
      </c>
      <c r="L7737" t="s">
        <v>285</v>
      </c>
      <c r="M7737" t="str">
        <f t="shared" si="570"/>
        <v>08</v>
      </c>
      <c r="N7737" t="s">
        <v>12</v>
      </c>
    </row>
    <row r="7738" spans="1:14" x14ac:dyDescent="0.25">
      <c r="A7738">
        <v>20160819</v>
      </c>
      <c r="B7738" t="str">
        <f>"064418"</f>
        <v>064418</v>
      </c>
      <c r="C7738" t="str">
        <f>"53040"</f>
        <v>53040</v>
      </c>
      <c r="D7738" t="s">
        <v>3215</v>
      </c>
      <c r="E7738" s="3">
        <v>3081.08</v>
      </c>
      <c r="F7738">
        <v>20160817</v>
      </c>
      <c r="G7738" t="s">
        <v>2983</v>
      </c>
      <c r="H7738" t="s">
        <v>6276</v>
      </c>
      <c r="I7738">
        <v>0</v>
      </c>
      <c r="J7738" t="s">
        <v>1709</v>
      </c>
      <c r="K7738" t="s">
        <v>290</v>
      </c>
      <c r="L7738" t="s">
        <v>285</v>
      </c>
      <c r="M7738" t="str">
        <f t="shared" si="570"/>
        <v>08</v>
      </c>
      <c r="N7738" t="s">
        <v>12</v>
      </c>
    </row>
    <row r="7739" spans="1:14" x14ac:dyDescent="0.25">
      <c r="A7739">
        <v>20160819</v>
      </c>
      <c r="B7739" t="str">
        <f>"064419"</f>
        <v>064419</v>
      </c>
      <c r="C7739" t="str">
        <f>"27900"</f>
        <v>27900</v>
      </c>
      <c r="D7739" t="s">
        <v>1596</v>
      </c>
      <c r="E7739" s="3">
        <v>50</v>
      </c>
      <c r="F7739">
        <v>20160818</v>
      </c>
      <c r="G7739" t="s">
        <v>1794</v>
      </c>
      <c r="H7739" t="s">
        <v>6277</v>
      </c>
      <c r="I7739">
        <v>0</v>
      </c>
      <c r="J7739" t="s">
        <v>1709</v>
      </c>
      <c r="K7739" t="s">
        <v>290</v>
      </c>
      <c r="L7739" t="s">
        <v>285</v>
      </c>
      <c r="M7739" t="str">
        <f t="shared" si="570"/>
        <v>08</v>
      </c>
      <c r="N7739" t="s">
        <v>12</v>
      </c>
    </row>
    <row r="7740" spans="1:14" x14ac:dyDescent="0.25">
      <c r="A7740">
        <v>20160819</v>
      </c>
      <c r="B7740" t="str">
        <f>"064420"</f>
        <v>064420</v>
      </c>
      <c r="C7740" t="str">
        <f>"28245"</f>
        <v>28245</v>
      </c>
      <c r="D7740" t="s">
        <v>6278</v>
      </c>
      <c r="E7740" s="3">
        <v>150</v>
      </c>
      <c r="F7740">
        <v>20160817</v>
      </c>
      <c r="G7740" t="s">
        <v>4713</v>
      </c>
      <c r="H7740" t="s">
        <v>6279</v>
      </c>
      <c r="I7740">
        <v>0</v>
      </c>
      <c r="J7740" t="s">
        <v>1709</v>
      </c>
      <c r="K7740" t="s">
        <v>290</v>
      </c>
      <c r="L7740" t="s">
        <v>285</v>
      </c>
      <c r="M7740" t="str">
        <f t="shared" si="570"/>
        <v>08</v>
      </c>
      <c r="N7740" t="s">
        <v>12</v>
      </c>
    </row>
    <row r="7741" spans="1:14" x14ac:dyDescent="0.25">
      <c r="A7741">
        <v>20160819</v>
      </c>
      <c r="B7741" t="str">
        <f>"064421"</f>
        <v>064421</v>
      </c>
      <c r="C7741" t="str">
        <f>"28548"</f>
        <v>28548</v>
      </c>
      <c r="D7741" t="s">
        <v>6280</v>
      </c>
      <c r="E7741" s="3">
        <v>1797.5</v>
      </c>
      <c r="F7741">
        <v>20160817</v>
      </c>
      <c r="G7741" t="s">
        <v>2083</v>
      </c>
      <c r="H7741" t="s">
        <v>6281</v>
      </c>
      <c r="I7741">
        <v>0</v>
      </c>
      <c r="J7741" t="s">
        <v>1709</v>
      </c>
      <c r="K7741" t="s">
        <v>290</v>
      </c>
      <c r="L7741" t="s">
        <v>285</v>
      </c>
      <c r="M7741" t="str">
        <f t="shared" si="570"/>
        <v>08</v>
      </c>
      <c r="N7741" t="s">
        <v>12</v>
      </c>
    </row>
    <row r="7742" spans="1:14" x14ac:dyDescent="0.25">
      <c r="A7742">
        <v>20160819</v>
      </c>
      <c r="B7742" t="str">
        <f>"064421"</f>
        <v>064421</v>
      </c>
      <c r="C7742" t="str">
        <f>"28548"</f>
        <v>28548</v>
      </c>
      <c r="D7742" t="s">
        <v>6280</v>
      </c>
      <c r="E7742" s="3">
        <v>1797.5</v>
      </c>
      <c r="F7742">
        <v>20160817</v>
      </c>
      <c r="G7742" t="s">
        <v>2086</v>
      </c>
      <c r="H7742" t="s">
        <v>6281</v>
      </c>
      <c r="I7742">
        <v>0</v>
      </c>
      <c r="J7742" t="s">
        <v>1709</v>
      </c>
      <c r="K7742" t="s">
        <v>95</v>
      </c>
      <c r="L7742" t="s">
        <v>285</v>
      </c>
      <c r="M7742" t="str">
        <f t="shared" si="570"/>
        <v>08</v>
      </c>
      <c r="N7742" t="s">
        <v>12</v>
      </c>
    </row>
    <row r="7743" spans="1:14" x14ac:dyDescent="0.25">
      <c r="A7743">
        <v>20160819</v>
      </c>
      <c r="B7743" t="str">
        <f>"064421"</f>
        <v>064421</v>
      </c>
      <c r="C7743" t="str">
        <f>"28548"</f>
        <v>28548</v>
      </c>
      <c r="D7743" t="s">
        <v>6280</v>
      </c>
      <c r="E7743" s="3">
        <v>1797.5</v>
      </c>
      <c r="F7743">
        <v>20160817</v>
      </c>
      <c r="G7743" t="s">
        <v>2087</v>
      </c>
      <c r="H7743" t="s">
        <v>6281</v>
      </c>
      <c r="I7743">
        <v>0</v>
      </c>
      <c r="J7743" t="s">
        <v>1709</v>
      </c>
      <c r="K7743" t="s">
        <v>1643</v>
      </c>
      <c r="L7743" t="s">
        <v>285</v>
      </c>
      <c r="M7743" t="str">
        <f t="shared" si="570"/>
        <v>08</v>
      </c>
      <c r="N7743" t="s">
        <v>12</v>
      </c>
    </row>
    <row r="7744" spans="1:14" x14ac:dyDescent="0.25">
      <c r="A7744">
        <v>20160819</v>
      </c>
      <c r="B7744" t="str">
        <f>"064421"</f>
        <v>064421</v>
      </c>
      <c r="C7744" t="str">
        <f>"28548"</f>
        <v>28548</v>
      </c>
      <c r="D7744" t="s">
        <v>6280</v>
      </c>
      <c r="E7744" s="3">
        <v>1797.5</v>
      </c>
      <c r="F7744">
        <v>20160817</v>
      </c>
      <c r="G7744" t="s">
        <v>2088</v>
      </c>
      <c r="H7744" t="s">
        <v>6281</v>
      </c>
      <c r="I7744">
        <v>0</v>
      </c>
      <c r="J7744" t="s">
        <v>1709</v>
      </c>
      <c r="K7744" t="s">
        <v>33</v>
      </c>
      <c r="L7744" t="s">
        <v>285</v>
      </c>
      <c r="M7744" t="str">
        <f t="shared" si="570"/>
        <v>08</v>
      </c>
      <c r="N7744" t="s">
        <v>12</v>
      </c>
    </row>
    <row r="7745" spans="1:14" x14ac:dyDescent="0.25">
      <c r="A7745">
        <v>20160819</v>
      </c>
      <c r="B7745" t="str">
        <f>"064422"</f>
        <v>064422</v>
      </c>
      <c r="C7745" t="str">
        <f>"28680"</f>
        <v>28680</v>
      </c>
      <c r="D7745" t="s">
        <v>422</v>
      </c>
      <c r="E7745" s="3">
        <v>136.83000000000001</v>
      </c>
      <c r="F7745">
        <v>20160817</v>
      </c>
      <c r="G7745" t="s">
        <v>5690</v>
      </c>
      <c r="H7745" t="s">
        <v>6282</v>
      </c>
      <c r="I7745">
        <v>0</v>
      </c>
      <c r="J7745" t="s">
        <v>1709</v>
      </c>
      <c r="K7745" t="s">
        <v>290</v>
      </c>
      <c r="L7745" t="s">
        <v>285</v>
      </c>
      <c r="M7745" t="str">
        <f t="shared" si="570"/>
        <v>08</v>
      </c>
      <c r="N7745" t="s">
        <v>12</v>
      </c>
    </row>
    <row r="7746" spans="1:14" x14ac:dyDescent="0.25">
      <c r="A7746">
        <v>20160819</v>
      </c>
      <c r="B7746" t="str">
        <f>"064423"</f>
        <v>064423</v>
      </c>
      <c r="C7746" t="str">
        <f>"28688"</f>
        <v>28688</v>
      </c>
      <c r="D7746" t="s">
        <v>6067</v>
      </c>
      <c r="E7746" s="3">
        <v>1140</v>
      </c>
      <c r="F7746">
        <v>20160817</v>
      </c>
      <c r="G7746" t="s">
        <v>2279</v>
      </c>
      <c r="H7746" t="s">
        <v>6283</v>
      </c>
      <c r="I7746">
        <v>0</v>
      </c>
      <c r="J7746" t="s">
        <v>1709</v>
      </c>
      <c r="K7746" t="s">
        <v>1861</v>
      </c>
      <c r="L7746" t="s">
        <v>285</v>
      </c>
      <c r="M7746" t="str">
        <f t="shared" si="570"/>
        <v>08</v>
      </c>
      <c r="N7746" t="s">
        <v>12</v>
      </c>
    </row>
    <row r="7747" spans="1:14" x14ac:dyDescent="0.25">
      <c r="A7747">
        <v>20160819</v>
      </c>
      <c r="B7747" t="str">
        <f>"064424"</f>
        <v>064424</v>
      </c>
      <c r="C7747" t="str">
        <f>"29500"</f>
        <v>29500</v>
      </c>
      <c r="D7747" t="s">
        <v>1698</v>
      </c>
      <c r="E7747" s="3">
        <v>916</v>
      </c>
      <c r="F7747">
        <v>20160817</v>
      </c>
      <c r="G7747" t="s">
        <v>1859</v>
      </c>
      <c r="H7747" t="s">
        <v>6284</v>
      </c>
      <c r="I7747">
        <v>0</v>
      </c>
      <c r="J7747" t="s">
        <v>1709</v>
      </c>
      <c r="K7747" t="s">
        <v>1861</v>
      </c>
      <c r="L7747" t="s">
        <v>285</v>
      </c>
      <c r="M7747" t="str">
        <f t="shared" si="570"/>
        <v>08</v>
      </c>
      <c r="N7747" t="s">
        <v>12</v>
      </c>
    </row>
    <row r="7748" spans="1:14" x14ac:dyDescent="0.25">
      <c r="A7748">
        <v>20160819</v>
      </c>
      <c r="B7748" t="str">
        <f>"064426"</f>
        <v>064426</v>
      </c>
      <c r="C7748" t="str">
        <f>"29628"</f>
        <v>29628</v>
      </c>
      <c r="D7748" t="s">
        <v>2494</v>
      </c>
      <c r="E7748" s="3">
        <v>43.85</v>
      </c>
      <c r="F7748">
        <v>20160818</v>
      </c>
      <c r="G7748" t="s">
        <v>6252</v>
      </c>
      <c r="H7748" t="s">
        <v>6285</v>
      </c>
      <c r="I7748">
        <v>0</v>
      </c>
      <c r="J7748" t="s">
        <v>1709</v>
      </c>
      <c r="K7748" t="s">
        <v>1942</v>
      </c>
      <c r="L7748" t="s">
        <v>285</v>
      </c>
      <c r="M7748" t="str">
        <f t="shared" si="570"/>
        <v>08</v>
      </c>
      <c r="N7748" t="s">
        <v>12</v>
      </c>
    </row>
    <row r="7749" spans="1:14" x14ac:dyDescent="0.25">
      <c r="A7749">
        <v>20160819</v>
      </c>
      <c r="B7749" t="str">
        <f>"064428"</f>
        <v>064428</v>
      </c>
      <c r="C7749" t="str">
        <f>"31500"</f>
        <v>31500</v>
      </c>
      <c r="D7749" t="s">
        <v>1872</v>
      </c>
      <c r="E7749" s="3">
        <v>158.13</v>
      </c>
      <c r="F7749">
        <v>20160817</v>
      </c>
      <c r="G7749" t="s">
        <v>2074</v>
      </c>
      <c r="H7749" t="s">
        <v>6286</v>
      </c>
      <c r="I7749">
        <v>0</v>
      </c>
      <c r="J7749" t="s">
        <v>1709</v>
      </c>
      <c r="K7749" t="s">
        <v>1861</v>
      </c>
      <c r="L7749" t="s">
        <v>285</v>
      </c>
      <c r="M7749" t="str">
        <f t="shared" si="570"/>
        <v>08</v>
      </c>
      <c r="N7749" t="s">
        <v>12</v>
      </c>
    </row>
    <row r="7750" spans="1:14" x14ac:dyDescent="0.25">
      <c r="A7750">
        <v>20160819</v>
      </c>
      <c r="B7750" t="str">
        <f>"064430"</f>
        <v>064430</v>
      </c>
      <c r="C7750" t="str">
        <f>"37897"</f>
        <v>37897</v>
      </c>
      <c r="D7750" t="s">
        <v>4919</v>
      </c>
      <c r="E7750" s="3">
        <v>200</v>
      </c>
      <c r="F7750">
        <v>20160817</v>
      </c>
      <c r="G7750" t="s">
        <v>4920</v>
      </c>
      <c r="H7750" t="s">
        <v>6287</v>
      </c>
      <c r="I7750">
        <v>0</v>
      </c>
      <c r="J7750" t="s">
        <v>1709</v>
      </c>
      <c r="K7750" t="s">
        <v>290</v>
      </c>
      <c r="L7750" t="s">
        <v>285</v>
      </c>
      <c r="M7750" t="str">
        <f t="shared" si="570"/>
        <v>08</v>
      </c>
      <c r="N7750" t="s">
        <v>12</v>
      </c>
    </row>
    <row r="7751" spans="1:14" x14ac:dyDescent="0.25">
      <c r="A7751">
        <v>20160819</v>
      </c>
      <c r="B7751" t="str">
        <f>"064431"</f>
        <v>064431</v>
      </c>
      <c r="C7751" t="str">
        <f>"37500"</f>
        <v>37500</v>
      </c>
      <c r="D7751" t="s">
        <v>1652</v>
      </c>
      <c r="E7751" s="3">
        <v>7</v>
      </c>
      <c r="F7751">
        <v>20160817</v>
      </c>
      <c r="G7751" t="s">
        <v>5272</v>
      </c>
      <c r="H7751" t="s">
        <v>6288</v>
      </c>
      <c r="I7751">
        <v>0</v>
      </c>
      <c r="J7751" t="s">
        <v>1709</v>
      </c>
      <c r="K7751" t="s">
        <v>2194</v>
      </c>
      <c r="L7751" t="s">
        <v>285</v>
      </c>
      <c r="M7751" t="str">
        <f t="shared" si="570"/>
        <v>08</v>
      </c>
      <c r="N7751" t="s">
        <v>12</v>
      </c>
    </row>
    <row r="7752" spans="1:14" x14ac:dyDescent="0.25">
      <c r="A7752">
        <v>20160819</v>
      </c>
      <c r="B7752" t="str">
        <f>"064432"</f>
        <v>064432</v>
      </c>
      <c r="C7752" t="str">
        <f>"39572"</f>
        <v>39572</v>
      </c>
      <c r="D7752" t="s">
        <v>2112</v>
      </c>
      <c r="E7752" s="3">
        <v>6059</v>
      </c>
      <c r="F7752">
        <v>20160818</v>
      </c>
      <c r="G7752" t="s">
        <v>6289</v>
      </c>
      <c r="H7752" t="s">
        <v>6290</v>
      </c>
      <c r="I7752">
        <v>0</v>
      </c>
      <c r="J7752" t="s">
        <v>1709</v>
      </c>
      <c r="K7752" t="s">
        <v>95</v>
      </c>
      <c r="L7752" t="s">
        <v>285</v>
      </c>
      <c r="M7752" t="str">
        <f t="shared" si="570"/>
        <v>08</v>
      </c>
      <c r="N7752" t="s">
        <v>12</v>
      </c>
    </row>
    <row r="7753" spans="1:14" x14ac:dyDescent="0.25">
      <c r="A7753">
        <v>20160819</v>
      </c>
      <c r="B7753" t="str">
        <f>"064433"</f>
        <v>064433</v>
      </c>
      <c r="C7753" t="str">
        <f>"43532"</f>
        <v>43532</v>
      </c>
      <c r="D7753" t="s">
        <v>1979</v>
      </c>
      <c r="E7753" s="3">
        <v>1628.36</v>
      </c>
      <c r="F7753">
        <v>20160817</v>
      </c>
      <c r="G7753" t="s">
        <v>2083</v>
      </c>
      <c r="H7753" t="s">
        <v>6291</v>
      </c>
      <c r="I7753">
        <v>0</v>
      </c>
      <c r="J7753" t="s">
        <v>1709</v>
      </c>
      <c r="K7753" t="s">
        <v>290</v>
      </c>
      <c r="L7753" t="s">
        <v>285</v>
      </c>
      <c r="M7753" t="str">
        <f t="shared" si="570"/>
        <v>08</v>
      </c>
      <c r="N7753" t="s">
        <v>12</v>
      </c>
    </row>
    <row r="7754" spans="1:14" x14ac:dyDescent="0.25">
      <c r="A7754">
        <v>20160819</v>
      </c>
      <c r="B7754" t="str">
        <f>"064433"</f>
        <v>064433</v>
      </c>
      <c r="C7754" t="str">
        <f>"43532"</f>
        <v>43532</v>
      </c>
      <c r="D7754" t="s">
        <v>1979</v>
      </c>
      <c r="E7754" s="3">
        <v>1628.35</v>
      </c>
      <c r="F7754">
        <v>20160817</v>
      </c>
      <c r="G7754" t="s">
        <v>2086</v>
      </c>
      <c r="H7754" t="s">
        <v>6291</v>
      </c>
      <c r="I7754">
        <v>0</v>
      </c>
      <c r="J7754" t="s">
        <v>1709</v>
      </c>
      <c r="K7754" t="s">
        <v>95</v>
      </c>
      <c r="L7754" t="s">
        <v>285</v>
      </c>
      <c r="M7754" t="str">
        <f t="shared" si="570"/>
        <v>08</v>
      </c>
      <c r="N7754" t="s">
        <v>12</v>
      </c>
    </row>
    <row r="7755" spans="1:14" x14ac:dyDescent="0.25">
      <c r="A7755">
        <v>20160819</v>
      </c>
      <c r="B7755" t="str">
        <f>"064433"</f>
        <v>064433</v>
      </c>
      <c r="C7755" t="str">
        <f>"43532"</f>
        <v>43532</v>
      </c>
      <c r="D7755" t="s">
        <v>1979</v>
      </c>
      <c r="E7755" s="3">
        <v>1628.36</v>
      </c>
      <c r="F7755">
        <v>20160817</v>
      </c>
      <c r="G7755" t="s">
        <v>2087</v>
      </c>
      <c r="H7755" t="s">
        <v>6291</v>
      </c>
      <c r="I7755">
        <v>0</v>
      </c>
      <c r="J7755" t="s">
        <v>1709</v>
      </c>
      <c r="K7755" t="s">
        <v>1643</v>
      </c>
      <c r="L7755" t="s">
        <v>285</v>
      </c>
      <c r="M7755" t="str">
        <f t="shared" si="570"/>
        <v>08</v>
      </c>
      <c r="N7755" t="s">
        <v>12</v>
      </c>
    </row>
    <row r="7756" spans="1:14" x14ac:dyDescent="0.25">
      <c r="A7756">
        <v>20160819</v>
      </c>
      <c r="B7756" t="str">
        <f>"064433"</f>
        <v>064433</v>
      </c>
      <c r="C7756" t="str">
        <f>"43532"</f>
        <v>43532</v>
      </c>
      <c r="D7756" t="s">
        <v>1979</v>
      </c>
      <c r="E7756" s="3">
        <v>1628.36</v>
      </c>
      <c r="F7756">
        <v>20160817</v>
      </c>
      <c r="G7756" t="s">
        <v>2088</v>
      </c>
      <c r="H7756" t="s">
        <v>6291</v>
      </c>
      <c r="I7756">
        <v>0</v>
      </c>
      <c r="J7756" t="s">
        <v>1709</v>
      </c>
      <c r="K7756" t="s">
        <v>33</v>
      </c>
      <c r="L7756" t="s">
        <v>285</v>
      </c>
      <c r="M7756" t="str">
        <f t="shared" si="570"/>
        <v>08</v>
      </c>
      <c r="N7756" t="s">
        <v>12</v>
      </c>
    </row>
    <row r="7757" spans="1:14" x14ac:dyDescent="0.25">
      <c r="A7757">
        <v>20160819</v>
      </c>
      <c r="B7757" t="str">
        <f>"064438"</f>
        <v>064438</v>
      </c>
      <c r="C7757" t="str">
        <f>"46374"</f>
        <v>46374</v>
      </c>
      <c r="D7757" t="s">
        <v>2901</v>
      </c>
      <c r="E7757" s="3">
        <v>713.16</v>
      </c>
      <c r="F7757">
        <v>20160817</v>
      </c>
      <c r="G7757" t="s">
        <v>2356</v>
      </c>
      <c r="H7757" t="s">
        <v>6292</v>
      </c>
      <c r="I7757">
        <v>0</v>
      </c>
      <c r="J7757" t="s">
        <v>1709</v>
      </c>
      <c r="K7757" t="s">
        <v>1861</v>
      </c>
      <c r="L7757" t="s">
        <v>285</v>
      </c>
      <c r="M7757" t="str">
        <f t="shared" si="570"/>
        <v>08</v>
      </c>
      <c r="N7757" t="s">
        <v>12</v>
      </c>
    </row>
    <row r="7758" spans="1:14" x14ac:dyDescent="0.25">
      <c r="A7758">
        <v>20160819</v>
      </c>
      <c r="B7758" t="str">
        <f>"064439"</f>
        <v>064439</v>
      </c>
      <c r="C7758" t="str">
        <f>"46398"</f>
        <v>46398</v>
      </c>
      <c r="D7758" t="s">
        <v>1994</v>
      </c>
      <c r="E7758" s="3">
        <v>9625.86</v>
      </c>
      <c r="F7758">
        <v>20160818</v>
      </c>
      <c r="G7758" t="s">
        <v>1995</v>
      </c>
      <c r="H7758" t="s">
        <v>5501</v>
      </c>
      <c r="I7758">
        <v>0</v>
      </c>
      <c r="J7758" t="s">
        <v>1709</v>
      </c>
      <c r="K7758" t="s">
        <v>235</v>
      </c>
      <c r="L7758" t="s">
        <v>285</v>
      </c>
      <c r="M7758" t="str">
        <f t="shared" si="570"/>
        <v>08</v>
      </c>
      <c r="N7758" t="s">
        <v>12</v>
      </c>
    </row>
    <row r="7759" spans="1:14" x14ac:dyDescent="0.25">
      <c r="A7759">
        <v>20160819</v>
      </c>
      <c r="B7759" t="str">
        <f>"064439"</f>
        <v>064439</v>
      </c>
      <c r="C7759" t="str">
        <f>"46398"</f>
        <v>46398</v>
      </c>
      <c r="D7759" t="s">
        <v>1994</v>
      </c>
      <c r="E7759" s="3">
        <v>2002</v>
      </c>
      <c r="F7759">
        <v>20160818</v>
      </c>
      <c r="G7759" t="s">
        <v>1995</v>
      </c>
      <c r="H7759" t="s">
        <v>5977</v>
      </c>
      <c r="I7759">
        <v>0</v>
      </c>
      <c r="J7759" t="s">
        <v>1709</v>
      </c>
      <c r="K7759" t="s">
        <v>235</v>
      </c>
      <c r="L7759" t="s">
        <v>285</v>
      </c>
      <c r="M7759" t="str">
        <f t="shared" si="570"/>
        <v>08</v>
      </c>
      <c r="N7759" t="s">
        <v>12</v>
      </c>
    </row>
    <row r="7760" spans="1:14" x14ac:dyDescent="0.25">
      <c r="A7760">
        <v>20160819</v>
      </c>
      <c r="B7760" t="str">
        <f>"064439"</f>
        <v>064439</v>
      </c>
      <c r="C7760" t="str">
        <f>"46398"</f>
        <v>46398</v>
      </c>
      <c r="D7760" t="s">
        <v>1994</v>
      </c>
      <c r="E7760" s="3">
        <v>201.79</v>
      </c>
      <c r="F7760">
        <v>20160818</v>
      </c>
      <c r="G7760" t="s">
        <v>1998</v>
      </c>
      <c r="H7760" t="s">
        <v>5501</v>
      </c>
      <c r="I7760">
        <v>0</v>
      </c>
      <c r="J7760" t="s">
        <v>1709</v>
      </c>
      <c r="K7760" t="s">
        <v>1942</v>
      </c>
      <c r="L7760" t="s">
        <v>285</v>
      </c>
      <c r="M7760" t="str">
        <f t="shared" si="570"/>
        <v>08</v>
      </c>
      <c r="N7760" t="s">
        <v>12</v>
      </c>
    </row>
    <row r="7761" spans="1:14" x14ac:dyDescent="0.25">
      <c r="A7761">
        <v>20160819</v>
      </c>
      <c r="B7761" t="str">
        <f>"064440"</f>
        <v>064440</v>
      </c>
      <c r="C7761" t="str">
        <f>"47610"</f>
        <v>47610</v>
      </c>
      <c r="D7761" t="s">
        <v>6293</v>
      </c>
      <c r="E7761" s="3">
        <v>450.9</v>
      </c>
      <c r="F7761">
        <v>20160817</v>
      </c>
      <c r="G7761" t="s">
        <v>4768</v>
      </c>
      <c r="H7761" t="s">
        <v>6294</v>
      </c>
      <c r="I7761">
        <v>0</v>
      </c>
      <c r="J7761" t="s">
        <v>1709</v>
      </c>
      <c r="K7761" t="s">
        <v>95</v>
      </c>
      <c r="L7761" t="s">
        <v>285</v>
      </c>
      <c r="M7761" t="str">
        <f t="shared" si="570"/>
        <v>08</v>
      </c>
      <c r="N7761" t="s">
        <v>12</v>
      </c>
    </row>
    <row r="7762" spans="1:14" x14ac:dyDescent="0.25">
      <c r="A7762">
        <v>20160819</v>
      </c>
      <c r="B7762" t="str">
        <f>"064440"</f>
        <v>064440</v>
      </c>
      <c r="C7762" t="str">
        <f>"47610"</f>
        <v>47610</v>
      </c>
      <c r="D7762" t="s">
        <v>6293</v>
      </c>
      <c r="E7762" s="3">
        <v>109</v>
      </c>
      <c r="F7762">
        <v>20160817</v>
      </c>
      <c r="G7762" t="s">
        <v>4770</v>
      </c>
      <c r="H7762" t="s">
        <v>6294</v>
      </c>
      <c r="I7762">
        <v>0</v>
      </c>
      <c r="J7762" t="s">
        <v>1709</v>
      </c>
      <c r="K7762" t="s">
        <v>33</v>
      </c>
      <c r="L7762" t="s">
        <v>285</v>
      </c>
      <c r="M7762" t="str">
        <f t="shared" si="570"/>
        <v>08</v>
      </c>
      <c r="N7762" t="s">
        <v>12</v>
      </c>
    </row>
    <row r="7763" spans="1:14" x14ac:dyDescent="0.25">
      <c r="A7763">
        <v>20160819</v>
      </c>
      <c r="B7763" t="str">
        <f>"064443"</f>
        <v>064443</v>
      </c>
      <c r="C7763" t="str">
        <f>"50453"</f>
        <v>50453</v>
      </c>
      <c r="D7763" t="s">
        <v>1577</v>
      </c>
      <c r="E7763" s="3">
        <v>447.86</v>
      </c>
      <c r="F7763">
        <v>20160817</v>
      </c>
      <c r="G7763" t="s">
        <v>2349</v>
      </c>
      <c r="H7763" t="s">
        <v>6295</v>
      </c>
      <c r="I7763">
        <v>0</v>
      </c>
      <c r="J7763" t="s">
        <v>1709</v>
      </c>
      <c r="K7763" t="s">
        <v>1558</v>
      </c>
      <c r="L7763" t="s">
        <v>285</v>
      </c>
      <c r="M7763" t="str">
        <f t="shared" si="570"/>
        <v>08</v>
      </c>
      <c r="N7763" t="s">
        <v>12</v>
      </c>
    </row>
    <row r="7764" spans="1:14" x14ac:dyDescent="0.25">
      <c r="A7764">
        <v>20160819</v>
      </c>
      <c r="B7764" t="str">
        <f>"064444"</f>
        <v>064444</v>
      </c>
      <c r="C7764" t="str">
        <f>"50476"</f>
        <v>50476</v>
      </c>
      <c r="D7764" t="s">
        <v>4814</v>
      </c>
      <c r="E7764" s="3">
        <v>300</v>
      </c>
      <c r="F7764">
        <v>20160817</v>
      </c>
      <c r="G7764" t="s">
        <v>1788</v>
      </c>
      <c r="H7764" t="s">
        <v>6296</v>
      </c>
      <c r="I7764">
        <v>0</v>
      </c>
      <c r="J7764" t="s">
        <v>1709</v>
      </c>
      <c r="K7764" t="s">
        <v>1643</v>
      </c>
      <c r="L7764" t="s">
        <v>285</v>
      </c>
      <c r="M7764" t="str">
        <f t="shared" si="570"/>
        <v>08</v>
      </c>
      <c r="N7764" t="s">
        <v>12</v>
      </c>
    </row>
    <row r="7765" spans="1:14" x14ac:dyDescent="0.25">
      <c r="A7765">
        <v>20160819</v>
      </c>
      <c r="B7765" t="str">
        <f>"064447"</f>
        <v>064447</v>
      </c>
      <c r="C7765" t="str">
        <f>"61166"</f>
        <v>61166</v>
      </c>
      <c r="D7765" t="s">
        <v>3269</v>
      </c>
      <c r="E7765" s="3">
        <v>741.2</v>
      </c>
      <c r="F7765">
        <v>20160817</v>
      </c>
      <c r="G7765" t="s">
        <v>3270</v>
      </c>
      <c r="H7765" t="s">
        <v>6297</v>
      </c>
      <c r="I7765">
        <v>0</v>
      </c>
      <c r="J7765" t="s">
        <v>1709</v>
      </c>
      <c r="K7765" t="s">
        <v>1750</v>
      </c>
      <c r="L7765" t="s">
        <v>285</v>
      </c>
      <c r="M7765" t="str">
        <f t="shared" si="570"/>
        <v>08</v>
      </c>
      <c r="N7765" t="s">
        <v>12</v>
      </c>
    </row>
    <row r="7766" spans="1:14" x14ac:dyDescent="0.25">
      <c r="A7766">
        <v>20160819</v>
      </c>
      <c r="B7766" t="str">
        <f>"064448"</f>
        <v>064448</v>
      </c>
      <c r="C7766" t="str">
        <f>"56183"</f>
        <v>56183</v>
      </c>
      <c r="D7766" t="s">
        <v>2359</v>
      </c>
      <c r="E7766" s="3">
        <v>9.16</v>
      </c>
      <c r="F7766">
        <v>20160817</v>
      </c>
      <c r="G7766" t="s">
        <v>2360</v>
      </c>
      <c r="H7766" t="s">
        <v>2295</v>
      </c>
      <c r="I7766">
        <v>0</v>
      </c>
      <c r="J7766" t="s">
        <v>1709</v>
      </c>
      <c r="K7766" t="s">
        <v>1856</v>
      </c>
      <c r="L7766" t="s">
        <v>285</v>
      </c>
      <c r="M7766" t="str">
        <f t="shared" si="570"/>
        <v>08</v>
      </c>
      <c r="N7766" t="s">
        <v>12</v>
      </c>
    </row>
    <row r="7767" spans="1:14" x14ac:dyDescent="0.25">
      <c r="A7767">
        <v>20160819</v>
      </c>
      <c r="B7767" t="str">
        <f>"064448"</f>
        <v>064448</v>
      </c>
      <c r="C7767" t="str">
        <f>"56183"</f>
        <v>56183</v>
      </c>
      <c r="D7767" t="s">
        <v>2359</v>
      </c>
      <c r="E7767" s="3">
        <v>122.94</v>
      </c>
      <c r="F7767">
        <v>20160817</v>
      </c>
      <c r="G7767" t="s">
        <v>2360</v>
      </c>
      <c r="H7767" t="s">
        <v>2295</v>
      </c>
      <c r="I7767">
        <v>0</v>
      </c>
      <c r="J7767" t="s">
        <v>1709</v>
      </c>
      <c r="K7767" t="s">
        <v>1856</v>
      </c>
      <c r="L7767" t="s">
        <v>285</v>
      </c>
      <c r="M7767" t="str">
        <f t="shared" si="570"/>
        <v>08</v>
      </c>
      <c r="N7767" t="s">
        <v>12</v>
      </c>
    </row>
    <row r="7768" spans="1:14" x14ac:dyDescent="0.25">
      <c r="A7768">
        <v>20160819</v>
      </c>
      <c r="B7768" t="str">
        <f>"064450"</f>
        <v>064450</v>
      </c>
      <c r="C7768" t="str">
        <f>"57969"</f>
        <v>57969</v>
      </c>
      <c r="D7768" t="s">
        <v>4679</v>
      </c>
      <c r="E7768" s="3">
        <v>243.75</v>
      </c>
      <c r="F7768">
        <v>20160817</v>
      </c>
      <c r="G7768" t="s">
        <v>1859</v>
      </c>
      <c r="H7768" t="s">
        <v>6298</v>
      </c>
      <c r="I7768">
        <v>0</v>
      </c>
      <c r="J7768" t="s">
        <v>1709</v>
      </c>
      <c r="K7768" t="s">
        <v>1861</v>
      </c>
      <c r="L7768" t="s">
        <v>285</v>
      </c>
      <c r="M7768" t="str">
        <f t="shared" si="570"/>
        <v>08</v>
      </c>
      <c r="N7768" t="s">
        <v>12</v>
      </c>
    </row>
    <row r="7769" spans="1:14" x14ac:dyDescent="0.25">
      <c r="A7769">
        <v>20160819</v>
      </c>
      <c r="B7769" t="str">
        <f>"064451"</f>
        <v>064451</v>
      </c>
      <c r="C7769" t="str">
        <f>"58190"</f>
        <v>58190</v>
      </c>
      <c r="D7769" t="s">
        <v>4282</v>
      </c>
      <c r="E7769" s="3">
        <v>242.25</v>
      </c>
      <c r="F7769">
        <v>20160817</v>
      </c>
      <c r="G7769" t="s">
        <v>4283</v>
      </c>
      <c r="H7769" t="s">
        <v>6299</v>
      </c>
      <c r="I7769">
        <v>0</v>
      </c>
      <c r="J7769" t="s">
        <v>1709</v>
      </c>
      <c r="K7769" t="s">
        <v>1856</v>
      </c>
      <c r="L7769" t="s">
        <v>285</v>
      </c>
      <c r="M7769" t="str">
        <f t="shared" si="570"/>
        <v>08</v>
      </c>
      <c r="N7769" t="s">
        <v>12</v>
      </c>
    </row>
    <row r="7770" spans="1:14" x14ac:dyDescent="0.25">
      <c r="A7770">
        <v>20160819</v>
      </c>
      <c r="B7770" t="str">
        <f>"064452"</f>
        <v>064452</v>
      </c>
      <c r="C7770" t="str">
        <f>"58211"</f>
        <v>58211</v>
      </c>
      <c r="D7770" t="s">
        <v>1577</v>
      </c>
      <c r="E7770" s="3">
        <v>500</v>
      </c>
      <c r="F7770">
        <v>20160817</v>
      </c>
      <c r="G7770" t="s">
        <v>3551</v>
      </c>
      <c r="H7770" t="s">
        <v>6300</v>
      </c>
      <c r="I7770">
        <v>0</v>
      </c>
      <c r="J7770" t="s">
        <v>1709</v>
      </c>
      <c r="K7770" t="s">
        <v>1558</v>
      </c>
      <c r="L7770" t="s">
        <v>285</v>
      </c>
      <c r="M7770" t="str">
        <f t="shared" si="570"/>
        <v>08</v>
      </c>
      <c r="N7770" t="s">
        <v>12</v>
      </c>
    </row>
    <row r="7771" spans="1:14" x14ac:dyDescent="0.25">
      <c r="A7771">
        <v>20160819</v>
      </c>
      <c r="B7771" t="str">
        <f>"064454"</f>
        <v>064454</v>
      </c>
      <c r="C7771" t="str">
        <f>"58201"</f>
        <v>58201</v>
      </c>
      <c r="D7771" t="s">
        <v>2371</v>
      </c>
      <c r="E7771" s="3">
        <v>157.80000000000001</v>
      </c>
      <c r="F7771">
        <v>20160817</v>
      </c>
      <c r="G7771" t="s">
        <v>3114</v>
      </c>
      <c r="H7771" t="s">
        <v>595</v>
      </c>
      <c r="I7771">
        <v>0</v>
      </c>
      <c r="J7771" t="s">
        <v>1709</v>
      </c>
      <c r="K7771" t="s">
        <v>33</v>
      </c>
      <c r="L7771" t="s">
        <v>285</v>
      </c>
      <c r="M7771" t="str">
        <f t="shared" si="570"/>
        <v>08</v>
      </c>
      <c r="N7771" t="s">
        <v>12</v>
      </c>
    </row>
    <row r="7772" spans="1:14" x14ac:dyDescent="0.25">
      <c r="A7772">
        <v>20160819</v>
      </c>
      <c r="B7772" t="str">
        <f>"064455"</f>
        <v>064455</v>
      </c>
      <c r="C7772" t="str">
        <f>"58202"</f>
        <v>58202</v>
      </c>
      <c r="D7772" t="s">
        <v>2695</v>
      </c>
      <c r="E7772" s="3">
        <v>372.36</v>
      </c>
      <c r="F7772">
        <v>20160818</v>
      </c>
      <c r="G7772" t="s">
        <v>3377</v>
      </c>
      <c r="H7772" t="s">
        <v>6301</v>
      </c>
      <c r="I7772">
        <v>0</v>
      </c>
      <c r="J7772" t="s">
        <v>1709</v>
      </c>
      <c r="K7772" t="s">
        <v>95</v>
      </c>
      <c r="L7772" t="s">
        <v>285</v>
      </c>
      <c r="M7772" t="str">
        <f t="shared" si="570"/>
        <v>08</v>
      </c>
      <c r="N7772" t="s">
        <v>12</v>
      </c>
    </row>
    <row r="7773" spans="1:14" x14ac:dyDescent="0.25">
      <c r="A7773">
        <v>20160819</v>
      </c>
      <c r="B7773" t="str">
        <f>"064455"</f>
        <v>064455</v>
      </c>
      <c r="C7773" t="str">
        <f>"58202"</f>
        <v>58202</v>
      </c>
      <c r="D7773" t="s">
        <v>2695</v>
      </c>
      <c r="E7773" s="3">
        <v>30</v>
      </c>
      <c r="F7773">
        <v>20160818</v>
      </c>
      <c r="G7773" t="s">
        <v>4539</v>
      </c>
      <c r="H7773" t="s">
        <v>6302</v>
      </c>
      <c r="I7773">
        <v>0</v>
      </c>
      <c r="J7773" t="s">
        <v>1709</v>
      </c>
      <c r="K7773" t="s">
        <v>95</v>
      </c>
      <c r="L7773" t="s">
        <v>285</v>
      </c>
      <c r="M7773" t="str">
        <f t="shared" si="570"/>
        <v>08</v>
      </c>
      <c r="N7773" t="s">
        <v>12</v>
      </c>
    </row>
    <row r="7774" spans="1:14" x14ac:dyDescent="0.25">
      <c r="A7774">
        <v>20160819</v>
      </c>
      <c r="B7774" t="str">
        <f>"064456"</f>
        <v>064456</v>
      </c>
      <c r="C7774" t="str">
        <f>"58203"</f>
        <v>58203</v>
      </c>
      <c r="D7774" t="s">
        <v>2629</v>
      </c>
      <c r="E7774" s="3">
        <v>149.78</v>
      </c>
      <c r="F7774">
        <v>20160818</v>
      </c>
      <c r="G7774" t="s">
        <v>2162</v>
      </c>
      <c r="H7774" t="s">
        <v>6303</v>
      </c>
      <c r="I7774">
        <v>0</v>
      </c>
      <c r="J7774" t="s">
        <v>1709</v>
      </c>
      <c r="K7774" t="s">
        <v>1643</v>
      </c>
      <c r="L7774" t="s">
        <v>285</v>
      </c>
      <c r="M7774" t="str">
        <f t="shared" si="570"/>
        <v>08</v>
      </c>
      <c r="N7774" t="s">
        <v>12</v>
      </c>
    </row>
    <row r="7775" spans="1:14" x14ac:dyDescent="0.25">
      <c r="A7775">
        <v>20160819</v>
      </c>
      <c r="B7775" t="str">
        <f>"064456"</f>
        <v>064456</v>
      </c>
      <c r="C7775" t="str">
        <f>"58203"</f>
        <v>58203</v>
      </c>
      <c r="D7775" t="s">
        <v>2629</v>
      </c>
      <c r="E7775" s="3">
        <v>53.21</v>
      </c>
      <c r="F7775">
        <v>20160818</v>
      </c>
      <c r="G7775" t="s">
        <v>3153</v>
      </c>
      <c r="H7775" t="s">
        <v>6304</v>
      </c>
      <c r="I7775">
        <v>0</v>
      </c>
      <c r="J7775" t="s">
        <v>1709</v>
      </c>
      <c r="K7775" t="s">
        <v>1643</v>
      </c>
      <c r="L7775" t="s">
        <v>285</v>
      </c>
      <c r="M7775" t="str">
        <f t="shared" si="570"/>
        <v>08</v>
      </c>
      <c r="N7775" t="s">
        <v>12</v>
      </c>
    </row>
    <row r="7776" spans="1:14" x14ac:dyDescent="0.25">
      <c r="A7776">
        <v>20160819</v>
      </c>
      <c r="B7776" t="str">
        <f>"064457"</f>
        <v>064457</v>
      </c>
      <c r="C7776" t="str">
        <f>"58927"</f>
        <v>58927</v>
      </c>
      <c r="D7776" t="s">
        <v>1899</v>
      </c>
      <c r="E7776" s="3">
        <v>55</v>
      </c>
      <c r="F7776">
        <v>20160817</v>
      </c>
      <c r="G7776" t="s">
        <v>2699</v>
      </c>
      <c r="H7776" t="s">
        <v>1900</v>
      </c>
      <c r="I7776">
        <v>0</v>
      </c>
      <c r="J7776" t="s">
        <v>1709</v>
      </c>
      <c r="K7776" t="s">
        <v>1856</v>
      </c>
      <c r="L7776" t="s">
        <v>285</v>
      </c>
      <c r="M7776" t="str">
        <f t="shared" si="570"/>
        <v>08</v>
      </c>
      <c r="N7776" t="s">
        <v>12</v>
      </c>
    </row>
    <row r="7777" spans="1:14" x14ac:dyDescent="0.25">
      <c r="A7777">
        <v>20160819</v>
      </c>
      <c r="B7777" t="str">
        <f>"064457"</f>
        <v>064457</v>
      </c>
      <c r="C7777" t="str">
        <f>"58927"</f>
        <v>58927</v>
      </c>
      <c r="D7777" t="s">
        <v>1899</v>
      </c>
      <c r="E7777" s="3">
        <v>55</v>
      </c>
      <c r="F7777">
        <v>20160817</v>
      </c>
      <c r="G7777" t="s">
        <v>2699</v>
      </c>
      <c r="H7777" t="s">
        <v>1900</v>
      </c>
      <c r="I7777">
        <v>0</v>
      </c>
      <c r="J7777" t="s">
        <v>1709</v>
      </c>
      <c r="K7777" t="s">
        <v>1856</v>
      </c>
      <c r="L7777" t="s">
        <v>285</v>
      </c>
      <c r="M7777" t="str">
        <f t="shared" si="570"/>
        <v>08</v>
      </c>
      <c r="N7777" t="s">
        <v>12</v>
      </c>
    </row>
    <row r="7778" spans="1:14" x14ac:dyDescent="0.25">
      <c r="A7778">
        <v>20160819</v>
      </c>
      <c r="B7778" t="str">
        <f>"064457"</f>
        <v>064457</v>
      </c>
      <c r="C7778" t="str">
        <f>"58927"</f>
        <v>58927</v>
      </c>
      <c r="D7778" t="s">
        <v>1899</v>
      </c>
      <c r="E7778" s="3">
        <v>55</v>
      </c>
      <c r="F7778">
        <v>20160817</v>
      </c>
      <c r="G7778" t="s">
        <v>2699</v>
      </c>
      <c r="H7778" t="s">
        <v>1900</v>
      </c>
      <c r="I7778">
        <v>0</v>
      </c>
      <c r="J7778" t="s">
        <v>1709</v>
      </c>
      <c r="K7778" t="s">
        <v>1856</v>
      </c>
      <c r="L7778" t="s">
        <v>285</v>
      </c>
      <c r="M7778" t="str">
        <f t="shared" si="570"/>
        <v>08</v>
      </c>
      <c r="N7778" t="s">
        <v>12</v>
      </c>
    </row>
    <row r="7779" spans="1:14" x14ac:dyDescent="0.25">
      <c r="A7779">
        <v>20160819</v>
      </c>
      <c r="B7779" t="str">
        <f>"064458"</f>
        <v>064458</v>
      </c>
      <c r="C7779" t="str">
        <f>"57311"</f>
        <v>57311</v>
      </c>
      <c r="D7779" t="s">
        <v>2700</v>
      </c>
      <c r="E7779" s="3">
        <v>279.75</v>
      </c>
      <c r="F7779">
        <v>20160818</v>
      </c>
      <c r="G7779" t="s">
        <v>2565</v>
      </c>
      <c r="H7779" t="s">
        <v>6305</v>
      </c>
      <c r="I7779">
        <v>0</v>
      </c>
      <c r="J7779" t="s">
        <v>1709</v>
      </c>
      <c r="K7779" t="s">
        <v>1558</v>
      </c>
      <c r="L7779" t="s">
        <v>285</v>
      </c>
      <c r="M7779" t="str">
        <f t="shared" si="570"/>
        <v>08</v>
      </c>
      <c r="N7779" t="s">
        <v>12</v>
      </c>
    </row>
    <row r="7780" spans="1:14" x14ac:dyDescent="0.25">
      <c r="A7780">
        <v>20160819</v>
      </c>
      <c r="B7780" t="str">
        <f>"064459"</f>
        <v>064459</v>
      </c>
      <c r="C7780" t="str">
        <f>"60115"</f>
        <v>60115</v>
      </c>
      <c r="D7780" t="s">
        <v>6306</v>
      </c>
      <c r="E7780" s="3">
        <v>3595.34</v>
      </c>
      <c r="F7780">
        <v>20160817</v>
      </c>
      <c r="G7780" t="s">
        <v>2281</v>
      </c>
      <c r="H7780" t="s">
        <v>6307</v>
      </c>
      <c r="I7780">
        <v>0</v>
      </c>
      <c r="J7780" t="s">
        <v>1709</v>
      </c>
      <c r="K7780" t="s">
        <v>290</v>
      </c>
      <c r="L7780" t="s">
        <v>285</v>
      </c>
      <c r="M7780" t="str">
        <f t="shared" si="570"/>
        <v>08</v>
      </c>
      <c r="N7780" t="s">
        <v>12</v>
      </c>
    </row>
    <row r="7781" spans="1:14" x14ac:dyDescent="0.25">
      <c r="A7781">
        <v>20160819</v>
      </c>
      <c r="B7781" t="str">
        <f>"064460"</f>
        <v>064460</v>
      </c>
      <c r="C7781" t="str">
        <f>"60835"</f>
        <v>60835</v>
      </c>
      <c r="D7781" t="s">
        <v>1904</v>
      </c>
      <c r="E7781" s="3">
        <v>140</v>
      </c>
      <c r="F7781">
        <v>20160817</v>
      </c>
      <c r="G7781" t="s">
        <v>1854</v>
      </c>
      <c r="H7781" t="s">
        <v>6308</v>
      </c>
      <c r="I7781">
        <v>0</v>
      </c>
      <c r="J7781" t="s">
        <v>1709</v>
      </c>
      <c r="K7781" t="s">
        <v>1856</v>
      </c>
      <c r="L7781" t="s">
        <v>285</v>
      </c>
      <c r="M7781" t="str">
        <f t="shared" si="570"/>
        <v>08</v>
      </c>
      <c r="N7781" t="s">
        <v>12</v>
      </c>
    </row>
    <row r="7782" spans="1:14" x14ac:dyDescent="0.25">
      <c r="A7782">
        <v>20160819</v>
      </c>
      <c r="B7782" t="str">
        <f>"064463"</f>
        <v>064463</v>
      </c>
      <c r="C7782" t="str">
        <f>"63053"</f>
        <v>63053</v>
      </c>
      <c r="D7782" t="s">
        <v>2012</v>
      </c>
      <c r="E7782" s="3">
        <v>93</v>
      </c>
      <c r="F7782">
        <v>20160817</v>
      </c>
      <c r="G7782" t="s">
        <v>2124</v>
      </c>
      <c r="H7782" t="s">
        <v>6309</v>
      </c>
      <c r="I7782">
        <v>0</v>
      </c>
      <c r="J7782" t="s">
        <v>1709</v>
      </c>
      <c r="K7782" t="s">
        <v>290</v>
      </c>
      <c r="L7782" t="s">
        <v>285</v>
      </c>
      <c r="M7782" t="str">
        <f t="shared" si="570"/>
        <v>08</v>
      </c>
      <c r="N7782" t="s">
        <v>12</v>
      </c>
    </row>
    <row r="7783" spans="1:14" x14ac:dyDescent="0.25">
      <c r="A7783">
        <v>20160819</v>
      </c>
      <c r="B7783" t="str">
        <f>"064464"</f>
        <v>064464</v>
      </c>
      <c r="C7783" t="str">
        <f>"63792"</f>
        <v>63792</v>
      </c>
      <c r="D7783" t="s">
        <v>6310</v>
      </c>
      <c r="E7783" s="3">
        <v>247.96</v>
      </c>
      <c r="F7783">
        <v>20160818</v>
      </c>
      <c r="G7783" t="s">
        <v>4405</v>
      </c>
      <c r="H7783" t="s">
        <v>6311</v>
      </c>
      <c r="I7783">
        <v>0</v>
      </c>
      <c r="J7783" t="s">
        <v>1709</v>
      </c>
      <c r="K7783" t="s">
        <v>95</v>
      </c>
      <c r="L7783" t="s">
        <v>285</v>
      </c>
      <c r="M7783" t="str">
        <f t="shared" si="570"/>
        <v>08</v>
      </c>
      <c r="N7783" t="s">
        <v>12</v>
      </c>
    </row>
    <row r="7784" spans="1:14" x14ac:dyDescent="0.25">
      <c r="A7784">
        <v>20160819</v>
      </c>
      <c r="B7784" t="str">
        <f>"064467"</f>
        <v>064467</v>
      </c>
      <c r="C7784" t="str">
        <f>"64032"</f>
        <v>64032</v>
      </c>
      <c r="D7784" t="s">
        <v>6312</v>
      </c>
      <c r="E7784" s="3">
        <v>210</v>
      </c>
      <c r="F7784">
        <v>20160817</v>
      </c>
      <c r="G7784" t="s">
        <v>6313</v>
      </c>
      <c r="H7784" t="s">
        <v>6314</v>
      </c>
      <c r="I7784">
        <v>0</v>
      </c>
      <c r="J7784" t="s">
        <v>1709</v>
      </c>
      <c r="K7784" t="s">
        <v>290</v>
      </c>
      <c r="L7784" t="s">
        <v>285</v>
      </c>
      <c r="M7784" t="str">
        <f t="shared" si="570"/>
        <v>08</v>
      </c>
      <c r="N7784" t="s">
        <v>12</v>
      </c>
    </row>
    <row r="7785" spans="1:14" x14ac:dyDescent="0.25">
      <c r="A7785">
        <v>20160819</v>
      </c>
      <c r="B7785" t="str">
        <f>"064469"</f>
        <v>064469</v>
      </c>
      <c r="C7785" t="str">
        <f>"65802"</f>
        <v>65802</v>
      </c>
      <c r="D7785" t="s">
        <v>2382</v>
      </c>
      <c r="E7785" s="3">
        <v>45.95</v>
      </c>
      <c r="F7785">
        <v>20160817</v>
      </c>
      <c r="G7785" t="s">
        <v>1933</v>
      </c>
      <c r="H7785" t="s">
        <v>2385</v>
      </c>
      <c r="I7785">
        <v>0</v>
      </c>
      <c r="J7785" t="s">
        <v>1709</v>
      </c>
      <c r="K7785" t="s">
        <v>1558</v>
      </c>
      <c r="L7785" t="s">
        <v>285</v>
      </c>
      <c r="M7785" t="str">
        <f t="shared" si="570"/>
        <v>08</v>
      </c>
      <c r="N7785" t="s">
        <v>12</v>
      </c>
    </row>
    <row r="7786" spans="1:14" x14ac:dyDescent="0.25">
      <c r="A7786">
        <v>20160819</v>
      </c>
      <c r="B7786" t="str">
        <f>"064470"</f>
        <v>064470</v>
      </c>
      <c r="C7786" t="str">
        <f>"65826"</f>
        <v>65826</v>
      </c>
      <c r="D7786" t="s">
        <v>2386</v>
      </c>
      <c r="E7786" s="3">
        <v>1366.96</v>
      </c>
      <c r="F7786">
        <v>20160817</v>
      </c>
      <c r="G7786" t="s">
        <v>2980</v>
      </c>
      <c r="H7786" t="s">
        <v>2169</v>
      </c>
      <c r="I7786">
        <v>0</v>
      </c>
      <c r="J7786" t="s">
        <v>1709</v>
      </c>
      <c r="K7786" t="s">
        <v>95</v>
      </c>
      <c r="L7786" t="s">
        <v>285</v>
      </c>
      <c r="M7786" t="str">
        <f t="shared" ref="M7786:M7849" si="571">"08"</f>
        <v>08</v>
      </c>
      <c r="N7786" t="s">
        <v>12</v>
      </c>
    </row>
    <row r="7787" spans="1:14" x14ac:dyDescent="0.25">
      <c r="A7787">
        <v>20160819</v>
      </c>
      <c r="B7787" t="str">
        <f>"064470"</f>
        <v>064470</v>
      </c>
      <c r="C7787" t="str">
        <f>"65826"</f>
        <v>65826</v>
      </c>
      <c r="D7787" t="s">
        <v>2386</v>
      </c>
      <c r="E7787" s="3">
        <v>612.62</v>
      </c>
      <c r="F7787">
        <v>20160817</v>
      </c>
      <c r="G7787" t="s">
        <v>2980</v>
      </c>
      <c r="H7787" t="s">
        <v>2169</v>
      </c>
      <c r="I7787">
        <v>0</v>
      </c>
      <c r="J7787" t="s">
        <v>1709</v>
      </c>
      <c r="K7787" t="s">
        <v>95</v>
      </c>
      <c r="L7787" t="s">
        <v>285</v>
      </c>
      <c r="M7787" t="str">
        <f t="shared" si="571"/>
        <v>08</v>
      </c>
      <c r="N7787" t="s">
        <v>12</v>
      </c>
    </row>
    <row r="7788" spans="1:14" x14ac:dyDescent="0.25">
      <c r="A7788">
        <v>20160819</v>
      </c>
      <c r="B7788" t="str">
        <f t="shared" ref="B7788:B7796" si="572">"064472"</f>
        <v>064472</v>
      </c>
      <c r="C7788" t="str">
        <f t="shared" ref="C7788:C7796" si="573">"72730"</f>
        <v>72730</v>
      </c>
      <c r="D7788" t="s">
        <v>1400</v>
      </c>
      <c r="E7788" s="3">
        <v>418.72</v>
      </c>
      <c r="F7788">
        <v>20160817</v>
      </c>
      <c r="G7788" t="s">
        <v>1758</v>
      </c>
      <c r="H7788" t="s">
        <v>5398</v>
      </c>
      <c r="I7788">
        <v>0</v>
      </c>
      <c r="J7788" t="s">
        <v>1709</v>
      </c>
      <c r="K7788" t="s">
        <v>1643</v>
      </c>
      <c r="L7788" t="s">
        <v>285</v>
      </c>
      <c r="M7788" t="str">
        <f t="shared" si="571"/>
        <v>08</v>
      </c>
      <c r="N7788" t="s">
        <v>12</v>
      </c>
    </row>
    <row r="7789" spans="1:14" x14ac:dyDescent="0.25">
      <c r="A7789">
        <v>20160819</v>
      </c>
      <c r="B7789" t="str">
        <f t="shared" si="572"/>
        <v>064472</v>
      </c>
      <c r="C7789" t="str">
        <f t="shared" si="573"/>
        <v>72730</v>
      </c>
      <c r="D7789" t="s">
        <v>1400</v>
      </c>
      <c r="E7789" s="3">
        <v>384.8</v>
      </c>
      <c r="F7789">
        <v>20160817</v>
      </c>
      <c r="G7789" t="s">
        <v>2262</v>
      </c>
      <c r="H7789" t="s">
        <v>6315</v>
      </c>
      <c r="I7789">
        <v>0</v>
      </c>
      <c r="J7789" t="s">
        <v>1709</v>
      </c>
      <c r="K7789" t="s">
        <v>1643</v>
      </c>
      <c r="L7789" t="s">
        <v>285</v>
      </c>
      <c r="M7789" t="str">
        <f t="shared" si="571"/>
        <v>08</v>
      </c>
      <c r="N7789" t="s">
        <v>12</v>
      </c>
    </row>
    <row r="7790" spans="1:14" x14ac:dyDescent="0.25">
      <c r="A7790">
        <v>20160819</v>
      </c>
      <c r="B7790" t="str">
        <f t="shared" si="572"/>
        <v>064472</v>
      </c>
      <c r="C7790" t="str">
        <f t="shared" si="573"/>
        <v>72730</v>
      </c>
      <c r="D7790" t="s">
        <v>1400</v>
      </c>
      <c r="E7790" s="3">
        <v>3814.03</v>
      </c>
      <c r="F7790">
        <v>20160817</v>
      </c>
      <c r="G7790" t="s">
        <v>6316</v>
      </c>
      <c r="H7790" t="s">
        <v>6317</v>
      </c>
      <c r="I7790">
        <v>0</v>
      </c>
      <c r="J7790" t="s">
        <v>1709</v>
      </c>
      <c r="K7790" t="s">
        <v>1643</v>
      </c>
      <c r="L7790" t="s">
        <v>285</v>
      </c>
      <c r="M7790" t="str">
        <f t="shared" si="571"/>
        <v>08</v>
      </c>
      <c r="N7790" t="s">
        <v>12</v>
      </c>
    </row>
    <row r="7791" spans="1:14" x14ac:dyDescent="0.25">
      <c r="A7791">
        <v>20160819</v>
      </c>
      <c r="B7791" t="str">
        <f t="shared" si="572"/>
        <v>064472</v>
      </c>
      <c r="C7791" t="str">
        <f t="shared" si="573"/>
        <v>72730</v>
      </c>
      <c r="D7791" t="s">
        <v>1400</v>
      </c>
      <c r="E7791" s="3">
        <v>-47.78</v>
      </c>
      <c r="F7791">
        <v>20160712</v>
      </c>
      <c r="G7791" t="s">
        <v>2264</v>
      </c>
      <c r="H7791" t="s">
        <v>6318</v>
      </c>
      <c r="I7791">
        <v>0</v>
      </c>
      <c r="J7791" t="s">
        <v>1709</v>
      </c>
      <c r="K7791" t="s">
        <v>1643</v>
      </c>
      <c r="L7791" t="s">
        <v>1385</v>
      </c>
      <c r="M7791" t="str">
        <f t="shared" si="571"/>
        <v>08</v>
      </c>
      <c r="N7791" t="s">
        <v>12</v>
      </c>
    </row>
    <row r="7792" spans="1:14" x14ac:dyDescent="0.25">
      <c r="A7792">
        <v>20160819</v>
      </c>
      <c r="B7792" t="str">
        <f t="shared" si="572"/>
        <v>064472</v>
      </c>
      <c r="C7792" t="str">
        <f t="shared" si="573"/>
        <v>72730</v>
      </c>
      <c r="D7792" t="s">
        <v>1400</v>
      </c>
      <c r="E7792" s="3">
        <v>660.21</v>
      </c>
      <c r="F7792">
        <v>20160817</v>
      </c>
      <c r="G7792" t="s">
        <v>6252</v>
      </c>
      <c r="H7792" t="s">
        <v>595</v>
      </c>
      <c r="I7792">
        <v>0</v>
      </c>
      <c r="J7792" t="s">
        <v>1709</v>
      </c>
      <c r="K7792" t="s">
        <v>1942</v>
      </c>
      <c r="L7792" t="s">
        <v>285</v>
      </c>
      <c r="M7792" t="str">
        <f t="shared" si="571"/>
        <v>08</v>
      </c>
      <c r="N7792" t="s">
        <v>12</v>
      </c>
    </row>
    <row r="7793" spans="1:14" x14ac:dyDescent="0.25">
      <c r="A7793">
        <v>20160819</v>
      </c>
      <c r="B7793" t="str">
        <f t="shared" si="572"/>
        <v>064472</v>
      </c>
      <c r="C7793" t="str">
        <f t="shared" si="573"/>
        <v>72730</v>
      </c>
      <c r="D7793" t="s">
        <v>1400</v>
      </c>
      <c r="E7793" s="3">
        <v>39.049999999999997</v>
      </c>
      <c r="F7793">
        <v>20160817</v>
      </c>
      <c r="G7793" t="s">
        <v>6252</v>
      </c>
      <c r="H7793" t="s">
        <v>595</v>
      </c>
      <c r="I7793">
        <v>0</v>
      </c>
      <c r="J7793" t="s">
        <v>1709</v>
      </c>
      <c r="K7793" t="s">
        <v>1942</v>
      </c>
      <c r="L7793" t="s">
        <v>285</v>
      </c>
      <c r="M7793" t="str">
        <f t="shared" si="571"/>
        <v>08</v>
      </c>
      <c r="N7793" t="s">
        <v>12</v>
      </c>
    </row>
    <row r="7794" spans="1:14" x14ac:dyDescent="0.25">
      <c r="A7794">
        <v>20160819</v>
      </c>
      <c r="B7794" t="str">
        <f t="shared" si="572"/>
        <v>064472</v>
      </c>
      <c r="C7794" t="str">
        <f t="shared" si="573"/>
        <v>72730</v>
      </c>
      <c r="D7794" t="s">
        <v>1400</v>
      </c>
      <c r="E7794" s="3">
        <v>11.29</v>
      </c>
      <c r="F7794">
        <v>20160817</v>
      </c>
      <c r="G7794" t="s">
        <v>6252</v>
      </c>
      <c r="H7794" t="s">
        <v>595</v>
      </c>
      <c r="I7794">
        <v>0</v>
      </c>
      <c r="J7794" t="s">
        <v>1709</v>
      </c>
      <c r="K7794" t="s">
        <v>1942</v>
      </c>
      <c r="L7794" t="s">
        <v>285</v>
      </c>
      <c r="M7794" t="str">
        <f t="shared" si="571"/>
        <v>08</v>
      </c>
      <c r="N7794" t="s">
        <v>12</v>
      </c>
    </row>
    <row r="7795" spans="1:14" x14ac:dyDescent="0.25">
      <c r="A7795">
        <v>20160819</v>
      </c>
      <c r="B7795" t="str">
        <f t="shared" si="572"/>
        <v>064472</v>
      </c>
      <c r="C7795" t="str">
        <f t="shared" si="573"/>
        <v>72730</v>
      </c>
      <c r="D7795" t="s">
        <v>1400</v>
      </c>
      <c r="E7795" s="3">
        <v>349.95</v>
      </c>
      <c r="F7795">
        <v>20160817</v>
      </c>
      <c r="G7795" t="s">
        <v>6252</v>
      </c>
      <c r="H7795" t="s">
        <v>595</v>
      </c>
      <c r="I7795">
        <v>0</v>
      </c>
      <c r="J7795" t="s">
        <v>1709</v>
      </c>
      <c r="K7795" t="s">
        <v>1942</v>
      </c>
      <c r="L7795" t="s">
        <v>285</v>
      </c>
      <c r="M7795" t="str">
        <f t="shared" si="571"/>
        <v>08</v>
      </c>
      <c r="N7795" t="s">
        <v>12</v>
      </c>
    </row>
    <row r="7796" spans="1:14" x14ac:dyDescent="0.25">
      <c r="A7796">
        <v>20160819</v>
      </c>
      <c r="B7796" t="str">
        <f t="shared" si="572"/>
        <v>064472</v>
      </c>
      <c r="C7796" t="str">
        <f t="shared" si="573"/>
        <v>72730</v>
      </c>
      <c r="D7796" t="s">
        <v>1400</v>
      </c>
      <c r="E7796" s="3">
        <v>272.64</v>
      </c>
      <c r="F7796">
        <v>20160817</v>
      </c>
      <c r="G7796" t="s">
        <v>6056</v>
      </c>
      <c r="H7796" t="s">
        <v>6319</v>
      </c>
      <c r="I7796">
        <v>0</v>
      </c>
      <c r="J7796" t="s">
        <v>1709</v>
      </c>
      <c r="K7796" t="s">
        <v>1942</v>
      </c>
      <c r="L7796" t="s">
        <v>285</v>
      </c>
      <c r="M7796" t="str">
        <f t="shared" si="571"/>
        <v>08</v>
      </c>
      <c r="N7796" t="s">
        <v>12</v>
      </c>
    </row>
    <row r="7797" spans="1:14" x14ac:dyDescent="0.25">
      <c r="A7797">
        <v>20160819</v>
      </c>
      <c r="B7797" t="str">
        <f>"064473"</f>
        <v>064473</v>
      </c>
      <c r="C7797" t="str">
        <f>"75515"</f>
        <v>75515</v>
      </c>
      <c r="D7797" t="s">
        <v>2729</v>
      </c>
      <c r="E7797" s="3">
        <v>85.71</v>
      </c>
      <c r="F7797">
        <v>20160817</v>
      </c>
      <c r="G7797" t="s">
        <v>6320</v>
      </c>
      <c r="H7797" t="s">
        <v>5708</v>
      </c>
      <c r="I7797">
        <v>0</v>
      </c>
      <c r="J7797" t="s">
        <v>1709</v>
      </c>
      <c r="K7797" t="s">
        <v>290</v>
      </c>
      <c r="L7797" t="s">
        <v>285</v>
      </c>
      <c r="M7797" t="str">
        <f t="shared" si="571"/>
        <v>08</v>
      </c>
      <c r="N7797" t="s">
        <v>12</v>
      </c>
    </row>
    <row r="7798" spans="1:14" x14ac:dyDescent="0.25">
      <c r="A7798">
        <v>20160819</v>
      </c>
      <c r="B7798" t="str">
        <f>"064475"</f>
        <v>064475</v>
      </c>
      <c r="C7798" t="str">
        <f>"78726"</f>
        <v>78726</v>
      </c>
      <c r="D7798" t="s">
        <v>2772</v>
      </c>
      <c r="E7798" s="3">
        <v>2290</v>
      </c>
      <c r="F7798">
        <v>20160817</v>
      </c>
      <c r="G7798" t="s">
        <v>2773</v>
      </c>
      <c r="H7798" t="s">
        <v>6321</v>
      </c>
      <c r="I7798">
        <v>0</v>
      </c>
      <c r="J7798" t="s">
        <v>1709</v>
      </c>
      <c r="K7798" t="s">
        <v>2252</v>
      </c>
      <c r="L7798" t="s">
        <v>285</v>
      </c>
      <c r="M7798" t="str">
        <f t="shared" si="571"/>
        <v>08</v>
      </c>
      <c r="N7798" t="s">
        <v>12</v>
      </c>
    </row>
    <row r="7799" spans="1:14" x14ac:dyDescent="0.25">
      <c r="A7799">
        <v>20160819</v>
      </c>
      <c r="B7799" t="str">
        <f>"064477"</f>
        <v>064477</v>
      </c>
      <c r="C7799" t="str">
        <f>"80481"</f>
        <v>80481</v>
      </c>
      <c r="D7799" t="s">
        <v>1935</v>
      </c>
      <c r="E7799" s="3">
        <v>74</v>
      </c>
      <c r="F7799">
        <v>20160817</v>
      </c>
      <c r="G7799" t="s">
        <v>1938</v>
      </c>
      <c r="H7799" t="s">
        <v>5977</v>
      </c>
      <c r="I7799">
        <v>0</v>
      </c>
      <c r="J7799" t="s">
        <v>1709</v>
      </c>
      <c r="K7799" t="s">
        <v>1643</v>
      </c>
      <c r="L7799" t="s">
        <v>285</v>
      </c>
      <c r="M7799" t="str">
        <f t="shared" si="571"/>
        <v>08</v>
      </c>
      <c r="N7799" t="s">
        <v>12</v>
      </c>
    </row>
    <row r="7800" spans="1:14" x14ac:dyDescent="0.25">
      <c r="A7800">
        <v>20160819</v>
      </c>
      <c r="B7800" t="str">
        <f>"064477"</f>
        <v>064477</v>
      </c>
      <c r="C7800" t="str">
        <f>"80481"</f>
        <v>80481</v>
      </c>
      <c r="D7800" t="s">
        <v>1935</v>
      </c>
      <c r="E7800" s="3">
        <v>74</v>
      </c>
      <c r="F7800">
        <v>20160817</v>
      </c>
      <c r="G7800" t="s">
        <v>1939</v>
      </c>
      <c r="H7800" t="s">
        <v>5977</v>
      </c>
      <c r="I7800">
        <v>0</v>
      </c>
      <c r="J7800" t="s">
        <v>1709</v>
      </c>
      <c r="K7800" t="s">
        <v>33</v>
      </c>
      <c r="L7800" t="s">
        <v>285</v>
      </c>
      <c r="M7800" t="str">
        <f t="shared" si="571"/>
        <v>08</v>
      </c>
      <c r="N7800" t="s">
        <v>12</v>
      </c>
    </row>
    <row r="7801" spans="1:14" x14ac:dyDescent="0.25">
      <c r="A7801">
        <v>20160819</v>
      </c>
      <c r="B7801" t="str">
        <f>"064479"</f>
        <v>064479</v>
      </c>
      <c r="C7801" t="str">
        <f>"81299"</f>
        <v>81299</v>
      </c>
      <c r="D7801" t="s">
        <v>2415</v>
      </c>
      <c r="E7801" s="3">
        <v>527.25</v>
      </c>
      <c r="F7801">
        <v>20160817</v>
      </c>
      <c r="G7801" t="s">
        <v>6322</v>
      </c>
      <c r="H7801" t="s">
        <v>6323</v>
      </c>
      <c r="I7801">
        <v>0</v>
      </c>
      <c r="J7801" t="s">
        <v>1709</v>
      </c>
      <c r="K7801" t="s">
        <v>2764</v>
      </c>
      <c r="L7801" t="s">
        <v>285</v>
      </c>
      <c r="M7801" t="str">
        <f t="shared" si="571"/>
        <v>08</v>
      </c>
      <c r="N7801" t="s">
        <v>12</v>
      </c>
    </row>
    <row r="7802" spans="1:14" x14ac:dyDescent="0.25">
      <c r="A7802">
        <v>20160819</v>
      </c>
      <c r="B7802" t="str">
        <f>"064480"</f>
        <v>064480</v>
      </c>
      <c r="C7802" t="str">
        <f>"81731"</f>
        <v>81731</v>
      </c>
      <c r="D7802" t="s">
        <v>6324</v>
      </c>
      <c r="E7802" s="3">
        <v>88</v>
      </c>
      <c r="F7802">
        <v>20160817</v>
      </c>
      <c r="G7802" t="s">
        <v>6056</v>
      </c>
      <c r="H7802" t="s">
        <v>6325</v>
      </c>
      <c r="I7802">
        <v>0</v>
      </c>
      <c r="J7802" t="s">
        <v>1709</v>
      </c>
      <c r="K7802" t="s">
        <v>1942</v>
      </c>
      <c r="L7802" t="s">
        <v>285</v>
      </c>
      <c r="M7802" t="str">
        <f t="shared" si="571"/>
        <v>08</v>
      </c>
      <c r="N7802" t="s">
        <v>12</v>
      </c>
    </row>
    <row r="7803" spans="1:14" x14ac:dyDescent="0.25">
      <c r="A7803">
        <v>20160826</v>
      </c>
      <c r="B7803" t="str">
        <f>"064483"</f>
        <v>064483</v>
      </c>
      <c r="C7803" t="str">
        <f>"29779"</f>
        <v>29779</v>
      </c>
      <c r="D7803" t="s">
        <v>1806</v>
      </c>
      <c r="E7803" s="3">
        <v>1260</v>
      </c>
      <c r="F7803">
        <v>20160824</v>
      </c>
      <c r="G7803" t="s">
        <v>2192</v>
      </c>
      <c r="H7803" t="s">
        <v>6326</v>
      </c>
      <c r="I7803">
        <v>0</v>
      </c>
      <c r="J7803" t="s">
        <v>1709</v>
      </c>
      <c r="K7803" t="s">
        <v>2194</v>
      </c>
      <c r="L7803" t="s">
        <v>285</v>
      </c>
      <c r="M7803" t="str">
        <f t="shared" si="571"/>
        <v>08</v>
      </c>
      <c r="N7803" t="s">
        <v>12</v>
      </c>
    </row>
    <row r="7804" spans="1:14" x14ac:dyDescent="0.25">
      <c r="A7804">
        <v>20160826</v>
      </c>
      <c r="B7804" t="str">
        <f>"064484"</f>
        <v>064484</v>
      </c>
      <c r="C7804" t="str">
        <f>"03846"</f>
        <v>03846</v>
      </c>
      <c r="D7804" t="s">
        <v>6023</v>
      </c>
      <c r="E7804" s="3">
        <v>1404.78</v>
      </c>
      <c r="F7804">
        <v>20160824</v>
      </c>
      <c r="G7804" t="s">
        <v>1854</v>
      </c>
      <c r="H7804" t="s">
        <v>6327</v>
      </c>
      <c r="I7804">
        <v>0</v>
      </c>
      <c r="J7804" t="s">
        <v>1709</v>
      </c>
      <c r="K7804" t="s">
        <v>1856</v>
      </c>
      <c r="L7804" t="s">
        <v>285</v>
      </c>
      <c r="M7804" t="str">
        <f t="shared" si="571"/>
        <v>08</v>
      </c>
      <c r="N7804" t="s">
        <v>12</v>
      </c>
    </row>
    <row r="7805" spans="1:14" x14ac:dyDescent="0.25">
      <c r="A7805">
        <v>20160826</v>
      </c>
      <c r="B7805" t="str">
        <f t="shared" ref="B7805:B7810" si="574">"064485"</f>
        <v>064485</v>
      </c>
      <c r="C7805" t="str">
        <f t="shared" ref="C7805:C7810" si="575">"04240"</f>
        <v>04240</v>
      </c>
      <c r="D7805" t="s">
        <v>2432</v>
      </c>
      <c r="E7805" s="3">
        <v>124</v>
      </c>
      <c r="F7805">
        <v>20160824</v>
      </c>
      <c r="G7805" t="s">
        <v>1974</v>
      </c>
      <c r="H7805" t="s">
        <v>6328</v>
      </c>
      <c r="I7805">
        <v>0</v>
      </c>
      <c r="J7805" t="s">
        <v>1709</v>
      </c>
      <c r="K7805" t="s">
        <v>290</v>
      </c>
      <c r="L7805" t="s">
        <v>285</v>
      </c>
      <c r="M7805" t="str">
        <f t="shared" si="571"/>
        <v>08</v>
      </c>
      <c r="N7805" t="s">
        <v>12</v>
      </c>
    </row>
    <row r="7806" spans="1:14" x14ac:dyDescent="0.25">
      <c r="A7806">
        <v>20160826</v>
      </c>
      <c r="B7806" t="str">
        <f t="shared" si="574"/>
        <v>064485</v>
      </c>
      <c r="C7806" t="str">
        <f t="shared" si="575"/>
        <v>04240</v>
      </c>
      <c r="D7806" t="s">
        <v>2432</v>
      </c>
      <c r="E7806" s="3">
        <v>336.05</v>
      </c>
      <c r="F7806">
        <v>20160824</v>
      </c>
      <c r="G7806" t="s">
        <v>2228</v>
      </c>
      <c r="H7806" t="s">
        <v>6329</v>
      </c>
      <c r="I7806">
        <v>0</v>
      </c>
      <c r="J7806" t="s">
        <v>1709</v>
      </c>
      <c r="K7806" t="s">
        <v>290</v>
      </c>
      <c r="L7806" t="s">
        <v>285</v>
      </c>
      <c r="M7806" t="str">
        <f t="shared" si="571"/>
        <v>08</v>
      </c>
      <c r="N7806" t="s">
        <v>12</v>
      </c>
    </row>
    <row r="7807" spans="1:14" x14ac:dyDescent="0.25">
      <c r="A7807">
        <v>20160826</v>
      </c>
      <c r="B7807" t="str">
        <f t="shared" si="574"/>
        <v>064485</v>
      </c>
      <c r="C7807" t="str">
        <f t="shared" si="575"/>
        <v>04240</v>
      </c>
      <c r="D7807" t="s">
        <v>2432</v>
      </c>
      <c r="E7807" s="3">
        <v>336.05</v>
      </c>
      <c r="F7807">
        <v>20160824</v>
      </c>
      <c r="G7807" t="s">
        <v>3942</v>
      </c>
      <c r="H7807" t="s">
        <v>6330</v>
      </c>
      <c r="I7807">
        <v>0</v>
      </c>
      <c r="J7807" t="s">
        <v>1709</v>
      </c>
      <c r="K7807" t="s">
        <v>95</v>
      </c>
      <c r="L7807" t="s">
        <v>285</v>
      </c>
      <c r="M7807" t="str">
        <f t="shared" si="571"/>
        <v>08</v>
      </c>
      <c r="N7807" t="s">
        <v>12</v>
      </c>
    </row>
    <row r="7808" spans="1:14" x14ac:dyDescent="0.25">
      <c r="A7808">
        <v>20160826</v>
      </c>
      <c r="B7808" t="str">
        <f t="shared" si="574"/>
        <v>064485</v>
      </c>
      <c r="C7808" t="str">
        <f t="shared" si="575"/>
        <v>04240</v>
      </c>
      <c r="D7808" t="s">
        <v>2432</v>
      </c>
      <c r="E7808" s="3">
        <v>124</v>
      </c>
      <c r="F7808">
        <v>20160824</v>
      </c>
      <c r="G7808" t="s">
        <v>2834</v>
      </c>
      <c r="H7808" t="s">
        <v>6328</v>
      </c>
      <c r="I7808">
        <v>0</v>
      </c>
      <c r="J7808" t="s">
        <v>1709</v>
      </c>
      <c r="K7808" t="s">
        <v>290</v>
      </c>
      <c r="L7808" t="s">
        <v>285</v>
      </c>
      <c r="M7808" t="str">
        <f t="shared" si="571"/>
        <v>08</v>
      </c>
      <c r="N7808" t="s">
        <v>12</v>
      </c>
    </row>
    <row r="7809" spans="1:14" x14ac:dyDescent="0.25">
      <c r="A7809">
        <v>20160826</v>
      </c>
      <c r="B7809" t="str">
        <f t="shared" si="574"/>
        <v>064485</v>
      </c>
      <c r="C7809" t="str">
        <f t="shared" si="575"/>
        <v>04240</v>
      </c>
      <c r="D7809" t="s">
        <v>2432</v>
      </c>
      <c r="E7809" s="3">
        <v>124</v>
      </c>
      <c r="F7809">
        <v>20160824</v>
      </c>
      <c r="G7809" t="s">
        <v>4862</v>
      </c>
      <c r="H7809" t="s">
        <v>6328</v>
      </c>
      <c r="I7809">
        <v>0</v>
      </c>
      <c r="J7809" t="s">
        <v>1709</v>
      </c>
      <c r="K7809" t="s">
        <v>290</v>
      </c>
      <c r="L7809" t="s">
        <v>285</v>
      </c>
      <c r="M7809" t="str">
        <f t="shared" si="571"/>
        <v>08</v>
      </c>
      <c r="N7809" t="s">
        <v>12</v>
      </c>
    </row>
    <row r="7810" spans="1:14" x14ac:dyDescent="0.25">
      <c r="A7810">
        <v>20160826</v>
      </c>
      <c r="B7810" t="str">
        <f t="shared" si="574"/>
        <v>064485</v>
      </c>
      <c r="C7810" t="str">
        <f t="shared" si="575"/>
        <v>04240</v>
      </c>
      <c r="D7810" t="s">
        <v>2432</v>
      </c>
      <c r="E7810" s="3">
        <v>149.94999999999999</v>
      </c>
      <c r="F7810">
        <v>20160824</v>
      </c>
      <c r="G7810" t="s">
        <v>3013</v>
      </c>
      <c r="H7810" t="s">
        <v>6331</v>
      </c>
      <c r="I7810">
        <v>0</v>
      </c>
      <c r="J7810" t="s">
        <v>1709</v>
      </c>
      <c r="K7810" t="s">
        <v>1984</v>
      </c>
      <c r="L7810" t="s">
        <v>285</v>
      </c>
      <c r="M7810" t="str">
        <f t="shared" si="571"/>
        <v>08</v>
      </c>
      <c r="N7810" t="s">
        <v>12</v>
      </c>
    </row>
    <row r="7811" spans="1:14" x14ac:dyDescent="0.25">
      <c r="A7811">
        <v>20160826</v>
      </c>
      <c r="B7811" t="str">
        <f>"064486"</f>
        <v>064486</v>
      </c>
      <c r="C7811" t="str">
        <f>"00381"</f>
        <v>00381</v>
      </c>
      <c r="D7811" t="s">
        <v>1153</v>
      </c>
      <c r="E7811" s="3">
        <v>945</v>
      </c>
      <c r="F7811">
        <v>20160824</v>
      </c>
      <c r="G7811" t="s">
        <v>2424</v>
      </c>
      <c r="H7811" t="s">
        <v>6332</v>
      </c>
      <c r="I7811">
        <v>0</v>
      </c>
      <c r="J7811" t="s">
        <v>1709</v>
      </c>
      <c r="K7811" t="s">
        <v>1775</v>
      </c>
      <c r="L7811" t="s">
        <v>285</v>
      </c>
      <c r="M7811" t="str">
        <f t="shared" si="571"/>
        <v>08</v>
      </c>
      <c r="N7811" t="s">
        <v>12</v>
      </c>
    </row>
    <row r="7812" spans="1:14" x14ac:dyDescent="0.25">
      <c r="A7812">
        <v>20160826</v>
      </c>
      <c r="B7812" t="str">
        <f>"064486"</f>
        <v>064486</v>
      </c>
      <c r="C7812" t="str">
        <f>"00381"</f>
        <v>00381</v>
      </c>
      <c r="D7812" t="s">
        <v>1153</v>
      </c>
      <c r="E7812" s="3">
        <v>340.2</v>
      </c>
      <c r="F7812">
        <v>20160824</v>
      </c>
      <c r="G7812" t="s">
        <v>2424</v>
      </c>
      <c r="H7812" t="s">
        <v>6333</v>
      </c>
      <c r="I7812">
        <v>0</v>
      </c>
      <c r="J7812" t="s">
        <v>1709</v>
      </c>
      <c r="K7812" t="s">
        <v>1775</v>
      </c>
      <c r="L7812" t="s">
        <v>285</v>
      </c>
      <c r="M7812" t="str">
        <f t="shared" si="571"/>
        <v>08</v>
      </c>
      <c r="N7812" t="s">
        <v>12</v>
      </c>
    </row>
    <row r="7813" spans="1:14" x14ac:dyDescent="0.25">
      <c r="A7813">
        <v>20160826</v>
      </c>
      <c r="B7813" t="str">
        <f>"064486"</f>
        <v>064486</v>
      </c>
      <c r="C7813" t="str">
        <f>"00381"</f>
        <v>00381</v>
      </c>
      <c r="D7813" t="s">
        <v>1153</v>
      </c>
      <c r="E7813" s="3">
        <v>56.16</v>
      </c>
      <c r="F7813">
        <v>20160824</v>
      </c>
      <c r="G7813" t="s">
        <v>2049</v>
      </c>
      <c r="H7813" t="s">
        <v>6334</v>
      </c>
      <c r="I7813">
        <v>0</v>
      </c>
      <c r="J7813" t="s">
        <v>1709</v>
      </c>
      <c r="K7813" t="s">
        <v>1775</v>
      </c>
      <c r="L7813" t="s">
        <v>285</v>
      </c>
      <c r="M7813" t="str">
        <f t="shared" si="571"/>
        <v>08</v>
      </c>
      <c r="N7813" t="s">
        <v>12</v>
      </c>
    </row>
    <row r="7814" spans="1:14" x14ac:dyDescent="0.25">
      <c r="A7814">
        <v>20160826</v>
      </c>
      <c r="B7814" t="str">
        <f>"064487"</f>
        <v>064487</v>
      </c>
      <c r="C7814" t="str">
        <f>"07685"</f>
        <v>07685</v>
      </c>
      <c r="D7814" t="s">
        <v>1813</v>
      </c>
      <c r="E7814" s="3">
        <v>300</v>
      </c>
      <c r="F7814">
        <v>20160824</v>
      </c>
      <c r="G7814" t="s">
        <v>2818</v>
      </c>
      <c r="H7814" t="s">
        <v>6335</v>
      </c>
      <c r="I7814">
        <v>0</v>
      </c>
      <c r="J7814" t="s">
        <v>1709</v>
      </c>
      <c r="K7814" t="s">
        <v>2820</v>
      </c>
      <c r="L7814" t="s">
        <v>285</v>
      </c>
      <c r="M7814" t="str">
        <f t="shared" si="571"/>
        <v>08</v>
      </c>
      <c r="N7814" t="s">
        <v>12</v>
      </c>
    </row>
    <row r="7815" spans="1:14" x14ac:dyDescent="0.25">
      <c r="A7815">
        <v>20160826</v>
      </c>
      <c r="B7815" t="str">
        <f>"064488"</f>
        <v>064488</v>
      </c>
      <c r="C7815" t="str">
        <f>"00390"</f>
        <v>00390</v>
      </c>
      <c r="D7815" t="s">
        <v>1717</v>
      </c>
      <c r="E7815" s="3">
        <v>159.49</v>
      </c>
      <c r="F7815">
        <v>20160824</v>
      </c>
      <c r="G7815" t="s">
        <v>2217</v>
      </c>
      <c r="H7815" t="s">
        <v>6336</v>
      </c>
      <c r="I7815">
        <v>0</v>
      </c>
      <c r="J7815" t="s">
        <v>1709</v>
      </c>
      <c r="K7815" t="s">
        <v>1984</v>
      </c>
      <c r="L7815" t="s">
        <v>285</v>
      </c>
      <c r="M7815" t="str">
        <f t="shared" si="571"/>
        <v>08</v>
      </c>
      <c r="N7815" t="s">
        <v>12</v>
      </c>
    </row>
    <row r="7816" spans="1:14" x14ac:dyDescent="0.25">
      <c r="A7816">
        <v>20160826</v>
      </c>
      <c r="B7816" t="str">
        <f>"064488"</f>
        <v>064488</v>
      </c>
      <c r="C7816" t="str">
        <f>"00390"</f>
        <v>00390</v>
      </c>
      <c r="D7816" t="s">
        <v>1717</v>
      </c>
      <c r="E7816" s="3">
        <v>6324.52</v>
      </c>
      <c r="F7816">
        <v>20160824</v>
      </c>
      <c r="G7816" t="s">
        <v>2217</v>
      </c>
      <c r="H7816" t="s">
        <v>6337</v>
      </c>
      <c r="I7816">
        <v>0</v>
      </c>
      <c r="J7816" t="s">
        <v>1709</v>
      </c>
      <c r="K7816" t="s">
        <v>1984</v>
      </c>
      <c r="L7816" t="s">
        <v>285</v>
      </c>
      <c r="M7816" t="str">
        <f t="shared" si="571"/>
        <v>08</v>
      </c>
      <c r="N7816" t="s">
        <v>12</v>
      </c>
    </row>
    <row r="7817" spans="1:14" x14ac:dyDescent="0.25">
      <c r="A7817">
        <v>20160826</v>
      </c>
      <c r="B7817" t="str">
        <f>"064489"</f>
        <v>064489</v>
      </c>
      <c r="C7817" t="str">
        <f>"00392"</f>
        <v>00392</v>
      </c>
      <c r="D7817" t="s">
        <v>1717</v>
      </c>
      <c r="E7817" s="3">
        <v>461.21</v>
      </c>
      <c r="F7817">
        <v>20160824</v>
      </c>
      <c r="G7817" t="s">
        <v>2219</v>
      </c>
      <c r="H7817" t="s">
        <v>6338</v>
      </c>
      <c r="I7817">
        <v>0</v>
      </c>
      <c r="J7817" t="s">
        <v>1709</v>
      </c>
      <c r="K7817" t="s">
        <v>1984</v>
      </c>
      <c r="L7817" t="s">
        <v>285</v>
      </c>
      <c r="M7817" t="str">
        <f t="shared" si="571"/>
        <v>08</v>
      </c>
      <c r="N7817" t="s">
        <v>12</v>
      </c>
    </row>
    <row r="7818" spans="1:14" x14ac:dyDescent="0.25">
      <c r="A7818">
        <v>20160826</v>
      </c>
      <c r="B7818" t="str">
        <f t="shared" ref="B7818:B7838" si="576">"064490"</f>
        <v>064490</v>
      </c>
      <c r="C7818" t="str">
        <f t="shared" ref="C7818:C7838" si="577">"09170"</f>
        <v>09170</v>
      </c>
      <c r="D7818" t="s">
        <v>596</v>
      </c>
      <c r="E7818" s="3">
        <v>129</v>
      </c>
      <c r="F7818">
        <v>20160824</v>
      </c>
      <c r="G7818" t="s">
        <v>2829</v>
      </c>
      <c r="H7818" t="s">
        <v>5703</v>
      </c>
      <c r="I7818">
        <v>0</v>
      </c>
      <c r="J7818" t="s">
        <v>1709</v>
      </c>
      <c r="K7818" t="s">
        <v>290</v>
      </c>
      <c r="L7818" t="s">
        <v>285</v>
      </c>
      <c r="M7818" t="str">
        <f t="shared" si="571"/>
        <v>08</v>
      </c>
      <c r="N7818" t="s">
        <v>12</v>
      </c>
    </row>
    <row r="7819" spans="1:14" x14ac:dyDescent="0.25">
      <c r="A7819">
        <v>20160826</v>
      </c>
      <c r="B7819" t="str">
        <f t="shared" si="576"/>
        <v>064490</v>
      </c>
      <c r="C7819" t="str">
        <f t="shared" si="577"/>
        <v>09170</v>
      </c>
      <c r="D7819" t="s">
        <v>596</v>
      </c>
      <c r="E7819" s="3">
        <v>420</v>
      </c>
      <c r="F7819">
        <v>20160824</v>
      </c>
      <c r="G7819" t="s">
        <v>2317</v>
      </c>
      <c r="H7819" t="s">
        <v>6339</v>
      </c>
      <c r="I7819">
        <v>0</v>
      </c>
      <c r="J7819" t="s">
        <v>1709</v>
      </c>
      <c r="K7819" t="s">
        <v>290</v>
      </c>
      <c r="L7819" t="s">
        <v>285</v>
      </c>
      <c r="M7819" t="str">
        <f t="shared" si="571"/>
        <v>08</v>
      </c>
      <c r="N7819" t="s">
        <v>12</v>
      </c>
    </row>
    <row r="7820" spans="1:14" x14ac:dyDescent="0.25">
      <c r="A7820">
        <v>20160826</v>
      </c>
      <c r="B7820" t="str">
        <f t="shared" si="576"/>
        <v>064490</v>
      </c>
      <c r="C7820" t="str">
        <f t="shared" si="577"/>
        <v>09170</v>
      </c>
      <c r="D7820" t="s">
        <v>596</v>
      </c>
      <c r="E7820" s="3">
        <v>374.75</v>
      </c>
      <c r="F7820">
        <v>20160824</v>
      </c>
      <c r="G7820" t="s">
        <v>2983</v>
      </c>
      <c r="H7820" t="s">
        <v>6340</v>
      </c>
      <c r="I7820">
        <v>0</v>
      </c>
      <c r="J7820" t="s">
        <v>1709</v>
      </c>
      <c r="K7820" t="s">
        <v>290</v>
      </c>
      <c r="L7820" t="s">
        <v>285</v>
      </c>
      <c r="M7820" t="str">
        <f t="shared" si="571"/>
        <v>08</v>
      </c>
      <c r="N7820" t="s">
        <v>12</v>
      </c>
    </row>
    <row r="7821" spans="1:14" x14ac:dyDescent="0.25">
      <c r="A7821">
        <v>20160826</v>
      </c>
      <c r="B7821" t="str">
        <f t="shared" si="576"/>
        <v>064490</v>
      </c>
      <c r="C7821" t="str">
        <f t="shared" si="577"/>
        <v>09170</v>
      </c>
      <c r="D7821" t="s">
        <v>596</v>
      </c>
      <c r="E7821" s="3">
        <v>310</v>
      </c>
      <c r="F7821">
        <v>20160824</v>
      </c>
      <c r="G7821" t="s">
        <v>2285</v>
      </c>
      <c r="H7821" t="s">
        <v>6341</v>
      </c>
      <c r="I7821">
        <v>0</v>
      </c>
      <c r="J7821" t="s">
        <v>1709</v>
      </c>
      <c r="K7821" t="s">
        <v>95</v>
      </c>
      <c r="L7821" t="s">
        <v>285</v>
      </c>
      <c r="M7821" t="str">
        <f t="shared" si="571"/>
        <v>08</v>
      </c>
      <c r="N7821" t="s">
        <v>12</v>
      </c>
    </row>
    <row r="7822" spans="1:14" x14ac:dyDescent="0.25">
      <c r="A7822">
        <v>20160826</v>
      </c>
      <c r="B7822" t="str">
        <f t="shared" si="576"/>
        <v>064490</v>
      </c>
      <c r="C7822" t="str">
        <f t="shared" si="577"/>
        <v>09170</v>
      </c>
      <c r="D7822" t="s">
        <v>596</v>
      </c>
      <c r="E7822" s="3">
        <v>170.87</v>
      </c>
      <c r="F7822">
        <v>20160824</v>
      </c>
      <c r="G7822" t="s">
        <v>1854</v>
      </c>
      <c r="H7822" t="s">
        <v>2295</v>
      </c>
      <c r="I7822">
        <v>0</v>
      </c>
      <c r="J7822" t="s">
        <v>1709</v>
      </c>
      <c r="K7822" t="s">
        <v>1856</v>
      </c>
      <c r="L7822" t="s">
        <v>285</v>
      </c>
      <c r="M7822" t="str">
        <f t="shared" si="571"/>
        <v>08</v>
      </c>
      <c r="N7822" t="s">
        <v>12</v>
      </c>
    </row>
    <row r="7823" spans="1:14" x14ac:dyDescent="0.25">
      <c r="A7823">
        <v>20160826</v>
      </c>
      <c r="B7823" t="str">
        <f t="shared" si="576"/>
        <v>064490</v>
      </c>
      <c r="C7823" t="str">
        <f t="shared" si="577"/>
        <v>09170</v>
      </c>
      <c r="D7823" t="s">
        <v>596</v>
      </c>
      <c r="E7823" s="3">
        <v>181.42</v>
      </c>
      <c r="F7823">
        <v>20160824</v>
      </c>
      <c r="G7823" t="s">
        <v>1854</v>
      </c>
      <c r="H7823" t="s">
        <v>2295</v>
      </c>
      <c r="I7823">
        <v>0</v>
      </c>
      <c r="J7823" t="s">
        <v>1709</v>
      </c>
      <c r="K7823" t="s">
        <v>1856</v>
      </c>
      <c r="L7823" t="s">
        <v>285</v>
      </c>
      <c r="M7823" t="str">
        <f t="shared" si="571"/>
        <v>08</v>
      </c>
      <c r="N7823" t="s">
        <v>12</v>
      </c>
    </row>
    <row r="7824" spans="1:14" x14ac:dyDescent="0.25">
      <c r="A7824">
        <v>20160826</v>
      </c>
      <c r="B7824" t="str">
        <f t="shared" si="576"/>
        <v>064490</v>
      </c>
      <c r="C7824" t="str">
        <f t="shared" si="577"/>
        <v>09170</v>
      </c>
      <c r="D7824" t="s">
        <v>596</v>
      </c>
      <c r="E7824" s="3">
        <v>463.5</v>
      </c>
      <c r="F7824">
        <v>20160824</v>
      </c>
      <c r="G7824" t="s">
        <v>2424</v>
      </c>
      <c r="H7824" t="s">
        <v>67</v>
      </c>
      <c r="I7824">
        <v>0</v>
      </c>
      <c r="J7824" t="s">
        <v>1709</v>
      </c>
      <c r="K7824" t="s">
        <v>1775</v>
      </c>
      <c r="L7824" t="s">
        <v>285</v>
      </c>
      <c r="M7824" t="str">
        <f t="shared" si="571"/>
        <v>08</v>
      </c>
      <c r="N7824" t="s">
        <v>12</v>
      </c>
    </row>
    <row r="7825" spans="1:14" x14ac:dyDescent="0.25">
      <c r="A7825">
        <v>20160826</v>
      </c>
      <c r="B7825" t="str">
        <f t="shared" si="576"/>
        <v>064490</v>
      </c>
      <c r="C7825" t="str">
        <f t="shared" si="577"/>
        <v>09170</v>
      </c>
      <c r="D7825" t="s">
        <v>596</v>
      </c>
      <c r="E7825" s="3">
        <v>93.5</v>
      </c>
      <c r="F7825">
        <v>20160824</v>
      </c>
      <c r="G7825" t="s">
        <v>2424</v>
      </c>
      <c r="H7825" t="s">
        <v>6054</v>
      </c>
      <c r="I7825">
        <v>0</v>
      </c>
      <c r="J7825" t="s">
        <v>1709</v>
      </c>
      <c r="K7825" t="s">
        <v>1775</v>
      </c>
      <c r="L7825" t="s">
        <v>285</v>
      </c>
      <c r="M7825" t="str">
        <f t="shared" si="571"/>
        <v>08</v>
      </c>
      <c r="N7825" t="s">
        <v>12</v>
      </c>
    </row>
    <row r="7826" spans="1:14" x14ac:dyDescent="0.25">
      <c r="A7826">
        <v>20160826</v>
      </c>
      <c r="B7826" t="str">
        <f t="shared" si="576"/>
        <v>064490</v>
      </c>
      <c r="C7826" t="str">
        <f t="shared" si="577"/>
        <v>09170</v>
      </c>
      <c r="D7826" t="s">
        <v>596</v>
      </c>
      <c r="E7826" s="3">
        <v>713.92</v>
      </c>
      <c r="F7826">
        <v>20160824</v>
      </c>
      <c r="G7826" t="s">
        <v>6252</v>
      </c>
      <c r="H7826" t="s">
        <v>4246</v>
      </c>
      <c r="I7826">
        <v>0</v>
      </c>
      <c r="J7826" t="s">
        <v>1709</v>
      </c>
      <c r="K7826" t="s">
        <v>1942</v>
      </c>
      <c r="L7826" t="s">
        <v>285</v>
      </c>
      <c r="M7826" t="str">
        <f t="shared" si="571"/>
        <v>08</v>
      </c>
      <c r="N7826" t="s">
        <v>12</v>
      </c>
    </row>
    <row r="7827" spans="1:14" x14ac:dyDescent="0.25">
      <c r="A7827">
        <v>20160826</v>
      </c>
      <c r="B7827" t="str">
        <f t="shared" si="576"/>
        <v>064490</v>
      </c>
      <c r="C7827" t="str">
        <f t="shared" si="577"/>
        <v>09170</v>
      </c>
      <c r="D7827" t="s">
        <v>596</v>
      </c>
      <c r="E7827" s="3">
        <v>44.13</v>
      </c>
      <c r="F7827">
        <v>20160824</v>
      </c>
      <c r="G7827" t="s">
        <v>1916</v>
      </c>
      <c r="H7827" t="s">
        <v>6342</v>
      </c>
      <c r="I7827">
        <v>0</v>
      </c>
      <c r="J7827" t="s">
        <v>1709</v>
      </c>
      <c r="K7827" t="s">
        <v>1782</v>
      </c>
      <c r="L7827" t="s">
        <v>285</v>
      </c>
      <c r="M7827" t="str">
        <f t="shared" si="571"/>
        <v>08</v>
      </c>
      <c r="N7827" t="s">
        <v>12</v>
      </c>
    </row>
    <row r="7828" spans="1:14" x14ac:dyDescent="0.25">
      <c r="A7828">
        <v>20160826</v>
      </c>
      <c r="B7828" t="str">
        <f t="shared" si="576"/>
        <v>064490</v>
      </c>
      <c r="C7828" t="str">
        <f t="shared" si="577"/>
        <v>09170</v>
      </c>
      <c r="D7828" t="s">
        <v>596</v>
      </c>
      <c r="E7828" s="3">
        <v>156.87</v>
      </c>
      <c r="F7828">
        <v>20160824</v>
      </c>
      <c r="G7828" t="s">
        <v>6056</v>
      </c>
      <c r="H7828" t="s">
        <v>6343</v>
      </c>
      <c r="I7828">
        <v>0</v>
      </c>
      <c r="J7828" t="s">
        <v>1709</v>
      </c>
      <c r="K7828" t="s">
        <v>1942</v>
      </c>
      <c r="L7828" t="s">
        <v>285</v>
      </c>
      <c r="M7828" t="str">
        <f t="shared" si="571"/>
        <v>08</v>
      </c>
      <c r="N7828" t="s">
        <v>12</v>
      </c>
    </row>
    <row r="7829" spans="1:14" x14ac:dyDescent="0.25">
      <c r="A7829">
        <v>20160826</v>
      </c>
      <c r="B7829" t="str">
        <f t="shared" si="576"/>
        <v>064490</v>
      </c>
      <c r="C7829" t="str">
        <f t="shared" si="577"/>
        <v>09170</v>
      </c>
      <c r="D7829" t="s">
        <v>596</v>
      </c>
      <c r="E7829" s="3">
        <v>10.75</v>
      </c>
      <c r="F7829">
        <v>20160824</v>
      </c>
      <c r="G7829" t="s">
        <v>1859</v>
      </c>
      <c r="H7829" t="s">
        <v>6344</v>
      </c>
      <c r="I7829">
        <v>0</v>
      </c>
      <c r="J7829" t="s">
        <v>1709</v>
      </c>
      <c r="K7829" t="s">
        <v>1861</v>
      </c>
      <c r="L7829" t="s">
        <v>285</v>
      </c>
      <c r="M7829" t="str">
        <f t="shared" si="571"/>
        <v>08</v>
      </c>
      <c r="N7829" t="s">
        <v>12</v>
      </c>
    </row>
    <row r="7830" spans="1:14" x14ac:dyDescent="0.25">
      <c r="A7830">
        <v>20160826</v>
      </c>
      <c r="B7830" t="str">
        <f t="shared" si="576"/>
        <v>064490</v>
      </c>
      <c r="C7830" t="str">
        <f t="shared" si="577"/>
        <v>09170</v>
      </c>
      <c r="D7830" t="s">
        <v>596</v>
      </c>
      <c r="E7830" s="3">
        <v>288.99</v>
      </c>
      <c r="F7830">
        <v>20160825</v>
      </c>
      <c r="G7830" t="s">
        <v>1859</v>
      </c>
      <c r="H7830" t="s">
        <v>2295</v>
      </c>
      <c r="I7830">
        <v>0</v>
      </c>
      <c r="J7830" t="s">
        <v>1709</v>
      </c>
      <c r="K7830" t="s">
        <v>1861</v>
      </c>
      <c r="L7830" t="s">
        <v>285</v>
      </c>
      <c r="M7830" t="str">
        <f t="shared" si="571"/>
        <v>08</v>
      </c>
      <c r="N7830" t="s">
        <v>12</v>
      </c>
    </row>
    <row r="7831" spans="1:14" x14ac:dyDescent="0.25">
      <c r="A7831">
        <v>20160826</v>
      </c>
      <c r="B7831" t="str">
        <f t="shared" si="576"/>
        <v>064490</v>
      </c>
      <c r="C7831" t="str">
        <f t="shared" si="577"/>
        <v>09170</v>
      </c>
      <c r="D7831" t="s">
        <v>596</v>
      </c>
      <c r="E7831" s="3">
        <v>190.64</v>
      </c>
      <c r="F7831">
        <v>20160825</v>
      </c>
      <c r="G7831" t="s">
        <v>1859</v>
      </c>
      <c r="H7831" t="s">
        <v>2295</v>
      </c>
      <c r="I7831">
        <v>0</v>
      </c>
      <c r="J7831" t="s">
        <v>1709</v>
      </c>
      <c r="K7831" t="s">
        <v>1861</v>
      </c>
      <c r="L7831" t="s">
        <v>285</v>
      </c>
      <c r="M7831" t="str">
        <f t="shared" si="571"/>
        <v>08</v>
      </c>
      <c r="N7831" t="s">
        <v>12</v>
      </c>
    </row>
    <row r="7832" spans="1:14" x14ac:dyDescent="0.25">
      <c r="A7832">
        <v>20160826</v>
      </c>
      <c r="B7832" t="str">
        <f t="shared" si="576"/>
        <v>064490</v>
      </c>
      <c r="C7832" t="str">
        <f t="shared" si="577"/>
        <v>09170</v>
      </c>
      <c r="D7832" t="s">
        <v>596</v>
      </c>
      <c r="E7832" s="3">
        <v>160</v>
      </c>
      <c r="F7832">
        <v>20160824</v>
      </c>
      <c r="G7832" t="s">
        <v>2799</v>
      </c>
      <c r="H7832" t="s">
        <v>6345</v>
      </c>
      <c r="I7832">
        <v>0</v>
      </c>
      <c r="J7832" t="s">
        <v>1709</v>
      </c>
      <c r="K7832" t="s">
        <v>1861</v>
      </c>
      <c r="L7832" t="s">
        <v>285</v>
      </c>
      <c r="M7832" t="str">
        <f t="shared" si="571"/>
        <v>08</v>
      </c>
      <c r="N7832" t="s">
        <v>12</v>
      </c>
    </row>
    <row r="7833" spans="1:14" x14ac:dyDescent="0.25">
      <c r="A7833">
        <v>20160826</v>
      </c>
      <c r="B7833" t="str">
        <f t="shared" si="576"/>
        <v>064490</v>
      </c>
      <c r="C7833" t="str">
        <f t="shared" si="577"/>
        <v>09170</v>
      </c>
      <c r="D7833" t="s">
        <v>596</v>
      </c>
      <c r="E7833" s="3">
        <v>244.28</v>
      </c>
      <c r="F7833">
        <v>20160824</v>
      </c>
      <c r="G7833" t="s">
        <v>2799</v>
      </c>
      <c r="H7833" t="s">
        <v>6346</v>
      </c>
      <c r="I7833">
        <v>0</v>
      </c>
      <c r="J7833" t="s">
        <v>1709</v>
      </c>
      <c r="K7833" t="s">
        <v>1861</v>
      </c>
      <c r="L7833" t="s">
        <v>285</v>
      </c>
      <c r="M7833" t="str">
        <f t="shared" si="571"/>
        <v>08</v>
      </c>
      <c r="N7833" t="s">
        <v>12</v>
      </c>
    </row>
    <row r="7834" spans="1:14" x14ac:dyDescent="0.25">
      <c r="A7834">
        <v>20160826</v>
      </c>
      <c r="B7834" t="str">
        <f t="shared" si="576"/>
        <v>064490</v>
      </c>
      <c r="C7834" t="str">
        <f t="shared" si="577"/>
        <v>09170</v>
      </c>
      <c r="D7834" t="s">
        <v>596</v>
      </c>
      <c r="E7834" s="3">
        <v>279.95999999999998</v>
      </c>
      <c r="F7834">
        <v>20160824</v>
      </c>
      <c r="G7834" t="s">
        <v>2799</v>
      </c>
      <c r="H7834" t="s">
        <v>6347</v>
      </c>
      <c r="I7834">
        <v>0</v>
      </c>
      <c r="J7834" t="s">
        <v>1709</v>
      </c>
      <c r="K7834" t="s">
        <v>1861</v>
      </c>
      <c r="L7834" t="s">
        <v>285</v>
      </c>
      <c r="M7834" t="str">
        <f t="shared" si="571"/>
        <v>08</v>
      </c>
      <c r="N7834" t="s">
        <v>12</v>
      </c>
    </row>
    <row r="7835" spans="1:14" x14ac:dyDescent="0.25">
      <c r="A7835">
        <v>20160826</v>
      </c>
      <c r="B7835" t="str">
        <f t="shared" si="576"/>
        <v>064490</v>
      </c>
      <c r="C7835" t="str">
        <f t="shared" si="577"/>
        <v>09170</v>
      </c>
      <c r="D7835" t="s">
        <v>596</v>
      </c>
      <c r="E7835" s="3">
        <v>122.38</v>
      </c>
      <c r="F7835">
        <v>20160824</v>
      </c>
      <c r="G7835" t="s">
        <v>2799</v>
      </c>
      <c r="H7835" t="s">
        <v>6348</v>
      </c>
      <c r="I7835">
        <v>0</v>
      </c>
      <c r="J7835" t="s">
        <v>1709</v>
      </c>
      <c r="K7835" t="s">
        <v>1861</v>
      </c>
      <c r="L7835" t="s">
        <v>285</v>
      </c>
      <c r="M7835" t="str">
        <f t="shared" si="571"/>
        <v>08</v>
      </c>
      <c r="N7835" t="s">
        <v>12</v>
      </c>
    </row>
    <row r="7836" spans="1:14" x14ac:dyDescent="0.25">
      <c r="A7836">
        <v>20160826</v>
      </c>
      <c r="B7836" t="str">
        <f t="shared" si="576"/>
        <v>064490</v>
      </c>
      <c r="C7836" t="str">
        <f t="shared" si="577"/>
        <v>09170</v>
      </c>
      <c r="D7836" t="s">
        <v>596</v>
      </c>
      <c r="E7836" s="3">
        <v>214.72</v>
      </c>
      <c r="F7836">
        <v>20160824</v>
      </c>
      <c r="G7836" t="s">
        <v>2799</v>
      </c>
      <c r="H7836" t="s">
        <v>6349</v>
      </c>
      <c r="I7836">
        <v>0</v>
      </c>
      <c r="J7836" t="s">
        <v>1709</v>
      </c>
      <c r="K7836" t="s">
        <v>1861</v>
      </c>
      <c r="L7836" t="s">
        <v>285</v>
      </c>
      <c r="M7836" t="str">
        <f t="shared" si="571"/>
        <v>08</v>
      </c>
      <c r="N7836" t="s">
        <v>12</v>
      </c>
    </row>
    <row r="7837" spans="1:14" x14ac:dyDescent="0.25">
      <c r="A7837">
        <v>20160826</v>
      </c>
      <c r="B7837" t="str">
        <f t="shared" si="576"/>
        <v>064490</v>
      </c>
      <c r="C7837" t="str">
        <f t="shared" si="577"/>
        <v>09170</v>
      </c>
      <c r="D7837" t="s">
        <v>596</v>
      </c>
      <c r="E7837" s="3">
        <v>36.200000000000003</v>
      </c>
      <c r="F7837">
        <v>20160824</v>
      </c>
      <c r="G7837" t="s">
        <v>2799</v>
      </c>
      <c r="H7837" t="s">
        <v>6349</v>
      </c>
      <c r="I7837">
        <v>0</v>
      </c>
      <c r="J7837" t="s">
        <v>1709</v>
      </c>
      <c r="K7837" t="s">
        <v>1861</v>
      </c>
      <c r="L7837" t="s">
        <v>285</v>
      </c>
      <c r="M7837" t="str">
        <f t="shared" si="571"/>
        <v>08</v>
      </c>
      <c r="N7837" t="s">
        <v>12</v>
      </c>
    </row>
    <row r="7838" spans="1:14" x14ac:dyDescent="0.25">
      <c r="A7838">
        <v>20160826</v>
      </c>
      <c r="B7838" t="str">
        <f t="shared" si="576"/>
        <v>064490</v>
      </c>
      <c r="C7838" t="str">
        <f t="shared" si="577"/>
        <v>09170</v>
      </c>
      <c r="D7838" t="s">
        <v>596</v>
      </c>
      <c r="E7838" s="3">
        <v>75.989999999999995</v>
      </c>
      <c r="F7838">
        <v>20160824</v>
      </c>
      <c r="G7838" t="s">
        <v>3013</v>
      </c>
      <c r="H7838" t="s">
        <v>6350</v>
      </c>
      <c r="I7838">
        <v>0</v>
      </c>
      <c r="J7838" t="s">
        <v>1709</v>
      </c>
      <c r="K7838" t="s">
        <v>1984</v>
      </c>
      <c r="L7838" t="s">
        <v>285</v>
      </c>
      <c r="M7838" t="str">
        <f t="shared" si="571"/>
        <v>08</v>
      </c>
      <c r="N7838" t="s">
        <v>12</v>
      </c>
    </row>
    <row r="7839" spans="1:14" x14ac:dyDescent="0.25">
      <c r="A7839">
        <v>20160826</v>
      </c>
      <c r="B7839" t="str">
        <f t="shared" ref="B7839:B7846" si="578">"064491"</f>
        <v>064491</v>
      </c>
      <c r="C7839" t="str">
        <f t="shared" ref="C7839:C7846" si="579">"10040"</f>
        <v>10040</v>
      </c>
      <c r="D7839" t="s">
        <v>2082</v>
      </c>
      <c r="E7839" s="3">
        <v>12.5</v>
      </c>
      <c r="F7839">
        <v>20160824</v>
      </c>
      <c r="G7839" t="s">
        <v>2083</v>
      </c>
      <c r="H7839" t="s">
        <v>6351</v>
      </c>
      <c r="I7839">
        <v>0</v>
      </c>
      <c r="J7839" t="s">
        <v>1709</v>
      </c>
      <c r="K7839" t="s">
        <v>290</v>
      </c>
      <c r="L7839" t="s">
        <v>285</v>
      </c>
      <c r="M7839" t="str">
        <f t="shared" si="571"/>
        <v>08</v>
      </c>
      <c r="N7839" t="s">
        <v>12</v>
      </c>
    </row>
    <row r="7840" spans="1:14" x14ac:dyDescent="0.25">
      <c r="A7840">
        <v>20160826</v>
      </c>
      <c r="B7840" t="str">
        <f t="shared" si="578"/>
        <v>064491</v>
      </c>
      <c r="C7840" t="str">
        <f t="shared" si="579"/>
        <v>10040</v>
      </c>
      <c r="D7840" t="s">
        <v>2082</v>
      </c>
      <c r="E7840" s="3">
        <v>12.5</v>
      </c>
      <c r="F7840">
        <v>20160824</v>
      </c>
      <c r="G7840" t="s">
        <v>2083</v>
      </c>
      <c r="H7840" t="s">
        <v>6352</v>
      </c>
      <c r="I7840">
        <v>0</v>
      </c>
      <c r="J7840" t="s">
        <v>1709</v>
      </c>
      <c r="K7840" t="s">
        <v>290</v>
      </c>
      <c r="L7840" t="s">
        <v>285</v>
      </c>
      <c r="M7840" t="str">
        <f t="shared" si="571"/>
        <v>08</v>
      </c>
      <c r="N7840" t="s">
        <v>12</v>
      </c>
    </row>
    <row r="7841" spans="1:14" x14ac:dyDescent="0.25">
      <c r="A7841">
        <v>20160826</v>
      </c>
      <c r="B7841" t="str">
        <f t="shared" si="578"/>
        <v>064491</v>
      </c>
      <c r="C7841" t="str">
        <f t="shared" si="579"/>
        <v>10040</v>
      </c>
      <c r="D7841" t="s">
        <v>2082</v>
      </c>
      <c r="E7841" s="3">
        <v>12.5</v>
      </c>
      <c r="F7841">
        <v>20160824</v>
      </c>
      <c r="G7841" t="s">
        <v>2086</v>
      </c>
      <c r="H7841" t="s">
        <v>6351</v>
      </c>
      <c r="I7841">
        <v>0</v>
      </c>
      <c r="J7841" t="s">
        <v>1709</v>
      </c>
      <c r="K7841" t="s">
        <v>95</v>
      </c>
      <c r="L7841" t="s">
        <v>285</v>
      </c>
      <c r="M7841" t="str">
        <f t="shared" si="571"/>
        <v>08</v>
      </c>
      <c r="N7841" t="s">
        <v>12</v>
      </c>
    </row>
    <row r="7842" spans="1:14" x14ac:dyDescent="0.25">
      <c r="A7842">
        <v>20160826</v>
      </c>
      <c r="B7842" t="str">
        <f t="shared" si="578"/>
        <v>064491</v>
      </c>
      <c r="C7842" t="str">
        <f t="shared" si="579"/>
        <v>10040</v>
      </c>
      <c r="D7842" t="s">
        <v>2082</v>
      </c>
      <c r="E7842" s="3">
        <v>12.5</v>
      </c>
      <c r="F7842">
        <v>20160824</v>
      </c>
      <c r="G7842" t="s">
        <v>2086</v>
      </c>
      <c r="H7842" t="s">
        <v>6352</v>
      </c>
      <c r="I7842">
        <v>0</v>
      </c>
      <c r="J7842" t="s">
        <v>1709</v>
      </c>
      <c r="K7842" t="s">
        <v>95</v>
      </c>
      <c r="L7842" t="s">
        <v>285</v>
      </c>
      <c r="M7842" t="str">
        <f t="shared" si="571"/>
        <v>08</v>
      </c>
      <c r="N7842" t="s">
        <v>12</v>
      </c>
    </row>
    <row r="7843" spans="1:14" x14ac:dyDescent="0.25">
      <c r="A7843">
        <v>20160826</v>
      </c>
      <c r="B7843" t="str">
        <f t="shared" si="578"/>
        <v>064491</v>
      </c>
      <c r="C7843" t="str">
        <f t="shared" si="579"/>
        <v>10040</v>
      </c>
      <c r="D7843" t="s">
        <v>2082</v>
      </c>
      <c r="E7843" s="3">
        <v>12.5</v>
      </c>
      <c r="F7843">
        <v>20160824</v>
      </c>
      <c r="G7843" t="s">
        <v>2087</v>
      </c>
      <c r="H7843" t="s">
        <v>6351</v>
      </c>
      <c r="I7843">
        <v>0</v>
      </c>
      <c r="J7843" t="s">
        <v>1709</v>
      </c>
      <c r="K7843" t="s">
        <v>1643</v>
      </c>
      <c r="L7843" t="s">
        <v>285</v>
      </c>
      <c r="M7843" t="str">
        <f t="shared" si="571"/>
        <v>08</v>
      </c>
      <c r="N7843" t="s">
        <v>12</v>
      </c>
    </row>
    <row r="7844" spans="1:14" x14ac:dyDescent="0.25">
      <c r="A7844">
        <v>20160826</v>
      </c>
      <c r="B7844" t="str">
        <f t="shared" si="578"/>
        <v>064491</v>
      </c>
      <c r="C7844" t="str">
        <f t="shared" si="579"/>
        <v>10040</v>
      </c>
      <c r="D7844" t="s">
        <v>2082</v>
      </c>
      <c r="E7844" s="3">
        <v>12.5</v>
      </c>
      <c r="F7844">
        <v>20160824</v>
      </c>
      <c r="G7844" t="s">
        <v>2087</v>
      </c>
      <c r="H7844" t="s">
        <v>6352</v>
      </c>
      <c r="I7844">
        <v>0</v>
      </c>
      <c r="J7844" t="s">
        <v>1709</v>
      </c>
      <c r="K7844" t="s">
        <v>1643</v>
      </c>
      <c r="L7844" t="s">
        <v>285</v>
      </c>
      <c r="M7844" t="str">
        <f t="shared" si="571"/>
        <v>08</v>
      </c>
      <c r="N7844" t="s">
        <v>12</v>
      </c>
    </row>
    <row r="7845" spans="1:14" x14ac:dyDescent="0.25">
      <c r="A7845">
        <v>20160826</v>
      </c>
      <c r="B7845" t="str">
        <f t="shared" si="578"/>
        <v>064491</v>
      </c>
      <c r="C7845" t="str">
        <f t="shared" si="579"/>
        <v>10040</v>
      </c>
      <c r="D7845" t="s">
        <v>2082</v>
      </c>
      <c r="E7845" s="3">
        <v>12.5</v>
      </c>
      <c r="F7845">
        <v>20160824</v>
      </c>
      <c r="G7845" t="s">
        <v>2088</v>
      </c>
      <c r="H7845" t="s">
        <v>6351</v>
      </c>
      <c r="I7845">
        <v>0</v>
      </c>
      <c r="J7845" t="s">
        <v>1709</v>
      </c>
      <c r="K7845" t="s">
        <v>33</v>
      </c>
      <c r="L7845" t="s">
        <v>285</v>
      </c>
      <c r="M7845" t="str">
        <f t="shared" si="571"/>
        <v>08</v>
      </c>
      <c r="N7845" t="s">
        <v>12</v>
      </c>
    </row>
    <row r="7846" spans="1:14" x14ac:dyDescent="0.25">
      <c r="A7846">
        <v>20160826</v>
      </c>
      <c r="B7846" t="str">
        <f t="shared" si="578"/>
        <v>064491</v>
      </c>
      <c r="C7846" t="str">
        <f t="shared" si="579"/>
        <v>10040</v>
      </c>
      <c r="D7846" t="s">
        <v>2082</v>
      </c>
      <c r="E7846" s="3">
        <v>12.5</v>
      </c>
      <c r="F7846">
        <v>20160824</v>
      </c>
      <c r="G7846" t="s">
        <v>2088</v>
      </c>
      <c r="H7846" t="s">
        <v>6352</v>
      </c>
      <c r="I7846">
        <v>0</v>
      </c>
      <c r="J7846" t="s">
        <v>1709</v>
      </c>
      <c r="K7846" t="s">
        <v>33</v>
      </c>
      <c r="L7846" t="s">
        <v>285</v>
      </c>
      <c r="M7846" t="str">
        <f t="shared" si="571"/>
        <v>08</v>
      </c>
      <c r="N7846" t="s">
        <v>12</v>
      </c>
    </row>
    <row r="7847" spans="1:14" x14ac:dyDescent="0.25">
      <c r="A7847">
        <v>20160826</v>
      </c>
      <c r="B7847" t="str">
        <f>"064492"</f>
        <v>064492</v>
      </c>
      <c r="C7847" t="str">
        <f>"11140"</f>
        <v>11140</v>
      </c>
      <c r="D7847" t="s">
        <v>1817</v>
      </c>
      <c r="E7847" s="3">
        <v>45.52</v>
      </c>
      <c r="F7847">
        <v>20160825</v>
      </c>
      <c r="G7847" t="s">
        <v>1961</v>
      </c>
      <c r="H7847" t="s">
        <v>6353</v>
      </c>
      <c r="I7847">
        <v>0</v>
      </c>
      <c r="J7847" t="s">
        <v>1709</v>
      </c>
      <c r="K7847" t="s">
        <v>290</v>
      </c>
      <c r="L7847" t="s">
        <v>285</v>
      </c>
      <c r="M7847" t="str">
        <f t="shared" si="571"/>
        <v>08</v>
      </c>
      <c r="N7847" t="s">
        <v>12</v>
      </c>
    </row>
    <row r="7848" spans="1:14" x14ac:dyDescent="0.25">
      <c r="A7848">
        <v>20160826</v>
      </c>
      <c r="B7848" t="str">
        <f>"064493"</f>
        <v>064493</v>
      </c>
      <c r="C7848" t="str">
        <f>"21158"</f>
        <v>21158</v>
      </c>
      <c r="D7848" t="s">
        <v>1721</v>
      </c>
      <c r="E7848" s="3">
        <v>14</v>
      </c>
      <c r="F7848">
        <v>20160825</v>
      </c>
      <c r="G7848" t="s">
        <v>2925</v>
      </c>
      <c r="H7848" t="s">
        <v>6354</v>
      </c>
      <c r="I7848">
        <v>0</v>
      </c>
      <c r="J7848" t="s">
        <v>1709</v>
      </c>
      <c r="K7848" t="s">
        <v>33</v>
      </c>
      <c r="L7848" t="s">
        <v>285</v>
      </c>
      <c r="M7848" t="str">
        <f t="shared" si="571"/>
        <v>08</v>
      </c>
      <c r="N7848" t="s">
        <v>12</v>
      </c>
    </row>
    <row r="7849" spans="1:14" x14ac:dyDescent="0.25">
      <c r="A7849">
        <v>20160826</v>
      </c>
      <c r="B7849" t="str">
        <f>"064497"</f>
        <v>064497</v>
      </c>
      <c r="C7849" t="str">
        <f>"13880"</f>
        <v>13880</v>
      </c>
      <c r="D7849" t="s">
        <v>4118</v>
      </c>
      <c r="E7849" s="3">
        <v>40</v>
      </c>
      <c r="F7849">
        <v>20160825</v>
      </c>
      <c r="G7849" t="s">
        <v>2025</v>
      </c>
      <c r="H7849" t="s">
        <v>6355</v>
      </c>
      <c r="I7849">
        <v>0</v>
      </c>
      <c r="J7849" t="s">
        <v>1709</v>
      </c>
      <c r="K7849" t="s">
        <v>1984</v>
      </c>
      <c r="L7849" t="s">
        <v>285</v>
      </c>
      <c r="M7849" t="str">
        <f t="shared" si="571"/>
        <v>08</v>
      </c>
      <c r="N7849" t="s">
        <v>12</v>
      </c>
    </row>
    <row r="7850" spans="1:14" x14ac:dyDescent="0.25">
      <c r="A7850">
        <v>20160826</v>
      </c>
      <c r="B7850" t="str">
        <f>"064498"</f>
        <v>064498</v>
      </c>
      <c r="C7850" t="str">
        <f>"19043"</f>
        <v>19043</v>
      </c>
      <c r="D7850" t="s">
        <v>2629</v>
      </c>
      <c r="E7850" s="3">
        <v>8.61</v>
      </c>
      <c r="F7850">
        <v>20160825</v>
      </c>
      <c r="G7850" t="s">
        <v>3204</v>
      </c>
      <c r="H7850" t="s">
        <v>6356</v>
      </c>
      <c r="I7850">
        <v>0</v>
      </c>
      <c r="J7850" t="s">
        <v>1709</v>
      </c>
      <c r="K7850" t="s">
        <v>1643</v>
      </c>
      <c r="L7850" t="s">
        <v>285</v>
      </c>
      <c r="M7850" t="str">
        <f t="shared" ref="M7850:M7913" si="580">"08"</f>
        <v>08</v>
      </c>
      <c r="N7850" t="s">
        <v>12</v>
      </c>
    </row>
    <row r="7851" spans="1:14" x14ac:dyDescent="0.25">
      <c r="A7851">
        <v>20160826</v>
      </c>
      <c r="B7851" t="str">
        <f>"064499"</f>
        <v>064499</v>
      </c>
      <c r="C7851" t="str">
        <f>"19310"</f>
        <v>19310</v>
      </c>
      <c r="D7851" t="s">
        <v>6357</v>
      </c>
      <c r="E7851" s="3">
        <v>3151.33</v>
      </c>
      <c r="F7851">
        <v>20160825</v>
      </c>
      <c r="G7851" t="s">
        <v>2890</v>
      </c>
      <c r="H7851" t="s">
        <v>6358</v>
      </c>
      <c r="I7851">
        <v>0</v>
      </c>
      <c r="J7851" t="s">
        <v>1709</v>
      </c>
      <c r="K7851" t="s">
        <v>1861</v>
      </c>
      <c r="L7851" t="s">
        <v>285</v>
      </c>
      <c r="M7851" t="str">
        <f t="shared" si="580"/>
        <v>08</v>
      </c>
      <c r="N7851" t="s">
        <v>12</v>
      </c>
    </row>
    <row r="7852" spans="1:14" x14ac:dyDescent="0.25">
      <c r="A7852">
        <v>20160826</v>
      </c>
      <c r="B7852" t="str">
        <f>"064501"</f>
        <v>064501</v>
      </c>
      <c r="C7852" t="str">
        <f>"19419"</f>
        <v>19419</v>
      </c>
      <c r="D7852" t="s">
        <v>6359</v>
      </c>
      <c r="E7852" s="3">
        <v>47.5</v>
      </c>
      <c r="F7852">
        <v>20160825</v>
      </c>
      <c r="G7852" t="s">
        <v>2025</v>
      </c>
      <c r="H7852" t="s">
        <v>6360</v>
      </c>
      <c r="I7852">
        <v>0</v>
      </c>
      <c r="J7852" t="s">
        <v>1709</v>
      </c>
      <c r="K7852" t="s">
        <v>1984</v>
      </c>
      <c r="L7852" t="s">
        <v>285</v>
      </c>
      <c r="M7852" t="str">
        <f t="shared" si="580"/>
        <v>08</v>
      </c>
      <c r="N7852" t="s">
        <v>12</v>
      </c>
    </row>
    <row r="7853" spans="1:14" x14ac:dyDescent="0.25">
      <c r="A7853">
        <v>20160826</v>
      </c>
      <c r="B7853" t="str">
        <f>"064502"</f>
        <v>064502</v>
      </c>
      <c r="C7853" t="str">
        <f>"19551"</f>
        <v>19551</v>
      </c>
      <c r="D7853" t="s">
        <v>6361</v>
      </c>
      <c r="E7853" s="3">
        <v>1835.61</v>
      </c>
      <c r="F7853">
        <v>20160825</v>
      </c>
      <c r="G7853" t="s">
        <v>2664</v>
      </c>
      <c r="H7853" t="s">
        <v>6362</v>
      </c>
      <c r="I7853">
        <v>0</v>
      </c>
      <c r="J7853" t="s">
        <v>1709</v>
      </c>
      <c r="K7853" t="s">
        <v>1744</v>
      </c>
      <c r="L7853" t="s">
        <v>285</v>
      </c>
      <c r="M7853" t="str">
        <f t="shared" si="580"/>
        <v>08</v>
      </c>
      <c r="N7853" t="s">
        <v>12</v>
      </c>
    </row>
    <row r="7854" spans="1:14" x14ac:dyDescent="0.25">
      <c r="A7854">
        <v>20160826</v>
      </c>
      <c r="B7854" t="str">
        <f>"064503"</f>
        <v>064503</v>
      </c>
      <c r="C7854" t="str">
        <f>"20413"</f>
        <v>20413</v>
      </c>
      <c r="D7854" t="s">
        <v>6363</v>
      </c>
      <c r="E7854" s="3">
        <v>55.09</v>
      </c>
      <c r="F7854">
        <v>20160825</v>
      </c>
      <c r="G7854" t="s">
        <v>2742</v>
      </c>
      <c r="H7854" t="s">
        <v>6364</v>
      </c>
      <c r="I7854">
        <v>0</v>
      </c>
      <c r="J7854" t="s">
        <v>1709</v>
      </c>
      <c r="K7854" t="s">
        <v>1558</v>
      </c>
      <c r="L7854" t="s">
        <v>285</v>
      </c>
      <c r="M7854" t="str">
        <f t="shared" si="580"/>
        <v>08</v>
      </c>
      <c r="N7854" t="s">
        <v>12</v>
      </c>
    </row>
    <row r="7855" spans="1:14" x14ac:dyDescent="0.25">
      <c r="A7855">
        <v>20160826</v>
      </c>
      <c r="B7855" t="str">
        <f>"064504"</f>
        <v>064504</v>
      </c>
      <c r="C7855" t="str">
        <f>"20418"</f>
        <v>20418</v>
      </c>
      <c r="D7855" t="s">
        <v>6365</v>
      </c>
      <c r="E7855" s="3">
        <v>55.8</v>
      </c>
      <c r="F7855">
        <v>20160825</v>
      </c>
      <c r="G7855" t="s">
        <v>3204</v>
      </c>
      <c r="H7855" t="s">
        <v>6366</v>
      </c>
      <c r="I7855">
        <v>0</v>
      </c>
      <c r="J7855" t="s">
        <v>1709</v>
      </c>
      <c r="K7855" t="s">
        <v>1643</v>
      </c>
      <c r="L7855" t="s">
        <v>285</v>
      </c>
      <c r="M7855" t="str">
        <f t="shared" si="580"/>
        <v>08</v>
      </c>
      <c r="N7855" t="s">
        <v>12</v>
      </c>
    </row>
    <row r="7856" spans="1:14" x14ac:dyDescent="0.25">
      <c r="A7856">
        <v>20160826</v>
      </c>
      <c r="B7856" t="str">
        <f>"064506"</f>
        <v>064506</v>
      </c>
      <c r="C7856" t="str">
        <f>"21081"</f>
        <v>21081</v>
      </c>
      <c r="D7856" t="s">
        <v>5836</v>
      </c>
      <c r="E7856" s="3">
        <v>250</v>
      </c>
      <c r="F7856">
        <v>20160825</v>
      </c>
      <c r="G7856" t="s">
        <v>3574</v>
      </c>
      <c r="H7856" t="s">
        <v>6367</v>
      </c>
      <c r="I7856">
        <v>0</v>
      </c>
      <c r="J7856" t="s">
        <v>1709</v>
      </c>
      <c r="K7856" t="s">
        <v>95</v>
      </c>
      <c r="L7856" t="s">
        <v>285</v>
      </c>
      <c r="M7856" t="str">
        <f t="shared" si="580"/>
        <v>08</v>
      </c>
      <c r="N7856" t="s">
        <v>12</v>
      </c>
    </row>
    <row r="7857" spans="1:14" x14ac:dyDescent="0.25">
      <c r="A7857">
        <v>20160826</v>
      </c>
      <c r="B7857" t="str">
        <f>"064506"</f>
        <v>064506</v>
      </c>
      <c r="C7857" t="str">
        <f>"21081"</f>
        <v>21081</v>
      </c>
      <c r="D7857" t="s">
        <v>5836</v>
      </c>
      <c r="E7857" s="3">
        <v>250</v>
      </c>
      <c r="F7857">
        <v>20160825</v>
      </c>
      <c r="G7857" t="s">
        <v>4289</v>
      </c>
      <c r="H7857" t="s">
        <v>6367</v>
      </c>
      <c r="I7857">
        <v>0</v>
      </c>
      <c r="J7857" t="s">
        <v>1709</v>
      </c>
      <c r="K7857" t="s">
        <v>1643</v>
      </c>
      <c r="L7857" t="s">
        <v>285</v>
      </c>
      <c r="M7857" t="str">
        <f t="shared" si="580"/>
        <v>08</v>
      </c>
      <c r="N7857" t="s">
        <v>12</v>
      </c>
    </row>
    <row r="7858" spans="1:14" x14ac:dyDescent="0.25">
      <c r="A7858">
        <v>20160826</v>
      </c>
      <c r="B7858" t="str">
        <f>"064507"</f>
        <v>064507</v>
      </c>
      <c r="C7858" t="str">
        <f>"21091"</f>
        <v>21091</v>
      </c>
      <c r="D7858" t="s">
        <v>2855</v>
      </c>
      <c r="E7858" s="3">
        <v>342.54</v>
      </c>
      <c r="F7858">
        <v>20160825</v>
      </c>
      <c r="G7858" t="s">
        <v>1854</v>
      </c>
      <c r="H7858" t="s">
        <v>6368</v>
      </c>
      <c r="I7858">
        <v>0</v>
      </c>
      <c r="J7858" t="s">
        <v>1709</v>
      </c>
      <c r="K7858" t="s">
        <v>1856</v>
      </c>
      <c r="L7858" t="s">
        <v>285</v>
      </c>
      <c r="M7858" t="str">
        <f t="shared" si="580"/>
        <v>08</v>
      </c>
      <c r="N7858" t="s">
        <v>12</v>
      </c>
    </row>
    <row r="7859" spans="1:14" x14ac:dyDescent="0.25">
      <c r="A7859">
        <v>20160826</v>
      </c>
      <c r="B7859" t="str">
        <f>"064510"</f>
        <v>064510</v>
      </c>
      <c r="C7859" t="str">
        <f>"21901"</f>
        <v>21901</v>
      </c>
      <c r="D7859" t="s">
        <v>1965</v>
      </c>
      <c r="E7859" s="3">
        <v>514.76</v>
      </c>
      <c r="F7859">
        <v>20160825</v>
      </c>
      <c r="G7859" t="s">
        <v>1854</v>
      </c>
      <c r="H7859" t="s">
        <v>6369</v>
      </c>
      <c r="I7859">
        <v>0</v>
      </c>
      <c r="J7859" t="s">
        <v>1709</v>
      </c>
      <c r="K7859" t="s">
        <v>1856</v>
      </c>
      <c r="L7859" t="s">
        <v>285</v>
      </c>
      <c r="M7859" t="str">
        <f t="shared" si="580"/>
        <v>08</v>
      </c>
      <c r="N7859" t="s">
        <v>12</v>
      </c>
    </row>
    <row r="7860" spans="1:14" x14ac:dyDescent="0.25">
      <c r="A7860">
        <v>20160826</v>
      </c>
      <c r="B7860" t="str">
        <f>"064513"</f>
        <v>064513</v>
      </c>
      <c r="C7860" t="str">
        <f>"24130"</f>
        <v>24130</v>
      </c>
      <c r="D7860" t="s">
        <v>2278</v>
      </c>
      <c r="E7860" s="3">
        <v>7275</v>
      </c>
      <c r="F7860">
        <v>20160825</v>
      </c>
      <c r="G7860" t="s">
        <v>2281</v>
      </c>
      <c r="H7860" t="s">
        <v>6370</v>
      </c>
      <c r="I7860">
        <v>0</v>
      </c>
      <c r="J7860" t="s">
        <v>1709</v>
      </c>
      <c r="K7860" t="s">
        <v>290</v>
      </c>
      <c r="L7860" t="s">
        <v>285</v>
      </c>
      <c r="M7860" t="str">
        <f t="shared" si="580"/>
        <v>08</v>
      </c>
      <c r="N7860" t="s">
        <v>12</v>
      </c>
    </row>
    <row r="7861" spans="1:14" x14ac:dyDescent="0.25">
      <c r="A7861">
        <v>20160826</v>
      </c>
      <c r="B7861" t="str">
        <f>"064514"</f>
        <v>064514</v>
      </c>
      <c r="C7861" t="str">
        <f>"25021"</f>
        <v>25021</v>
      </c>
      <c r="D7861" t="s">
        <v>4667</v>
      </c>
      <c r="E7861" s="3">
        <v>120</v>
      </c>
      <c r="F7861">
        <v>20160825</v>
      </c>
      <c r="G7861" t="s">
        <v>4639</v>
      </c>
      <c r="H7861" t="s">
        <v>6371</v>
      </c>
      <c r="I7861">
        <v>0</v>
      </c>
      <c r="J7861" t="s">
        <v>1709</v>
      </c>
      <c r="K7861" t="s">
        <v>95</v>
      </c>
      <c r="L7861" t="s">
        <v>285</v>
      </c>
      <c r="M7861" t="str">
        <f t="shared" si="580"/>
        <v>08</v>
      </c>
      <c r="N7861" t="s">
        <v>12</v>
      </c>
    </row>
    <row r="7862" spans="1:14" x14ac:dyDescent="0.25">
      <c r="A7862">
        <v>20160826</v>
      </c>
      <c r="B7862" t="str">
        <f>"064515"</f>
        <v>064515</v>
      </c>
      <c r="C7862" t="str">
        <f>"25144"</f>
        <v>25144</v>
      </c>
      <c r="D7862" t="s">
        <v>3437</v>
      </c>
      <c r="E7862" s="3">
        <v>2613.9299999999998</v>
      </c>
      <c r="F7862">
        <v>20160825</v>
      </c>
      <c r="G7862" t="s">
        <v>3566</v>
      </c>
      <c r="H7862" t="s">
        <v>6372</v>
      </c>
      <c r="I7862">
        <v>0</v>
      </c>
      <c r="J7862" t="s">
        <v>1709</v>
      </c>
      <c r="K7862" t="s">
        <v>290</v>
      </c>
      <c r="L7862" t="s">
        <v>285</v>
      </c>
      <c r="M7862" t="str">
        <f t="shared" si="580"/>
        <v>08</v>
      </c>
      <c r="N7862" t="s">
        <v>12</v>
      </c>
    </row>
    <row r="7863" spans="1:14" x14ac:dyDescent="0.25">
      <c r="A7863">
        <v>20160826</v>
      </c>
      <c r="B7863" t="str">
        <f>"064516"</f>
        <v>064516</v>
      </c>
      <c r="C7863" t="str">
        <f>"25225"</f>
        <v>25225</v>
      </c>
      <c r="D7863" t="s">
        <v>3677</v>
      </c>
      <c r="E7863" s="3">
        <v>64</v>
      </c>
      <c r="F7863">
        <v>20160825</v>
      </c>
      <c r="G7863" t="s">
        <v>6373</v>
      </c>
      <c r="H7863" t="s">
        <v>6374</v>
      </c>
      <c r="I7863">
        <v>0</v>
      </c>
      <c r="J7863" t="s">
        <v>1709</v>
      </c>
      <c r="K7863" t="s">
        <v>290</v>
      </c>
      <c r="L7863" t="s">
        <v>285</v>
      </c>
      <c r="M7863" t="str">
        <f t="shared" si="580"/>
        <v>08</v>
      </c>
      <c r="N7863" t="s">
        <v>12</v>
      </c>
    </row>
    <row r="7864" spans="1:14" x14ac:dyDescent="0.25">
      <c r="A7864">
        <v>20160826</v>
      </c>
      <c r="B7864" t="str">
        <f>"064516"</f>
        <v>064516</v>
      </c>
      <c r="C7864" t="str">
        <f>"25225"</f>
        <v>25225</v>
      </c>
      <c r="D7864" t="s">
        <v>3677</v>
      </c>
      <c r="E7864" s="3">
        <v>697.6</v>
      </c>
      <c r="F7864">
        <v>20160825</v>
      </c>
      <c r="G7864" t="s">
        <v>6373</v>
      </c>
      <c r="H7864" t="s">
        <v>6374</v>
      </c>
      <c r="I7864">
        <v>0</v>
      </c>
      <c r="J7864" t="s">
        <v>1709</v>
      </c>
      <c r="K7864" t="s">
        <v>290</v>
      </c>
      <c r="L7864" t="s">
        <v>285</v>
      </c>
      <c r="M7864" t="str">
        <f t="shared" si="580"/>
        <v>08</v>
      </c>
      <c r="N7864" t="s">
        <v>12</v>
      </c>
    </row>
    <row r="7865" spans="1:14" x14ac:dyDescent="0.25">
      <c r="A7865">
        <v>20160826</v>
      </c>
      <c r="B7865" t="str">
        <f>"064517"</f>
        <v>064517</v>
      </c>
      <c r="C7865" t="str">
        <f>"77113"</f>
        <v>77113</v>
      </c>
      <c r="D7865" t="s">
        <v>3679</v>
      </c>
      <c r="E7865" s="3">
        <v>65.8</v>
      </c>
      <c r="F7865">
        <v>20160825</v>
      </c>
      <c r="G7865" t="s">
        <v>3680</v>
      </c>
      <c r="H7865" t="s">
        <v>5501</v>
      </c>
      <c r="I7865">
        <v>0</v>
      </c>
      <c r="J7865" t="s">
        <v>1709</v>
      </c>
      <c r="K7865" t="s">
        <v>1984</v>
      </c>
      <c r="L7865" t="s">
        <v>285</v>
      </c>
      <c r="M7865" t="str">
        <f t="shared" si="580"/>
        <v>08</v>
      </c>
      <c r="N7865" t="s">
        <v>12</v>
      </c>
    </row>
    <row r="7866" spans="1:14" x14ac:dyDescent="0.25">
      <c r="A7866">
        <v>20160826</v>
      </c>
      <c r="B7866" t="str">
        <f>"064519"</f>
        <v>064519</v>
      </c>
      <c r="C7866" t="str">
        <f>"54555"</f>
        <v>54555</v>
      </c>
      <c r="D7866" t="s">
        <v>2104</v>
      </c>
      <c r="E7866" s="3">
        <v>74.349999999999994</v>
      </c>
      <c r="F7866">
        <v>20160825</v>
      </c>
      <c r="G7866" t="s">
        <v>1916</v>
      </c>
      <c r="H7866" t="s">
        <v>6375</v>
      </c>
      <c r="I7866">
        <v>0</v>
      </c>
      <c r="J7866" t="s">
        <v>1709</v>
      </c>
      <c r="K7866" t="s">
        <v>1782</v>
      </c>
      <c r="L7866" t="s">
        <v>285</v>
      </c>
      <c r="M7866" t="str">
        <f t="shared" si="580"/>
        <v>08</v>
      </c>
      <c r="N7866" t="s">
        <v>12</v>
      </c>
    </row>
    <row r="7867" spans="1:14" x14ac:dyDescent="0.25">
      <c r="A7867">
        <v>20160826</v>
      </c>
      <c r="B7867" t="str">
        <f>"064520"</f>
        <v>064520</v>
      </c>
      <c r="C7867" t="str">
        <f>"31771"</f>
        <v>31771</v>
      </c>
      <c r="D7867" t="s">
        <v>2289</v>
      </c>
      <c r="E7867" s="3">
        <v>8000</v>
      </c>
      <c r="F7867">
        <v>20160825</v>
      </c>
      <c r="G7867" t="s">
        <v>2290</v>
      </c>
      <c r="H7867" t="s">
        <v>6376</v>
      </c>
      <c r="I7867">
        <v>0</v>
      </c>
      <c r="J7867" t="s">
        <v>1709</v>
      </c>
      <c r="K7867" t="s">
        <v>1882</v>
      </c>
      <c r="L7867" t="s">
        <v>285</v>
      </c>
      <c r="M7867" t="str">
        <f t="shared" si="580"/>
        <v>08</v>
      </c>
      <c r="N7867" t="s">
        <v>12</v>
      </c>
    </row>
    <row r="7868" spans="1:14" x14ac:dyDescent="0.25">
      <c r="A7868">
        <v>20160826</v>
      </c>
      <c r="B7868" t="str">
        <f>"064521"</f>
        <v>064521</v>
      </c>
      <c r="C7868" t="str">
        <f>"28825"</f>
        <v>28825</v>
      </c>
      <c r="D7868" t="s">
        <v>1852</v>
      </c>
      <c r="E7868" s="3">
        <v>1024.82</v>
      </c>
      <c r="F7868">
        <v>20160825</v>
      </c>
      <c r="G7868" t="s">
        <v>1854</v>
      </c>
      <c r="H7868" t="s">
        <v>6377</v>
      </c>
      <c r="I7868">
        <v>0</v>
      </c>
      <c r="J7868" t="s">
        <v>1709</v>
      </c>
      <c r="K7868" t="s">
        <v>1856</v>
      </c>
      <c r="L7868" t="s">
        <v>285</v>
      </c>
      <c r="M7868" t="str">
        <f t="shared" si="580"/>
        <v>08</v>
      </c>
      <c r="N7868" t="s">
        <v>12</v>
      </c>
    </row>
    <row r="7869" spans="1:14" x14ac:dyDescent="0.25">
      <c r="A7869">
        <v>20160826</v>
      </c>
      <c r="B7869" t="str">
        <f>"064523"</f>
        <v>064523</v>
      </c>
      <c r="C7869" t="str">
        <f>"29500"</f>
        <v>29500</v>
      </c>
      <c r="D7869" t="s">
        <v>1698</v>
      </c>
      <c r="E7869" s="3">
        <v>46.8</v>
      </c>
      <c r="F7869">
        <v>20160825</v>
      </c>
      <c r="G7869" t="s">
        <v>1859</v>
      </c>
      <c r="H7869" t="s">
        <v>6378</v>
      </c>
      <c r="I7869">
        <v>0</v>
      </c>
      <c r="J7869" t="s">
        <v>1709</v>
      </c>
      <c r="K7869" t="s">
        <v>1861</v>
      </c>
      <c r="L7869" t="s">
        <v>285</v>
      </c>
      <c r="M7869" t="str">
        <f t="shared" si="580"/>
        <v>08</v>
      </c>
      <c r="N7869" t="s">
        <v>12</v>
      </c>
    </row>
    <row r="7870" spans="1:14" x14ac:dyDescent="0.25">
      <c r="A7870">
        <v>20160826</v>
      </c>
      <c r="B7870" t="str">
        <f>"064524"</f>
        <v>064524</v>
      </c>
      <c r="C7870" t="str">
        <f>"29548"</f>
        <v>29548</v>
      </c>
      <c r="D7870" t="s">
        <v>1862</v>
      </c>
      <c r="E7870" s="3">
        <v>237.9</v>
      </c>
      <c r="F7870">
        <v>20160825</v>
      </c>
      <c r="G7870" t="s">
        <v>1859</v>
      </c>
      <c r="H7870" t="s">
        <v>6379</v>
      </c>
      <c r="I7870">
        <v>0</v>
      </c>
      <c r="J7870" t="s">
        <v>1709</v>
      </c>
      <c r="K7870" t="s">
        <v>1861</v>
      </c>
      <c r="L7870" t="s">
        <v>285</v>
      </c>
      <c r="M7870" t="str">
        <f t="shared" si="580"/>
        <v>08</v>
      </c>
      <c r="N7870" t="s">
        <v>12</v>
      </c>
    </row>
    <row r="7871" spans="1:14" x14ac:dyDescent="0.25">
      <c r="A7871">
        <v>20160826</v>
      </c>
      <c r="B7871" t="str">
        <f>"064524"</f>
        <v>064524</v>
      </c>
      <c r="C7871" t="str">
        <f>"29548"</f>
        <v>29548</v>
      </c>
      <c r="D7871" t="s">
        <v>1862</v>
      </c>
      <c r="E7871" s="3">
        <v>113</v>
      </c>
      <c r="F7871">
        <v>20160825</v>
      </c>
      <c r="G7871" t="s">
        <v>1859</v>
      </c>
      <c r="H7871" t="s">
        <v>6380</v>
      </c>
      <c r="I7871">
        <v>0</v>
      </c>
      <c r="J7871" t="s">
        <v>1709</v>
      </c>
      <c r="K7871" t="s">
        <v>1861</v>
      </c>
      <c r="L7871" t="s">
        <v>285</v>
      </c>
      <c r="M7871" t="str">
        <f t="shared" si="580"/>
        <v>08</v>
      </c>
      <c r="N7871" t="s">
        <v>12</v>
      </c>
    </row>
    <row r="7872" spans="1:14" x14ac:dyDescent="0.25">
      <c r="A7872">
        <v>20160826</v>
      </c>
      <c r="B7872" t="str">
        <f>"064524"</f>
        <v>064524</v>
      </c>
      <c r="C7872" t="str">
        <f>"29548"</f>
        <v>29548</v>
      </c>
      <c r="D7872" t="s">
        <v>1862</v>
      </c>
      <c r="E7872" s="3">
        <v>240.7</v>
      </c>
      <c r="F7872">
        <v>20160825</v>
      </c>
      <c r="G7872" t="s">
        <v>1859</v>
      </c>
      <c r="H7872" t="s">
        <v>6381</v>
      </c>
      <c r="I7872">
        <v>0</v>
      </c>
      <c r="J7872" t="s">
        <v>1709</v>
      </c>
      <c r="K7872" t="s">
        <v>1861</v>
      </c>
      <c r="L7872" t="s">
        <v>285</v>
      </c>
      <c r="M7872" t="str">
        <f t="shared" si="580"/>
        <v>08</v>
      </c>
      <c r="N7872" t="s">
        <v>12</v>
      </c>
    </row>
    <row r="7873" spans="1:14" x14ac:dyDescent="0.25">
      <c r="A7873">
        <v>20160826</v>
      </c>
      <c r="B7873" t="str">
        <f>"064525"</f>
        <v>064525</v>
      </c>
      <c r="C7873" t="str">
        <f>"29680"</f>
        <v>29680</v>
      </c>
      <c r="D7873" t="s">
        <v>653</v>
      </c>
      <c r="E7873" s="3">
        <v>62.5</v>
      </c>
      <c r="F7873">
        <v>20160825</v>
      </c>
      <c r="G7873" t="s">
        <v>1961</v>
      </c>
      <c r="H7873" t="s">
        <v>6382</v>
      </c>
      <c r="I7873">
        <v>0</v>
      </c>
      <c r="J7873" t="s">
        <v>1709</v>
      </c>
      <c r="K7873" t="s">
        <v>290</v>
      </c>
      <c r="L7873" t="s">
        <v>285</v>
      </c>
      <c r="M7873" t="str">
        <f t="shared" si="580"/>
        <v>08</v>
      </c>
      <c r="N7873" t="s">
        <v>12</v>
      </c>
    </row>
    <row r="7874" spans="1:14" x14ac:dyDescent="0.25">
      <c r="A7874">
        <v>20160826</v>
      </c>
      <c r="B7874" t="str">
        <f>"064526"</f>
        <v>064526</v>
      </c>
      <c r="C7874" t="str">
        <f>"06470"</f>
        <v>06470</v>
      </c>
      <c r="D7874" t="s">
        <v>2654</v>
      </c>
      <c r="E7874" s="3">
        <v>308.79000000000002</v>
      </c>
      <c r="F7874">
        <v>20160825</v>
      </c>
      <c r="G7874" t="s">
        <v>2164</v>
      </c>
      <c r="H7874" t="s">
        <v>6383</v>
      </c>
      <c r="I7874">
        <v>0</v>
      </c>
      <c r="J7874" t="s">
        <v>1709</v>
      </c>
      <c r="K7874" t="s">
        <v>1861</v>
      </c>
      <c r="L7874" t="s">
        <v>285</v>
      </c>
      <c r="M7874" t="str">
        <f t="shared" si="580"/>
        <v>08</v>
      </c>
      <c r="N7874" t="s">
        <v>12</v>
      </c>
    </row>
    <row r="7875" spans="1:14" x14ac:dyDescent="0.25">
      <c r="A7875">
        <v>20160826</v>
      </c>
      <c r="B7875" t="str">
        <f>"064526"</f>
        <v>064526</v>
      </c>
      <c r="C7875" t="str">
        <f>"06470"</f>
        <v>06470</v>
      </c>
      <c r="D7875" t="s">
        <v>2654</v>
      </c>
      <c r="E7875" s="3">
        <v>770.54</v>
      </c>
      <c r="F7875">
        <v>20160825</v>
      </c>
      <c r="G7875" t="s">
        <v>2164</v>
      </c>
      <c r="H7875" t="s">
        <v>6384</v>
      </c>
      <c r="I7875">
        <v>0</v>
      </c>
      <c r="J7875" t="s">
        <v>1709</v>
      </c>
      <c r="K7875" t="s">
        <v>1861</v>
      </c>
      <c r="L7875" t="s">
        <v>285</v>
      </c>
      <c r="M7875" t="str">
        <f t="shared" si="580"/>
        <v>08</v>
      </c>
      <c r="N7875" t="s">
        <v>12</v>
      </c>
    </row>
    <row r="7876" spans="1:14" x14ac:dyDescent="0.25">
      <c r="A7876">
        <v>20160826</v>
      </c>
      <c r="B7876" t="str">
        <f>"064526"</f>
        <v>064526</v>
      </c>
      <c r="C7876" t="str">
        <f>"06470"</f>
        <v>06470</v>
      </c>
      <c r="D7876" t="s">
        <v>2654</v>
      </c>
      <c r="E7876" s="3">
        <v>857.72</v>
      </c>
      <c r="F7876">
        <v>20160825</v>
      </c>
      <c r="G7876" t="s">
        <v>2164</v>
      </c>
      <c r="H7876" t="s">
        <v>6385</v>
      </c>
      <c r="I7876">
        <v>0</v>
      </c>
      <c r="J7876" t="s">
        <v>1709</v>
      </c>
      <c r="K7876" t="s">
        <v>1861</v>
      </c>
      <c r="L7876" t="s">
        <v>285</v>
      </c>
      <c r="M7876" t="str">
        <f t="shared" si="580"/>
        <v>08</v>
      </c>
      <c r="N7876" t="s">
        <v>12</v>
      </c>
    </row>
    <row r="7877" spans="1:14" x14ac:dyDescent="0.25">
      <c r="A7877">
        <v>20160826</v>
      </c>
      <c r="B7877" t="str">
        <f>"064526"</f>
        <v>064526</v>
      </c>
      <c r="C7877" t="str">
        <f>"06470"</f>
        <v>06470</v>
      </c>
      <c r="D7877" t="s">
        <v>2654</v>
      </c>
      <c r="E7877" s="3">
        <v>1268.47</v>
      </c>
      <c r="F7877">
        <v>20160825</v>
      </c>
      <c r="G7877" t="s">
        <v>2164</v>
      </c>
      <c r="H7877" t="s">
        <v>6386</v>
      </c>
      <c r="I7877">
        <v>0</v>
      </c>
      <c r="J7877" t="s">
        <v>1709</v>
      </c>
      <c r="K7877" t="s">
        <v>1861</v>
      </c>
      <c r="L7877" t="s">
        <v>285</v>
      </c>
      <c r="M7877" t="str">
        <f t="shared" si="580"/>
        <v>08</v>
      </c>
      <c r="N7877" t="s">
        <v>12</v>
      </c>
    </row>
    <row r="7878" spans="1:14" x14ac:dyDescent="0.25">
      <c r="A7878">
        <v>20160826</v>
      </c>
      <c r="B7878" t="str">
        <f>"064526"</f>
        <v>064526</v>
      </c>
      <c r="C7878" t="str">
        <f>"06470"</f>
        <v>06470</v>
      </c>
      <c r="D7878" t="s">
        <v>2654</v>
      </c>
      <c r="E7878" s="3">
        <v>1350.42</v>
      </c>
      <c r="F7878">
        <v>20160825</v>
      </c>
      <c r="G7878" t="s">
        <v>2164</v>
      </c>
      <c r="H7878" t="s">
        <v>6387</v>
      </c>
      <c r="I7878">
        <v>0</v>
      </c>
      <c r="J7878" t="s">
        <v>1709</v>
      </c>
      <c r="K7878" t="s">
        <v>1861</v>
      </c>
      <c r="L7878" t="s">
        <v>285</v>
      </c>
      <c r="M7878" t="str">
        <f t="shared" si="580"/>
        <v>08</v>
      </c>
      <c r="N7878" t="s">
        <v>12</v>
      </c>
    </row>
    <row r="7879" spans="1:14" x14ac:dyDescent="0.25">
      <c r="A7879">
        <v>20160826</v>
      </c>
      <c r="B7879" t="str">
        <f>"064527"</f>
        <v>064527</v>
      </c>
      <c r="C7879" t="str">
        <f>"30080"</f>
        <v>30080</v>
      </c>
      <c r="D7879" t="s">
        <v>2658</v>
      </c>
      <c r="E7879" s="3">
        <v>382.8</v>
      </c>
      <c r="F7879">
        <v>20160825</v>
      </c>
      <c r="G7879" t="s">
        <v>2795</v>
      </c>
      <c r="H7879" t="s">
        <v>6388</v>
      </c>
      <c r="I7879">
        <v>0</v>
      </c>
      <c r="J7879" t="s">
        <v>1709</v>
      </c>
      <c r="K7879" t="s">
        <v>95</v>
      </c>
      <c r="L7879" t="s">
        <v>285</v>
      </c>
      <c r="M7879" t="str">
        <f t="shared" si="580"/>
        <v>08</v>
      </c>
      <c r="N7879" t="s">
        <v>12</v>
      </c>
    </row>
    <row r="7880" spans="1:14" x14ac:dyDescent="0.25">
      <c r="A7880">
        <v>20160826</v>
      </c>
      <c r="B7880" t="str">
        <f>"064528"</f>
        <v>064528</v>
      </c>
      <c r="C7880" t="str">
        <f>"30130"</f>
        <v>30130</v>
      </c>
      <c r="D7880" t="s">
        <v>3082</v>
      </c>
      <c r="E7880" s="3">
        <v>243.8</v>
      </c>
      <c r="F7880">
        <v>20160825</v>
      </c>
      <c r="G7880" t="s">
        <v>1854</v>
      </c>
      <c r="H7880" t="s">
        <v>6389</v>
      </c>
      <c r="I7880">
        <v>0</v>
      </c>
      <c r="J7880" t="s">
        <v>1709</v>
      </c>
      <c r="K7880" t="s">
        <v>1856</v>
      </c>
      <c r="L7880" t="s">
        <v>285</v>
      </c>
      <c r="M7880" t="str">
        <f t="shared" si="580"/>
        <v>08</v>
      </c>
      <c r="N7880" t="s">
        <v>12</v>
      </c>
    </row>
    <row r="7881" spans="1:14" x14ac:dyDescent="0.25">
      <c r="A7881">
        <v>20160826</v>
      </c>
      <c r="B7881" t="str">
        <f t="shared" ref="B7881:B7898" si="581">"064530"</f>
        <v>064530</v>
      </c>
      <c r="C7881" t="str">
        <f t="shared" ref="C7881:C7898" si="582">"30389"</f>
        <v>30389</v>
      </c>
      <c r="D7881" t="s">
        <v>4251</v>
      </c>
      <c r="E7881" s="3">
        <v>9095.6299999999992</v>
      </c>
      <c r="F7881">
        <v>20160825</v>
      </c>
      <c r="G7881" t="s">
        <v>3853</v>
      </c>
      <c r="H7881" t="s">
        <v>4253</v>
      </c>
      <c r="I7881">
        <v>0</v>
      </c>
      <c r="J7881" t="s">
        <v>1709</v>
      </c>
      <c r="K7881" t="s">
        <v>290</v>
      </c>
      <c r="L7881" t="s">
        <v>285</v>
      </c>
      <c r="M7881" t="str">
        <f t="shared" si="580"/>
        <v>08</v>
      </c>
      <c r="N7881" t="s">
        <v>12</v>
      </c>
    </row>
    <row r="7882" spans="1:14" x14ac:dyDescent="0.25">
      <c r="A7882">
        <v>20160826</v>
      </c>
      <c r="B7882" t="str">
        <f t="shared" si="581"/>
        <v>064530</v>
      </c>
      <c r="C7882" t="str">
        <f t="shared" si="582"/>
        <v>30389</v>
      </c>
      <c r="D7882" t="s">
        <v>4251</v>
      </c>
      <c r="E7882" s="3">
        <v>8730</v>
      </c>
      <c r="F7882">
        <v>20160825</v>
      </c>
      <c r="G7882" t="s">
        <v>3853</v>
      </c>
      <c r="H7882" t="s">
        <v>4253</v>
      </c>
      <c r="I7882">
        <v>0</v>
      </c>
      <c r="J7882" t="s">
        <v>1709</v>
      </c>
      <c r="K7882" t="s">
        <v>290</v>
      </c>
      <c r="L7882" t="s">
        <v>285</v>
      </c>
      <c r="M7882" t="str">
        <f t="shared" si="580"/>
        <v>08</v>
      </c>
      <c r="N7882" t="s">
        <v>12</v>
      </c>
    </row>
    <row r="7883" spans="1:14" x14ac:dyDescent="0.25">
      <c r="A7883">
        <v>20160826</v>
      </c>
      <c r="B7883" t="str">
        <f t="shared" si="581"/>
        <v>064530</v>
      </c>
      <c r="C7883" t="str">
        <f t="shared" si="582"/>
        <v>30389</v>
      </c>
      <c r="D7883" t="s">
        <v>4251</v>
      </c>
      <c r="E7883" s="3">
        <v>6232.5</v>
      </c>
      <c r="F7883">
        <v>20160825</v>
      </c>
      <c r="G7883" t="s">
        <v>3853</v>
      </c>
      <c r="H7883" t="s">
        <v>4253</v>
      </c>
      <c r="I7883">
        <v>0</v>
      </c>
      <c r="J7883" t="s">
        <v>1709</v>
      </c>
      <c r="K7883" t="s">
        <v>290</v>
      </c>
      <c r="L7883" t="s">
        <v>285</v>
      </c>
      <c r="M7883" t="str">
        <f t="shared" si="580"/>
        <v>08</v>
      </c>
      <c r="N7883" t="s">
        <v>12</v>
      </c>
    </row>
    <row r="7884" spans="1:14" x14ac:dyDescent="0.25">
      <c r="A7884">
        <v>20160826</v>
      </c>
      <c r="B7884" t="str">
        <f t="shared" si="581"/>
        <v>064530</v>
      </c>
      <c r="C7884" t="str">
        <f t="shared" si="582"/>
        <v>30389</v>
      </c>
      <c r="D7884" t="s">
        <v>4251</v>
      </c>
      <c r="E7884" s="3">
        <v>145.80000000000001</v>
      </c>
      <c r="F7884">
        <v>20160825</v>
      </c>
      <c r="G7884" t="s">
        <v>3853</v>
      </c>
      <c r="H7884" t="s">
        <v>4253</v>
      </c>
      <c r="I7884">
        <v>0</v>
      </c>
      <c r="J7884" t="s">
        <v>1709</v>
      </c>
      <c r="K7884" t="s">
        <v>290</v>
      </c>
      <c r="L7884" t="s">
        <v>285</v>
      </c>
      <c r="M7884" t="str">
        <f t="shared" si="580"/>
        <v>08</v>
      </c>
      <c r="N7884" t="s">
        <v>12</v>
      </c>
    </row>
    <row r="7885" spans="1:14" x14ac:dyDescent="0.25">
      <c r="A7885">
        <v>20160826</v>
      </c>
      <c r="B7885" t="str">
        <f t="shared" si="581"/>
        <v>064530</v>
      </c>
      <c r="C7885" t="str">
        <f t="shared" si="582"/>
        <v>30389</v>
      </c>
      <c r="D7885" t="s">
        <v>4251</v>
      </c>
      <c r="E7885" s="3">
        <v>4000.5</v>
      </c>
      <c r="F7885">
        <v>20160825</v>
      </c>
      <c r="G7885" t="s">
        <v>3853</v>
      </c>
      <c r="H7885" t="s">
        <v>4253</v>
      </c>
      <c r="I7885">
        <v>0</v>
      </c>
      <c r="J7885" t="s">
        <v>1709</v>
      </c>
      <c r="K7885" t="s">
        <v>290</v>
      </c>
      <c r="L7885" t="s">
        <v>285</v>
      </c>
      <c r="M7885" t="str">
        <f t="shared" si="580"/>
        <v>08</v>
      </c>
      <c r="N7885" t="s">
        <v>12</v>
      </c>
    </row>
    <row r="7886" spans="1:14" x14ac:dyDescent="0.25">
      <c r="A7886">
        <v>20160826</v>
      </c>
      <c r="B7886" t="str">
        <f t="shared" si="581"/>
        <v>064530</v>
      </c>
      <c r="C7886" t="str">
        <f t="shared" si="582"/>
        <v>30389</v>
      </c>
      <c r="D7886" t="s">
        <v>4251</v>
      </c>
      <c r="E7886" s="3">
        <v>4000.5</v>
      </c>
      <c r="F7886">
        <v>20160825</v>
      </c>
      <c r="G7886" t="s">
        <v>3853</v>
      </c>
      <c r="H7886" t="s">
        <v>4253</v>
      </c>
      <c r="I7886">
        <v>0</v>
      </c>
      <c r="J7886" t="s">
        <v>1709</v>
      </c>
      <c r="K7886" t="s">
        <v>290</v>
      </c>
      <c r="L7886" t="s">
        <v>285</v>
      </c>
      <c r="M7886" t="str">
        <f t="shared" si="580"/>
        <v>08</v>
      </c>
      <c r="N7886" t="s">
        <v>12</v>
      </c>
    </row>
    <row r="7887" spans="1:14" x14ac:dyDescent="0.25">
      <c r="A7887">
        <v>20160826</v>
      </c>
      <c r="B7887" t="str">
        <f t="shared" si="581"/>
        <v>064530</v>
      </c>
      <c r="C7887" t="str">
        <f t="shared" si="582"/>
        <v>30389</v>
      </c>
      <c r="D7887" t="s">
        <v>4251</v>
      </c>
      <c r="E7887" s="3">
        <v>4000.5</v>
      </c>
      <c r="F7887">
        <v>20160825</v>
      </c>
      <c r="G7887" t="s">
        <v>3853</v>
      </c>
      <c r="H7887" t="s">
        <v>4253</v>
      </c>
      <c r="I7887">
        <v>0</v>
      </c>
      <c r="J7887" t="s">
        <v>1709</v>
      </c>
      <c r="K7887" t="s">
        <v>290</v>
      </c>
      <c r="L7887" t="s">
        <v>285</v>
      </c>
      <c r="M7887" t="str">
        <f t="shared" si="580"/>
        <v>08</v>
      </c>
      <c r="N7887" t="s">
        <v>12</v>
      </c>
    </row>
    <row r="7888" spans="1:14" x14ac:dyDescent="0.25">
      <c r="A7888">
        <v>20160826</v>
      </c>
      <c r="B7888" t="str">
        <f t="shared" si="581"/>
        <v>064530</v>
      </c>
      <c r="C7888" t="str">
        <f t="shared" si="582"/>
        <v>30389</v>
      </c>
      <c r="D7888" t="s">
        <v>4251</v>
      </c>
      <c r="E7888" s="3">
        <v>2025</v>
      </c>
      <c r="F7888">
        <v>20160825</v>
      </c>
      <c r="G7888" t="s">
        <v>3853</v>
      </c>
      <c r="H7888" t="s">
        <v>4253</v>
      </c>
      <c r="I7888">
        <v>0</v>
      </c>
      <c r="J7888" t="s">
        <v>1709</v>
      </c>
      <c r="K7888" t="s">
        <v>290</v>
      </c>
      <c r="L7888" t="s">
        <v>285</v>
      </c>
      <c r="M7888" t="str">
        <f t="shared" si="580"/>
        <v>08</v>
      </c>
      <c r="N7888" t="s">
        <v>12</v>
      </c>
    </row>
    <row r="7889" spans="1:14" x14ac:dyDescent="0.25">
      <c r="A7889">
        <v>20160826</v>
      </c>
      <c r="B7889" t="str">
        <f t="shared" si="581"/>
        <v>064530</v>
      </c>
      <c r="C7889" t="str">
        <f t="shared" si="582"/>
        <v>30389</v>
      </c>
      <c r="D7889" t="s">
        <v>4251</v>
      </c>
      <c r="E7889" s="3">
        <v>225</v>
      </c>
      <c r="F7889">
        <v>20160825</v>
      </c>
      <c r="G7889" t="s">
        <v>3853</v>
      </c>
      <c r="H7889" t="s">
        <v>4253</v>
      </c>
      <c r="I7889">
        <v>0</v>
      </c>
      <c r="J7889" t="s">
        <v>1709</v>
      </c>
      <c r="K7889" t="s">
        <v>290</v>
      </c>
      <c r="L7889" t="s">
        <v>285</v>
      </c>
      <c r="M7889" t="str">
        <f t="shared" si="580"/>
        <v>08</v>
      </c>
      <c r="N7889" t="s">
        <v>12</v>
      </c>
    </row>
    <row r="7890" spans="1:14" x14ac:dyDescent="0.25">
      <c r="A7890">
        <v>20160826</v>
      </c>
      <c r="B7890" t="str">
        <f t="shared" si="581"/>
        <v>064530</v>
      </c>
      <c r="C7890" t="str">
        <f t="shared" si="582"/>
        <v>30389</v>
      </c>
      <c r="D7890" t="s">
        <v>4251</v>
      </c>
      <c r="E7890" s="3">
        <v>4000.5</v>
      </c>
      <c r="F7890">
        <v>20160825</v>
      </c>
      <c r="G7890" t="s">
        <v>3853</v>
      </c>
      <c r="H7890" t="s">
        <v>4253</v>
      </c>
      <c r="I7890">
        <v>0</v>
      </c>
      <c r="J7890" t="s">
        <v>1709</v>
      </c>
      <c r="K7890" t="s">
        <v>290</v>
      </c>
      <c r="L7890" t="s">
        <v>285</v>
      </c>
      <c r="M7890" t="str">
        <f t="shared" si="580"/>
        <v>08</v>
      </c>
      <c r="N7890" t="s">
        <v>12</v>
      </c>
    </row>
    <row r="7891" spans="1:14" x14ac:dyDescent="0.25">
      <c r="A7891">
        <v>20160826</v>
      </c>
      <c r="B7891" t="str">
        <f t="shared" si="581"/>
        <v>064530</v>
      </c>
      <c r="C7891" t="str">
        <f t="shared" si="582"/>
        <v>30389</v>
      </c>
      <c r="D7891" t="s">
        <v>4251</v>
      </c>
      <c r="E7891" s="3">
        <v>9000</v>
      </c>
      <c r="F7891">
        <v>20160825</v>
      </c>
      <c r="G7891" t="s">
        <v>3853</v>
      </c>
      <c r="H7891" t="s">
        <v>4253</v>
      </c>
      <c r="I7891">
        <v>0</v>
      </c>
      <c r="J7891" t="s">
        <v>1709</v>
      </c>
      <c r="K7891" t="s">
        <v>290</v>
      </c>
      <c r="L7891" t="s">
        <v>285</v>
      </c>
      <c r="M7891" t="str">
        <f t="shared" si="580"/>
        <v>08</v>
      </c>
      <c r="N7891" t="s">
        <v>12</v>
      </c>
    </row>
    <row r="7892" spans="1:14" x14ac:dyDescent="0.25">
      <c r="A7892">
        <v>20160826</v>
      </c>
      <c r="B7892" t="str">
        <f t="shared" si="581"/>
        <v>064530</v>
      </c>
      <c r="C7892" t="str">
        <f t="shared" si="582"/>
        <v>30389</v>
      </c>
      <c r="D7892" t="s">
        <v>4251</v>
      </c>
      <c r="E7892" s="3">
        <v>1129.5</v>
      </c>
      <c r="F7892">
        <v>20160825</v>
      </c>
      <c r="G7892" t="s">
        <v>3853</v>
      </c>
      <c r="H7892" t="s">
        <v>4253</v>
      </c>
      <c r="I7892">
        <v>0</v>
      </c>
      <c r="J7892" t="s">
        <v>1709</v>
      </c>
      <c r="K7892" t="s">
        <v>290</v>
      </c>
      <c r="L7892" t="s">
        <v>285</v>
      </c>
      <c r="M7892" t="str">
        <f t="shared" si="580"/>
        <v>08</v>
      </c>
      <c r="N7892" t="s">
        <v>12</v>
      </c>
    </row>
    <row r="7893" spans="1:14" x14ac:dyDescent="0.25">
      <c r="A7893">
        <v>20160826</v>
      </c>
      <c r="B7893" t="str">
        <f t="shared" si="581"/>
        <v>064530</v>
      </c>
      <c r="C7893" t="str">
        <f t="shared" si="582"/>
        <v>30389</v>
      </c>
      <c r="D7893" t="s">
        <v>4251</v>
      </c>
      <c r="E7893" s="3">
        <v>270</v>
      </c>
      <c r="F7893">
        <v>20160825</v>
      </c>
      <c r="G7893" t="s">
        <v>3853</v>
      </c>
      <c r="H7893" t="s">
        <v>6390</v>
      </c>
      <c r="I7893">
        <v>0</v>
      </c>
      <c r="J7893" t="s">
        <v>1709</v>
      </c>
      <c r="K7893" t="s">
        <v>290</v>
      </c>
      <c r="L7893" t="s">
        <v>285</v>
      </c>
      <c r="M7893" t="str">
        <f t="shared" si="580"/>
        <v>08</v>
      </c>
      <c r="N7893" t="s">
        <v>12</v>
      </c>
    </row>
    <row r="7894" spans="1:14" x14ac:dyDescent="0.25">
      <c r="A7894">
        <v>20160826</v>
      </c>
      <c r="B7894" t="str">
        <f t="shared" si="581"/>
        <v>064530</v>
      </c>
      <c r="C7894" t="str">
        <f t="shared" si="582"/>
        <v>30389</v>
      </c>
      <c r="D7894" t="s">
        <v>4251</v>
      </c>
      <c r="E7894" s="3">
        <v>2983.5</v>
      </c>
      <c r="F7894">
        <v>20160825</v>
      </c>
      <c r="G7894" t="s">
        <v>3853</v>
      </c>
      <c r="H7894" t="s">
        <v>6390</v>
      </c>
      <c r="I7894">
        <v>0</v>
      </c>
      <c r="J7894" t="s">
        <v>1709</v>
      </c>
      <c r="K7894" t="s">
        <v>290</v>
      </c>
      <c r="L7894" t="s">
        <v>285</v>
      </c>
      <c r="M7894" t="str">
        <f t="shared" si="580"/>
        <v>08</v>
      </c>
      <c r="N7894" t="s">
        <v>12</v>
      </c>
    </row>
    <row r="7895" spans="1:14" x14ac:dyDescent="0.25">
      <c r="A7895">
        <v>20160826</v>
      </c>
      <c r="B7895" t="str">
        <f t="shared" si="581"/>
        <v>064530</v>
      </c>
      <c r="C7895" t="str">
        <f t="shared" si="582"/>
        <v>30389</v>
      </c>
      <c r="D7895" t="s">
        <v>4251</v>
      </c>
      <c r="E7895" s="3">
        <v>225</v>
      </c>
      <c r="F7895">
        <v>20160825</v>
      </c>
      <c r="G7895" t="s">
        <v>3853</v>
      </c>
      <c r="H7895" t="s">
        <v>6390</v>
      </c>
      <c r="I7895">
        <v>0</v>
      </c>
      <c r="J7895" t="s">
        <v>1709</v>
      </c>
      <c r="K7895" t="s">
        <v>290</v>
      </c>
      <c r="L7895" t="s">
        <v>285</v>
      </c>
      <c r="M7895" t="str">
        <f t="shared" si="580"/>
        <v>08</v>
      </c>
      <c r="N7895" t="s">
        <v>12</v>
      </c>
    </row>
    <row r="7896" spans="1:14" x14ac:dyDescent="0.25">
      <c r="A7896">
        <v>20160826</v>
      </c>
      <c r="B7896" t="str">
        <f t="shared" si="581"/>
        <v>064530</v>
      </c>
      <c r="C7896" t="str">
        <f t="shared" si="582"/>
        <v>30389</v>
      </c>
      <c r="D7896" t="s">
        <v>4251</v>
      </c>
      <c r="E7896" s="3">
        <v>7000.88</v>
      </c>
      <c r="F7896">
        <v>20160825</v>
      </c>
      <c r="G7896" t="s">
        <v>3853</v>
      </c>
      <c r="H7896" t="s">
        <v>4253</v>
      </c>
      <c r="I7896">
        <v>0</v>
      </c>
      <c r="J7896" t="s">
        <v>1709</v>
      </c>
      <c r="K7896" t="s">
        <v>290</v>
      </c>
      <c r="L7896" t="s">
        <v>285</v>
      </c>
      <c r="M7896" t="str">
        <f t="shared" si="580"/>
        <v>08</v>
      </c>
      <c r="N7896" t="s">
        <v>12</v>
      </c>
    </row>
    <row r="7897" spans="1:14" x14ac:dyDescent="0.25">
      <c r="A7897">
        <v>20160826</v>
      </c>
      <c r="B7897" t="str">
        <f t="shared" si="581"/>
        <v>064530</v>
      </c>
      <c r="C7897" t="str">
        <f t="shared" si="582"/>
        <v>30389</v>
      </c>
      <c r="D7897" t="s">
        <v>4251</v>
      </c>
      <c r="E7897" s="3">
        <v>7595.1</v>
      </c>
      <c r="F7897">
        <v>20160825</v>
      </c>
      <c r="G7897" t="s">
        <v>3853</v>
      </c>
      <c r="H7897" t="s">
        <v>4253</v>
      </c>
      <c r="I7897">
        <v>0</v>
      </c>
      <c r="J7897" t="s">
        <v>1709</v>
      </c>
      <c r="K7897" t="s">
        <v>290</v>
      </c>
      <c r="L7897" t="s">
        <v>285</v>
      </c>
      <c r="M7897" t="str">
        <f t="shared" si="580"/>
        <v>08</v>
      </c>
      <c r="N7897" t="s">
        <v>12</v>
      </c>
    </row>
    <row r="7898" spans="1:14" x14ac:dyDescent="0.25">
      <c r="A7898">
        <v>20160826</v>
      </c>
      <c r="B7898" t="str">
        <f t="shared" si="581"/>
        <v>064530</v>
      </c>
      <c r="C7898" t="str">
        <f t="shared" si="582"/>
        <v>30389</v>
      </c>
      <c r="D7898" t="s">
        <v>4251</v>
      </c>
      <c r="E7898" s="3">
        <v>7087.5</v>
      </c>
      <c r="F7898">
        <v>20160825</v>
      </c>
      <c r="G7898" t="s">
        <v>3853</v>
      </c>
      <c r="H7898" t="s">
        <v>4253</v>
      </c>
      <c r="I7898">
        <v>0</v>
      </c>
      <c r="J7898" t="s">
        <v>1709</v>
      </c>
      <c r="K7898" t="s">
        <v>290</v>
      </c>
      <c r="L7898" t="s">
        <v>285</v>
      </c>
      <c r="M7898" t="str">
        <f t="shared" si="580"/>
        <v>08</v>
      </c>
      <c r="N7898" t="s">
        <v>12</v>
      </c>
    </row>
    <row r="7899" spans="1:14" x14ac:dyDescent="0.25">
      <c r="A7899">
        <v>20160826</v>
      </c>
      <c r="B7899" t="str">
        <f>"064531"</f>
        <v>064531</v>
      </c>
      <c r="C7899" t="str">
        <f>"30390"</f>
        <v>30390</v>
      </c>
      <c r="D7899" t="s">
        <v>3087</v>
      </c>
      <c r="E7899" s="3">
        <v>3208.09</v>
      </c>
      <c r="F7899">
        <v>20160825</v>
      </c>
      <c r="G7899" t="s">
        <v>6391</v>
      </c>
      <c r="H7899" t="s">
        <v>6392</v>
      </c>
      <c r="I7899">
        <v>0</v>
      </c>
      <c r="J7899" t="s">
        <v>1709</v>
      </c>
      <c r="K7899" t="s">
        <v>95</v>
      </c>
      <c r="L7899" t="s">
        <v>285</v>
      </c>
      <c r="M7899" t="str">
        <f t="shared" si="580"/>
        <v>08</v>
      </c>
      <c r="N7899" t="s">
        <v>12</v>
      </c>
    </row>
    <row r="7900" spans="1:14" x14ac:dyDescent="0.25">
      <c r="A7900">
        <v>20160826</v>
      </c>
      <c r="B7900" t="str">
        <f>"064532"</f>
        <v>064532</v>
      </c>
      <c r="C7900" t="str">
        <f>"30744"</f>
        <v>30744</v>
      </c>
      <c r="D7900" t="s">
        <v>6393</v>
      </c>
      <c r="E7900" s="3">
        <v>27.87</v>
      </c>
      <c r="F7900">
        <v>20160825</v>
      </c>
      <c r="G7900" t="s">
        <v>2018</v>
      </c>
      <c r="H7900" t="s">
        <v>6394</v>
      </c>
      <c r="I7900">
        <v>0</v>
      </c>
      <c r="J7900" t="s">
        <v>1709</v>
      </c>
      <c r="K7900" t="s">
        <v>1856</v>
      </c>
      <c r="L7900" t="s">
        <v>285</v>
      </c>
      <c r="M7900" t="str">
        <f t="shared" si="580"/>
        <v>08</v>
      </c>
      <c r="N7900" t="s">
        <v>12</v>
      </c>
    </row>
    <row r="7901" spans="1:14" x14ac:dyDescent="0.25">
      <c r="A7901">
        <v>20160826</v>
      </c>
      <c r="B7901" t="str">
        <f>"064532"</f>
        <v>064532</v>
      </c>
      <c r="C7901" t="str">
        <f>"30744"</f>
        <v>30744</v>
      </c>
      <c r="D7901" t="s">
        <v>6393</v>
      </c>
      <c r="E7901" s="3">
        <v>38.14</v>
      </c>
      <c r="F7901">
        <v>20160825</v>
      </c>
      <c r="G7901" t="s">
        <v>4666</v>
      </c>
      <c r="H7901" t="s">
        <v>6395</v>
      </c>
      <c r="I7901">
        <v>0</v>
      </c>
      <c r="J7901" t="s">
        <v>1709</v>
      </c>
      <c r="K7901" t="s">
        <v>290</v>
      </c>
      <c r="L7901" t="s">
        <v>285</v>
      </c>
      <c r="M7901" t="str">
        <f t="shared" si="580"/>
        <v>08</v>
      </c>
      <c r="N7901" t="s">
        <v>12</v>
      </c>
    </row>
    <row r="7902" spans="1:14" x14ac:dyDescent="0.25">
      <c r="A7902">
        <v>20160826</v>
      </c>
      <c r="B7902" t="str">
        <f>"064534"</f>
        <v>064534</v>
      </c>
      <c r="C7902" t="str">
        <f>"31367"</f>
        <v>31367</v>
      </c>
      <c r="D7902" t="s">
        <v>4916</v>
      </c>
      <c r="E7902" s="3">
        <v>124.46</v>
      </c>
      <c r="F7902">
        <v>20160825</v>
      </c>
      <c r="G7902" t="s">
        <v>5690</v>
      </c>
      <c r="H7902" t="s">
        <v>6396</v>
      </c>
      <c r="I7902">
        <v>0</v>
      </c>
      <c r="J7902" t="s">
        <v>1709</v>
      </c>
      <c r="K7902" t="s">
        <v>290</v>
      </c>
      <c r="L7902" t="s">
        <v>285</v>
      </c>
      <c r="M7902" t="str">
        <f t="shared" si="580"/>
        <v>08</v>
      </c>
      <c r="N7902" t="s">
        <v>12</v>
      </c>
    </row>
    <row r="7903" spans="1:14" x14ac:dyDescent="0.25">
      <c r="A7903">
        <v>20160826</v>
      </c>
      <c r="B7903" t="str">
        <f>"064535"</f>
        <v>064535</v>
      </c>
      <c r="C7903" t="str">
        <f>"31803"</f>
        <v>31803</v>
      </c>
      <c r="D7903" t="s">
        <v>4146</v>
      </c>
      <c r="E7903" s="3">
        <v>60.51</v>
      </c>
      <c r="F7903">
        <v>20160825</v>
      </c>
      <c r="G7903" t="s">
        <v>2025</v>
      </c>
      <c r="H7903" t="s">
        <v>6397</v>
      </c>
      <c r="I7903">
        <v>0</v>
      </c>
      <c r="J7903" t="s">
        <v>1709</v>
      </c>
      <c r="K7903" t="s">
        <v>1984</v>
      </c>
      <c r="L7903" t="s">
        <v>285</v>
      </c>
      <c r="M7903" t="str">
        <f t="shared" si="580"/>
        <v>08</v>
      </c>
      <c r="N7903" t="s">
        <v>12</v>
      </c>
    </row>
    <row r="7904" spans="1:14" x14ac:dyDescent="0.25">
      <c r="A7904">
        <v>20160826</v>
      </c>
      <c r="B7904" t="str">
        <f>"064536"</f>
        <v>064536</v>
      </c>
      <c r="C7904" t="str">
        <f>"32455"</f>
        <v>32455</v>
      </c>
      <c r="D7904" t="s">
        <v>6398</v>
      </c>
      <c r="E7904" s="3">
        <v>99</v>
      </c>
      <c r="F7904">
        <v>20160825</v>
      </c>
      <c r="G7904" t="s">
        <v>2648</v>
      </c>
      <c r="H7904" t="s">
        <v>6399</v>
      </c>
      <c r="I7904">
        <v>0</v>
      </c>
      <c r="J7904" t="s">
        <v>1709</v>
      </c>
      <c r="K7904" t="s">
        <v>2377</v>
      </c>
      <c r="L7904" t="s">
        <v>285</v>
      </c>
      <c r="M7904" t="str">
        <f t="shared" si="580"/>
        <v>08</v>
      </c>
      <c r="N7904" t="s">
        <v>12</v>
      </c>
    </row>
    <row r="7905" spans="1:14" x14ac:dyDescent="0.25">
      <c r="A7905">
        <v>20160826</v>
      </c>
      <c r="B7905" t="str">
        <f>"064537"</f>
        <v>064537</v>
      </c>
      <c r="C7905" t="str">
        <f>"36780"</f>
        <v>36780</v>
      </c>
      <c r="D7905" t="s">
        <v>3836</v>
      </c>
      <c r="E7905" s="3">
        <v>100</v>
      </c>
      <c r="F7905">
        <v>20160825</v>
      </c>
      <c r="G7905" t="s">
        <v>4980</v>
      </c>
      <c r="H7905" t="s">
        <v>6400</v>
      </c>
      <c r="I7905">
        <v>0</v>
      </c>
      <c r="J7905" t="s">
        <v>1709</v>
      </c>
      <c r="K7905" t="s">
        <v>290</v>
      </c>
      <c r="L7905" t="s">
        <v>285</v>
      </c>
      <c r="M7905" t="str">
        <f t="shared" si="580"/>
        <v>08</v>
      </c>
      <c r="N7905" t="s">
        <v>12</v>
      </c>
    </row>
    <row r="7906" spans="1:14" x14ac:dyDescent="0.25">
      <c r="A7906">
        <v>20160826</v>
      </c>
      <c r="B7906" t="str">
        <f>"064537"</f>
        <v>064537</v>
      </c>
      <c r="C7906" t="str">
        <f>"36780"</f>
        <v>36780</v>
      </c>
      <c r="D7906" t="s">
        <v>3836</v>
      </c>
      <c r="E7906" s="3">
        <v>75.87</v>
      </c>
      <c r="F7906">
        <v>20160825</v>
      </c>
      <c r="G7906" t="s">
        <v>6401</v>
      </c>
      <c r="H7906" t="s">
        <v>6400</v>
      </c>
      <c r="I7906">
        <v>0</v>
      </c>
      <c r="J7906" t="s">
        <v>1709</v>
      </c>
      <c r="K7906" t="s">
        <v>290</v>
      </c>
      <c r="L7906" t="s">
        <v>285</v>
      </c>
      <c r="M7906" t="str">
        <f t="shared" si="580"/>
        <v>08</v>
      </c>
      <c r="N7906" t="s">
        <v>12</v>
      </c>
    </row>
    <row r="7907" spans="1:14" x14ac:dyDescent="0.25">
      <c r="A7907">
        <v>20160826</v>
      </c>
      <c r="B7907" t="str">
        <f>"064538"</f>
        <v>064538</v>
      </c>
      <c r="C7907" t="str">
        <f>"39409"</f>
        <v>39409</v>
      </c>
      <c r="D7907" t="s">
        <v>5266</v>
      </c>
      <c r="E7907" s="3">
        <v>120</v>
      </c>
      <c r="F7907">
        <v>20160825</v>
      </c>
      <c r="G7907" t="s">
        <v>4639</v>
      </c>
      <c r="H7907" t="s">
        <v>6402</v>
      </c>
      <c r="I7907">
        <v>0</v>
      </c>
      <c r="J7907" t="s">
        <v>1709</v>
      </c>
      <c r="K7907" t="s">
        <v>95</v>
      </c>
      <c r="L7907" t="s">
        <v>285</v>
      </c>
      <c r="M7907" t="str">
        <f t="shared" si="580"/>
        <v>08</v>
      </c>
      <c r="N7907" t="s">
        <v>12</v>
      </c>
    </row>
    <row r="7908" spans="1:14" x14ac:dyDescent="0.25">
      <c r="A7908">
        <v>20160826</v>
      </c>
      <c r="B7908" t="str">
        <f>"064539"</f>
        <v>064539</v>
      </c>
      <c r="C7908" t="str">
        <f>"39425"</f>
        <v>39425</v>
      </c>
      <c r="D7908" t="s">
        <v>4390</v>
      </c>
      <c r="E7908" s="3">
        <v>16.95</v>
      </c>
      <c r="F7908">
        <v>20160825</v>
      </c>
      <c r="G7908" t="s">
        <v>1859</v>
      </c>
      <c r="H7908" t="s">
        <v>6403</v>
      </c>
      <c r="I7908">
        <v>0</v>
      </c>
      <c r="J7908" t="s">
        <v>1709</v>
      </c>
      <c r="K7908" t="s">
        <v>1861</v>
      </c>
      <c r="L7908" t="s">
        <v>285</v>
      </c>
      <c r="M7908" t="str">
        <f t="shared" si="580"/>
        <v>08</v>
      </c>
      <c r="N7908" t="s">
        <v>12</v>
      </c>
    </row>
    <row r="7909" spans="1:14" x14ac:dyDescent="0.25">
      <c r="A7909">
        <v>20160826</v>
      </c>
      <c r="B7909" t="str">
        <f t="shared" ref="B7909:B7928" si="583">"064540"</f>
        <v>064540</v>
      </c>
      <c r="C7909" t="str">
        <f t="shared" ref="C7909:C7928" si="584">"39572"</f>
        <v>39572</v>
      </c>
      <c r="D7909" t="s">
        <v>2112</v>
      </c>
      <c r="E7909" s="3">
        <v>245</v>
      </c>
      <c r="F7909">
        <v>20160825</v>
      </c>
      <c r="G7909" t="s">
        <v>3380</v>
      </c>
      <c r="H7909" t="s">
        <v>6404</v>
      </c>
      <c r="I7909">
        <v>0</v>
      </c>
      <c r="J7909" t="s">
        <v>1709</v>
      </c>
      <c r="K7909" t="s">
        <v>95</v>
      </c>
      <c r="L7909" t="s">
        <v>285</v>
      </c>
      <c r="M7909" t="str">
        <f t="shared" si="580"/>
        <v>08</v>
      </c>
      <c r="N7909" t="s">
        <v>12</v>
      </c>
    </row>
    <row r="7910" spans="1:14" x14ac:dyDescent="0.25">
      <c r="A7910">
        <v>20160826</v>
      </c>
      <c r="B7910" t="str">
        <f t="shared" si="583"/>
        <v>064540</v>
      </c>
      <c r="C7910" t="str">
        <f t="shared" si="584"/>
        <v>39572</v>
      </c>
      <c r="D7910" t="s">
        <v>2112</v>
      </c>
      <c r="E7910" s="3">
        <v>140</v>
      </c>
      <c r="F7910">
        <v>20160825</v>
      </c>
      <c r="G7910" t="s">
        <v>3380</v>
      </c>
      <c r="H7910" t="s">
        <v>6405</v>
      </c>
      <c r="I7910">
        <v>0</v>
      </c>
      <c r="J7910" t="s">
        <v>1709</v>
      </c>
      <c r="K7910" t="s">
        <v>95</v>
      </c>
      <c r="L7910" t="s">
        <v>285</v>
      </c>
      <c r="M7910" t="str">
        <f t="shared" si="580"/>
        <v>08</v>
      </c>
      <c r="N7910" t="s">
        <v>12</v>
      </c>
    </row>
    <row r="7911" spans="1:14" x14ac:dyDescent="0.25">
      <c r="A7911">
        <v>20160826</v>
      </c>
      <c r="B7911" t="str">
        <f t="shared" si="583"/>
        <v>064540</v>
      </c>
      <c r="C7911" t="str">
        <f t="shared" si="584"/>
        <v>39572</v>
      </c>
      <c r="D7911" t="s">
        <v>2112</v>
      </c>
      <c r="E7911" s="3">
        <v>140</v>
      </c>
      <c r="F7911">
        <v>20160825</v>
      </c>
      <c r="G7911" t="s">
        <v>3380</v>
      </c>
      <c r="H7911" t="s">
        <v>6406</v>
      </c>
      <c r="I7911">
        <v>0</v>
      </c>
      <c r="J7911" t="s">
        <v>1709</v>
      </c>
      <c r="K7911" t="s">
        <v>95</v>
      </c>
      <c r="L7911" t="s">
        <v>285</v>
      </c>
      <c r="M7911" t="str">
        <f t="shared" si="580"/>
        <v>08</v>
      </c>
      <c r="N7911" t="s">
        <v>12</v>
      </c>
    </row>
    <row r="7912" spans="1:14" x14ac:dyDescent="0.25">
      <c r="A7912">
        <v>20160826</v>
      </c>
      <c r="B7912" t="str">
        <f t="shared" si="583"/>
        <v>064540</v>
      </c>
      <c r="C7912" t="str">
        <f t="shared" si="584"/>
        <v>39572</v>
      </c>
      <c r="D7912" t="s">
        <v>2112</v>
      </c>
      <c r="E7912" s="3">
        <v>140</v>
      </c>
      <c r="F7912">
        <v>20160825</v>
      </c>
      <c r="G7912" t="s">
        <v>3380</v>
      </c>
      <c r="H7912" t="s">
        <v>6407</v>
      </c>
      <c r="I7912">
        <v>0</v>
      </c>
      <c r="J7912" t="s">
        <v>1709</v>
      </c>
      <c r="K7912" t="s">
        <v>95</v>
      </c>
      <c r="L7912" t="s">
        <v>285</v>
      </c>
      <c r="M7912" t="str">
        <f t="shared" si="580"/>
        <v>08</v>
      </c>
      <c r="N7912" t="s">
        <v>12</v>
      </c>
    </row>
    <row r="7913" spans="1:14" x14ac:dyDescent="0.25">
      <c r="A7913">
        <v>20160826</v>
      </c>
      <c r="B7913" t="str">
        <f t="shared" si="583"/>
        <v>064540</v>
      </c>
      <c r="C7913" t="str">
        <f t="shared" si="584"/>
        <v>39572</v>
      </c>
      <c r="D7913" t="s">
        <v>2112</v>
      </c>
      <c r="E7913" s="3">
        <v>140</v>
      </c>
      <c r="F7913">
        <v>20160825</v>
      </c>
      <c r="G7913" t="s">
        <v>3380</v>
      </c>
      <c r="H7913" t="s">
        <v>6408</v>
      </c>
      <c r="I7913">
        <v>0</v>
      </c>
      <c r="J7913" t="s">
        <v>1709</v>
      </c>
      <c r="K7913" t="s">
        <v>95</v>
      </c>
      <c r="L7913" t="s">
        <v>285</v>
      </c>
      <c r="M7913" t="str">
        <f t="shared" si="580"/>
        <v>08</v>
      </c>
      <c r="N7913" t="s">
        <v>12</v>
      </c>
    </row>
    <row r="7914" spans="1:14" x14ac:dyDescent="0.25">
      <c r="A7914">
        <v>20160826</v>
      </c>
      <c r="B7914" t="str">
        <f t="shared" si="583"/>
        <v>064540</v>
      </c>
      <c r="C7914" t="str">
        <f t="shared" si="584"/>
        <v>39572</v>
      </c>
      <c r="D7914" t="s">
        <v>2112</v>
      </c>
      <c r="E7914" s="3">
        <v>115</v>
      </c>
      <c r="F7914">
        <v>20160825</v>
      </c>
      <c r="G7914" t="s">
        <v>3380</v>
      </c>
      <c r="H7914" t="s">
        <v>6409</v>
      </c>
      <c r="I7914">
        <v>0</v>
      </c>
      <c r="J7914" t="s">
        <v>1709</v>
      </c>
      <c r="K7914" t="s">
        <v>95</v>
      </c>
      <c r="L7914" t="s">
        <v>285</v>
      </c>
      <c r="M7914" t="str">
        <f t="shared" ref="M7914:M7977" si="585">"08"</f>
        <v>08</v>
      </c>
      <c r="N7914" t="s">
        <v>12</v>
      </c>
    </row>
    <row r="7915" spans="1:14" x14ac:dyDescent="0.25">
      <c r="A7915">
        <v>20160826</v>
      </c>
      <c r="B7915" t="str">
        <f t="shared" si="583"/>
        <v>064540</v>
      </c>
      <c r="C7915" t="str">
        <f t="shared" si="584"/>
        <v>39572</v>
      </c>
      <c r="D7915" t="s">
        <v>2112</v>
      </c>
      <c r="E7915" s="3">
        <v>105</v>
      </c>
      <c r="F7915">
        <v>20160825</v>
      </c>
      <c r="G7915" t="s">
        <v>3380</v>
      </c>
      <c r="H7915" t="s">
        <v>6410</v>
      </c>
      <c r="I7915">
        <v>0</v>
      </c>
      <c r="J7915" t="s">
        <v>1709</v>
      </c>
      <c r="K7915" t="s">
        <v>95</v>
      </c>
      <c r="L7915" t="s">
        <v>285</v>
      </c>
      <c r="M7915" t="str">
        <f t="shared" si="585"/>
        <v>08</v>
      </c>
      <c r="N7915" t="s">
        <v>12</v>
      </c>
    </row>
    <row r="7916" spans="1:14" x14ac:dyDescent="0.25">
      <c r="A7916">
        <v>20160826</v>
      </c>
      <c r="B7916" t="str">
        <f t="shared" si="583"/>
        <v>064540</v>
      </c>
      <c r="C7916" t="str">
        <f t="shared" si="584"/>
        <v>39572</v>
      </c>
      <c r="D7916" t="s">
        <v>2112</v>
      </c>
      <c r="E7916" s="3">
        <v>115</v>
      </c>
      <c r="F7916">
        <v>20160825</v>
      </c>
      <c r="G7916" t="s">
        <v>3380</v>
      </c>
      <c r="H7916" t="s">
        <v>6411</v>
      </c>
      <c r="I7916">
        <v>0</v>
      </c>
      <c r="J7916" t="s">
        <v>1709</v>
      </c>
      <c r="K7916" t="s">
        <v>95</v>
      </c>
      <c r="L7916" t="s">
        <v>285</v>
      </c>
      <c r="M7916" t="str">
        <f t="shared" si="585"/>
        <v>08</v>
      </c>
      <c r="N7916" t="s">
        <v>12</v>
      </c>
    </row>
    <row r="7917" spans="1:14" x14ac:dyDescent="0.25">
      <c r="A7917">
        <v>20160826</v>
      </c>
      <c r="B7917" t="str">
        <f t="shared" si="583"/>
        <v>064540</v>
      </c>
      <c r="C7917" t="str">
        <f t="shared" si="584"/>
        <v>39572</v>
      </c>
      <c r="D7917" t="s">
        <v>2112</v>
      </c>
      <c r="E7917" s="3">
        <v>115</v>
      </c>
      <c r="F7917">
        <v>20160825</v>
      </c>
      <c r="G7917" t="s">
        <v>3380</v>
      </c>
      <c r="H7917" t="s">
        <v>6412</v>
      </c>
      <c r="I7917">
        <v>0</v>
      </c>
      <c r="J7917" t="s">
        <v>1709</v>
      </c>
      <c r="K7917" t="s">
        <v>95</v>
      </c>
      <c r="L7917" t="s">
        <v>285</v>
      </c>
      <c r="M7917" t="str">
        <f t="shared" si="585"/>
        <v>08</v>
      </c>
      <c r="N7917" t="s">
        <v>12</v>
      </c>
    </row>
    <row r="7918" spans="1:14" x14ac:dyDescent="0.25">
      <c r="A7918">
        <v>20160826</v>
      </c>
      <c r="B7918" t="str">
        <f t="shared" si="583"/>
        <v>064540</v>
      </c>
      <c r="C7918" t="str">
        <f t="shared" si="584"/>
        <v>39572</v>
      </c>
      <c r="D7918" t="s">
        <v>2112</v>
      </c>
      <c r="E7918" s="3">
        <v>140</v>
      </c>
      <c r="F7918">
        <v>20160825</v>
      </c>
      <c r="G7918" t="s">
        <v>3380</v>
      </c>
      <c r="H7918" t="s">
        <v>6413</v>
      </c>
      <c r="I7918">
        <v>0</v>
      </c>
      <c r="J7918" t="s">
        <v>1709</v>
      </c>
      <c r="K7918" t="s">
        <v>95</v>
      </c>
      <c r="L7918" t="s">
        <v>285</v>
      </c>
      <c r="M7918" t="str">
        <f t="shared" si="585"/>
        <v>08</v>
      </c>
      <c r="N7918" t="s">
        <v>12</v>
      </c>
    </row>
    <row r="7919" spans="1:14" x14ac:dyDescent="0.25">
      <c r="A7919">
        <v>20160826</v>
      </c>
      <c r="B7919" t="str">
        <f t="shared" si="583"/>
        <v>064540</v>
      </c>
      <c r="C7919" t="str">
        <f t="shared" si="584"/>
        <v>39572</v>
      </c>
      <c r="D7919" t="s">
        <v>2112</v>
      </c>
      <c r="E7919" s="3">
        <v>145</v>
      </c>
      <c r="F7919">
        <v>20160825</v>
      </c>
      <c r="G7919" t="s">
        <v>3380</v>
      </c>
      <c r="H7919" t="s">
        <v>6414</v>
      </c>
      <c r="I7919">
        <v>0</v>
      </c>
      <c r="J7919" t="s">
        <v>1709</v>
      </c>
      <c r="K7919" t="s">
        <v>95</v>
      </c>
      <c r="L7919" t="s">
        <v>285</v>
      </c>
      <c r="M7919" t="str">
        <f t="shared" si="585"/>
        <v>08</v>
      </c>
      <c r="N7919" t="s">
        <v>12</v>
      </c>
    </row>
    <row r="7920" spans="1:14" x14ac:dyDescent="0.25">
      <c r="A7920">
        <v>20160826</v>
      </c>
      <c r="B7920" t="str">
        <f t="shared" si="583"/>
        <v>064540</v>
      </c>
      <c r="C7920" t="str">
        <f t="shared" si="584"/>
        <v>39572</v>
      </c>
      <c r="D7920" t="s">
        <v>2112</v>
      </c>
      <c r="E7920" s="3">
        <v>140</v>
      </c>
      <c r="F7920">
        <v>20160825</v>
      </c>
      <c r="G7920" t="s">
        <v>3380</v>
      </c>
      <c r="H7920" t="s">
        <v>6415</v>
      </c>
      <c r="I7920">
        <v>0</v>
      </c>
      <c r="J7920" t="s">
        <v>1709</v>
      </c>
      <c r="K7920" t="s">
        <v>95</v>
      </c>
      <c r="L7920" t="s">
        <v>285</v>
      </c>
      <c r="M7920" t="str">
        <f t="shared" si="585"/>
        <v>08</v>
      </c>
      <c r="N7920" t="s">
        <v>12</v>
      </c>
    </row>
    <row r="7921" spans="1:14" x14ac:dyDescent="0.25">
      <c r="A7921">
        <v>20160826</v>
      </c>
      <c r="B7921" t="str">
        <f t="shared" si="583"/>
        <v>064540</v>
      </c>
      <c r="C7921" t="str">
        <f t="shared" si="584"/>
        <v>39572</v>
      </c>
      <c r="D7921" t="s">
        <v>2112</v>
      </c>
      <c r="E7921" s="3">
        <v>150</v>
      </c>
      <c r="F7921">
        <v>20160825</v>
      </c>
      <c r="G7921" t="s">
        <v>3380</v>
      </c>
      <c r="H7921" t="s">
        <v>6416</v>
      </c>
      <c r="I7921">
        <v>0</v>
      </c>
      <c r="J7921" t="s">
        <v>1709</v>
      </c>
      <c r="K7921" t="s">
        <v>95</v>
      </c>
      <c r="L7921" t="s">
        <v>285</v>
      </c>
      <c r="M7921" t="str">
        <f t="shared" si="585"/>
        <v>08</v>
      </c>
      <c r="N7921" t="s">
        <v>12</v>
      </c>
    </row>
    <row r="7922" spans="1:14" x14ac:dyDescent="0.25">
      <c r="A7922">
        <v>20160826</v>
      </c>
      <c r="B7922" t="str">
        <f t="shared" si="583"/>
        <v>064540</v>
      </c>
      <c r="C7922" t="str">
        <f t="shared" si="584"/>
        <v>39572</v>
      </c>
      <c r="D7922" t="s">
        <v>2112</v>
      </c>
      <c r="E7922" s="3">
        <v>100</v>
      </c>
      <c r="F7922">
        <v>20160825</v>
      </c>
      <c r="G7922" t="s">
        <v>3380</v>
      </c>
      <c r="H7922" t="s">
        <v>6417</v>
      </c>
      <c r="I7922">
        <v>0</v>
      </c>
      <c r="J7922" t="s">
        <v>1709</v>
      </c>
      <c r="K7922" t="s">
        <v>95</v>
      </c>
      <c r="L7922" t="s">
        <v>285</v>
      </c>
      <c r="M7922" t="str">
        <f t="shared" si="585"/>
        <v>08</v>
      </c>
      <c r="N7922" t="s">
        <v>12</v>
      </c>
    </row>
    <row r="7923" spans="1:14" x14ac:dyDescent="0.25">
      <c r="A7923">
        <v>20160826</v>
      </c>
      <c r="B7923" t="str">
        <f t="shared" si="583"/>
        <v>064540</v>
      </c>
      <c r="C7923" t="str">
        <f t="shared" si="584"/>
        <v>39572</v>
      </c>
      <c r="D7923" t="s">
        <v>2112</v>
      </c>
      <c r="E7923" s="3">
        <v>115</v>
      </c>
      <c r="F7923">
        <v>20160825</v>
      </c>
      <c r="G7923" t="s">
        <v>3380</v>
      </c>
      <c r="H7923" t="s">
        <v>6417</v>
      </c>
      <c r="I7923">
        <v>0</v>
      </c>
      <c r="J7923" t="s">
        <v>1709</v>
      </c>
      <c r="K7923" t="s">
        <v>95</v>
      </c>
      <c r="L7923" t="s">
        <v>285</v>
      </c>
      <c r="M7923" t="str">
        <f t="shared" si="585"/>
        <v>08</v>
      </c>
      <c r="N7923" t="s">
        <v>12</v>
      </c>
    </row>
    <row r="7924" spans="1:14" x14ac:dyDescent="0.25">
      <c r="A7924">
        <v>20160826</v>
      </c>
      <c r="B7924" t="str">
        <f t="shared" si="583"/>
        <v>064540</v>
      </c>
      <c r="C7924" t="str">
        <f t="shared" si="584"/>
        <v>39572</v>
      </c>
      <c r="D7924" t="s">
        <v>2112</v>
      </c>
      <c r="E7924" s="3">
        <v>115</v>
      </c>
      <c r="F7924">
        <v>20160825</v>
      </c>
      <c r="G7924" t="s">
        <v>3380</v>
      </c>
      <c r="H7924" t="s">
        <v>6418</v>
      </c>
      <c r="I7924">
        <v>0</v>
      </c>
      <c r="J7924" t="s">
        <v>1709</v>
      </c>
      <c r="K7924" t="s">
        <v>95</v>
      </c>
      <c r="L7924" t="s">
        <v>285</v>
      </c>
      <c r="M7924" t="str">
        <f t="shared" si="585"/>
        <v>08</v>
      </c>
      <c r="N7924" t="s">
        <v>12</v>
      </c>
    </row>
    <row r="7925" spans="1:14" x14ac:dyDescent="0.25">
      <c r="A7925">
        <v>20160826</v>
      </c>
      <c r="B7925" t="str">
        <f t="shared" si="583"/>
        <v>064540</v>
      </c>
      <c r="C7925" t="str">
        <f t="shared" si="584"/>
        <v>39572</v>
      </c>
      <c r="D7925" t="s">
        <v>2112</v>
      </c>
      <c r="E7925" s="3">
        <v>135</v>
      </c>
      <c r="F7925">
        <v>20160825</v>
      </c>
      <c r="G7925" t="s">
        <v>3380</v>
      </c>
      <c r="H7925" t="s">
        <v>6419</v>
      </c>
      <c r="I7925">
        <v>0</v>
      </c>
      <c r="J7925" t="s">
        <v>1709</v>
      </c>
      <c r="K7925" t="s">
        <v>95</v>
      </c>
      <c r="L7925" t="s">
        <v>285</v>
      </c>
      <c r="M7925" t="str">
        <f t="shared" si="585"/>
        <v>08</v>
      </c>
      <c r="N7925" t="s">
        <v>12</v>
      </c>
    </row>
    <row r="7926" spans="1:14" x14ac:dyDescent="0.25">
      <c r="A7926">
        <v>20160826</v>
      </c>
      <c r="B7926" t="str">
        <f t="shared" si="583"/>
        <v>064540</v>
      </c>
      <c r="C7926" t="str">
        <f t="shared" si="584"/>
        <v>39572</v>
      </c>
      <c r="D7926" t="s">
        <v>2112</v>
      </c>
      <c r="E7926" s="3">
        <v>95</v>
      </c>
      <c r="F7926">
        <v>20160825</v>
      </c>
      <c r="G7926" t="s">
        <v>3380</v>
      </c>
      <c r="H7926" t="s">
        <v>6419</v>
      </c>
      <c r="I7926">
        <v>0</v>
      </c>
      <c r="J7926" t="s">
        <v>1709</v>
      </c>
      <c r="K7926" t="s">
        <v>95</v>
      </c>
      <c r="L7926" t="s">
        <v>285</v>
      </c>
      <c r="M7926" t="str">
        <f t="shared" si="585"/>
        <v>08</v>
      </c>
      <c r="N7926" t="s">
        <v>12</v>
      </c>
    </row>
    <row r="7927" spans="1:14" x14ac:dyDescent="0.25">
      <c r="A7927">
        <v>20160826</v>
      </c>
      <c r="B7927" t="str">
        <f t="shared" si="583"/>
        <v>064540</v>
      </c>
      <c r="C7927" t="str">
        <f t="shared" si="584"/>
        <v>39572</v>
      </c>
      <c r="D7927" t="s">
        <v>2112</v>
      </c>
      <c r="E7927" s="3">
        <v>160</v>
      </c>
      <c r="F7927">
        <v>20160825</v>
      </c>
      <c r="G7927" t="s">
        <v>2115</v>
      </c>
      <c r="H7927" t="s">
        <v>3295</v>
      </c>
      <c r="I7927">
        <v>0</v>
      </c>
      <c r="J7927" t="s">
        <v>1709</v>
      </c>
      <c r="K7927" t="s">
        <v>290</v>
      </c>
      <c r="L7927" t="s">
        <v>285</v>
      </c>
      <c r="M7927" t="str">
        <f t="shared" si="585"/>
        <v>08</v>
      </c>
      <c r="N7927" t="s">
        <v>12</v>
      </c>
    </row>
    <row r="7928" spans="1:14" x14ac:dyDescent="0.25">
      <c r="A7928">
        <v>20160826</v>
      </c>
      <c r="B7928" t="str">
        <f t="shared" si="583"/>
        <v>064540</v>
      </c>
      <c r="C7928" t="str">
        <f t="shared" si="584"/>
        <v>39572</v>
      </c>
      <c r="D7928" t="s">
        <v>2112</v>
      </c>
      <c r="E7928" s="3">
        <v>2828</v>
      </c>
      <c r="F7928">
        <v>20160825</v>
      </c>
      <c r="G7928" t="s">
        <v>3726</v>
      </c>
      <c r="H7928" t="s">
        <v>6420</v>
      </c>
      <c r="I7928">
        <v>0</v>
      </c>
      <c r="J7928" t="s">
        <v>1709</v>
      </c>
      <c r="K7928" t="s">
        <v>95</v>
      </c>
      <c r="L7928" t="s">
        <v>285</v>
      </c>
      <c r="M7928" t="str">
        <f t="shared" si="585"/>
        <v>08</v>
      </c>
      <c r="N7928" t="s">
        <v>12</v>
      </c>
    </row>
    <row r="7929" spans="1:14" x14ac:dyDescent="0.25">
      <c r="A7929">
        <v>20160826</v>
      </c>
      <c r="B7929" t="str">
        <f>"064544"</f>
        <v>064544</v>
      </c>
      <c r="C7929" t="str">
        <f>"47725"</f>
        <v>47725</v>
      </c>
      <c r="D7929" t="s">
        <v>1883</v>
      </c>
      <c r="E7929" s="3">
        <v>86.24</v>
      </c>
      <c r="F7929">
        <v>20160825</v>
      </c>
      <c r="G7929" t="s">
        <v>1859</v>
      </c>
      <c r="H7929" t="s">
        <v>6421</v>
      </c>
      <c r="I7929">
        <v>0</v>
      </c>
      <c r="J7929" t="s">
        <v>1709</v>
      </c>
      <c r="K7929" t="s">
        <v>1861</v>
      </c>
      <c r="L7929" t="s">
        <v>285</v>
      </c>
      <c r="M7929" t="str">
        <f t="shared" si="585"/>
        <v>08</v>
      </c>
      <c r="N7929" t="s">
        <v>12</v>
      </c>
    </row>
    <row r="7930" spans="1:14" x14ac:dyDescent="0.25">
      <c r="A7930">
        <v>20160826</v>
      </c>
      <c r="B7930" t="str">
        <f>"064544"</f>
        <v>064544</v>
      </c>
      <c r="C7930" t="str">
        <f>"47725"</f>
        <v>47725</v>
      </c>
      <c r="D7930" t="s">
        <v>1883</v>
      </c>
      <c r="E7930" s="3">
        <v>127.82</v>
      </c>
      <c r="F7930">
        <v>20160825</v>
      </c>
      <c r="G7930" t="s">
        <v>1859</v>
      </c>
      <c r="H7930" t="s">
        <v>6422</v>
      </c>
      <c r="I7930">
        <v>0</v>
      </c>
      <c r="J7930" t="s">
        <v>1709</v>
      </c>
      <c r="K7930" t="s">
        <v>1861</v>
      </c>
      <c r="L7930" t="s">
        <v>285</v>
      </c>
      <c r="M7930" t="str">
        <f t="shared" si="585"/>
        <v>08</v>
      </c>
      <c r="N7930" t="s">
        <v>12</v>
      </c>
    </row>
    <row r="7931" spans="1:14" x14ac:dyDescent="0.25">
      <c r="A7931">
        <v>20160826</v>
      </c>
      <c r="B7931" t="str">
        <f>"064545"</f>
        <v>064545</v>
      </c>
      <c r="C7931" t="str">
        <f>"49748"</f>
        <v>49748</v>
      </c>
      <c r="D7931" t="s">
        <v>1885</v>
      </c>
      <c r="E7931" s="3">
        <v>193.56</v>
      </c>
      <c r="F7931">
        <v>20160825</v>
      </c>
      <c r="G7931" t="s">
        <v>1961</v>
      </c>
      <c r="H7931" t="s">
        <v>6423</v>
      </c>
      <c r="I7931">
        <v>0</v>
      </c>
      <c r="J7931" t="s">
        <v>1709</v>
      </c>
      <c r="K7931" t="s">
        <v>290</v>
      </c>
      <c r="L7931" t="s">
        <v>285</v>
      </c>
      <c r="M7931" t="str">
        <f t="shared" si="585"/>
        <v>08</v>
      </c>
      <c r="N7931" t="s">
        <v>12</v>
      </c>
    </row>
    <row r="7932" spans="1:14" x14ac:dyDescent="0.25">
      <c r="A7932">
        <v>20160826</v>
      </c>
      <c r="B7932" t="str">
        <f>"064548"</f>
        <v>064548</v>
      </c>
      <c r="C7932" t="str">
        <f>"50476"</f>
        <v>50476</v>
      </c>
      <c r="D7932" t="s">
        <v>4814</v>
      </c>
      <c r="E7932" s="3">
        <v>300</v>
      </c>
      <c r="F7932">
        <v>20160825</v>
      </c>
      <c r="G7932" t="s">
        <v>1788</v>
      </c>
      <c r="H7932" t="s">
        <v>6424</v>
      </c>
      <c r="I7932">
        <v>0</v>
      </c>
      <c r="J7932" t="s">
        <v>1709</v>
      </c>
      <c r="K7932" t="s">
        <v>1643</v>
      </c>
      <c r="L7932" t="s">
        <v>285</v>
      </c>
      <c r="M7932" t="str">
        <f t="shared" si="585"/>
        <v>08</v>
      </c>
      <c r="N7932" t="s">
        <v>12</v>
      </c>
    </row>
    <row r="7933" spans="1:14" x14ac:dyDescent="0.25">
      <c r="A7933">
        <v>20160826</v>
      </c>
      <c r="B7933" t="str">
        <f>"064551"</f>
        <v>064551</v>
      </c>
      <c r="C7933" t="str">
        <f>"53084"</f>
        <v>53084</v>
      </c>
      <c r="D7933" t="s">
        <v>147</v>
      </c>
      <c r="E7933" s="3">
        <v>18</v>
      </c>
      <c r="F7933">
        <v>20160825</v>
      </c>
      <c r="G7933" t="s">
        <v>2025</v>
      </c>
      <c r="H7933" t="s">
        <v>6425</v>
      </c>
      <c r="I7933">
        <v>0</v>
      </c>
      <c r="J7933" t="s">
        <v>1709</v>
      </c>
      <c r="K7933" t="s">
        <v>1984</v>
      </c>
      <c r="L7933" t="s">
        <v>285</v>
      </c>
      <c r="M7933" t="str">
        <f t="shared" si="585"/>
        <v>08</v>
      </c>
      <c r="N7933" t="s">
        <v>12</v>
      </c>
    </row>
    <row r="7934" spans="1:14" x14ac:dyDescent="0.25">
      <c r="A7934">
        <v>20160826</v>
      </c>
      <c r="B7934" t="str">
        <f>"064553"</f>
        <v>064553</v>
      </c>
      <c r="C7934" t="str">
        <f>"53444"</f>
        <v>53444</v>
      </c>
      <c r="D7934" t="s">
        <v>5282</v>
      </c>
      <c r="E7934" s="3">
        <v>120</v>
      </c>
      <c r="F7934">
        <v>20160825</v>
      </c>
      <c r="G7934" t="s">
        <v>4639</v>
      </c>
      <c r="H7934" t="s">
        <v>6371</v>
      </c>
      <c r="I7934">
        <v>0</v>
      </c>
      <c r="J7934" t="s">
        <v>1709</v>
      </c>
      <c r="K7934" t="s">
        <v>95</v>
      </c>
      <c r="L7934" t="s">
        <v>285</v>
      </c>
      <c r="M7934" t="str">
        <f t="shared" si="585"/>
        <v>08</v>
      </c>
      <c r="N7934" t="s">
        <v>12</v>
      </c>
    </row>
    <row r="7935" spans="1:14" x14ac:dyDescent="0.25">
      <c r="A7935">
        <v>20160826</v>
      </c>
      <c r="B7935" t="str">
        <f>"064557"</f>
        <v>064557</v>
      </c>
      <c r="C7935" t="str">
        <f>"56570"</f>
        <v>56570</v>
      </c>
      <c r="D7935" t="s">
        <v>2687</v>
      </c>
      <c r="E7935" s="3">
        <v>41.1</v>
      </c>
      <c r="F7935">
        <v>20160825</v>
      </c>
      <c r="G7935" t="s">
        <v>2025</v>
      </c>
      <c r="H7935" t="s">
        <v>6426</v>
      </c>
      <c r="I7935">
        <v>0</v>
      </c>
      <c r="J7935" t="s">
        <v>1709</v>
      </c>
      <c r="K7935" t="s">
        <v>1984</v>
      </c>
      <c r="L7935" t="s">
        <v>285</v>
      </c>
      <c r="M7935" t="str">
        <f t="shared" si="585"/>
        <v>08</v>
      </c>
      <c r="N7935" t="s">
        <v>12</v>
      </c>
    </row>
    <row r="7936" spans="1:14" x14ac:dyDescent="0.25">
      <c r="A7936">
        <v>20160826</v>
      </c>
      <c r="B7936" t="str">
        <f>"064559"</f>
        <v>064559</v>
      </c>
      <c r="C7936" t="str">
        <f>"57994"</f>
        <v>57994</v>
      </c>
      <c r="D7936" t="s">
        <v>1898</v>
      </c>
      <c r="E7936" s="3">
        <v>48.08</v>
      </c>
      <c r="F7936">
        <v>20160825</v>
      </c>
      <c r="G7936" t="s">
        <v>1961</v>
      </c>
      <c r="H7936" t="s">
        <v>6427</v>
      </c>
      <c r="I7936">
        <v>0</v>
      </c>
      <c r="J7936" t="s">
        <v>1709</v>
      </c>
      <c r="K7936" t="s">
        <v>290</v>
      </c>
      <c r="L7936" t="s">
        <v>285</v>
      </c>
      <c r="M7936" t="str">
        <f t="shared" si="585"/>
        <v>08</v>
      </c>
      <c r="N7936" t="s">
        <v>12</v>
      </c>
    </row>
    <row r="7937" spans="1:14" x14ac:dyDescent="0.25">
      <c r="A7937">
        <v>20160826</v>
      </c>
      <c r="B7937" t="str">
        <f>"064560"</f>
        <v>064560</v>
      </c>
      <c r="C7937" t="str">
        <f>"58200"</f>
        <v>58200</v>
      </c>
      <c r="D7937" t="s">
        <v>2454</v>
      </c>
      <c r="E7937" s="3">
        <v>21.6</v>
      </c>
      <c r="F7937">
        <v>20160825</v>
      </c>
      <c r="G7937" t="s">
        <v>6428</v>
      </c>
      <c r="H7937" t="s">
        <v>595</v>
      </c>
      <c r="I7937">
        <v>0</v>
      </c>
      <c r="J7937" t="s">
        <v>1709</v>
      </c>
      <c r="K7937" t="s">
        <v>1779</v>
      </c>
      <c r="L7937" t="s">
        <v>285</v>
      </c>
      <c r="M7937" t="str">
        <f t="shared" si="585"/>
        <v>08</v>
      </c>
      <c r="N7937" t="s">
        <v>12</v>
      </c>
    </row>
    <row r="7938" spans="1:14" x14ac:dyDescent="0.25">
      <c r="A7938">
        <v>20160826</v>
      </c>
      <c r="B7938" t="str">
        <f>"064560"</f>
        <v>064560</v>
      </c>
      <c r="C7938" t="str">
        <f>"58200"</f>
        <v>58200</v>
      </c>
      <c r="D7938" t="s">
        <v>2454</v>
      </c>
      <c r="E7938" s="3">
        <v>11.2</v>
      </c>
      <c r="F7938">
        <v>20160825</v>
      </c>
      <c r="G7938" t="s">
        <v>1880</v>
      </c>
      <c r="H7938" t="s">
        <v>6429</v>
      </c>
      <c r="I7938">
        <v>0</v>
      </c>
      <c r="J7938" t="s">
        <v>1709</v>
      </c>
      <c r="K7938" t="s">
        <v>1882</v>
      </c>
      <c r="L7938" t="s">
        <v>285</v>
      </c>
      <c r="M7938" t="str">
        <f t="shared" si="585"/>
        <v>08</v>
      </c>
      <c r="N7938" t="s">
        <v>12</v>
      </c>
    </row>
    <row r="7939" spans="1:14" x14ac:dyDescent="0.25">
      <c r="A7939">
        <v>20160826</v>
      </c>
      <c r="B7939" t="str">
        <f>"064560"</f>
        <v>064560</v>
      </c>
      <c r="C7939" t="str">
        <f>"58200"</f>
        <v>58200</v>
      </c>
      <c r="D7939" t="s">
        <v>2454</v>
      </c>
      <c r="E7939" s="3">
        <v>12</v>
      </c>
      <c r="F7939">
        <v>20160825</v>
      </c>
      <c r="G7939" t="s">
        <v>1880</v>
      </c>
      <c r="H7939" t="s">
        <v>6430</v>
      </c>
      <c r="I7939">
        <v>0</v>
      </c>
      <c r="J7939" t="s">
        <v>1709</v>
      </c>
      <c r="K7939" t="s">
        <v>1882</v>
      </c>
      <c r="L7939" t="s">
        <v>285</v>
      </c>
      <c r="M7939" t="str">
        <f t="shared" si="585"/>
        <v>08</v>
      </c>
      <c r="N7939" t="s">
        <v>12</v>
      </c>
    </row>
    <row r="7940" spans="1:14" x14ac:dyDescent="0.25">
      <c r="A7940">
        <v>20160826</v>
      </c>
      <c r="B7940" t="str">
        <f>"064560"</f>
        <v>064560</v>
      </c>
      <c r="C7940" t="str">
        <f>"58200"</f>
        <v>58200</v>
      </c>
      <c r="D7940" t="s">
        <v>2454</v>
      </c>
      <c r="E7940" s="3">
        <v>14.7</v>
      </c>
      <c r="F7940">
        <v>20160825</v>
      </c>
      <c r="G7940" t="s">
        <v>6142</v>
      </c>
      <c r="H7940" t="s">
        <v>6431</v>
      </c>
      <c r="I7940">
        <v>0</v>
      </c>
      <c r="J7940" t="s">
        <v>1709</v>
      </c>
      <c r="K7940" t="s">
        <v>1942</v>
      </c>
      <c r="L7940" t="s">
        <v>285</v>
      </c>
      <c r="M7940" t="str">
        <f t="shared" si="585"/>
        <v>08</v>
      </c>
      <c r="N7940" t="s">
        <v>12</v>
      </c>
    </row>
    <row r="7941" spans="1:14" x14ac:dyDescent="0.25">
      <c r="A7941">
        <v>20160826</v>
      </c>
      <c r="B7941" t="str">
        <f>"064561"</f>
        <v>064561</v>
      </c>
      <c r="C7941" t="str">
        <f>"58202"</f>
        <v>58202</v>
      </c>
      <c r="D7941" t="s">
        <v>2695</v>
      </c>
      <c r="E7941" s="3">
        <v>8.9700000000000006</v>
      </c>
      <c r="F7941">
        <v>20160825</v>
      </c>
      <c r="G7941" t="s">
        <v>2831</v>
      </c>
      <c r="H7941" t="s">
        <v>6432</v>
      </c>
      <c r="I7941">
        <v>0</v>
      </c>
      <c r="J7941" t="s">
        <v>1709</v>
      </c>
      <c r="K7941" t="s">
        <v>95</v>
      </c>
      <c r="L7941" t="s">
        <v>285</v>
      </c>
      <c r="M7941" t="str">
        <f t="shared" si="585"/>
        <v>08</v>
      </c>
      <c r="N7941" t="s">
        <v>12</v>
      </c>
    </row>
    <row r="7942" spans="1:14" x14ac:dyDescent="0.25">
      <c r="A7942">
        <v>20160826</v>
      </c>
      <c r="B7942" t="str">
        <f>"064561"</f>
        <v>064561</v>
      </c>
      <c r="C7942" t="str">
        <f>"58202"</f>
        <v>58202</v>
      </c>
      <c r="D7942" t="s">
        <v>2695</v>
      </c>
      <c r="E7942" s="3">
        <v>219.5</v>
      </c>
      <c r="F7942">
        <v>20160825</v>
      </c>
      <c r="G7942" t="s">
        <v>2172</v>
      </c>
      <c r="H7942" t="s">
        <v>6433</v>
      </c>
      <c r="I7942">
        <v>0</v>
      </c>
      <c r="J7942" t="s">
        <v>1709</v>
      </c>
      <c r="K7942" t="s">
        <v>95</v>
      </c>
      <c r="L7942" t="s">
        <v>285</v>
      </c>
      <c r="M7942" t="str">
        <f t="shared" si="585"/>
        <v>08</v>
      </c>
      <c r="N7942" t="s">
        <v>12</v>
      </c>
    </row>
    <row r="7943" spans="1:14" x14ac:dyDescent="0.25">
      <c r="A7943">
        <v>20160826</v>
      </c>
      <c r="B7943" t="str">
        <f>"064562"</f>
        <v>064562</v>
      </c>
      <c r="C7943" t="str">
        <f>"60115"</f>
        <v>60115</v>
      </c>
      <c r="D7943" t="s">
        <v>6306</v>
      </c>
      <c r="E7943" s="3">
        <v>4250</v>
      </c>
      <c r="F7943">
        <v>20160825</v>
      </c>
      <c r="G7943" t="s">
        <v>2910</v>
      </c>
      <c r="H7943" t="s">
        <v>6434</v>
      </c>
      <c r="I7943">
        <v>0</v>
      </c>
      <c r="J7943" t="s">
        <v>1709</v>
      </c>
      <c r="K7943" t="s">
        <v>33</v>
      </c>
      <c r="L7943" t="s">
        <v>285</v>
      </c>
      <c r="M7943" t="str">
        <f t="shared" si="585"/>
        <v>08</v>
      </c>
      <c r="N7943" t="s">
        <v>12</v>
      </c>
    </row>
    <row r="7944" spans="1:14" x14ac:dyDescent="0.25">
      <c r="A7944">
        <v>20160826</v>
      </c>
      <c r="B7944" t="str">
        <f>"064564"</f>
        <v>064564</v>
      </c>
      <c r="C7944" t="str">
        <f>"60835"</f>
        <v>60835</v>
      </c>
      <c r="D7944" t="s">
        <v>1904</v>
      </c>
      <c r="E7944" s="3">
        <v>764.5</v>
      </c>
      <c r="F7944">
        <v>20160825</v>
      </c>
      <c r="G7944" t="s">
        <v>1854</v>
      </c>
      <c r="H7944" t="s">
        <v>6435</v>
      </c>
      <c r="I7944">
        <v>0</v>
      </c>
      <c r="J7944" t="s">
        <v>1709</v>
      </c>
      <c r="K7944" t="s">
        <v>1856</v>
      </c>
      <c r="L7944" t="s">
        <v>285</v>
      </c>
      <c r="M7944" t="str">
        <f t="shared" si="585"/>
        <v>08</v>
      </c>
      <c r="N7944" t="s">
        <v>12</v>
      </c>
    </row>
    <row r="7945" spans="1:14" x14ac:dyDescent="0.25">
      <c r="A7945">
        <v>20160826</v>
      </c>
      <c r="B7945" t="str">
        <f>"064564"</f>
        <v>064564</v>
      </c>
      <c r="C7945" t="str">
        <f>"60835"</f>
        <v>60835</v>
      </c>
      <c r="D7945" t="s">
        <v>1904</v>
      </c>
      <c r="E7945" s="3">
        <v>450</v>
      </c>
      <c r="F7945">
        <v>20160825</v>
      </c>
      <c r="G7945" t="s">
        <v>1854</v>
      </c>
      <c r="H7945" t="s">
        <v>6436</v>
      </c>
      <c r="I7945">
        <v>0</v>
      </c>
      <c r="J7945" t="s">
        <v>1709</v>
      </c>
      <c r="K7945" t="s">
        <v>1856</v>
      </c>
      <c r="L7945" t="s">
        <v>285</v>
      </c>
      <c r="M7945" t="str">
        <f t="shared" si="585"/>
        <v>08</v>
      </c>
      <c r="N7945" t="s">
        <v>12</v>
      </c>
    </row>
    <row r="7946" spans="1:14" x14ac:dyDescent="0.25">
      <c r="A7946">
        <v>20160826</v>
      </c>
      <c r="B7946" t="str">
        <f>"064568"</f>
        <v>064568</v>
      </c>
      <c r="C7946" t="str">
        <f>"62686"</f>
        <v>62686</v>
      </c>
      <c r="D7946" t="s">
        <v>1468</v>
      </c>
      <c r="E7946" s="3">
        <v>55.09</v>
      </c>
      <c r="F7946">
        <v>20160825</v>
      </c>
      <c r="G7946" t="s">
        <v>2742</v>
      </c>
      <c r="H7946" t="s">
        <v>6437</v>
      </c>
      <c r="I7946">
        <v>0</v>
      </c>
      <c r="J7946" t="s">
        <v>1709</v>
      </c>
      <c r="K7946" t="s">
        <v>1558</v>
      </c>
      <c r="L7946" t="s">
        <v>285</v>
      </c>
      <c r="M7946" t="str">
        <f t="shared" si="585"/>
        <v>08</v>
      </c>
      <c r="N7946" t="s">
        <v>12</v>
      </c>
    </row>
    <row r="7947" spans="1:14" x14ac:dyDescent="0.25">
      <c r="A7947">
        <v>20160826</v>
      </c>
      <c r="B7947" t="str">
        <f>"064569"</f>
        <v>064569</v>
      </c>
      <c r="C7947" t="str">
        <f>"62883"</f>
        <v>62883</v>
      </c>
      <c r="D7947" t="s">
        <v>4088</v>
      </c>
      <c r="E7947" s="3">
        <v>75</v>
      </c>
      <c r="F7947">
        <v>20160825</v>
      </c>
      <c r="G7947" t="s">
        <v>1854</v>
      </c>
      <c r="H7947" t="s">
        <v>6438</v>
      </c>
      <c r="I7947">
        <v>0</v>
      </c>
      <c r="J7947" t="s">
        <v>1709</v>
      </c>
      <c r="K7947" t="s">
        <v>1856</v>
      </c>
      <c r="L7947" t="s">
        <v>285</v>
      </c>
      <c r="M7947" t="str">
        <f t="shared" si="585"/>
        <v>08</v>
      </c>
      <c r="N7947" t="s">
        <v>12</v>
      </c>
    </row>
    <row r="7948" spans="1:14" x14ac:dyDescent="0.25">
      <c r="A7948">
        <v>20160826</v>
      </c>
      <c r="B7948" t="str">
        <f>"064570"</f>
        <v>064570</v>
      </c>
      <c r="C7948" t="str">
        <f>"64524"</f>
        <v>64524</v>
      </c>
      <c r="D7948" t="s">
        <v>6439</v>
      </c>
      <c r="E7948" s="3">
        <v>47.46</v>
      </c>
      <c r="F7948">
        <v>20160825</v>
      </c>
      <c r="G7948" t="s">
        <v>3204</v>
      </c>
      <c r="H7948" t="s">
        <v>6440</v>
      </c>
      <c r="I7948">
        <v>0</v>
      </c>
      <c r="J7948" t="s">
        <v>1709</v>
      </c>
      <c r="K7948" t="s">
        <v>1643</v>
      </c>
      <c r="L7948" t="s">
        <v>285</v>
      </c>
      <c r="M7948" t="str">
        <f t="shared" si="585"/>
        <v>08</v>
      </c>
      <c r="N7948" t="s">
        <v>12</v>
      </c>
    </row>
    <row r="7949" spans="1:14" x14ac:dyDescent="0.25">
      <c r="A7949">
        <v>20160826</v>
      </c>
      <c r="B7949" t="str">
        <f>"064572"</f>
        <v>064572</v>
      </c>
      <c r="C7949" t="str">
        <f>"65212"</f>
        <v>65212</v>
      </c>
      <c r="D7949" t="s">
        <v>2017</v>
      </c>
      <c r="E7949" s="3">
        <v>9802.2099999999991</v>
      </c>
      <c r="F7949">
        <v>20160825</v>
      </c>
      <c r="G7949" t="s">
        <v>2018</v>
      </c>
      <c r="H7949" t="s">
        <v>6441</v>
      </c>
      <c r="I7949">
        <v>0</v>
      </c>
      <c r="J7949" t="s">
        <v>1709</v>
      </c>
      <c r="K7949" t="s">
        <v>1856</v>
      </c>
      <c r="L7949" t="s">
        <v>285</v>
      </c>
      <c r="M7949" t="str">
        <f t="shared" si="585"/>
        <v>08</v>
      </c>
      <c r="N7949" t="s">
        <v>12</v>
      </c>
    </row>
    <row r="7950" spans="1:14" x14ac:dyDescent="0.25">
      <c r="A7950">
        <v>20160826</v>
      </c>
      <c r="B7950" t="str">
        <f>"064573"</f>
        <v>064573</v>
      </c>
      <c r="C7950" t="str">
        <f>"65760"</f>
        <v>65760</v>
      </c>
      <c r="D7950" t="s">
        <v>3283</v>
      </c>
      <c r="E7950" s="3">
        <v>422.56</v>
      </c>
      <c r="F7950">
        <v>20160825</v>
      </c>
      <c r="G7950" t="s">
        <v>1859</v>
      </c>
      <c r="H7950" t="s">
        <v>6442</v>
      </c>
      <c r="I7950">
        <v>0</v>
      </c>
      <c r="J7950" t="s">
        <v>1709</v>
      </c>
      <c r="K7950" t="s">
        <v>1861</v>
      </c>
      <c r="L7950" t="s">
        <v>285</v>
      </c>
      <c r="M7950" t="str">
        <f t="shared" si="585"/>
        <v>08</v>
      </c>
      <c r="N7950" t="s">
        <v>12</v>
      </c>
    </row>
    <row r="7951" spans="1:14" x14ac:dyDescent="0.25">
      <c r="A7951">
        <v>20160826</v>
      </c>
      <c r="B7951" t="str">
        <f>"064576"</f>
        <v>064576</v>
      </c>
      <c r="C7951" t="str">
        <f>"73865"</f>
        <v>73865</v>
      </c>
      <c r="D7951" t="s">
        <v>6184</v>
      </c>
      <c r="E7951" s="3">
        <v>1860</v>
      </c>
      <c r="F7951">
        <v>20160825</v>
      </c>
      <c r="G7951" t="s">
        <v>2588</v>
      </c>
      <c r="H7951" t="s">
        <v>6443</v>
      </c>
      <c r="I7951">
        <v>0</v>
      </c>
      <c r="J7951" t="s">
        <v>1709</v>
      </c>
      <c r="K7951" t="s">
        <v>1861</v>
      </c>
      <c r="L7951" t="s">
        <v>285</v>
      </c>
      <c r="M7951" t="str">
        <f t="shared" si="585"/>
        <v>08</v>
      </c>
      <c r="N7951" t="s">
        <v>12</v>
      </c>
    </row>
    <row r="7952" spans="1:14" x14ac:dyDescent="0.25">
      <c r="A7952">
        <v>20160826</v>
      </c>
      <c r="B7952" t="str">
        <f>"064578"</f>
        <v>064578</v>
      </c>
      <c r="C7952" t="str">
        <f>"74138"</f>
        <v>74138</v>
      </c>
      <c r="D7952" t="s">
        <v>6444</v>
      </c>
      <c r="E7952" s="3">
        <v>1947</v>
      </c>
      <c r="F7952">
        <v>20160825</v>
      </c>
      <c r="G7952" t="s">
        <v>2664</v>
      </c>
      <c r="H7952" t="s">
        <v>6445</v>
      </c>
      <c r="I7952">
        <v>0</v>
      </c>
      <c r="J7952" t="s">
        <v>1709</v>
      </c>
      <c r="K7952" t="s">
        <v>1744</v>
      </c>
      <c r="L7952" t="s">
        <v>285</v>
      </c>
      <c r="M7952" t="str">
        <f t="shared" si="585"/>
        <v>08</v>
      </c>
      <c r="N7952" t="s">
        <v>12</v>
      </c>
    </row>
    <row r="7953" spans="1:14" x14ac:dyDescent="0.25">
      <c r="A7953">
        <v>20160826</v>
      </c>
      <c r="B7953" t="str">
        <f>"064579"</f>
        <v>064579</v>
      </c>
      <c r="C7953" t="str">
        <f>"77068"</f>
        <v>77068</v>
      </c>
      <c r="D7953" t="s">
        <v>1929</v>
      </c>
      <c r="E7953" s="3">
        <v>6522.94</v>
      </c>
      <c r="F7953">
        <v>20160825</v>
      </c>
      <c r="G7953" t="s">
        <v>2588</v>
      </c>
      <c r="H7953" t="s">
        <v>6446</v>
      </c>
      <c r="I7953">
        <v>0</v>
      </c>
      <c r="J7953" t="s">
        <v>1709</v>
      </c>
      <c r="K7953" t="s">
        <v>1861</v>
      </c>
      <c r="L7953" t="s">
        <v>285</v>
      </c>
      <c r="M7953" t="str">
        <f t="shared" si="585"/>
        <v>08</v>
      </c>
      <c r="N7953" t="s">
        <v>12</v>
      </c>
    </row>
    <row r="7954" spans="1:14" x14ac:dyDescent="0.25">
      <c r="A7954">
        <v>20160826</v>
      </c>
      <c r="B7954" t="str">
        <f>"064581"</f>
        <v>064581</v>
      </c>
      <c r="C7954" t="str">
        <f>"78726"</f>
        <v>78726</v>
      </c>
      <c r="D7954" t="s">
        <v>2772</v>
      </c>
      <c r="E7954" s="3">
        <v>426</v>
      </c>
      <c r="F7954">
        <v>20160825</v>
      </c>
      <c r="G7954" t="s">
        <v>2773</v>
      </c>
      <c r="H7954" t="s">
        <v>6447</v>
      </c>
      <c r="I7954">
        <v>0</v>
      </c>
      <c r="J7954" t="s">
        <v>1709</v>
      </c>
      <c r="K7954" t="s">
        <v>2252</v>
      </c>
      <c r="L7954" t="s">
        <v>285</v>
      </c>
      <c r="M7954" t="str">
        <f t="shared" si="585"/>
        <v>08</v>
      </c>
      <c r="N7954" t="s">
        <v>12</v>
      </c>
    </row>
    <row r="7955" spans="1:14" x14ac:dyDescent="0.25">
      <c r="A7955">
        <v>20160826</v>
      </c>
      <c r="B7955" t="str">
        <f>"064582"</f>
        <v>064582</v>
      </c>
      <c r="C7955" t="str">
        <f>"80561"</f>
        <v>80561</v>
      </c>
      <c r="D7955" t="s">
        <v>6448</v>
      </c>
      <c r="E7955" s="3">
        <v>63.45</v>
      </c>
      <c r="F7955">
        <v>20160825</v>
      </c>
      <c r="G7955" t="s">
        <v>3204</v>
      </c>
      <c r="H7955" t="s">
        <v>6449</v>
      </c>
      <c r="I7955">
        <v>0</v>
      </c>
      <c r="J7955" t="s">
        <v>1709</v>
      </c>
      <c r="K7955" t="s">
        <v>1643</v>
      </c>
      <c r="L7955" t="s">
        <v>285</v>
      </c>
      <c r="M7955" t="str">
        <f t="shared" si="585"/>
        <v>08</v>
      </c>
      <c r="N7955" t="s">
        <v>12</v>
      </c>
    </row>
    <row r="7956" spans="1:14" x14ac:dyDescent="0.25">
      <c r="A7956">
        <v>20160826</v>
      </c>
      <c r="B7956" t="str">
        <f>"064583"</f>
        <v>064583</v>
      </c>
      <c r="C7956" t="str">
        <f>"80611"</f>
        <v>80611</v>
      </c>
      <c r="D7956" t="s">
        <v>1796</v>
      </c>
      <c r="E7956" s="3">
        <v>2208.33</v>
      </c>
      <c r="F7956">
        <v>20160825</v>
      </c>
      <c r="G7956" t="s">
        <v>2414</v>
      </c>
      <c r="H7956" t="s">
        <v>5977</v>
      </c>
      <c r="I7956">
        <v>0</v>
      </c>
      <c r="J7956" t="s">
        <v>1709</v>
      </c>
      <c r="K7956" t="s">
        <v>133</v>
      </c>
      <c r="L7956" t="s">
        <v>285</v>
      </c>
      <c r="M7956" t="str">
        <f t="shared" si="585"/>
        <v>08</v>
      </c>
      <c r="N7956" t="s">
        <v>12</v>
      </c>
    </row>
    <row r="7957" spans="1:14" x14ac:dyDescent="0.25">
      <c r="A7957">
        <v>20160826</v>
      </c>
      <c r="B7957" t="str">
        <f t="shared" ref="B7957:B7966" si="586">"064587"</f>
        <v>064587</v>
      </c>
      <c r="C7957" t="str">
        <f t="shared" ref="C7957:C7966" si="587">"83022"</f>
        <v>83022</v>
      </c>
      <c r="D7957" t="s">
        <v>394</v>
      </c>
      <c r="E7957" s="3">
        <v>426.81</v>
      </c>
      <c r="F7957">
        <v>20160825</v>
      </c>
      <c r="G7957" t="s">
        <v>1974</v>
      </c>
      <c r="H7957" t="s">
        <v>2876</v>
      </c>
      <c r="I7957">
        <v>0</v>
      </c>
      <c r="J7957" t="s">
        <v>1709</v>
      </c>
      <c r="K7957" t="s">
        <v>290</v>
      </c>
      <c r="L7957" t="s">
        <v>285</v>
      </c>
      <c r="M7957" t="str">
        <f t="shared" si="585"/>
        <v>08</v>
      </c>
      <c r="N7957" t="s">
        <v>12</v>
      </c>
    </row>
    <row r="7958" spans="1:14" x14ac:dyDescent="0.25">
      <c r="A7958">
        <v>20160826</v>
      </c>
      <c r="B7958" t="str">
        <f t="shared" si="586"/>
        <v>064587</v>
      </c>
      <c r="C7958" t="str">
        <f t="shared" si="587"/>
        <v>83022</v>
      </c>
      <c r="D7958" t="s">
        <v>394</v>
      </c>
      <c r="E7958" s="3">
        <v>149.28</v>
      </c>
      <c r="F7958">
        <v>20160825</v>
      </c>
      <c r="G7958" t="s">
        <v>3427</v>
      </c>
      <c r="H7958" t="s">
        <v>6450</v>
      </c>
      <c r="I7958">
        <v>0</v>
      </c>
      <c r="J7958" t="s">
        <v>1709</v>
      </c>
      <c r="K7958" t="s">
        <v>33</v>
      </c>
      <c r="L7958" t="s">
        <v>285</v>
      </c>
      <c r="M7958" t="str">
        <f t="shared" si="585"/>
        <v>08</v>
      </c>
      <c r="N7958" t="s">
        <v>12</v>
      </c>
    </row>
    <row r="7959" spans="1:14" x14ac:dyDescent="0.25">
      <c r="A7959">
        <v>20160826</v>
      </c>
      <c r="B7959" t="str">
        <f t="shared" si="586"/>
        <v>064587</v>
      </c>
      <c r="C7959" t="str">
        <f t="shared" si="587"/>
        <v>83022</v>
      </c>
      <c r="D7959" t="s">
        <v>394</v>
      </c>
      <c r="E7959" s="3">
        <v>43.98</v>
      </c>
      <c r="F7959">
        <v>20160825</v>
      </c>
      <c r="G7959" t="s">
        <v>1758</v>
      </c>
      <c r="H7959" t="s">
        <v>5398</v>
      </c>
      <c r="I7959">
        <v>0</v>
      </c>
      <c r="J7959" t="s">
        <v>1709</v>
      </c>
      <c r="K7959" t="s">
        <v>1643</v>
      </c>
      <c r="L7959" t="s">
        <v>285</v>
      </c>
      <c r="M7959" t="str">
        <f t="shared" si="585"/>
        <v>08</v>
      </c>
      <c r="N7959" t="s">
        <v>12</v>
      </c>
    </row>
    <row r="7960" spans="1:14" x14ac:dyDescent="0.25">
      <c r="A7960">
        <v>20160826</v>
      </c>
      <c r="B7960" t="str">
        <f t="shared" si="586"/>
        <v>064587</v>
      </c>
      <c r="C7960" t="str">
        <f t="shared" si="587"/>
        <v>83022</v>
      </c>
      <c r="D7960" t="s">
        <v>394</v>
      </c>
      <c r="E7960" s="3">
        <v>147.22</v>
      </c>
      <c r="F7960">
        <v>20160825</v>
      </c>
      <c r="G7960" t="s">
        <v>1758</v>
      </c>
      <c r="H7960" t="s">
        <v>5398</v>
      </c>
      <c r="I7960">
        <v>0</v>
      </c>
      <c r="J7960" t="s">
        <v>1709</v>
      </c>
      <c r="K7960" t="s">
        <v>1643</v>
      </c>
      <c r="L7960" t="s">
        <v>285</v>
      </c>
      <c r="M7960" t="str">
        <f t="shared" si="585"/>
        <v>08</v>
      </c>
      <c r="N7960" t="s">
        <v>12</v>
      </c>
    </row>
    <row r="7961" spans="1:14" x14ac:dyDescent="0.25">
      <c r="A7961">
        <v>20160826</v>
      </c>
      <c r="B7961" t="str">
        <f t="shared" si="586"/>
        <v>064587</v>
      </c>
      <c r="C7961" t="str">
        <f t="shared" si="587"/>
        <v>83022</v>
      </c>
      <c r="D7961" t="s">
        <v>394</v>
      </c>
      <c r="E7961" s="3">
        <v>395.23</v>
      </c>
      <c r="F7961">
        <v>20160825</v>
      </c>
      <c r="G7961" t="s">
        <v>1758</v>
      </c>
      <c r="H7961" t="s">
        <v>5398</v>
      </c>
      <c r="I7961">
        <v>0</v>
      </c>
      <c r="J7961" t="s">
        <v>1709</v>
      </c>
      <c r="K7961" t="s">
        <v>1643</v>
      </c>
      <c r="L7961" t="s">
        <v>285</v>
      </c>
      <c r="M7961" t="str">
        <f t="shared" si="585"/>
        <v>08</v>
      </c>
      <c r="N7961" t="s">
        <v>12</v>
      </c>
    </row>
    <row r="7962" spans="1:14" x14ac:dyDescent="0.25">
      <c r="A7962">
        <v>20160826</v>
      </c>
      <c r="B7962" t="str">
        <f t="shared" si="586"/>
        <v>064587</v>
      </c>
      <c r="C7962" t="str">
        <f t="shared" si="587"/>
        <v>83022</v>
      </c>
      <c r="D7962" t="s">
        <v>394</v>
      </c>
      <c r="E7962" s="3">
        <v>171.25</v>
      </c>
      <c r="F7962">
        <v>20160825</v>
      </c>
      <c r="G7962" t="s">
        <v>3485</v>
      </c>
      <c r="H7962" t="s">
        <v>1618</v>
      </c>
      <c r="I7962">
        <v>0</v>
      </c>
      <c r="J7962" t="s">
        <v>1709</v>
      </c>
      <c r="K7962" t="s">
        <v>1558</v>
      </c>
      <c r="L7962" t="s">
        <v>285</v>
      </c>
      <c r="M7962" t="str">
        <f t="shared" si="585"/>
        <v>08</v>
      </c>
      <c r="N7962" t="s">
        <v>12</v>
      </c>
    </row>
    <row r="7963" spans="1:14" x14ac:dyDescent="0.25">
      <c r="A7963">
        <v>20160826</v>
      </c>
      <c r="B7963" t="str">
        <f t="shared" si="586"/>
        <v>064587</v>
      </c>
      <c r="C7963" t="str">
        <f t="shared" si="587"/>
        <v>83022</v>
      </c>
      <c r="D7963" t="s">
        <v>394</v>
      </c>
      <c r="E7963" s="3">
        <v>400.34</v>
      </c>
      <c r="F7963">
        <v>20160825</v>
      </c>
      <c r="G7963" t="s">
        <v>5307</v>
      </c>
      <c r="H7963" t="s">
        <v>2876</v>
      </c>
      <c r="I7963">
        <v>0</v>
      </c>
      <c r="J7963" t="s">
        <v>1709</v>
      </c>
      <c r="K7963" t="s">
        <v>290</v>
      </c>
      <c r="L7963" t="s">
        <v>285</v>
      </c>
      <c r="M7963" t="str">
        <f t="shared" si="585"/>
        <v>08</v>
      </c>
      <c r="N7963" t="s">
        <v>12</v>
      </c>
    </row>
    <row r="7964" spans="1:14" x14ac:dyDescent="0.25">
      <c r="A7964">
        <v>20160826</v>
      </c>
      <c r="B7964" t="str">
        <f t="shared" si="586"/>
        <v>064587</v>
      </c>
      <c r="C7964" t="str">
        <f t="shared" si="587"/>
        <v>83022</v>
      </c>
      <c r="D7964" t="s">
        <v>394</v>
      </c>
      <c r="E7964" s="3">
        <v>112.61</v>
      </c>
      <c r="F7964">
        <v>20160825</v>
      </c>
      <c r="G7964" t="s">
        <v>2983</v>
      </c>
      <c r="H7964" t="s">
        <v>4293</v>
      </c>
      <c r="I7964">
        <v>0</v>
      </c>
      <c r="J7964" t="s">
        <v>1709</v>
      </c>
      <c r="K7964" t="s">
        <v>290</v>
      </c>
      <c r="L7964" t="s">
        <v>285</v>
      </c>
      <c r="M7964" t="str">
        <f t="shared" si="585"/>
        <v>08</v>
      </c>
      <c r="N7964" t="s">
        <v>12</v>
      </c>
    </row>
    <row r="7965" spans="1:14" x14ac:dyDescent="0.25">
      <c r="A7965">
        <v>20160826</v>
      </c>
      <c r="B7965" t="str">
        <f t="shared" si="586"/>
        <v>064587</v>
      </c>
      <c r="C7965" t="str">
        <f t="shared" si="587"/>
        <v>83022</v>
      </c>
      <c r="D7965" t="s">
        <v>394</v>
      </c>
      <c r="E7965" s="3">
        <v>314.58</v>
      </c>
      <c r="F7965">
        <v>20160825</v>
      </c>
      <c r="G7965" t="s">
        <v>3114</v>
      </c>
      <c r="H7965" t="s">
        <v>2173</v>
      </c>
      <c r="I7965">
        <v>0</v>
      </c>
      <c r="J7965" t="s">
        <v>1709</v>
      </c>
      <c r="K7965" t="s">
        <v>33</v>
      </c>
      <c r="L7965" t="s">
        <v>285</v>
      </c>
      <c r="M7965" t="str">
        <f t="shared" si="585"/>
        <v>08</v>
      </c>
      <c r="N7965" t="s">
        <v>12</v>
      </c>
    </row>
    <row r="7966" spans="1:14" x14ac:dyDescent="0.25">
      <c r="A7966">
        <v>20160826</v>
      </c>
      <c r="B7966" t="str">
        <f t="shared" si="586"/>
        <v>064587</v>
      </c>
      <c r="C7966" t="str">
        <f t="shared" si="587"/>
        <v>83022</v>
      </c>
      <c r="D7966" t="s">
        <v>394</v>
      </c>
      <c r="E7966" s="3">
        <v>49.74</v>
      </c>
      <c r="F7966">
        <v>20160825</v>
      </c>
      <c r="G7966" t="s">
        <v>3114</v>
      </c>
      <c r="H7966" t="s">
        <v>6451</v>
      </c>
      <c r="I7966">
        <v>0</v>
      </c>
      <c r="J7966" t="s">
        <v>1709</v>
      </c>
      <c r="K7966" t="s">
        <v>33</v>
      </c>
      <c r="L7966" t="s">
        <v>285</v>
      </c>
      <c r="M7966" t="str">
        <f t="shared" si="585"/>
        <v>08</v>
      </c>
      <c r="N7966" t="s">
        <v>12</v>
      </c>
    </row>
    <row r="7967" spans="1:14" x14ac:dyDescent="0.25">
      <c r="A7967">
        <v>20160826</v>
      </c>
      <c r="B7967" t="str">
        <f>"064588"</f>
        <v>064588</v>
      </c>
      <c r="C7967" t="str">
        <f>"83410"</f>
        <v>83410</v>
      </c>
      <c r="D7967" t="s">
        <v>2601</v>
      </c>
      <c r="E7967" s="3">
        <v>226.48</v>
      </c>
      <c r="F7967">
        <v>20160825</v>
      </c>
      <c r="G7967" t="s">
        <v>2602</v>
      </c>
      <c r="H7967" t="s">
        <v>6452</v>
      </c>
      <c r="I7967">
        <v>0</v>
      </c>
      <c r="J7967" t="s">
        <v>1709</v>
      </c>
      <c r="K7967" t="s">
        <v>2207</v>
      </c>
      <c r="L7967" t="s">
        <v>285</v>
      </c>
      <c r="M7967" t="str">
        <f t="shared" si="585"/>
        <v>08</v>
      </c>
      <c r="N7967" t="s">
        <v>12</v>
      </c>
    </row>
    <row r="7968" spans="1:14" x14ac:dyDescent="0.25">
      <c r="A7968">
        <v>20160826</v>
      </c>
      <c r="B7968" t="str">
        <f>"064588"</f>
        <v>064588</v>
      </c>
      <c r="C7968" t="str">
        <f>"83410"</f>
        <v>83410</v>
      </c>
      <c r="D7968" t="s">
        <v>2601</v>
      </c>
      <c r="E7968" s="3">
        <v>400</v>
      </c>
      <c r="F7968">
        <v>20160825</v>
      </c>
      <c r="G7968" t="s">
        <v>2493</v>
      </c>
      <c r="H7968" t="s">
        <v>6452</v>
      </c>
      <c r="I7968">
        <v>0</v>
      </c>
      <c r="J7968" t="s">
        <v>1709</v>
      </c>
      <c r="K7968" t="s">
        <v>2207</v>
      </c>
      <c r="L7968" t="s">
        <v>285</v>
      </c>
      <c r="M7968" t="str">
        <f t="shared" si="585"/>
        <v>08</v>
      </c>
      <c r="N7968" t="s">
        <v>12</v>
      </c>
    </row>
    <row r="7969" spans="1:14" x14ac:dyDescent="0.25">
      <c r="A7969">
        <v>20160826</v>
      </c>
      <c r="B7969" t="str">
        <f>"064589"</f>
        <v>064589</v>
      </c>
      <c r="C7969" t="str">
        <f>"24930"</f>
        <v>24930</v>
      </c>
      <c r="D7969" t="s">
        <v>4201</v>
      </c>
      <c r="E7969" s="3">
        <v>102.5</v>
      </c>
      <c r="F7969">
        <v>20160825</v>
      </c>
      <c r="G7969" t="s">
        <v>2025</v>
      </c>
      <c r="H7969" t="s">
        <v>6453</v>
      </c>
      <c r="I7969">
        <v>0</v>
      </c>
      <c r="J7969" t="s">
        <v>1709</v>
      </c>
      <c r="K7969" t="s">
        <v>1984</v>
      </c>
      <c r="L7969" t="s">
        <v>285</v>
      </c>
      <c r="M7969" t="str">
        <f t="shared" si="585"/>
        <v>08</v>
      </c>
      <c r="N7969" t="s">
        <v>12</v>
      </c>
    </row>
    <row r="7970" spans="1:14" x14ac:dyDescent="0.25">
      <c r="A7970">
        <v>20160826</v>
      </c>
      <c r="B7970" t="str">
        <f>"064590"</f>
        <v>064590</v>
      </c>
      <c r="C7970" t="str">
        <f>"84607"</f>
        <v>84607</v>
      </c>
      <c r="D7970" t="s">
        <v>3160</v>
      </c>
      <c r="E7970" s="3">
        <v>115</v>
      </c>
      <c r="F7970">
        <v>20160825</v>
      </c>
      <c r="G7970" t="s">
        <v>2025</v>
      </c>
      <c r="H7970" t="s">
        <v>6454</v>
      </c>
      <c r="I7970">
        <v>0</v>
      </c>
      <c r="J7970" t="s">
        <v>1709</v>
      </c>
      <c r="K7970" t="s">
        <v>1984</v>
      </c>
      <c r="L7970" t="s">
        <v>285</v>
      </c>
      <c r="M7970" t="str">
        <f t="shared" si="585"/>
        <v>08</v>
      </c>
      <c r="N7970" t="s">
        <v>12</v>
      </c>
    </row>
    <row r="7971" spans="1:14" x14ac:dyDescent="0.25">
      <c r="A7971">
        <v>20160830</v>
      </c>
      <c r="B7971" t="str">
        <f>"064591"</f>
        <v>064591</v>
      </c>
      <c r="C7971" t="str">
        <f>"00306"</f>
        <v>00306</v>
      </c>
      <c r="D7971" t="s">
        <v>2609</v>
      </c>
      <c r="E7971" s="3">
        <v>154.22999999999999</v>
      </c>
      <c r="F7971">
        <v>20160829</v>
      </c>
      <c r="G7971" t="s">
        <v>2610</v>
      </c>
      <c r="H7971" t="s">
        <v>6455</v>
      </c>
      <c r="I7971">
        <v>0</v>
      </c>
      <c r="J7971" t="s">
        <v>1709</v>
      </c>
      <c r="K7971" t="s">
        <v>1861</v>
      </c>
      <c r="L7971" t="s">
        <v>285</v>
      </c>
      <c r="M7971" t="str">
        <f t="shared" si="585"/>
        <v>08</v>
      </c>
      <c r="N7971" t="s">
        <v>12</v>
      </c>
    </row>
    <row r="7972" spans="1:14" x14ac:dyDescent="0.25">
      <c r="A7972">
        <v>20160830</v>
      </c>
      <c r="B7972" t="str">
        <f>"064591"</f>
        <v>064591</v>
      </c>
      <c r="C7972" t="str">
        <f>"00306"</f>
        <v>00306</v>
      </c>
      <c r="D7972" t="s">
        <v>2609</v>
      </c>
      <c r="E7972" s="3">
        <v>119.79</v>
      </c>
      <c r="F7972">
        <v>20160829</v>
      </c>
      <c r="G7972" t="s">
        <v>2610</v>
      </c>
      <c r="H7972" t="s">
        <v>6456</v>
      </c>
      <c r="I7972">
        <v>0</v>
      </c>
      <c r="J7972" t="s">
        <v>1709</v>
      </c>
      <c r="K7972" t="s">
        <v>1861</v>
      </c>
      <c r="L7972" t="s">
        <v>285</v>
      </c>
      <c r="M7972" t="str">
        <f t="shared" si="585"/>
        <v>08</v>
      </c>
      <c r="N7972" t="s">
        <v>12</v>
      </c>
    </row>
    <row r="7973" spans="1:14" x14ac:dyDescent="0.25">
      <c r="A7973">
        <v>20160830</v>
      </c>
      <c r="B7973" t="str">
        <f>"064591"</f>
        <v>064591</v>
      </c>
      <c r="C7973" t="str">
        <f>"00306"</f>
        <v>00306</v>
      </c>
      <c r="D7973" t="s">
        <v>2609</v>
      </c>
      <c r="E7973" s="3">
        <v>87.08</v>
      </c>
      <c r="F7973">
        <v>20160829</v>
      </c>
      <c r="G7973" t="s">
        <v>2610</v>
      </c>
      <c r="H7973" t="s">
        <v>6457</v>
      </c>
      <c r="I7973">
        <v>0</v>
      </c>
      <c r="J7973" t="s">
        <v>1709</v>
      </c>
      <c r="K7973" t="s">
        <v>1861</v>
      </c>
      <c r="L7973" t="s">
        <v>285</v>
      </c>
      <c r="M7973" t="str">
        <f t="shared" si="585"/>
        <v>08</v>
      </c>
      <c r="N7973" t="s">
        <v>12</v>
      </c>
    </row>
    <row r="7974" spans="1:14" x14ac:dyDescent="0.25">
      <c r="A7974">
        <v>20160830</v>
      </c>
      <c r="B7974" t="str">
        <f>"064591"</f>
        <v>064591</v>
      </c>
      <c r="C7974" t="str">
        <f>"00306"</f>
        <v>00306</v>
      </c>
      <c r="D7974" t="s">
        <v>2609</v>
      </c>
      <c r="E7974" s="3">
        <v>375.78</v>
      </c>
      <c r="F7974">
        <v>20160829</v>
      </c>
      <c r="G7974" t="s">
        <v>2610</v>
      </c>
      <c r="H7974" t="s">
        <v>6458</v>
      </c>
      <c r="I7974">
        <v>0</v>
      </c>
      <c r="J7974" t="s">
        <v>1709</v>
      </c>
      <c r="K7974" t="s">
        <v>1861</v>
      </c>
      <c r="L7974" t="s">
        <v>285</v>
      </c>
      <c r="M7974" t="str">
        <f t="shared" si="585"/>
        <v>08</v>
      </c>
      <c r="N7974" t="s">
        <v>12</v>
      </c>
    </row>
    <row r="7975" spans="1:14" x14ac:dyDescent="0.25">
      <c r="A7975">
        <v>20160830</v>
      </c>
      <c r="B7975" t="str">
        <f>"064591"</f>
        <v>064591</v>
      </c>
      <c r="C7975" t="str">
        <f>"00306"</f>
        <v>00306</v>
      </c>
      <c r="D7975" t="s">
        <v>2609</v>
      </c>
      <c r="E7975" s="3">
        <v>78.540000000000006</v>
      </c>
      <c r="F7975">
        <v>20160829</v>
      </c>
      <c r="G7975" t="s">
        <v>2610</v>
      </c>
      <c r="H7975" t="s">
        <v>6459</v>
      </c>
      <c r="I7975">
        <v>0</v>
      </c>
      <c r="J7975" t="s">
        <v>1709</v>
      </c>
      <c r="K7975" t="s">
        <v>1861</v>
      </c>
      <c r="L7975" t="s">
        <v>285</v>
      </c>
      <c r="M7975" t="str">
        <f t="shared" si="585"/>
        <v>08</v>
      </c>
      <c r="N7975" t="s">
        <v>12</v>
      </c>
    </row>
    <row r="7976" spans="1:14" x14ac:dyDescent="0.25">
      <c r="A7976">
        <v>20160830</v>
      </c>
      <c r="B7976" t="str">
        <f>"064592"</f>
        <v>064592</v>
      </c>
      <c r="C7976" t="str">
        <f>"29779"</f>
        <v>29779</v>
      </c>
      <c r="D7976" t="s">
        <v>1806</v>
      </c>
      <c r="E7976" s="3">
        <v>1470</v>
      </c>
      <c r="F7976">
        <v>20160830</v>
      </c>
      <c r="G7976" t="s">
        <v>2192</v>
      </c>
      <c r="H7976" t="s">
        <v>6460</v>
      </c>
      <c r="I7976">
        <v>0</v>
      </c>
      <c r="J7976" t="s">
        <v>1709</v>
      </c>
      <c r="K7976" t="s">
        <v>2194</v>
      </c>
      <c r="L7976" t="s">
        <v>285</v>
      </c>
      <c r="M7976" t="str">
        <f t="shared" si="585"/>
        <v>08</v>
      </c>
      <c r="N7976" t="s">
        <v>12</v>
      </c>
    </row>
    <row r="7977" spans="1:14" x14ac:dyDescent="0.25">
      <c r="A7977">
        <v>20160830</v>
      </c>
      <c r="B7977" t="str">
        <f>"064592"</f>
        <v>064592</v>
      </c>
      <c r="C7977" t="str">
        <f>"29779"</f>
        <v>29779</v>
      </c>
      <c r="D7977" t="s">
        <v>1806</v>
      </c>
      <c r="E7977" s="3">
        <v>1680</v>
      </c>
      <c r="F7977">
        <v>20160830</v>
      </c>
      <c r="G7977" t="s">
        <v>2192</v>
      </c>
      <c r="H7977" t="s">
        <v>6461</v>
      </c>
      <c r="I7977">
        <v>0</v>
      </c>
      <c r="J7977" t="s">
        <v>1709</v>
      </c>
      <c r="K7977" t="s">
        <v>2194</v>
      </c>
      <c r="L7977" t="s">
        <v>285</v>
      </c>
      <c r="M7977" t="str">
        <f t="shared" si="585"/>
        <v>08</v>
      </c>
      <c r="N7977" t="s">
        <v>12</v>
      </c>
    </row>
    <row r="7978" spans="1:14" x14ac:dyDescent="0.25">
      <c r="A7978">
        <v>20160830</v>
      </c>
      <c r="B7978" t="str">
        <f>"064593"</f>
        <v>064593</v>
      </c>
      <c r="C7978" t="str">
        <f>"03846"</f>
        <v>03846</v>
      </c>
      <c r="D7978" t="s">
        <v>6023</v>
      </c>
      <c r="E7978" s="3">
        <v>554.54</v>
      </c>
      <c r="F7978">
        <v>20160829</v>
      </c>
      <c r="G7978" t="s">
        <v>1854</v>
      </c>
      <c r="H7978" t="s">
        <v>6462</v>
      </c>
      <c r="I7978">
        <v>0</v>
      </c>
      <c r="J7978" t="s">
        <v>1709</v>
      </c>
      <c r="K7978" t="s">
        <v>1856</v>
      </c>
      <c r="L7978" t="s">
        <v>285</v>
      </c>
      <c r="M7978" t="str">
        <f t="shared" ref="M7978:M8041" si="588">"08"</f>
        <v>08</v>
      </c>
      <c r="N7978" t="s">
        <v>12</v>
      </c>
    </row>
    <row r="7979" spans="1:14" x14ac:dyDescent="0.25">
      <c r="A7979">
        <v>20160830</v>
      </c>
      <c r="B7979" t="str">
        <f>"064593"</f>
        <v>064593</v>
      </c>
      <c r="C7979" t="str">
        <f>"03846"</f>
        <v>03846</v>
      </c>
      <c r="D7979" t="s">
        <v>6023</v>
      </c>
      <c r="E7979" s="3">
        <v>142.44</v>
      </c>
      <c r="F7979">
        <v>20160829</v>
      </c>
      <c r="G7979" t="s">
        <v>1854</v>
      </c>
      <c r="H7979" t="s">
        <v>6463</v>
      </c>
      <c r="I7979">
        <v>0</v>
      </c>
      <c r="J7979" t="s">
        <v>1709</v>
      </c>
      <c r="K7979" t="s">
        <v>1856</v>
      </c>
      <c r="L7979" t="s">
        <v>285</v>
      </c>
      <c r="M7979" t="str">
        <f t="shared" si="588"/>
        <v>08</v>
      </c>
      <c r="N7979" t="s">
        <v>12</v>
      </c>
    </row>
    <row r="7980" spans="1:14" x14ac:dyDescent="0.25">
      <c r="A7980">
        <v>20160830</v>
      </c>
      <c r="B7980" t="str">
        <f>"064593"</f>
        <v>064593</v>
      </c>
      <c r="C7980" t="str">
        <f>"03846"</f>
        <v>03846</v>
      </c>
      <c r="D7980" t="s">
        <v>6023</v>
      </c>
      <c r="E7980" s="3">
        <v>938.49</v>
      </c>
      <c r="F7980">
        <v>20160830</v>
      </c>
      <c r="G7980" t="s">
        <v>1854</v>
      </c>
      <c r="H7980" t="s">
        <v>6464</v>
      </c>
      <c r="I7980">
        <v>0</v>
      </c>
      <c r="J7980" t="s">
        <v>1709</v>
      </c>
      <c r="K7980" t="s">
        <v>1856</v>
      </c>
      <c r="L7980" t="s">
        <v>285</v>
      </c>
      <c r="M7980" t="str">
        <f t="shared" si="588"/>
        <v>08</v>
      </c>
      <c r="N7980" t="s">
        <v>12</v>
      </c>
    </row>
    <row r="7981" spans="1:14" x14ac:dyDescent="0.25">
      <c r="A7981">
        <v>20160830</v>
      </c>
      <c r="B7981" t="str">
        <f>"064594"</f>
        <v>064594</v>
      </c>
      <c r="C7981" t="str">
        <f>"03829"</f>
        <v>03829</v>
      </c>
      <c r="D7981" t="s">
        <v>1808</v>
      </c>
      <c r="E7981" s="3">
        <v>593.1</v>
      </c>
      <c r="F7981">
        <v>20160830</v>
      </c>
      <c r="G7981" t="s">
        <v>2427</v>
      </c>
      <c r="H7981" t="s">
        <v>6465</v>
      </c>
      <c r="I7981">
        <v>0</v>
      </c>
      <c r="J7981" t="s">
        <v>1709</v>
      </c>
      <c r="K7981" t="s">
        <v>1861</v>
      </c>
      <c r="L7981" t="s">
        <v>285</v>
      </c>
      <c r="M7981" t="str">
        <f t="shared" si="588"/>
        <v>08</v>
      </c>
      <c r="N7981" t="s">
        <v>12</v>
      </c>
    </row>
    <row r="7982" spans="1:14" x14ac:dyDescent="0.25">
      <c r="A7982">
        <v>20160830</v>
      </c>
      <c r="B7982" t="str">
        <f>"064595"</f>
        <v>064595</v>
      </c>
      <c r="C7982" t="str">
        <f>"00381"</f>
        <v>00381</v>
      </c>
      <c r="D7982" t="s">
        <v>1153</v>
      </c>
      <c r="E7982" s="3">
        <v>140.85</v>
      </c>
      <c r="F7982">
        <v>20160830</v>
      </c>
      <c r="G7982" t="s">
        <v>2049</v>
      </c>
      <c r="H7982" t="s">
        <v>6466</v>
      </c>
      <c r="I7982">
        <v>0</v>
      </c>
      <c r="J7982" t="s">
        <v>1709</v>
      </c>
      <c r="K7982" t="s">
        <v>1775</v>
      </c>
      <c r="L7982" t="s">
        <v>285</v>
      </c>
      <c r="M7982" t="str">
        <f t="shared" si="588"/>
        <v>08</v>
      </c>
      <c r="N7982" t="s">
        <v>12</v>
      </c>
    </row>
    <row r="7983" spans="1:14" x14ac:dyDescent="0.25">
      <c r="A7983">
        <v>20160830</v>
      </c>
      <c r="B7983" t="str">
        <f>"064596"</f>
        <v>064596</v>
      </c>
      <c r="C7983" t="str">
        <f>"04350"</f>
        <v>04350</v>
      </c>
      <c r="D7983" t="s">
        <v>1694</v>
      </c>
      <c r="E7983" s="3">
        <v>1450</v>
      </c>
      <c r="F7983">
        <v>20160829</v>
      </c>
      <c r="G7983" t="s">
        <v>2281</v>
      </c>
      <c r="H7983" t="s">
        <v>6467</v>
      </c>
      <c r="I7983">
        <v>0</v>
      </c>
      <c r="J7983" t="s">
        <v>1709</v>
      </c>
      <c r="K7983" t="s">
        <v>290</v>
      </c>
      <c r="L7983" t="s">
        <v>285</v>
      </c>
      <c r="M7983" t="str">
        <f t="shared" si="588"/>
        <v>08</v>
      </c>
      <c r="N7983" t="s">
        <v>12</v>
      </c>
    </row>
    <row r="7984" spans="1:14" x14ac:dyDescent="0.25">
      <c r="A7984">
        <v>20160830</v>
      </c>
      <c r="B7984" t="str">
        <f>"064597"</f>
        <v>064597</v>
      </c>
      <c r="C7984" t="str">
        <f>"24208"</f>
        <v>24208</v>
      </c>
      <c r="D7984" t="s">
        <v>1541</v>
      </c>
      <c r="E7984" s="3">
        <v>75</v>
      </c>
      <c r="F7984">
        <v>20160830</v>
      </c>
      <c r="G7984" t="s">
        <v>2164</v>
      </c>
      <c r="H7984" t="s">
        <v>6468</v>
      </c>
      <c r="I7984">
        <v>0</v>
      </c>
      <c r="J7984" t="s">
        <v>1709</v>
      </c>
      <c r="K7984" t="s">
        <v>1861</v>
      </c>
      <c r="L7984" t="s">
        <v>285</v>
      </c>
      <c r="M7984" t="str">
        <f t="shared" si="588"/>
        <v>08</v>
      </c>
      <c r="N7984" t="s">
        <v>12</v>
      </c>
    </row>
    <row r="7985" spans="1:14" x14ac:dyDescent="0.25">
      <c r="A7985">
        <v>20160830</v>
      </c>
      <c r="B7985" t="str">
        <f>"064597"</f>
        <v>064597</v>
      </c>
      <c r="C7985" t="str">
        <f>"24208"</f>
        <v>24208</v>
      </c>
      <c r="D7985" t="s">
        <v>1541</v>
      </c>
      <c r="E7985" s="3">
        <v>65</v>
      </c>
      <c r="F7985">
        <v>20160830</v>
      </c>
      <c r="G7985" t="s">
        <v>2164</v>
      </c>
      <c r="H7985" t="s">
        <v>6469</v>
      </c>
      <c r="I7985">
        <v>0</v>
      </c>
      <c r="J7985" t="s">
        <v>1709</v>
      </c>
      <c r="K7985" t="s">
        <v>1861</v>
      </c>
      <c r="L7985" t="s">
        <v>285</v>
      </c>
      <c r="M7985" t="str">
        <f t="shared" si="588"/>
        <v>08</v>
      </c>
      <c r="N7985" t="s">
        <v>12</v>
      </c>
    </row>
    <row r="7986" spans="1:14" x14ac:dyDescent="0.25">
      <c r="A7986">
        <v>20160830</v>
      </c>
      <c r="B7986" t="str">
        <f>"064599"</f>
        <v>064599</v>
      </c>
      <c r="C7986" t="str">
        <f>"09170"</f>
        <v>09170</v>
      </c>
      <c r="D7986" t="s">
        <v>596</v>
      </c>
      <c r="E7986" s="3">
        <v>665.92</v>
      </c>
      <c r="F7986">
        <v>20160830</v>
      </c>
      <c r="G7986" t="s">
        <v>1859</v>
      </c>
      <c r="H7986" t="s">
        <v>6470</v>
      </c>
      <c r="I7986">
        <v>0</v>
      </c>
      <c r="J7986" t="s">
        <v>1709</v>
      </c>
      <c r="K7986" t="s">
        <v>1861</v>
      </c>
      <c r="L7986" t="s">
        <v>285</v>
      </c>
      <c r="M7986" t="str">
        <f t="shared" si="588"/>
        <v>08</v>
      </c>
      <c r="N7986" t="s">
        <v>12</v>
      </c>
    </row>
    <row r="7987" spans="1:14" x14ac:dyDescent="0.25">
      <c r="A7987">
        <v>20160830</v>
      </c>
      <c r="B7987" t="str">
        <f>"064599"</f>
        <v>064599</v>
      </c>
      <c r="C7987" t="str">
        <f>"09170"</f>
        <v>09170</v>
      </c>
      <c r="D7987" t="s">
        <v>596</v>
      </c>
      <c r="E7987" s="3">
        <v>879.99</v>
      </c>
      <c r="F7987">
        <v>20160830</v>
      </c>
      <c r="G7987" t="s">
        <v>1859</v>
      </c>
      <c r="H7987" t="s">
        <v>6471</v>
      </c>
      <c r="I7987">
        <v>0</v>
      </c>
      <c r="J7987" t="s">
        <v>1709</v>
      </c>
      <c r="K7987" t="s">
        <v>1861</v>
      </c>
      <c r="L7987" t="s">
        <v>285</v>
      </c>
      <c r="M7987" t="str">
        <f t="shared" si="588"/>
        <v>08</v>
      </c>
      <c r="N7987" t="s">
        <v>12</v>
      </c>
    </row>
    <row r="7988" spans="1:14" x14ac:dyDescent="0.25">
      <c r="A7988">
        <v>20160830</v>
      </c>
      <c r="B7988" t="str">
        <f>"064599"</f>
        <v>064599</v>
      </c>
      <c r="C7988" t="str">
        <f>"09170"</f>
        <v>09170</v>
      </c>
      <c r="D7988" t="s">
        <v>596</v>
      </c>
      <c r="E7988" s="3">
        <v>150.93</v>
      </c>
      <c r="F7988">
        <v>20160830</v>
      </c>
      <c r="G7988" t="s">
        <v>1859</v>
      </c>
      <c r="H7988" t="s">
        <v>6472</v>
      </c>
      <c r="I7988">
        <v>0</v>
      </c>
      <c r="J7988" t="s">
        <v>1709</v>
      </c>
      <c r="K7988" t="s">
        <v>1861</v>
      </c>
      <c r="L7988" t="s">
        <v>285</v>
      </c>
      <c r="M7988" t="str">
        <f t="shared" si="588"/>
        <v>08</v>
      </c>
      <c r="N7988" t="s">
        <v>12</v>
      </c>
    </row>
    <row r="7989" spans="1:14" x14ac:dyDescent="0.25">
      <c r="A7989">
        <v>20160830</v>
      </c>
      <c r="B7989" t="str">
        <f>"064599"</f>
        <v>064599</v>
      </c>
      <c r="C7989" t="str">
        <f>"09170"</f>
        <v>09170</v>
      </c>
      <c r="D7989" t="s">
        <v>596</v>
      </c>
      <c r="E7989" s="3">
        <v>47</v>
      </c>
      <c r="F7989">
        <v>20160830</v>
      </c>
      <c r="G7989" t="s">
        <v>1859</v>
      </c>
      <c r="H7989" t="s">
        <v>6473</v>
      </c>
      <c r="I7989">
        <v>0</v>
      </c>
      <c r="J7989" t="s">
        <v>1709</v>
      </c>
      <c r="K7989" t="s">
        <v>1861</v>
      </c>
      <c r="L7989" t="s">
        <v>285</v>
      </c>
      <c r="M7989" t="str">
        <f t="shared" si="588"/>
        <v>08</v>
      </c>
      <c r="N7989" t="s">
        <v>12</v>
      </c>
    </row>
    <row r="7990" spans="1:14" x14ac:dyDescent="0.25">
      <c r="A7990">
        <v>20160830</v>
      </c>
      <c r="B7990" t="str">
        <f>"064599"</f>
        <v>064599</v>
      </c>
      <c r="C7990" t="str">
        <f>"09170"</f>
        <v>09170</v>
      </c>
      <c r="D7990" t="s">
        <v>596</v>
      </c>
      <c r="E7990" s="3">
        <v>60.72</v>
      </c>
      <c r="F7990">
        <v>20160830</v>
      </c>
      <c r="G7990" t="s">
        <v>1859</v>
      </c>
      <c r="H7990" t="s">
        <v>5862</v>
      </c>
      <c r="I7990">
        <v>0</v>
      </c>
      <c r="J7990" t="s">
        <v>1709</v>
      </c>
      <c r="K7990" t="s">
        <v>1861</v>
      </c>
      <c r="L7990" t="s">
        <v>285</v>
      </c>
      <c r="M7990" t="str">
        <f t="shared" si="588"/>
        <v>08</v>
      </c>
      <c r="N7990" t="s">
        <v>12</v>
      </c>
    </row>
    <row r="7991" spans="1:14" x14ac:dyDescent="0.25">
      <c r="A7991">
        <v>20160830</v>
      </c>
      <c r="B7991" t="str">
        <f>"064602"</f>
        <v>064602</v>
      </c>
      <c r="C7991" t="str">
        <f>"21842"</f>
        <v>21842</v>
      </c>
      <c r="D7991" t="s">
        <v>2455</v>
      </c>
      <c r="E7991" s="3">
        <v>176</v>
      </c>
      <c r="F7991">
        <v>20160829</v>
      </c>
      <c r="G7991" t="s">
        <v>1854</v>
      </c>
      <c r="H7991" t="s">
        <v>3206</v>
      </c>
      <c r="I7991">
        <v>0</v>
      </c>
      <c r="J7991" t="s">
        <v>1709</v>
      </c>
      <c r="K7991" t="s">
        <v>1856</v>
      </c>
      <c r="L7991" t="s">
        <v>285</v>
      </c>
      <c r="M7991" t="str">
        <f t="shared" si="588"/>
        <v>08</v>
      </c>
      <c r="N7991" t="s">
        <v>12</v>
      </c>
    </row>
    <row r="7992" spans="1:14" x14ac:dyDescent="0.25">
      <c r="A7992">
        <v>20160830</v>
      </c>
      <c r="B7992" t="str">
        <f t="shared" ref="B7992:B7997" si="589">"064605"</f>
        <v>064605</v>
      </c>
      <c r="C7992" t="str">
        <f t="shared" ref="C7992:C7997" si="590">"20683"</f>
        <v>20683</v>
      </c>
      <c r="D7992" t="s">
        <v>1818</v>
      </c>
      <c r="E7992" s="3">
        <v>65.84</v>
      </c>
      <c r="F7992">
        <v>20160829</v>
      </c>
      <c r="G7992" t="s">
        <v>2469</v>
      </c>
      <c r="H7992" t="s">
        <v>6474</v>
      </c>
      <c r="I7992">
        <v>0</v>
      </c>
      <c r="J7992" t="s">
        <v>1709</v>
      </c>
      <c r="K7992" t="s">
        <v>290</v>
      </c>
      <c r="L7992" t="s">
        <v>285</v>
      </c>
      <c r="M7992" t="str">
        <f t="shared" si="588"/>
        <v>08</v>
      </c>
      <c r="N7992" t="s">
        <v>12</v>
      </c>
    </row>
    <row r="7993" spans="1:14" x14ac:dyDescent="0.25">
      <c r="A7993">
        <v>20160830</v>
      </c>
      <c r="B7993" t="str">
        <f t="shared" si="589"/>
        <v>064605</v>
      </c>
      <c r="C7993" t="str">
        <f t="shared" si="590"/>
        <v>20683</v>
      </c>
      <c r="D7993" t="s">
        <v>1818</v>
      </c>
      <c r="E7993" s="3">
        <v>42.49</v>
      </c>
      <c r="F7993">
        <v>20160829</v>
      </c>
      <c r="G7993" t="s">
        <v>2469</v>
      </c>
      <c r="H7993" t="s">
        <v>6475</v>
      </c>
      <c r="I7993">
        <v>0</v>
      </c>
      <c r="J7993" t="s">
        <v>1709</v>
      </c>
      <c r="K7993" t="s">
        <v>290</v>
      </c>
      <c r="L7993" t="s">
        <v>285</v>
      </c>
      <c r="M7993" t="str">
        <f t="shared" si="588"/>
        <v>08</v>
      </c>
      <c r="N7993" t="s">
        <v>12</v>
      </c>
    </row>
    <row r="7994" spans="1:14" x14ac:dyDescent="0.25">
      <c r="A7994">
        <v>20160830</v>
      </c>
      <c r="B7994" t="str">
        <f t="shared" si="589"/>
        <v>064605</v>
      </c>
      <c r="C7994" t="str">
        <f t="shared" si="590"/>
        <v>20683</v>
      </c>
      <c r="D7994" t="s">
        <v>1818</v>
      </c>
      <c r="E7994" s="3">
        <v>47.84</v>
      </c>
      <c r="F7994">
        <v>20160829</v>
      </c>
      <c r="G7994" t="s">
        <v>2469</v>
      </c>
      <c r="H7994" t="s">
        <v>6476</v>
      </c>
      <c r="I7994">
        <v>0</v>
      </c>
      <c r="J7994" t="s">
        <v>1709</v>
      </c>
      <c r="K7994" t="s">
        <v>290</v>
      </c>
      <c r="L7994" t="s">
        <v>285</v>
      </c>
      <c r="M7994" t="str">
        <f t="shared" si="588"/>
        <v>08</v>
      </c>
      <c r="N7994" t="s">
        <v>12</v>
      </c>
    </row>
    <row r="7995" spans="1:14" x14ac:dyDescent="0.25">
      <c r="A7995">
        <v>20160830</v>
      </c>
      <c r="B7995" t="str">
        <f t="shared" si="589"/>
        <v>064605</v>
      </c>
      <c r="C7995" t="str">
        <f t="shared" si="590"/>
        <v>20683</v>
      </c>
      <c r="D7995" t="s">
        <v>1818</v>
      </c>
      <c r="E7995" s="3">
        <v>23</v>
      </c>
      <c r="F7995">
        <v>20160829</v>
      </c>
      <c r="G7995" t="s">
        <v>2333</v>
      </c>
      <c r="H7995" t="s">
        <v>6474</v>
      </c>
      <c r="I7995">
        <v>0</v>
      </c>
      <c r="J7995" t="s">
        <v>1709</v>
      </c>
      <c r="K7995" t="s">
        <v>290</v>
      </c>
      <c r="L7995" t="s">
        <v>285</v>
      </c>
      <c r="M7995" t="str">
        <f t="shared" si="588"/>
        <v>08</v>
      </c>
      <c r="N7995" t="s">
        <v>12</v>
      </c>
    </row>
    <row r="7996" spans="1:14" x14ac:dyDescent="0.25">
      <c r="A7996">
        <v>20160830</v>
      </c>
      <c r="B7996" t="str">
        <f t="shared" si="589"/>
        <v>064605</v>
      </c>
      <c r="C7996" t="str">
        <f t="shared" si="590"/>
        <v>20683</v>
      </c>
      <c r="D7996" t="s">
        <v>1818</v>
      </c>
      <c r="E7996" s="3">
        <v>10.35</v>
      </c>
      <c r="F7996">
        <v>20160829</v>
      </c>
      <c r="G7996" t="s">
        <v>2333</v>
      </c>
      <c r="H7996" t="s">
        <v>6475</v>
      </c>
      <c r="I7996">
        <v>0</v>
      </c>
      <c r="J7996" t="s">
        <v>1709</v>
      </c>
      <c r="K7996" t="s">
        <v>290</v>
      </c>
      <c r="L7996" t="s">
        <v>285</v>
      </c>
      <c r="M7996" t="str">
        <f t="shared" si="588"/>
        <v>08</v>
      </c>
      <c r="N7996" t="s">
        <v>12</v>
      </c>
    </row>
    <row r="7997" spans="1:14" x14ac:dyDescent="0.25">
      <c r="A7997">
        <v>20160830</v>
      </c>
      <c r="B7997" t="str">
        <f t="shared" si="589"/>
        <v>064605</v>
      </c>
      <c r="C7997" t="str">
        <f t="shared" si="590"/>
        <v>20683</v>
      </c>
      <c r="D7997" t="s">
        <v>1818</v>
      </c>
      <c r="E7997" s="3">
        <v>5</v>
      </c>
      <c r="F7997">
        <v>20160829</v>
      </c>
      <c r="G7997" t="s">
        <v>2333</v>
      </c>
      <c r="H7997" t="s">
        <v>6476</v>
      </c>
      <c r="I7997">
        <v>0</v>
      </c>
      <c r="J7997" t="s">
        <v>1709</v>
      </c>
      <c r="K7997" t="s">
        <v>290</v>
      </c>
      <c r="L7997" t="s">
        <v>285</v>
      </c>
      <c r="M7997" t="str">
        <f t="shared" si="588"/>
        <v>08</v>
      </c>
      <c r="N7997" t="s">
        <v>12</v>
      </c>
    </row>
    <row r="7998" spans="1:14" x14ac:dyDescent="0.25">
      <c r="A7998">
        <v>20160830</v>
      </c>
      <c r="B7998" t="str">
        <f>"064606"</f>
        <v>064606</v>
      </c>
      <c r="C7998" t="str">
        <f>"20701"</f>
        <v>20701</v>
      </c>
      <c r="D7998" t="s">
        <v>1823</v>
      </c>
      <c r="E7998" s="3">
        <v>100</v>
      </c>
      <c r="F7998">
        <v>20160830</v>
      </c>
      <c r="G7998" t="s">
        <v>6477</v>
      </c>
      <c r="H7998" t="s">
        <v>6478</v>
      </c>
      <c r="I7998">
        <v>0</v>
      </c>
      <c r="J7998" t="s">
        <v>1709</v>
      </c>
      <c r="K7998" t="s">
        <v>235</v>
      </c>
      <c r="L7998" t="s">
        <v>285</v>
      </c>
      <c r="M7998" t="str">
        <f t="shared" si="588"/>
        <v>08</v>
      </c>
      <c r="N7998" t="s">
        <v>12</v>
      </c>
    </row>
    <row r="7999" spans="1:14" x14ac:dyDescent="0.25">
      <c r="A7999">
        <v>20160830</v>
      </c>
      <c r="B7999" t="str">
        <f>"064606"</f>
        <v>064606</v>
      </c>
      <c r="C7999" t="str">
        <f>"20701"</f>
        <v>20701</v>
      </c>
      <c r="D7999" t="s">
        <v>1823</v>
      </c>
      <c r="E7999" s="3">
        <v>100</v>
      </c>
      <c r="F7999">
        <v>20160830</v>
      </c>
      <c r="G7999" t="s">
        <v>6477</v>
      </c>
      <c r="H7999" t="s">
        <v>6478</v>
      </c>
      <c r="I7999">
        <v>0</v>
      </c>
      <c r="J7999" t="s">
        <v>1709</v>
      </c>
      <c r="K7999" t="s">
        <v>235</v>
      </c>
      <c r="L7999" t="s">
        <v>285</v>
      </c>
      <c r="M7999" t="str">
        <f t="shared" si="588"/>
        <v>08</v>
      </c>
      <c r="N7999" t="s">
        <v>12</v>
      </c>
    </row>
    <row r="8000" spans="1:14" x14ac:dyDescent="0.25">
      <c r="A8000">
        <v>20160830</v>
      </c>
      <c r="B8000" t="str">
        <f t="shared" ref="B8000:B8012" si="591">"064607"</f>
        <v>064607</v>
      </c>
      <c r="C8000" t="str">
        <f t="shared" ref="C8000:C8012" si="592">"20706"</f>
        <v>20706</v>
      </c>
      <c r="D8000" t="s">
        <v>1823</v>
      </c>
      <c r="E8000" s="3">
        <v>18375.37</v>
      </c>
      <c r="F8000">
        <v>20160829</v>
      </c>
      <c r="G8000" t="s">
        <v>2235</v>
      </c>
      <c r="H8000" t="s">
        <v>6479</v>
      </c>
      <c r="I8000">
        <v>0</v>
      </c>
      <c r="J8000" t="s">
        <v>1709</v>
      </c>
      <c r="K8000" t="s">
        <v>290</v>
      </c>
      <c r="L8000" t="s">
        <v>285</v>
      </c>
      <c r="M8000" t="str">
        <f t="shared" si="588"/>
        <v>08</v>
      </c>
      <c r="N8000" t="s">
        <v>12</v>
      </c>
    </row>
    <row r="8001" spans="1:14" x14ac:dyDescent="0.25">
      <c r="A8001">
        <v>20160830</v>
      </c>
      <c r="B8001" t="str">
        <f t="shared" si="591"/>
        <v>064607</v>
      </c>
      <c r="C8001" t="str">
        <f t="shared" si="592"/>
        <v>20706</v>
      </c>
      <c r="D8001" t="s">
        <v>1823</v>
      </c>
      <c r="E8001" s="3">
        <v>91.85</v>
      </c>
      <c r="F8001">
        <v>20160829</v>
      </c>
      <c r="G8001" t="s">
        <v>2237</v>
      </c>
      <c r="H8001" t="s">
        <v>6480</v>
      </c>
      <c r="I8001">
        <v>0</v>
      </c>
      <c r="J8001" t="s">
        <v>1709</v>
      </c>
      <c r="K8001" t="s">
        <v>1558</v>
      </c>
      <c r="L8001" t="s">
        <v>285</v>
      </c>
      <c r="M8001" t="str">
        <f t="shared" si="588"/>
        <v>08</v>
      </c>
      <c r="N8001" t="s">
        <v>12</v>
      </c>
    </row>
    <row r="8002" spans="1:14" x14ac:dyDescent="0.25">
      <c r="A8002">
        <v>20160830</v>
      </c>
      <c r="B8002" t="str">
        <f t="shared" si="591"/>
        <v>064607</v>
      </c>
      <c r="C8002" t="str">
        <f t="shared" si="592"/>
        <v>20706</v>
      </c>
      <c r="D8002" t="s">
        <v>1823</v>
      </c>
      <c r="E8002" s="3">
        <v>3337.4</v>
      </c>
      <c r="F8002">
        <v>20160829</v>
      </c>
      <c r="G8002" t="s">
        <v>2239</v>
      </c>
      <c r="H8002" t="s">
        <v>6480</v>
      </c>
      <c r="I8002">
        <v>0</v>
      </c>
      <c r="J8002" t="s">
        <v>1709</v>
      </c>
      <c r="K8002" t="s">
        <v>95</v>
      </c>
      <c r="L8002" t="s">
        <v>285</v>
      </c>
      <c r="M8002" t="str">
        <f t="shared" si="588"/>
        <v>08</v>
      </c>
      <c r="N8002" t="s">
        <v>12</v>
      </c>
    </row>
    <row r="8003" spans="1:14" x14ac:dyDescent="0.25">
      <c r="A8003">
        <v>20160830</v>
      </c>
      <c r="B8003" t="str">
        <f t="shared" si="591"/>
        <v>064607</v>
      </c>
      <c r="C8003" t="str">
        <f t="shared" si="592"/>
        <v>20706</v>
      </c>
      <c r="D8003" t="s">
        <v>1823</v>
      </c>
      <c r="E8003" s="3">
        <v>6373.26</v>
      </c>
      <c r="F8003">
        <v>20160829</v>
      </c>
      <c r="G8003" t="s">
        <v>2241</v>
      </c>
      <c r="H8003" t="s">
        <v>6480</v>
      </c>
      <c r="I8003">
        <v>0</v>
      </c>
      <c r="J8003" t="s">
        <v>1709</v>
      </c>
      <c r="K8003" t="s">
        <v>1643</v>
      </c>
      <c r="L8003" t="s">
        <v>285</v>
      </c>
      <c r="M8003" t="str">
        <f t="shared" si="588"/>
        <v>08</v>
      </c>
      <c r="N8003" t="s">
        <v>12</v>
      </c>
    </row>
    <row r="8004" spans="1:14" x14ac:dyDescent="0.25">
      <c r="A8004">
        <v>20160830</v>
      </c>
      <c r="B8004" t="str">
        <f t="shared" si="591"/>
        <v>064607</v>
      </c>
      <c r="C8004" t="str">
        <f t="shared" si="592"/>
        <v>20706</v>
      </c>
      <c r="D8004" t="s">
        <v>1823</v>
      </c>
      <c r="E8004" s="3">
        <v>973.16</v>
      </c>
      <c r="F8004">
        <v>20160829</v>
      </c>
      <c r="G8004" t="s">
        <v>2243</v>
      </c>
      <c r="H8004" t="s">
        <v>6480</v>
      </c>
      <c r="I8004">
        <v>0</v>
      </c>
      <c r="J8004" t="s">
        <v>1709</v>
      </c>
      <c r="K8004" t="s">
        <v>33</v>
      </c>
      <c r="L8004" t="s">
        <v>285</v>
      </c>
      <c r="M8004" t="str">
        <f t="shared" si="588"/>
        <v>08</v>
      </c>
      <c r="N8004" t="s">
        <v>12</v>
      </c>
    </row>
    <row r="8005" spans="1:14" x14ac:dyDescent="0.25">
      <c r="A8005">
        <v>20160830</v>
      </c>
      <c r="B8005" t="str">
        <f t="shared" si="591"/>
        <v>064607</v>
      </c>
      <c r="C8005" t="str">
        <f t="shared" si="592"/>
        <v>20706</v>
      </c>
      <c r="D8005" t="s">
        <v>1823</v>
      </c>
      <c r="E8005" s="3">
        <v>385.09</v>
      </c>
      <c r="F8005">
        <v>20160829</v>
      </c>
      <c r="G8005" t="s">
        <v>2245</v>
      </c>
      <c r="H8005" t="s">
        <v>6480</v>
      </c>
      <c r="I8005">
        <v>0</v>
      </c>
      <c r="J8005" t="s">
        <v>1709</v>
      </c>
      <c r="K8005" t="s">
        <v>2247</v>
      </c>
      <c r="L8005" t="s">
        <v>285</v>
      </c>
      <c r="M8005" t="str">
        <f t="shared" si="588"/>
        <v>08</v>
      </c>
      <c r="N8005" t="s">
        <v>12</v>
      </c>
    </row>
    <row r="8006" spans="1:14" x14ac:dyDescent="0.25">
      <c r="A8006">
        <v>20160830</v>
      </c>
      <c r="B8006" t="str">
        <f t="shared" si="591"/>
        <v>064607</v>
      </c>
      <c r="C8006" t="str">
        <f t="shared" si="592"/>
        <v>20706</v>
      </c>
      <c r="D8006" t="s">
        <v>1823</v>
      </c>
      <c r="E8006" s="3">
        <v>713.69</v>
      </c>
      <c r="F8006">
        <v>20160829</v>
      </c>
      <c r="G8006" t="s">
        <v>2248</v>
      </c>
      <c r="H8006" t="s">
        <v>6480</v>
      </c>
      <c r="I8006">
        <v>0</v>
      </c>
      <c r="J8006" t="s">
        <v>1709</v>
      </c>
      <c r="K8006" t="s">
        <v>1861</v>
      </c>
      <c r="L8006" t="s">
        <v>285</v>
      </c>
      <c r="M8006" t="str">
        <f t="shared" si="588"/>
        <v>08</v>
      </c>
      <c r="N8006" t="s">
        <v>12</v>
      </c>
    </row>
    <row r="8007" spans="1:14" x14ac:dyDescent="0.25">
      <c r="A8007">
        <v>20160830</v>
      </c>
      <c r="B8007" t="str">
        <f t="shared" si="591"/>
        <v>064607</v>
      </c>
      <c r="C8007" t="str">
        <f t="shared" si="592"/>
        <v>20706</v>
      </c>
      <c r="D8007" t="s">
        <v>1823</v>
      </c>
      <c r="E8007" s="3">
        <v>15204.49</v>
      </c>
      <c r="F8007">
        <v>20160829</v>
      </c>
      <c r="G8007" t="s">
        <v>2250</v>
      </c>
      <c r="H8007" t="s">
        <v>6479</v>
      </c>
      <c r="I8007">
        <v>0</v>
      </c>
      <c r="J8007" t="s">
        <v>1709</v>
      </c>
      <c r="K8007" t="s">
        <v>2252</v>
      </c>
      <c r="L8007" t="s">
        <v>285</v>
      </c>
      <c r="M8007" t="str">
        <f t="shared" si="588"/>
        <v>08</v>
      </c>
      <c r="N8007" t="s">
        <v>12</v>
      </c>
    </row>
    <row r="8008" spans="1:14" x14ac:dyDescent="0.25">
      <c r="A8008">
        <v>20160830</v>
      </c>
      <c r="B8008" t="str">
        <f t="shared" si="591"/>
        <v>064607</v>
      </c>
      <c r="C8008" t="str">
        <f t="shared" si="592"/>
        <v>20706</v>
      </c>
      <c r="D8008" t="s">
        <v>1823</v>
      </c>
      <c r="E8008" s="3">
        <v>1030.92</v>
      </c>
      <c r="F8008">
        <v>20160829</v>
      </c>
      <c r="G8008" t="s">
        <v>2253</v>
      </c>
      <c r="H8008" t="s">
        <v>6479</v>
      </c>
      <c r="I8008">
        <v>0</v>
      </c>
      <c r="J8008" t="s">
        <v>1709</v>
      </c>
      <c r="K8008" t="s">
        <v>290</v>
      </c>
      <c r="L8008" t="s">
        <v>285</v>
      </c>
      <c r="M8008" t="str">
        <f t="shared" si="588"/>
        <v>08</v>
      </c>
      <c r="N8008" t="s">
        <v>12</v>
      </c>
    </row>
    <row r="8009" spans="1:14" x14ac:dyDescent="0.25">
      <c r="A8009">
        <v>20160830</v>
      </c>
      <c r="B8009" t="str">
        <f t="shared" si="591"/>
        <v>064607</v>
      </c>
      <c r="C8009" t="str">
        <f t="shared" si="592"/>
        <v>20706</v>
      </c>
      <c r="D8009" t="s">
        <v>1823</v>
      </c>
      <c r="E8009" s="3">
        <v>209.14</v>
      </c>
      <c r="F8009">
        <v>20160829</v>
      </c>
      <c r="G8009" t="s">
        <v>2255</v>
      </c>
      <c r="H8009" t="s">
        <v>6480</v>
      </c>
      <c r="I8009">
        <v>0</v>
      </c>
      <c r="J8009" t="s">
        <v>1709</v>
      </c>
      <c r="K8009" t="s">
        <v>95</v>
      </c>
      <c r="L8009" t="s">
        <v>285</v>
      </c>
      <c r="M8009" t="str">
        <f t="shared" si="588"/>
        <v>08</v>
      </c>
      <c r="N8009" t="s">
        <v>12</v>
      </c>
    </row>
    <row r="8010" spans="1:14" x14ac:dyDescent="0.25">
      <c r="A8010">
        <v>20160830</v>
      </c>
      <c r="B8010" t="str">
        <f t="shared" si="591"/>
        <v>064607</v>
      </c>
      <c r="C8010" t="str">
        <f t="shared" si="592"/>
        <v>20706</v>
      </c>
      <c r="D8010" t="s">
        <v>1823</v>
      </c>
      <c r="E8010" s="3">
        <v>217.96</v>
      </c>
      <c r="F8010">
        <v>20160829</v>
      </c>
      <c r="G8010" t="s">
        <v>2257</v>
      </c>
      <c r="H8010" t="s">
        <v>6480</v>
      </c>
      <c r="I8010">
        <v>0</v>
      </c>
      <c r="J8010" t="s">
        <v>1709</v>
      </c>
      <c r="K8010" t="s">
        <v>1643</v>
      </c>
      <c r="L8010" t="s">
        <v>285</v>
      </c>
      <c r="M8010" t="str">
        <f t="shared" si="588"/>
        <v>08</v>
      </c>
      <c r="N8010" t="s">
        <v>12</v>
      </c>
    </row>
    <row r="8011" spans="1:14" x14ac:dyDescent="0.25">
      <c r="A8011">
        <v>20160830</v>
      </c>
      <c r="B8011" t="str">
        <f t="shared" si="591"/>
        <v>064607</v>
      </c>
      <c r="C8011" t="str">
        <f t="shared" si="592"/>
        <v>20706</v>
      </c>
      <c r="D8011" t="s">
        <v>1823</v>
      </c>
      <c r="E8011" s="3">
        <v>183.14</v>
      </c>
      <c r="F8011">
        <v>20160829</v>
      </c>
      <c r="G8011" t="s">
        <v>2259</v>
      </c>
      <c r="H8011" t="s">
        <v>6480</v>
      </c>
      <c r="I8011">
        <v>0</v>
      </c>
      <c r="J8011" t="s">
        <v>1709</v>
      </c>
      <c r="K8011" t="s">
        <v>33</v>
      </c>
      <c r="L8011" t="s">
        <v>285</v>
      </c>
      <c r="M8011" t="str">
        <f t="shared" si="588"/>
        <v>08</v>
      </c>
      <c r="N8011" t="s">
        <v>12</v>
      </c>
    </row>
    <row r="8012" spans="1:14" x14ac:dyDescent="0.25">
      <c r="A8012">
        <v>20160830</v>
      </c>
      <c r="B8012" t="str">
        <f t="shared" si="591"/>
        <v>064607</v>
      </c>
      <c r="C8012" t="str">
        <f t="shared" si="592"/>
        <v>20706</v>
      </c>
      <c r="D8012" t="s">
        <v>1823</v>
      </c>
      <c r="E8012" s="3">
        <v>129.76</v>
      </c>
      <c r="F8012">
        <v>20160829</v>
      </c>
      <c r="G8012" t="s">
        <v>4361</v>
      </c>
      <c r="H8012" t="s">
        <v>6479</v>
      </c>
      <c r="I8012">
        <v>0</v>
      </c>
      <c r="J8012" t="s">
        <v>1709</v>
      </c>
      <c r="K8012" t="s">
        <v>290</v>
      </c>
      <c r="L8012" t="s">
        <v>285</v>
      </c>
      <c r="M8012" t="str">
        <f t="shared" si="588"/>
        <v>08</v>
      </c>
      <c r="N8012" t="s">
        <v>12</v>
      </c>
    </row>
    <row r="8013" spans="1:14" x14ac:dyDescent="0.25">
      <c r="A8013">
        <v>20160830</v>
      </c>
      <c r="B8013" t="str">
        <f>"064608"</f>
        <v>064608</v>
      </c>
      <c r="C8013" t="str">
        <f>"21091"</f>
        <v>21091</v>
      </c>
      <c r="D8013" t="s">
        <v>2855</v>
      </c>
      <c r="E8013" s="3">
        <v>173.11</v>
      </c>
      <c r="F8013">
        <v>20160829</v>
      </c>
      <c r="G8013" t="s">
        <v>1854</v>
      </c>
      <c r="H8013" t="s">
        <v>6481</v>
      </c>
      <c r="I8013">
        <v>0</v>
      </c>
      <c r="J8013" t="s">
        <v>1709</v>
      </c>
      <c r="K8013" t="s">
        <v>1856</v>
      </c>
      <c r="L8013" t="s">
        <v>285</v>
      </c>
      <c r="M8013" t="str">
        <f t="shared" si="588"/>
        <v>08</v>
      </c>
      <c r="N8013" t="s">
        <v>12</v>
      </c>
    </row>
    <row r="8014" spans="1:14" x14ac:dyDescent="0.25">
      <c r="A8014">
        <v>20160830</v>
      </c>
      <c r="B8014" t="str">
        <f>"064608"</f>
        <v>064608</v>
      </c>
      <c r="C8014" t="str">
        <f>"21091"</f>
        <v>21091</v>
      </c>
      <c r="D8014" t="s">
        <v>2855</v>
      </c>
      <c r="E8014" s="3">
        <v>326.69</v>
      </c>
      <c r="F8014">
        <v>20160829</v>
      </c>
      <c r="G8014" t="s">
        <v>1854</v>
      </c>
      <c r="H8014" t="s">
        <v>6482</v>
      </c>
      <c r="I8014">
        <v>0</v>
      </c>
      <c r="J8014" t="s">
        <v>1709</v>
      </c>
      <c r="K8014" t="s">
        <v>1856</v>
      </c>
      <c r="L8014" t="s">
        <v>285</v>
      </c>
      <c r="M8014" t="str">
        <f t="shared" si="588"/>
        <v>08</v>
      </c>
      <c r="N8014" t="s">
        <v>12</v>
      </c>
    </row>
    <row r="8015" spans="1:14" x14ac:dyDescent="0.25">
      <c r="A8015">
        <v>20160830</v>
      </c>
      <c r="B8015" t="str">
        <f>"064608"</f>
        <v>064608</v>
      </c>
      <c r="C8015" t="str">
        <f>"21091"</f>
        <v>21091</v>
      </c>
      <c r="D8015" t="s">
        <v>2855</v>
      </c>
      <c r="E8015" s="3">
        <v>178.57</v>
      </c>
      <c r="F8015">
        <v>20160829</v>
      </c>
      <c r="G8015" t="s">
        <v>1854</v>
      </c>
      <c r="H8015" t="s">
        <v>6483</v>
      </c>
      <c r="I8015">
        <v>0</v>
      </c>
      <c r="J8015" t="s">
        <v>1709</v>
      </c>
      <c r="K8015" t="s">
        <v>1856</v>
      </c>
      <c r="L8015" t="s">
        <v>285</v>
      </c>
      <c r="M8015" t="str">
        <f t="shared" si="588"/>
        <v>08</v>
      </c>
      <c r="N8015" t="s">
        <v>12</v>
      </c>
    </row>
    <row r="8016" spans="1:14" x14ac:dyDescent="0.25">
      <c r="A8016">
        <v>20160830</v>
      </c>
      <c r="B8016" t="str">
        <f>"064608"</f>
        <v>064608</v>
      </c>
      <c r="C8016" t="str">
        <f>"21091"</f>
        <v>21091</v>
      </c>
      <c r="D8016" t="s">
        <v>2855</v>
      </c>
      <c r="E8016" s="3">
        <v>206.27</v>
      </c>
      <c r="F8016">
        <v>20160829</v>
      </c>
      <c r="G8016" t="s">
        <v>1854</v>
      </c>
      <c r="H8016" t="s">
        <v>6484</v>
      </c>
      <c r="I8016">
        <v>0</v>
      </c>
      <c r="J8016" t="s">
        <v>1709</v>
      </c>
      <c r="K8016" t="s">
        <v>1856</v>
      </c>
      <c r="L8016" t="s">
        <v>285</v>
      </c>
      <c r="M8016" t="str">
        <f t="shared" si="588"/>
        <v>08</v>
      </c>
      <c r="N8016" t="s">
        <v>12</v>
      </c>
    </row>
    <row r="8017" spans="1:14" x14ac:dyDescent="0.25">
      <c r="A8017">
        <v>20160830</v>
      </c>
      <c r="B8017" t="str">
        <f>"064609"</f>
        <v>064609</v>
      </c>
      <c r="C8017" t="str">
        <f>"21769"</f>
        <v>21769</v>
      </c>
      <c r="D8017" t="s">
        <v>1836</v>
      </c>
      <c r="E8017" s="3">
        <v>4161.5</v>
      </c>
      <c r="F8017">
        <v>20160830</v>
      </c>
      <c r="G8017" t="s">
        <v>2192</v>
      </c>
      <c r="H8017" t="s">
        <v>6485</v>
      </c>
      <c r="I8017">
        <v>0</v>
      </c>
      <c r="J8017" t="s">
        <v>1709</v>
      </c>
      <c r="K8017" t="s">
        <v>2194</v>
      </c>
      <c r="L8017" t="s">
        <v>285</v>
      </c>
      <c r="M8017" t="str">
        <f t="shared" si="588"/>
        <v>08</v>
      </c>
      <c r="N8017" t="s">
        <v>12</v>
      </c>
    </row>
    <row r="8018" spans="1:14" x14ac:dyDescent="0.25">
      <c r="A8018">
        <v>20160830</v>
      </c>
      <c r="B8018" t="str">
        <f>"064611"</f>
        <v>064611</v>
      </c>
      <c r="C8018" t="str">
        <f>"21860"</f>
        <v>21860</v>
      </c>
      <c r="D8018" t="s">
        <v>1838</v>
      </c>
      <c r="E8018" s="3">
        <v>139.5</v>
      </c>
      <c r="F8018">
        <v>20160830</v>
      </c>
      <c r="G8018" t="s">
        <v>5272</v>
      </c>
      <c r="H8018" t="s">
        <v>6486</v>
      </c>
      <c r="I8018">
        <v>0</v>
      </c>
      <c r="J8018" t="s">
        <v>1709</v>
      </c>
      <c r="K8018" t="s">
        <v>2194</v>
      </c>
      <c r="L8018" t="s">
        <v>285</v>
      </c>
      <c r="M8018" t="str">
        <f t="shared" si="588"/>
        <v>08</v>
      </c>
      <c r="N8018" t="s">
        <v>12</v>
      </c>
    </row>
    <row r="8019" spans="1:14" x14ac:dyDescent="0.25">
      <c r="A8019">
        <v>20160830</v>
      </c>
      <c r="B8019" t="str">
        <f>"064613"</f>
        <v>064613</v>
      </c>
      <c r="C8019" t="str">
        <f>"14245"</f>
        <v>14245</v>
      </c>
      <c r="D8019" t="s">
        <v>6487</v>
      </c>
      <c r="E8019" s="3">
        <v>140</v>
      </c>
      <c r="F8019">
        <v>20160829</v>
      </c>
      <c r="G8019" t="s">
        <v>6488</v>
      </c>
      <c r="H8019" t="s">
        <v>6489</v>
      </c>
      <c r="I8019">
        <v>0</v>
      </c>
      <c r="J8019" t="s">
        <v>1709</v>
      </c>
      <c r="K8019" t="s">
        <v>290</v>
      </c>
      <c r="L8019" t="s">
        <v>285</v>
      </c>
      <c r="M8019" t="str">
        <f t="shared" si="588"/>
        <v>08</v>
      </c>
      <c r="N8019" t="s">
        <v>12</v>
      </c>
    </row>
    <row r="8020" spans="1:14" x14ac:dyDescent="0.25">
      <c r="A8020">
        <v>20160830</v>
      </c>
      <c r="B8020" t="str">
        <f>"064615"</f>
        <v>064615</v>
      </c>
      <c r="C8020" t="str">
        <f>"54555"</f>
        <v>54555</v>
      </c>
      <c r="D8020" t="s">
        <v>2104</v>
      </c>
      <c r="E8020" s="3">
        <v>207</v>
      </c>
      <c r="F8020">
        <v>20160830</v>
      </c>
      <c r="G8020" t="s">
        <v>2105</v>
      </c>
      <c r="H8020" t="s">
        <v>6490</v>
      </c>
      <c r="I8020">
        <v>0</v>
      </c>
      <c r="J8020" t="s">
        <v>1709</v>
      </c>
      <c r="K8020" t="s">
        <v>1782</v>
      </c>
      <c r="L8020" t="s">
        <v>285</v>
      </c>
      <c r="M8020" t="str">
        <f t="shared" si="588"/>
        <v>08</v>
      </c>
      <c r="N8020" t="s">
        <v>12</v>
      </c>
    </row>
    <row r="8021" spans="1:14" x14ac:dyDescent="0.25">
      <c r="A8021">
        <v>20160830</v>
      </c>
      <c r="B8021" t="str">
        <f>"064616"</f>
        <v>064616</v>
      </c>
      <c r="C8021" t="str">
        <f>"27900"</f>
        <v>27900</v>
      </c>
      <c r="D8021" t="s">
        <v>1596</v>
      </c>
      <c r="E8021" s="3">
        <v>250</v>
      </c>
      <c r="F8021">
        <v>20160829</v>
      </c>
      <c r="G8021" t="s">
        <v>2285</v>
      </c>
      <c r="H8021" t="s">
        <v>6491</v>
      </c>
      <c r="I8021">
        <v>0</v>
      </c>
      <c r="J8021" t="s">
        <v>1709</v>
      </c>
      <c r="K8021" t="s">
        <v>95</v>
      </c>
      <c r="L8021" t="s">
        <v>285</v>
      </c>
      <c r="M8021" t="str">
        <f t="shared" si="588"/>
        <v>08</v>
      </c>
      <c r="N8021" t="s">
        <v>12</v>
      </c>
    </row>
    <row r="8022" spans="1:14" x14ac:dyDescent="0.25">
      <c r="A8022">
        <v>20160830</v>
      </c>
      <c r="B8022" t="str">
        <f>"064616"</f>
        <v>064616</v>
      </c>
      <c r="C8022" t="str">
        <f>"27900"</f>
        <v>27900</v>
      </c>
      <c r="D8022" t="s">
        <v>1596</v>
      </c>
      <c r="E8022" s="3">
        <v>55</v>
      </c>
      <c r="F8022">
        <v>20160829</v>
      </c>
      <c r="G8022" t="s">
        <v>2490</v>
      </c>
      <c r="H8022" t="s">
        <v>6492</v>
      </c>
      <c r="I8022">
        <v>0</v>
      </c>
      <c r="J8022" t="s">
        <v>1709</v>
      </c>
      <c r="K8022" t="s">
        <v>1856</v>
      </c>
      <c r="L8022" t="s">
        <v>285</v>
      </c>
      <c r="M8022" t="str">
        <f t="shared" si="588"/>
        <v>08</v>
      </c>
      <c r="N8022" t="s">
        <v>12</v>
      </c>
    </row>
    <row r="8023" spans="1:14" x14ac:dyDescent="0.25">
      <c r="A8023">
        <v>20160830</v>
      </c>
      <c r="B8023" t="str">
        <f>"064616"</f>
        <v>064616</v>
      </c>
      <c r="C8023" t="str">
        <f>"27900"</f>
        <v>27900</v>
      </c>
      <c r="D8023" t="s">
        <v>1596</v>
      </c>
      <c r="E8023" s="3">
        <v>55</v>
      </c>
      <c r="F8023">
        <v>20160829</v>
      </c>
      <c r="G8023" t="s">
        <v>2490</v>
      </c>
      <c r="H8023" t="s">
        <v>6492</v>
      </c>
      <c r="I8023">
        <v>0</v>
      </c>
      <c r="J8023" t="s">
        <v>1709</v>
      </c>
      <c r="K8023" t="s">
        <v>1856</v>
      </c>
      <c r="L8023" t="s">
        <v>285</v>
      </c>
      <c r="M8023" t="str">
        <f t="shared" si="588"/>
        <v>08</v>
      </c>
      <c r="N8023" t="s">
        <v>12</v>
      </c>
    </row>
    <row r="8024" spans="1:14" x14ac:dyDescent="0.25">
      <c r="A8024">
        <v>20160830</v>
      </c>
      <c r="B8024" t="str">
        <f>"064617"</f>
        <v>064617</v>
      </c>
      <c r="C8024" t="str">
        <f>"29500"</f>
        <v>29500</v>
      </c>
      <c r="D8024" t="s">
        <v>1698</v>
      </c>
      <c r="E8024" s="3">
        <v>9096</v>
      </c>
      <c r="F8024">
        <v>20160830</v>
      </c>
      <c r="G8024" t="s">
        <v>2281</v>
      </c>
      <c r="H8024" t="s">
        <v>6493</v>
      </c>
      <c r="I8024">
        <v>0</v>
      </c>
      <c r="J8024" t="s">
        <v>1709</v>
      </c>
      <c r="K8024" t="s">
        <v>290</v>
      </c>
      <c r="L8024" t="s">
        <v>285</v>
      </c>
      <c r="M8024" t="str">
        <f t="shared" si="588"/>
        <v>08</v>
      </c>
      <c r="N8024" t="s">
        <v>12</v>
      </c>
    </row>
    <row r="8025" spans="1:14" x14ac:dyDescent="0.25">
      <c r="A8025">
        <v>20160830</v>
      </c>
      <c r="B8025" t="str">
        <f>"064618"</f>
        <v>064618</v>
      </c>
      <c r="C8025" t="str">
        <f>"29548"</f>
        <v>29548</v>
      </c>
      <c r="D8025" t="s">
        <v>1862</v>
      </c>
      <c r="E8025" s="3">
        <v>2568.35</v>
      </c>
      <c r="F8025">
        <v>20160830</v>
      </c>
      <c r="G8025" t="s">
        <v>1859</v>
      </c>
      <c r="H8025" t="s">
        <v>2295</v>
      </c>
      <c r="I8025">
        <v>0</v>
      </c>
      <c r="J8025" t="s">
        <v>1709</v>
      </c>
      <c r="K8025" t="s">
        <v>1861</v>
      </c>
      <c r="L8025" t="s">
        <v>285</v>
      </c>
      <c r="M8025" t="str">
        <f t="shared" si="588"/>
        <v>08</v>
      </c>
      <c r="N8025" t="s">
        <v>12</v>
      </c>
    </row>
    <row r="8026" spans="1:14" x14ac:dyDescent="0.25">
      <c r="A8026">
        <v>20160830</v>
      </c>
      <c r="B8026" t="str">
        <f>"064619"</f>
        <v>064619</v>
      </c>
      <c r="C8026" t="str">
        <f>"29628"</f>
        <v>29628</v>
      </c>
      <c r="D8026" t="s">
        <v>2494</v>
      </c>
      <c r="E8026" s="3">
        <v>45</v>
      </c>
      <c r="F8026">
        <v>20160829</v>
      </c>
      <c r="G8026" t="s">
        <v>2495</v>
      </c>
      <c r="H8026" t="s">
        <v>6494</v>
      </c>
      <c r="I8026">
        <v>0</v>
      </c>
      <c r="J8026" t="s">
        <v>1709</v>
      </c>
      <c r="K8026" t="s">
        <v>235</v>
      </c>
      <c r="L8026" t="s">
        <v>285</v>
      </c>
      <c r="M8026" t="str">
        <f t="shared" si="588"/>
        <v>08</v>
      </c>
      <c r="N8026" t="s">
        <v>12</v>
      </c>
    </row>
    <row r="8027" spans="1:14" x14ac:dyDescent="0.25">
      <c r="A8027">
        <v>20160830</v>
      </c>
      <c r="B8027" t="str">
        <f>"064619"</f>
        <v>064619</v>
      </c>
      <c r="C8027" t="str">
        <f>"29628"</f>
        <v>29628</v>
      </c>
      <c r="D8027" t="s">
        <v>2494</v>
      </c>
      <c r="E8027" s="3">
        <v>45</v>
      </c>
      <c r="F8027">
        <v>20160829</v>
      </c>
      <c r="G8027" t="s">
        <v>2495</v>
      </c>
      <c r="H8027" t="s">
        <v>6495</v>
      </c>
      <c r="I8027">
        <v>0</v>
      </c>
      <c r="J8027" t="s">
        <v>1709</v>
      </c>
      <c r="K8027" t="s">
        <v>235</v>
      </c>
      <c r="L8027" t="s">
        <v>285</v>
      </c>
      <c r="M8027" t="str">
        <f t="shared" si="588"/>
        <v>08</v>
      </c>
      <c r="N8027" t="s">
        <v>12</v>
      </c>
    </row>
    <row r="8028" spans="1:14" x14ac:dyDescent="0.25">
      <c r="A8028">
        <v>20160830</v>
      </c>
      <c r="B8028" t="str">
        <f>"064619"</f>
        <v>064619</v>
      </c>
      <c r="C8028" t="str">
        <f>"29628"</f>
        <v>29628</v>
      </c>
      <c r="D8028" t="s">
        <v>2494</v>
      </c>
      <c r="E8028" s="3">
        <v>83.99</v>
      </c>
      <c r="F8028">
        <v>20160829</v>
      </c>
      <c r="G8028" t="s">
        <v>2495</v>
      </c>
      <c r="H8028" t="s">
        <v>6496</v>
      </c>
      <c r="I8028">
        <v>0</v>
      </c>
      <c r="J8028" t="s">
        <v>1709</v>
      </c>
      <c r="K8028" t="s">
        <v>235</v>
      </c>
      <c r="L8028" t="s">
        <v>285</v>
      </c>
      <c r="M8028" t="str">
        <f t="shared" si="588"/>
        <v>08</v>
      </c>
      <c r="N8028" t="s">
        <v>12</v>
      </c>
    </row>
    <row r="8029" spans="1:14" x14ac:dyDescent="0.25">
      <c r="A8029">
        <v>20160830</v>
      </c>
      <c r="B8029" t="str">
        <f>"064620"</f>
        <v>064620</v>
      </c>
      <c r="C8029" t="str">
        <f>"30130"</f>
        <v>30130</v>
      </c>
      <c r="D8029" t="s">
        <v>3082</v>
      </c>
      <c r="E8029" s="3">
        <v>2129.69</v>
      </c>
      <c r="F8029">
        <v>20160829</v>
      </c>
      <c r="G8029" t="s">
        <v>1854</v>
      </c>
      <c r="H8029" t="s">
        <v>6497</v>
      </c>
      <c r="I8029">
        <v>0</v>
      </c>
      <c r="J8029" t="s">
        <v>1709</v>
      </c>
      <c r="K8029" t="s">
        <v>1856</v>
      </c>
      <c r="L8029" t="s">
        <v>285</v>
      </c>
      <c r="M8029" t="str">
        <f t="shared" si="588"/>
        <v>08</v>
      </c>
      <c r="N8029" t="s">
        <v>12</v>
      </c>
    </row>
    <row r="8030" spans="1:14" x14ac:dyDescent="0.25">
      <c r="A8030">
        <v>20160830</v>
      </c>
      <c r="B8030" t="str">
        <f>"064625"</f>
        <v>064625</v>
      </c>
      <c r="C8030" t="str">
        <f>"37500"</f>
        <v>37500</v>
      </c>
      <c r="D8030" t="s">
        <v>1652</v>
      </c>
      <c r="E8030" s="3">
        <v>67.650000000000006</v>
      </c>
      <c r="F8030">
        <v>20160830</v>
      </c>
      <c r="G8030" t="s">
        <v>5803</v>
      </c>
      <c r="H8030" t="s">
        <v>6498</v>
      </c>
      <c r="I8030">
        <v>0</v>
      </c>
      <c r="J8030" t="s">
        <v>1709</v>
      </c>
      <c r="K8030" t="s">
        <v>1558</v>
      </c>
      <c r="L8030" t="s">
        <v>285</v>
      </c>
      <c r="M8030" t="str">
        <f t="shared" si="588"/>
        <v>08</v>
      </c>
      <c r="N8030" t="s">
        <v>12</v>
      </c>
    </row>
    <row r="8031" spans="1:14" x14ac:dyDescent="0.25">
      <c r="A8031">
        <v>20160830</v>
      </c>
      <c r="B8031" t="str">
        <f>"064625"</f>
        <v>064625</v>
      </c>
      <c r="C8031" t="str">
        <f>"37500"</f>
        <v>37500</v>
      </c>
      <c r="D8031" t="s">
        <v>1652</v>
      </c>
      <c r="E8031" s="3">
        <v>74.319999999999993</v>
      </c>
      <c r="F8031">
        <v>20160830</v>
      </c>
      <c r="G8031" t="s">
        <v>2049</v>
      </c>
      <c r="H8031" t="s">
        <v>2173</v>
      </c>
      <c r="I8031">
        <v>0</v>
      </c>
      <c r="J8031" t="s">
        <v>1709</v>
      </c>
      <c r="K8031" t="s">
        <v>1775</v>
      </c>
      <c r="L8031" t="s">
        <v>285</v>
      </c>
      <c r="M8031" t="str">
        <f t="shared" si="588"/>
        <v>08</v>
      </c>
      <c r="N8031" t="s">
        <v>12</v>
      </c>
    </row>
    <row r="8032" spans="1:14" x14ac:dyDescent="0.25">
      <c r="A8032">
        <v>20160830</v>
      </c>
      <c r="B8032" t="str">
        <f>"064625"</f>
        <v>064625</v>
      </c>
      <c r="C8032" t="str">
        <f>"37500"</f>
        <v>37500</v>
      </c>
      <c r="D8032" t="s">
        <v>1652</v>
      </c>
      <c r="E8032" s="3">
        <v>87.41</v>
      </c>
      <c r="F8032">
        <v>20160830</v>
      </c>
      <c r="G8032" t="s">
        <v>2416</v>
      </c>
      <c r="H8032" t="s">
        <v>4063</v>
      </c>
      <c r="I8032">
        <v>0</v>
      </c>
      <c r="J8032" t="s">
        <v>1709</v>
      </c>
      <c r="K8032" t="s">
        <v>1744</v>
      </c>
      <c r="L8032" t="s">
        <v>285</v>
      </c>
      <c r="M8032" t="str">
        <f t="shared" si="588"/>
        <v>08</v>
      </c>
      <c r="N8032" t="s">
        <v>12</v>
      </c>
    </row>
    <row r="8033" spans="1:14" x14ac:dyDescent="0.25">
      <c r="A8033">
        <v>20160830</v>
      </c>
      <c r="B8033" t="str">
        <f>"064625"</f>
        <v>064625</v>
      </c>
      <c r="C8033" t="str">
        <f>"37500"</f>
        <v>37500</v>
      </c>
      <c r="D8033" t="s">
        <v>1652</v>
      </c>
      <c r="E8033" s="3">
        <v>117.07</v>
      </c>
      <c r="F8033">
        <v>20160830</v>
      </c>
      <c r="G8033" t="s">
        <v>3013</v>
      </c>
      <c r="H8033" t="s">
        <v>6499</v>
      </c>
      <c r="I8033">
        <v>0</v>
      </c>
      <c r="J8033" t="s">
        <v>1709</v>
      </c>
      <c r="K8033" t="s">
        <v>1984</v>
      </c>
      <c r="L8033" t="s">
        <v>285</v>
      </c>
      <c r="M8033" t="str">
        <f t="shared" si="588"/>
        <v>08</v>
      </c>
      <c r="N8033" t="s">
        <v>12</v>
      </c>
    </row>
    <row r="8034" spans="1:14" x14ac:dyDescent="0.25">
      <c r="A8034">
        <v>20160830</v>
      </c>
      <c r="B8034" t="str">
        <f>"064625"</f>
        <v>064625</v>
      </c>
      <c r="C8034" t="str">
        <f>"37500"</f>
        <v>37500</v>
      </c>
      <c r="D8034" t="s">
        <v>1652</v>
      </c>
      <c r="E8034" s="3">
        <v>6.56</v>
      </c>
      <c r="F8034">
        <v>20160830</v>
      </c>
      <c r="G8034" t="s">
        <v>3013</v>
      </c>
      <c r="H8034" t="s">
        <v>6499</v>
      </c>
      <c r="I8034">
        <v>0</v>
      </c>
      <c r="J8034" t="s">
        <v>1709</v>
      </c>
      <c r="K8034" t="s">
        <v>1984</v>
      </c>
      <c r="L8034" t="s">
        <v>285</v>
      </c>
      <c r="M8034" t="str">
        <f t="shared" si="588"/>
        <v>08</v>
      </c>
      <c r="N8034" t="s">
        <v>12</v>
      </c>
    </row>
    <row r="8035" spans="1:14" x14ac:dyDescent="0.25">
      <c r="A8035">
        <v>20160830</v>
      </c>
      <c r="B8035" t="str">
        <f>"064627"</f>
        <v>064627</v>
      </c>
      <c r="C8035" t="str">
        <f>"44450"</f>
        <v>44450</v>
      </c>
      <c r="D8035" t="s">
        <v>1989</v>
      </c>
      <c r="E8035" s="3">
        <v>225</v>
      </c>
      <c r="F8035">
        <v>20160830</v>
      </c>
      <c r="G8035" t="s">
        <v>5189</v>
      </c>
      <c r="H8035" t="s">
        <v>6500</v>
      </c>
      <c r="I8035">
        <v>0</v>
      </c>
      <c r="J8035" t="s">
        <v>1709</v>
      </c>
      <c r="K8035" t="s">
        <v>1558</v>
      </c>
      <c r="L8035" t="s">
        <v>285</v>
      </c>
      <c r="M8035" t="str">
        <f t="shared" si="588"/>
        <v>08</v>
      </c>
      <c r="N8035" t="s">
        <v>12</v>
      </c>
    </row>
    <row r="8036" spans="1:14" x14ac:dyDescent="0.25">
      <c r="A8036">
        <v>20160830</v>
      </c>
      <c r="B8036" t="str">
        <f>"064628"</f>
        <v>064628</v>
      </c>
      <c r="C8036" t="str">
        <f>"45492"</f>
        <v>45492</v>
      </c>
      <c r="D8036" t="s">
        <v>3241</v>
      </c>
      <c r="E8036" s="3">
        <v>54.9</v>
      </c>
      <c r="F8036">
        <v>20160830</v>
      </c>
      <c r="G8036" t="s">
        <v>1859</v>
      </c>
      <c r="H8036" t="s">
        <v>6501</v>
      </c>
      <c r="I8036">
        <v>0</v>
      </c>
      <c r="J8036" t="s">
        <v>1709</v>
      </c>
      <c r="K8036" t="s">
        <v>1861</v>
      </c>
      <c r="L8036" t="s">
        <v>285</v>
      </c>
      <c r="M8036" t="str">
        <f t="shared" si="588"/>
        <v>08</v>
      </c>
      <c r="N8036" t="s">
        <v>12</v>
      </c>
    </row>
    <row r="8037" spans="1:14" x14ac:dyDescent="0.25">
      <c r="A8037">
        <v>20160830</v>
      </c>
      <c r="B8037" t="str">
        <f>"064630"</f>
        <v>064630</v>
      </c>
      <c r="C8037" t="str">
        <f>"46233"</f>
        <v>46233</v>
      </c>
      <c r="D8037" t="s">
        <v>1092</v>
      </c>
      <c r="E8037" s="3">
        <v>264.02999999999997</v>
      </c>
      <c r="F8037">
        <v>20160830</v>
      </c>
      <c r="G8037" t="s">
        <v>4100</v>
      </c>
      <c r="H8037" t="s">
        <v>6502</v>
      </c>
      <c r="I8037">
        <v>0</v>
      </c>
      <c r="J8037" t="s">
        <v>1709</v>
      </c>
      <c r="K8037" t="s">
        <v>95</v>
      </c>
      <c r="L8037" t="s">
        <v>285</v>
      </c>
      <c r="M8037" t="str">
        <f t="shared" si="588"/>
        <v>08</v>
      </c>
      <c r="N8037" t="s">
        <v>12</v>
      </c>
    </row>
    <row r="8038" spans="1:14" x14ac:dyDescent="0.25">
      <c r="A8038">
        <v>20160830</v>
      </c>
      <c r="B8038" t="str">
        <f>"064630"</f>
        <v>064630</v>
      </c>
      <c r="C8038" t="str">
        <f>"46233"</f>
        <v>46233</v>
      </c>
      <c r="D8038" t="s">
        <v>1092</v>
      </c>
      <c r="E8038" s="3">
        <v>264.02999999999997</v>
      </c>
      <c r="F8038">
        <v>20160830</v>
      </c>
      <c r="G8038" t="s">
        <v>3518</v>
      </c>
      <c r="H8038" t="s">
        <v>6502</v>
      </c>
      <c r="I8038">
        <v>0</v>
      </c>
      <c r="J8038" t="s">
        <v>1709</v>
      </c>
      <c r="K8038" t="s">
        <v>33</v>
      </c>
      <c r="L8038" t="s">
        <v>285</v>
      </c>
      <c r="M8038" t="str">
        <f t="shared" si="588"/>
        <v>08</v>
      </c>
      <c r="N8038" t="s">
        <v>12</v>
      </c>
    </row>
    <row r="8039" spans="1:14" x14ac:dyDescent="0.25">
      <c r="A8039">
        <v>20160830</v>
      </c>
      <c r="B8039" t="str">
        <f>"064630"</f>
        <v>064630</v>
      </c>
      <c r="C8039" t="str">
        <f>"46233"</f>
        <v>46233</v>
      </c>
      <c r="D8039" t="s">
        <v>1092</v>
      </c>
      <c r="E8039" s="3">
        <v>264.02999999999997</v>
      </c>
      <c r="F8039">
        <v>20160830</v>
      </c>
      <c r="G8039" t="s">
        <v>3520</v>
      </c>
      <c r="H8039" t="s">
        <v>6502</v>
      </c>
      <c r="I8039">
        <v>0</v>
      </c>
      <c r="J8039" t="s">
        <v>1709</v>
      </c>
      <c r="K8039" t="s">
        <v>1643</v>
      </c>
      <c r="L8039" t="s">
        <v>285</v>
      </c>
      <c r="M8039" t="str">
        <f t="shared" si="588"/>
        <v>08</v>
      </c>
      <c r="N8039" t="s">
        <v>12</v>
      </c>
    </row>
    <row r="8040" spans="1:14" x14ac:dyDescent="0.25">
      <c r="A8040">
        <v>20160830</v>
      </c>
      <c r="B8040" t="str">
        <f>"064631"</f>
        <v>064631</v>
      </c>
      <c r="C8040" t="str">
        <f>"46369"</f>
        <v>46369</v>
      </c>
      <c r="D8040" t="s">
        <v>1991</v>
      </c>
      <c r="E8040" s="3">
        <v>450</v>
      </c>
      <c r="F8040">
        <v>20160829</v>
      </c>
      <c r="G8040" t="s">
        <v>2279</v>
      </c>
      <c r="H8040" t="s">
        <v>6503</v>
      </c>
      <c r="I8040">
        <v>0</v>
      </c>
      <c r="J8040" t="s">
        <v>1709</v>
      </c>
      <c r="K8040" t="s">
        <v>1861</v>
      </c>
      <c r="L8040" t="s">
        <v>285</v>
      </c>
      <c r="M8040" t="str">
        <f t="shared" si="588"/>
        <v>08</v>
      </c>
      <c r="N8040" t="s">
        <v>12</v>
      </c>
    </row>
    <row r="8041" spans="1:14" x14ac:dyDescent="0.25">
      <c r="A8041">
        <v>20160830</v>
      </c>
      <c r="B8041" t="str">
        <f>"064631"</f>
        <v>064631</v>
      </c>
      <c r="C8041" t="str">
        <f>"46369"</f>
        <v>46369</v>
      </c>
      <c r="D8041" t="s">
        <v>1991</v>
      </c>
      <c r="E8041" s="3">
        <v>650</v>
      </c>
      <c r="F8041">
        <v>20160829</v>
      </c>
      <c r="G8041" t="s">
        <v>2279</v>
      </c>
      <c r="H8041" t="s">
        <v>6503</v>
      </c>
      <c r="I8041">
        <v>0</v>
      </c>
      <c r="J8041" t="s">
        <v>1709</v>
      </c>
      <c r="K8041" t="s">
        <v>1861</v>
      </c>
      <c r="L8041" t="s">
        <v>285</v>
      </c>
      <c r="M8041" t="str">
        <f t="shared" si="588"/>
        <v>08</v>
      </c>
      <c r="N8041" t="s">
        <v>12</v>
      </c>
    </row>
    <row r="8042" spans="1:14" x14ac:dyDescent="0.25">
      <c r="A8042">
        <v>20160830</v>
      </c>
      <c r="B8042" t="str">
        <f>"064631"</f>
        <v>064631</v>
      </c>
      <c r="C8042" t="str">
        <f>"46369"</f>
        <v>46369</v>
      </c>
      <c r="D8042" t="s">
        <v>1991</v>
      </c>
      <c r="E8042" s="3">
        <v>250</v>
      </c>
      <c r="F8042">
        <v>20160829</v>
      </c>
      <c r="G8042" t="s">
        <v>2279</v>
      </c>
      <c r="H8042" t="s">
        <v>6503</v>
      </c>
      <c r="I8042">
        <v>0</v>
      </c>
      <c r="J8042" t="s">
        <v>1709</v>
      </c>
      <c r="K8042" t="s">
        <v>1861</v>
      </c>
      <c r="L8042" t="s">
        <v>285</v>
      </c>
      <c r="M8042" t="str">
        <f t="shared" ref="M8042:M8079" si="593">"08"</f>
        <v>08</v>
      </c>
      <c r="N8042" t="s">
        <v>12</v>
      </c>
    </row>
    <row r="8043" spans="1:14" x14ac:dyDescent="0.25">
      <c r="A8043">
        <v>20160830</v>
      </c>
      <c r="B8043" t="str">
        <f>"064631"</f>
        <v>064631</v>
      </c>
      <c r="C8043" t="str">
        <f>"46369"</f>
        <v>46369</v>
      </c>
      <c r="D8043" t="s">
        <v>1991</v>
      </c>
      <c r="E8043" s="3">
        <v>450</v>
      </c>
      <c r="F8043">
        <v>20160829</v>
      </c>
      <c r="G8043" t="s">
        <v>2279</v>
      </c>
      <c r="H8043" t="s">
        <v>6503</v>
      </c>
      <c r="I8043">
        <v>0</v>
      </c>
      <c r="J8043" t="s">
        <v>1709</v>
      </c>
      <c r="K8043" t="s">
        <v>1861</v>
      </c>
      <c r="L8043" t="s">
        <v>285</v>
      </c>
      <c r="M8043" t="str">
        <f t="shared" si="593"/>
        <v>08</v>
      </c>
      <c r="N8043" t="s">
        <v>12</v>
      </c>
    </row>
    <row r="8044" spans="1:14" x14ac:dyDescent="0.25">
      <c r="A8044">
        <v>20160830</v>
      </c>
      <c r="B8044" t="str">
        <f>"064633"</f>
        <v>064633</v>
      </c>
      <c r="C8044" t="str">
        <f>"47725"</f>
        <v>47725</v>
      </c>
      <c r="D8044" t="s">
        <v>1883</v>
      </c>
      <c r="E8044" s="3">
        <v>63.92</v>
      </c>
      <c r="F8044">
        <v>20160829</v>
      </c>
      <c r="G8044" t="s">
        <v>1859</v>
      </c>
      <c r="H8044" t="s">
        <v>2062</v>
      </c>
      <c r="I8044">
        <v>0</v>
      </c>
      <c r="J8044" t="s">
        <v>1709</v>
      </c>
      <c r="K8044" t="s">
        <v>1861</v>
      </c>
      <c r="L8044" t="s">
        <v>285</v>
      </c>
      <c r="M8044" t="str">
        <f t="shared" si="593"/>
        <v>08</v>
      </c>
      <c r="N8044" t="s">
        <v>12</v>
      </c>
    </row>
    <row r="8045" spans="1:14" x14ac:dyDescent="0.25">
      <c r="A8045">
        <v>20160830</v>
      </c>
      <c r="B8045" t="str">
        <f>"064636"</f>
        <v>064636</v>
      </c>
      <c r="C8045" t="str">
        <f>"51475"</f>
        <v>51475</v>
      </c>
      <c r="D8045" t="s">
        <v>2352</v>
      </c>
      <c r="E8045" s="3">
        <v>724.68</v>
      </c>
      <c r="F8045">
        <v>20160830</v>
      </c>
      <c r="G8045" t="s">
        <v>2525</v>
      </c>
      <c r="H8045" t="s">
        <v>6504</v>
      </c>
      <c r="I8045">
        <v>0</v>
      </c>
      <c r="J8045" t="s">
        <v>1709</v>
      </c>
      <c r="K8045" t="s">
        <v>2194</v>
      </c>
      <c r="L8045" t="s">
        <v>285</v>
      </c>
      <c r="M8045" t="str">
        <f t="shared" si="593"/>
        <v>08</v>
      </c>
      <c r="N8045" t="s">
        <v>12</v>
      </c>
    </row>
    <row r="8046" spans="1:14" x14ac:dyDescent="0.25">
      <c r="A8046">
        <v>20160830</v>
      </c>
      <c r="B8046" t="str">
        <f>"064636"</f>
        <v>064636</v>
      </c>
      <c r="C8046" t="str">
        <f>"51475"</f>
        <v>51475</v>
      </c>
      <c r="D8046" t="s">
        <v>2352</v>
      </c>
      <c r="E8046" s="3">
        <v>15.16</v>
      </c>
      <c r="F8046">
        <v>20160830</v>
      </c>
      <c r="G8046" t="s">
        <v>2525</v>
      </c>
      <c r="H8046" t="s">
        <v>6505</v>
      </c>
      <c r="I8046">
        <v>0</v>
      </c>
      <c r="J8046" t="s">
        <v>1709</v>
      </c>
      <c r="K8046" t="s">
        <v>2194</v>
      </c>
      <c r="L8046" t="s">
        <v>285</v>
      </c>
      <c r="M8046" t="str">
        <f t="shared" si="593"/>
        <v>08</v>
      </c>
      <c r="N8046" t="s">
        <v>12</v>
      </c>
    </row>
    <row r="8047" spans="1:14" x14ac:dyDescent="0.25">
      <c r="A8047">
        <v>20160830</v>
      </c>
      <c r="B8047" t="str">
        <f>"064637"</f>
        <v>064637</v>
      </c>
      <c r="C8047" t="str">
        <f>"52185"</f>
        <v>52185</v>
      </c>
      <c r="D8047" t="s">
        <v>2130</v>
      </c>
      <c r="E8047" s="3">
        <v>425</v>
      </c>
      <c r="F8047">
        <v>20160829</v>
      </c>
      <c r="G8047" t="s">
        <v>2588</v>
      </c>
      <c r="H8047" t="s">
        <v>6506</v>
      </c>
      <c r="I8047">
        <v>0</v>
      </c>
      <c r="J8047" t="s">
        <v>1709</v>
      </c>
      <c r="K8047" t="s">
        <v>1861</v>
      </c>
      <c r="L8047" t="s">
        <v>285</v>
      </c>
      <c r="M8047" t="str">
        <f t="shared" si="593"/>
        <v>08</v>
      </c>
      <c r="N8047" t="s">
        <v>12</v>
      </c>
    </row>
    <row r="8048" spans="1:14" x14ac:dyDescent="0.25">
      <c r="A8048">
        <v>20160830</v>
      </c>
      <c r="B8048" t="str">
        <f>"064637"</f>
        <v>064637</v>
      </c>
      <c r="C8048" t="str">
        <f>"52185"</f>
        <v>52185</v>
      </c>
      <c r="D8048" t="s">
        <v>2130</v>
      </c>
      <c r="E8048" s="3">
        <v>1350</v>
      </c>
      <c r="F8048">
        <v>20160829</v>
      </c>
      <c r="G8048" t="s">
        <v>2588</v>
      </c>
      <c r="H8048" t="s">
        <v>6507</v>
      </c>
      <c r="I8048">
        <v>0</v>
      </c>
      <c r="J8048" t="s">
        <v>1709</v>
      </c>
      <c r="K8048" t="s">
        <v>1861</v>
      </c>
      <c r="L8048" t="s">
        <v>285</v>
      </c>
      <c r="M8048" t="str">
        <f t="shared" si="593"/>
        <v>08</v>
      </c>
      <c r="N8048" t="s">
        <v>12</v>
      </c>
    </row>
    <row r="8049" spans="1:14" x14ac:dyDescent="0.25">
      <c r="A8049">
        <v>20160830</v>
      </c>
      <c r="B8049" t="str">
        <f>"064637"</f>
        <v>064637</v>
      </c>
      <c r="C8049" t="str">
        <f>"52185"</f>
        <v>52185</v>
      </c>
      <c r="D8049" t="s">
        <v>2130</v>
      </c>
      <c r="E8049" s="3">
        <v>1255</v>
      </c>
      <c r="F8049">
        <v>20160829</v>
      </c>
      <c r="G8049" t="s">
        <v>2588</v>
      </c>
      <c r="H8049" t="s">
        <v>6508</v>
      </c>
      <c r="I8049">
        <v>0</v>
      </c>
      <c r="J8049" t="s">
        <v>1709</v>
      </c>
      <c r="K8049" t="s">
        <v>1861</v>
      </c>
      <c r="L8049" t="s">
        <v>285</v>
      </c>
      <c r="M8049" t="str">
        <f t="shared" si="593"/>
        <v>08</v>
      </c>
      <c r="N8049" t="s">
        <v>12</v>
      </c>
    </row>
    <row r="8050" spans="1:14" x14ac:dyDescent="0.25">
      <c r="A8050">
        <v>20160830</v>
      </c>
      <c r="B8050" t="str">
        <f>"064637"</f>
        <v>064637</v>
      </c>
      <c r="C8050" t="str">
        <f>"52185"</f>
        <v>52185</v>
      </c>
      <c r="D8050" t="s">
        <v>2130</v>
      </c>
      <c r="E8050" s="3">
        <v>163.36000000000001</v>
      </c>
      <c r="F8050">
        <v>20160830</v>
      </c>
      <c r="G8050" t="s">
        <v>2588</v>
      </c>
      <c r="H8050" t="s">
        <v>6509</v>
      </c>
      <c r="I8050">
        <v>0</v>
      </c>
      <c r="J8050" t="s">
        <v>1709</v>
      </c>
      <c r="K8050" t="s">
        <v>1861</v>
      </c>
      <c r="L8050" t="s">
        <v>285</v>
      </c>
      <c r="M8050" t="str">
        <f t="shared" si="593"/>
        <v>08</v>
      </c>
      <c r="N8050" t="s">
        <v>12</v>
      </c>
    </row>
    <row r="8051" spans="1:14" x14ac:dyDescent="0.25">
      <c r="A8051">
        <v>20160830</v>
      </c>
      <c r="B8051" t="str">
        <f>"064637"</f>
        <v>064637</v>
      </c>
      <c r="C8051" t="str">
        <f>"52185"</f>
        <v>52185</v>
      </c>
      <c r="D8051" t="s">
        <v>2130</v>
      </c>
      <c r="E8051" s="3">
        <v>5370</v>
      </c>
      <c r="F8051">
        <v>20160830</v>
      </c>
      <c r="G8051" t="s">
        <v>2588</v>
      </c>
      <c r="H8051" t="s">
        <v>6510</v>
      </c>
      <c r="I8051">
        <v>0</v>
      </c>
      <c r="J8051" t="s">
        <v>1709</v>
      </c>
      <c r="K8051" t="s">
        <v>1861</v>
      </c>
      <c r="L8051" t="s">
        <v>285</v>
      </c>
      <c r="M8051" t="str">
        <f t="shared" si="593"/>
        <v>08</v>
      </c>
      <c r="N8051" t="s">
        <v>12</v>
      </c>
    </row>
    <row r="8052" spans="1:14" x14ac:dyDescent="0.25">
      <c r="A8052">
        <v>20160830</v>
      </c>
      <c r="B8052" t="str">
        <f>"064638"</f>
        <v>064638</v>
      </c>
      <c r="C8052" t="str">
        <f>"53006"</f>
        <v>53006</v>
      </c>
      <c r="D8052" t="s">
        <v>2909</v>
      </c>
      <c r="E8052" s="3">
        <v>112.77</v>
      </c>
      <c r="F8052">
        <v>20160830</v>
      </c>
      <c r="G8052" t="s">
        <v>2910</v>
      </c>
      <c r="H8052" t="s">
        <v>6511</v>
      </c>
      <c r="I8052">
        <v>0</v>
      </c>
      <c r="J8052" t="s">
        <v>1709</v>
      </c>
      <c r="K8052" t="s">
        <v>33</v>
      </c>
      <c r="L8052" t="s">
        <v>285</v>
      </c>
      <c r="M8052" t="str">
        <f t="shared" si="593"/>
        <v>08</v>
      </c>
      <c r="N8052" t="s">
        <v>12</v>
      </c>
    </row>
    <row r="8053" spans="1:14" x14ac:dyDescent="0.25">
      <c r="A8053">
        <v>20160830</v>
      </c>
      <c r="B8053" t="str">
        <f>"064638"</f>
        <v>064638</v>
      </c>
      <c r="C8053" t="str">
        <f>"53006"</f>
        <v>53006</v>
      </c>
      <c r="D8053" t="s">
        <v>2909</v>
      </c>
      <c r="E8053" s="3">
        <v>112.77</v>
      </c>
      <c r="F8053">
        <v>20160830</v>
      </c>
      <c r="G8053" t="s">
        <v>2910</v>
      </c>
      <c r="H8053" t="s">
        <v>6511</v>
      </c>
      <c r="I8053">
        <v>0</v>
      </c>
      <c r="J8053" t="s">
        <v>1709</v>
      </c>
      <c r="K8053" t="s">
        <v>33</v>
      </c>
      <c r="L8053" t="s">
        <v>285</v>
      </c>
      <c r="M8053" t="str">
        <f t="shared" si="593"/>
        <v>08</v>
      </c>
      <c r="N8053" t="s">
        <v>12</v>
      </c>
    </row>
    <row r="8054" spans="1:14" x14ac:dyDescent="0.25">
      <c r="A8054">
        <v>20160830</v>
      </c>
      <c r="B8054" t="str">
        <f>"064639"</f>
        <v>064639</v>
      </c>
      <c r="C8054" t="str">
        <f>"53990"</f>
        <v>53990</v>
      </c>
      <c r="D8054" t="s">
        <v>6512</v>
      </c>
      <c r="E8054" s="3">
        <v>134</v>
      </c>
      <c r="F8054">
        <v>20160830</v>
      </c>
      <c r="G8054" t="s">
        <v>1765</v>
      </c>
      <c r="H8054" t="s">
        <v>6513</v>
      </c>
      <c r="I8054">
        <v>0</v>
      </c>
      <c r="J8054" t="s">
        <v>1709</v>
      </c>
      <c r="K8054" t="s">
        <v>1744</v>
      </c>
      <c r="L8054" t="s">
        <v>285</v>
      </c>
      <c r="M8054" t="str">
        <f t="shared" si="593"/>
        <v>08</v>
      </c>
      <c r="N8054" t="s">
        <v>12</v>
      </c>
    </row>
    <row r="8055" spans="1:14" x14ac:dyDescent="0.25">
      <c r="A8055">
        <v>20160830</v>
      </c>
      <c r="B8055" t="str">
        <f>"064641"</f>
        <v>064641</v>
      </c>
      <c r="C8055" t="str">
        <f>"56013"</f>
        <v>56013</v>
      </c>
      <c r="D8055" t="s">
        <v>2355</v>
      </c>
      <c r="E8055" s="3">
        <v>275</v>
      </c>
      <c r="F8055">
        <v>20160830</v>
      </c>
      <c r="G8055" t="s">
        <v>2279</v>
      </c>
      <c r="H8055" t="s">
        <v>6514</v>
      </c>
      <c r="I8055">
        <v>0</v>
      </c>
      <c r="J8055" t="s">
        <v>1709</v>
      </c>
      <c r="K8055" t="s">
        <v>1861</v>
      </c>
      <c r="L8055" t="s">
        <v>285</v>
      </c>
      <c r="M8055" t="str">
        <f t="shared" si="593"/>
        <v>08</v>
      </c>
      <c r="N8055" t="s">
        <v>12</v>
      </c>
    </row>
    <row r="8056" spans="1:14" x14ac:dyDescent="0.25">
      <c r="A8056">
        <v>20160830</v>
      </c>
      <c r="B8056" t="str">
        <f>"064641"</f>
        <v>064641</v>
      </c>
      <c r="C8056" t="str">
        <f>"56013"</f>
        <v>56013</v>
      </c>
      <c r="D8056" t="s">
        <v>2355</v>
      </c>
      <c r="E8056" s="3">
        <v>320</v>
      </c>
      <c r="F8056">
        <v>20160830</v>
      </c>
      <c r="G8056" t="s">
        <v>2356</v>
      </c>
      <c r="H8056" t="s">
        <v>6515</v>
      </c>
      <c r="I8056">
        <v>0</v>
      </c>
      <c r="J8056" t="s">
        <v>1709</v>
      </c>
      <c r="K8056" t="s">
        <v>1861</v>
      </c>
      <c r="L8056" t="s">
        <v>285</v>
      </c>
      <c r="M8056" t="str">
        <f t="shared" si="593"/>
        <v>08</v>
      </c>
      <c r="N8056" t="s">
        <v>12</v>
      </c>
    </row>
    <row r="8057" spans="1:14" x14ac:dyDescent="0.25">
      <c r="A8057">
        <v>20160830</v>
      </c>
      <c r="B8057" t="str">
        <f>"064643"</f>
        <v>064643</v>
      </c>
      <c r="C8057" t="str">
        <f>"58173"</f>
        <v>58173</v>
      </c>
      <c r="D8057" t="s">
        <v>2544</v>
      </c>
      <c r="E8057" s="3">
        <v>375</v>
      </c>
      <c r="F8057">
        <v>20160830</v>
      </c>
      <c r="G8057" t="s">
        <v>2545</v>
      </c>
      <c r="H8057" t="s">
        <v>5501</v>
      </c>
      <c r="I8057">
        <v>0</v>
      </c>
      <c r="J8057" t="s">
        <v>1709</v>
      </c>
      <c r="K8057" t="s">
        <v>1861</v>
      </c>
      <c r="L8057" t="s">
        <v>285</v>
      </c>
      <c r="M8057" t="str">
        <f t="shared" si="593"/>
        <v>08</v>
      </c>
      <c r="N8057" t="s">
        <v>12</v>
      </c>
    </row>
    <row r="8058" spans="1:14" x14ac:dyDescent="0.25">
      <c r="A8058">
        <v>20160830</v>
      </c>
      <c r="B8058" t="str">
        <f>"064643"</f>
        <v>064643</v>
      </c>
      <c r="C8058" t="str">
        <f>"58173"</f>
        <v>58173</v>
      </c>
      <c r="D8058" t="s">
        <v>2544</v>
      </c>
      <c r="E8058" s="3">
        <v>480</v>
      </c>
      <c r="F8058">
        <v>20160830</v>
      </c>
      <c r="G8058" t="s">
        <v>2545</v>
      </c>
      <c r="H8058" t="s">
        <v>5977</v>
      </c>
      <c r="I8058">
        <v>0</v>
      </c>
      <c r="J8058" t="s">
        <v>1709</v>
      </c>
      <c r="K8058" t="s">
        <v>1861</v>
      </c>
      <c r="L8058" t="s">
        <v>285</v>
      </c>
      <c r="M8058" t="str">
        <f t="shared" si="593"/>
        <v>08</v>
      </c>
      <c r="N8058" t="s">
        <v>12</v>
      </c>
    </row>
    <row r="8059" spans="1:14" x14ac:dyDescent="0.25">
      <c r="A8059">
        <v>20160830</v>
      </c>
      <c r="B8059" t="str">
        <f>"064645"</f>
        <v>064645</v>
      </c>
      <c r="C8059" t="str">
        <f>"58927"</f>
        <v>58927</v>
      </c>
      <c r="D8059" t="s">
        <v>1899</v>
      </c>
      <c r="E8059" s="3">
        <v>55</v>
      </c>
      <c r="F8059">
        <v>20160830</v>
      </c>
      <c r="G8059" t="s">
        <v>2699</v>
      </c>
      <c r="H8059" t="s">
        <v>1900</v>
      </c>
      <c r="I8059">
        <v>0</v>
      </c>
      <c r="J8059" t="s">
        <v>1709</v>
      </c>
      <c r="K8059" t="s">
        <v>1856</v>
      </c>
      <c r="L8059" t="s">
        <v>285</v>
      </c>
      <c r="M8059" t="str">
        <f t="shared" si="593"/>
        <v>08</v>
      </c>
      <c r="N8059" t="s">
        <v>12</v>
      </c>
    </row>
    <row r="8060" spans="1:14" x14ac:dyDescent="0.25">
      <c r="A8060">
        <v>20160830</v>
      </c>
      <c r="B8060" t="str">
        <f>"064645"</f>
        <v>064645</v>
      </c>
      <c r="C8060" t="str">
        <f>"58927"</f>
        <v>58927</v>
      </c>
      <c r="D8060" t="s">
        <v>1899</v>
      </c>
      <c r="E8060" s="3">
        <v>110</v>
      </c>
      <c r="F8060">
        <v>20160830</v>
      </c>
      <c r="G8060" t="s">
        <v>2699</v>
      </c>
      <c r="H8060" t="s">
        <v>1900</v>
      </c>
      <c r="I8060">
        <v>0</v>
      </c>
      <c r="J8060" t="s">
        <v>1709</v>
      </c>
      <c r="K8060" t="s">
        <v>1856</v>
      </c>
      <c r="L8060" t="s">
        <v>285</v>
      </c>
      <c r="M8060" t="str">
        <f t="shared" si="593"/>
        <v>08</v>
      </c>
      <c r="N8060" t="s">
        <v>12</v>
      </c>
    </row>
    <row r="8061" spans="1:14" x14ac:dyDescent="0.25">
      <c r="A8061">
        <v>20160830</v>
      </c>
      <c r="B8061" t="str">
        <f>"064645"</f>
        <v>064645</v>
      </c>
      <c r="C8061" t="str">
        <f>"58927"</f>
        <v>58927</v>
      </c>
      <c r="D8061" t="s">
        <v>1899</v>
      </c>
      <c r="E8061" s="3">
        <v>55</v>
      </c>
      <c r="F8061">
        <v>20160830</v>
      </c>
      <c r="G8061" t="s">
        <v>2699</v>
      </c>
      <c r="H8061" t="s">
        <v>1900</v>
      </c>
      <c r="I8061">
        <v>0</v>
      </c>
      <c r="J8061" t="s">
        <v>1709</v>
      </c>
      <c r="K8061" t="s">
        <v>1856</v>
      </c>
      <c r="L8061" t="s">
        <v>285</v>
      </c>
      <c r="M8061" t="str">
        <f t="shared" si="593"/>
        <v>08</v>
      </c>
      <c r="N8061" t="s">
        <v>12</v>
      </c>
    </row>
    <row r="8062" spans="1:14" x14ac:dyDescent="0.25">
      <c r="A8062">
        <v>20160830</v>
      </c>
      <c r="B8062" t="str">
        <f>"064645"</f>
        <v>064645</v>
      </c>
      <c r="C8062" t="str">
        <f>"58927"</f>
        <v>58927</v>
      </c>
      <c r="D8062" t="s">
        <v>1899</v>
      </c>
      <c r="E8062" s="3">
        <v>55</v>
      </c>
      <c r="F8062">
        <v>20160830</v>
      </c>
      <c r="G8062" t="s">
        <v>2699</v>
      </c>
      <c r="H8062" t="s">
        <v>1900</v>
      </c>
      <c r="I8062">
        <v>0</v>
      </c>
      <c r="J8062" t="s">
        <v>1709</v>
      </c>
      <c r="K8062" t="s">
        <v>1856</v>
      </c>
      <c r="L8062" t="s">
        <v>285</v>
      </c>
      <c r="M8062" t="str">
        <f t="shared" si="593"/>
        <v>08</v>
      </c>
      <c r="N8062" t="s">
        <v>12</v>
      </c>
    </row>
    <row r="8063" spans="1:14" x14ac:dyDescent="0.25">
      <c r="A8063">
        <v>20160830</v>
      </c>
      <c r="B8063" t="str">
        <f>"064645"</f>
        <v>064645</v>
      </c>
      <c r="C8063" t="str">
        <f>"58927"</f>
        <v>58927</v>
      </c>
      <c r="D8063" t="s">
        <v>1899</v>
      </c>
      <c r="E8063" s="3">
        <v>150</v>
      </c>
      <c r="F8063">
        <v>20160830</v>
      </c>
      <c r="G8063" t="s">
        <v>2699</v>
      </c>
      <c r="H8063" t="s">
        <v>1900</v>
      </c>
      <c r="I8063">
        <v>0</v>
      </c>
      <c r="J8063" t="s">
        <v>1709</v>
      </c>
      <c r="K8063" t="s">
        <v>1856</v>
      </c>
      <c r="L8063" t="s">
        <v>285</v>
      </c>
      <c r="M8063" t="str">
        <f t="shared" si="593"/>
        <v>08</v>
      </c>
      <c r="N8063" t="s">
        <v>12</v>
      </c>
    </row>
    <row r="8064" spans="1:14" x14ac:dyDescent="0.25">
      <c r="A8064">
        <v>20160830</v>
      </c>
      <c r="B8064" t="str">
        <f>"064647"</f>
        <v>064647</v>
      </c>
      <c r="C8064" t="str">
        <f>"60835"</f>
        <v>60835</v>
      </c>
      <c r="D8064" t="s">
        <v>1904</v>
      </c>
      <c r="E8064" s="3">
        <v>400</v>
      </c>
      <c r="F8064">
        <v>20160830</v>
      </c>
      <c r="G8064" t="s">
        <v>1854</v>
      </c>
      <c r="H8064" t="s">
        <v>6516</v>
      </c>
      <c r="I8064">
        <v>0</v>
      </c>
      <c r="J8064" t="s">
        <v>1709</v>
      </c>
      <c r="K8064" t="s">
        <v>1856</v>
      </c>
      <c r="L8064" t="s">
        <v>285</v>
      </c>
      <c r="M8064" t="str">
        <f t="shared" si="593"/>
        <v>08</v>
      </c>
      <c r="N8064" t="s">
        <v>12</v>
      </c>
    </row>
    <row r="8065" spans="1:14" x14ac:dyDescent="0.25">
      <c r="A8065">
        <v>20160830</v>
      </c>
      <c r="B8065" t="str">
        <f>"064647"</f>
        <v>064647</v>
      </c>
      <c r="C8065" t="str">
        <f>"60835"</f>
        <v>60835</v>
      </c>
      <c r="D8065" t="s">
        <v>1904</v>
      </c>
      <c r="E8065" s="3">
        <v>70</v>
      </c>
      <c r="F8065">
        <v>20160830</v>
      </c>
      <c r="G8065" t="s">
        <v>3574</v>
      </c>
      <c r="H8065" t="s">
        <v>6517</v>
      </c>
      <c r="I8065">
        <v>0</v>
      </c>
      <c r="J8065" t="s">
        <v>1709</v>
      </c>
      <c r="K8065" t="s">
        <v>95</v>
      </c>
      <c r="L8065" t="s">
        <v>285</v>
      </c>
      <c r="M8065" t="str">
        <f t="shared" si="593"/>
        <v>08</v>
      </c>
      <c r="N8065" t="s">
        <v>12</v>
      </c>
    </row>
    <row r="8066" spans="1:14" x14ac:dyDescent="0.25">
      <c r="A8066">
        <v>20160830</v>
      </c>
      <c r="B8066" t="str">
        <f t="shared" ref="B8066:B8073" si="594">"064648"</f>
        <v>064648</v>
      </c>
      <c r="C8066" t="str">
        <f t="shared" ref="C8066:C8073" si="595">"65106"</f>
        <v>65106</v>
      </c>
      <c r="D8066" t="s">
        <v>1568</v>
      </c>
      <c r="E8066" s="3">
        <v>1564.75</v>
      </c>
      <c r="F8066">
        <v>20160830</v>
      </c>
      <c r="G8066" t="s">
        <v>5307</v>
      </c>
      <c r="H8066" t="s">
        <v>6518</v>
      </c>
      <c r="I8066">
        <v>0</v>
      </c>
      <c r="J8066" t="s">
        <v>1709</v>
      </c>
      <c r="K8066" t="s">
        <v>290</v>
      </c>
      <c r="L8066" t="s">
        <v>285</v>
      </c>
      <c r="M8066" t="str">
        <f t="shared" si="593"/>
        <v>08</v>
      </c>
      <c r="N8066" t="s">
        <v>12</v>
      </c>
    </row>
    <row r="8067" spans="1:14" x14ac:dyDescent="0.25">
      <c r="A8067">
        <v>20160830</v>
      </c>
      <c r="B8067" t="str">
        <f t="shared" si="594"/>
        <v>064648</v>
      </c>
      <c r="C8067" t="str">
        <f t="shared" si="595"/>
        <v>65106</v>
      </c>
      <c r="D8067" t="s">
        <v>1568</v>
      </c>
      <c r="E8067" s="3">
        <v>1952.96</v>
      </c>
      <c r="F8067">
        <v>20160830</v>
      </c>
      <c r="G8067" t="s">
        <v>4560</v>
      </c>
      <c r="H8067" t="s">
        <v>2782</v>
      </c>
      <c r="I8067">
        <v>0</v>
      </c>
      <c r="J8067" t="s">
        <v>1709</v>
      </c>
      <c r="K8067" t="s">
        <v>290</v>
      </c>
      <c r="L8067" t="s">
        <v>285</v>
      </c>
      <c r="M8067" t="str">
        <f t="shared" si="593"/>
        <v>08</v>
      </c>
      <c r="N8067" t="s">
        <v>12</v>
      </c>
    </row>
    <row r="8068" spans="1:14" x14ac:dyDescent="0.25">
      <c r="A8068">
        <v>20160830</v>
      </c>
      <c r="B8068" t="str">
        <f t="shared" si="594"/>
        <v>064648</v>
      </c>
      <c r="C8068" t="str">
        <f t="shared" si="595"/>
        <v>65106</v>
      </c>
      <c r="D8068" t="s">
        <v>1568</v>
      </c>
      <c r="E8068" s="3">
        <v>109.66</v>
      </c>
      <c r="F8068">
        <v>20160830</v>
      </c>
      <c r="G8068" t="s">
        <v>2983</v>
      </c>
      <c r="H8068" t="s">
        <v>6519</v>
      </c>
      <c r="I8068">
        <v>0</v>
      </c>
      <c r="J8068" t="s">
        <v>1709</v>
      </c>
      <c r="K8068" t="s">
        <v>290</v>
      </c>
      <c r="L8068" t="s">
        <v>285</v>
      </c>
      <c r="M8068" t="str">
        <f t="shared" si="593"/>
        <v>08</v>
      </c>
      <c r="N8068" t="s">
        <v>12</v>
      </c>
    </row>
    <row r="8069" spans="1:14" x14ac:dyDescent="0.25">
      <c r="A8069">
        <v>20160830</v>
      </c>
      <c r="B8069" t="str">
        <f t="shared" si="594"/>
        <v>064648</v>
      </c>
      <c r="C8069" t="str">
        <f t="shared" si="595"/>
        <v>65106</v>
      </c>
      <c r="D8069" t="s">
        <v>1568</v>
      </c>
      <c r="E8069" s="3">
        <v>1008.43</v>
      </c>
      <c r="F8069">
        <v>20160830</v>
      </c>
      <c r="G8069" t="s">
        <v>2626</v>
      </c>
      <c r="H8069" t="s">
        <v>6520</v>
      </c>
      <c r="I8069">
        <v>0</v>
      </c>
      <c r="J8069" t="s">
        <v>1709</v>
      </c>
      <c r="K8069" t="s">
        <v>290</v>
      </c>
      <c r="L8069" t="s">
        <v>285</v>
      </c>
      <c r="M8069" t="str">
        <f t="shared" si="593"/>
        <v>08</v>
      </c>
      <c r="N8069" t="s">
        <v>12</v>
      </c>
    </row>
    <row r="8070" spans="1:14" x14ac:dyDescent="0.25">
      <c r="A8070">
        <v>20160830</v>
      </c>
      <c r="B8070" t="str">
        <f t="shared" si="594"/>
        <v>064648</v>
      </c>
      <c r="C8070" t="str">
        <f t="shared" si="595"/>
        <v>65106</v>
      </c>
      <c r="D8070" t="s">
        <v>1568</v>
      </c>
      <c r="E8070" s="3">
        <v>-16.22</v>
      </c>
      <c r="F8070">
        <v>20160830</v>
      </c>
      <c r="G8070" t="s">
        <v>2626</v>
      </c>
      <c r="H8070" t="s">
        <v>6521</v>
      </c>
      <c r="I8070">
        <v>0</v>
      </c>
      <c r="J8070" t="s">
        <v>1709</v>
      </c>
      <c r="K8070" t="s">
        <v>290</v>
      </c>
      <c r="L8070" t="s">
        <v>1385</v>
      </c>
      <c r="M8070" t="str">
        <f t="shared" si="593"/>
        <v>08</v>
      </c>
      <c r="N8070" t="s">
        <v>12</v>
      </c>
    </row>
    <row r="8071" spans="1:14" x14ac:dyDescent="0.25">
      <c r="A8071">
        <v>20160830</v>
      </c>
      <c r="B8071" t="str">
        <f t="shared" si="594"/>
        <v>064648</v>
      </c>
      <c r="C8071" t="str">
        <f t="shared" si="595"/>
        <v>65106</v>
      </c>
      <c r="D8071" t="s">
        <v>1568</v>
      </c>
      <c r="E8071" s="3">
        <v>169</v>
      </c>
      <c r="F8071">
        <v>20160830</v>
      </c>
      <c r="G8071" t="s">
        <v>2565</v>
      </c>
      <c r="H8071" t="s">
        <v>6522</v>
      </c>
      <c r="I8071">
        <v>0</v>
      </c>
      <c r="J8071" t="s">
        <v>1709</v>
      </c>
      <c r="K8071" t="s">
        <v>1558</v>
      </c>
      <c r="L8071" t="s">
        <v>285</v>
      </c>
      <c r="M8071" t="str">
        <f t="shared" si="593"/>
        <v>08</v>
      </c>
      <c r="N8071" t="s">
        <v>12</v>
      </c>
    </row>
    <row r="8072" spans="1:14" x14ac:dyDescent="0.25">
      <c r="A8072">
        <v>20160830</v>
      </c>
      <c r="B8072" t="str">
        <f t="shared" si="594"/>
        <v>064648</v>
      </c>
      <c r="C8072" t="str">
        <f t="shared" si="595"/>
        <v>65106</v>
      </c>
      <c r="D8072" t="s">
        <v>1568</v>
      </c>
      <c r="E8072" s="3">
        <v>-133.30000000000001</v>
      </c>
      <c r="F8072">
        <v>20160830</v>
      </c>
      <c r="G8072" t="s">
        <v>2155</v>
      </c>
      <c r="H8072" t="s">
        <v>6523</v>
      </c>
      <c r="I8072">
        <v>0</v>
      </c>
      <c r="J8072" t="s">
        <v>1709</v>
      </c>
      <c r="K8072" t="s">
        <v>290</v>
      </c>
      <c r="L8072" t="s">
        <v>1385</v>
      </c>
      <c r="M8072" t="str">
        <f t="shared" si="593"/>
        <v>08</v>
      </c>
      <c r="N8072" t="s">
        <v>12</v>
      </c>
    </row>
    <row r="8073" spans="1:14" x14ac:dyDescent="0.25">
      <c r="A8073">
        <v>20160830</v>
      </c>
      <c r="B8073" t="str">
        <f t="shared" si="594"/>
        <v>064648</v>
      </c>
      <c r="C8073" t="str">
        <f t="shared" si="595"/>
        <v>65106</v>
      </c>
      <c r="D8073" t="s">
        <v>1568</v>
      </c>
      <c r="E8073" s="3">
        <v>376.06</v>
      </c>
      <c r="F8073">
        <v>20160830</v>
      </c>
      <c r="G8073" t="s">
        <v>1739</v>
      </c>
      <c r="H8073" t="s">
        <v>6524</v>
      </c>
      <c r="I8073">
        <v>0</v>
      </c>
      <c r="J8073" t="s">
        <v>1709</v>
      </c>
      <c r="K8073" t="s">
        <v>290</v>
      </c>
      <c r="L8073" t="s">
        <v>285</v>
      </c>
      <c r="M8073" t="str">
        <f t="shared" si="593"/>
        <v>08</v>
      </c>
      <c r="N8073" t="s">
        <v>12</v>
      </c>
    </row>
    <row r="8074" spans="1:14" x14ac:dyDescent="0.25">
      <c r="A8074">
        <v>20160830</v>
      </c>
      <c r="B8074" t="str">
        <f>"064649"</f>
        <v>064649</v>
      </c>
      <c r="C8074" t="str">
        <f>"67540"</f>
        <v>67540</v>
      </c>
      <c r="D8074" t="s">
        <v>4423</v>
      </c>
      <c r="E8074" s="3">
        <v>1796.8</v>
      </c>
      <c r="F8074">
        <v>20160830</v>
      </c>
      <c r="G8074" t="s">
        <v>2983</v>
      </c>
      <c r="H8074" t="s">
        <v>6525</v>
      </c>
      <c r="I8074">
        <v>0</v>
      </c>
      <c r="J8074" t="s">
        <v>1709</v>
      </c>
      <c r="K8074" t="s">
        <v>290</v>
      </c>
      <c r="L8074" t="s">
        <v>285</v>
      </c>
      <c r="M8074" t="str">
        <f t="shared" si="593"/>
        <v>08</v>
      </c>
      <c r="N8074" t="s">
        <v>12</v>
      </c>
    </row>
    <row r="8075" spans="1:14" x14ac:dyDescent="0.25">
      <c r="A8075">
        <v>20160830</v>
      </c>
      <c r="B8075" t="str">
        <f>"064652"</f>
        <v>064652</v>
      </c>
      <c r="C8075" t="str">
        <f>"71225"</f>
        <v>71225</v>
      </c>
      <c r="D8075" t="s">
        <v>1920</v>
      </c>
      <c r="E8075" s="3">
        <v>80</v>
      </c>
      <c r="F8075">
        <v>20160830</v>
      </c>
      <c r="G8075" t="s">
        <v>1854</v>
      </c>
      <c r="H8075" t="s">
        <v>6526</v>
      </c>
      <c r="I8075">
        <v>0</v>
      </c>
      <c r="J8075" t="s">
        <v>1709</v>
      </c>
      <c r="K8075" t="s">
        <v>1856</v>
      </c>
      <c r="L8075" t="s">
        <v>285</v>
      </c>
      <c r="M8075" t="str">
        <f t="shared" si="593"/>
        <v>08</v>
      </c>
      <c r="N8075" t="s">
        <v>12</v>
      </c>
    </row>
    <row r="8076" spans="1:14" x14ac:dyDescent="0.25">
      <c r="A8076">
        <v>20160830</v>
      </c>
      <c r="B8076" t="str">
        <f>"064652"</f>
        <v>064652</v>
      </c>
      <c r="C8076" t="str">
        <f>"71225"</f>
        <v>71225</v>
      </c>
      <c r="D8076" t="s">
        <v>1920</v>
      </c>
      <c r="E8076" s="3">
        <v>30</v>
      </c>
      <c r="F8076">
        <v>20160830</v>
      </c>
      <c r="G8076" t="s">
        <v>1854</v>
      </c>
      <c r="H8076" t="s">
        <v>6527</v>
      </c>
      <c r="I8076">
        <v>0</v>
      </c>
      <c r="J8076" t="s">
        <v>1709</v>
      </c>
      <c r="K8076" t="s">
        <v>1856</v>
      </c>
      <c r="L8076" t="s">
        <v>285</v>
      </c>
      <c r="M8076" t="str">
        <f t="shared" si="593"/>
        <v>08</v>
      </c>
      <c r="N8076" t="s">
        <v>12</v>
      </c>
    </row>
    <row r="8077" spans="1:14" x14ac:dyDescent="0.25">
      <c r="A8077">
        <v>20160830</v>
      </c>
      <c r="B8077" t="str">
        <f>"064652"</f>
        <v>064652</v>
      </c>
      <c r="C8077" t="str">
        <f>"71225"</f>
        <v>71225</v>
      </c>
      <c r="D8077" t="s">
        <v>1920</v>
      </c>
      <c r="E8077" s="3">
        <v>-160</v>
      </c>
      <c r="F8077">
        <v>20160630</v>
      </c>
      <c r="G8077" t="s">
        <v>1854</v>
      </c>
      <c r="H8077" t="s">
        <v>6528</v>
      </c>
      <c r="I8077">
        <v>0</v>
      </c>
      <c r="J8077" t="s">
        <v>1709</v>
      </c>
      <c r="K8077" t="s">
        <v>1856</v>
      </c>
      <c r="L8077" t="s">
        <v>1385</v>
      </c>
      <c r="M8077" t="str">
        <f t="shared" si="593"/>
        <v>08</v>
      </c>
      <c r="N8077" t="s">
        <v>12</v>
      </c>
    </row>
    <row r="8078" spans="1:14" x14ac:dyDescent="0.25">
      <c r="A8078">
        <v>20160830</v>
      </c>
      <c r="B8078" t="str">
        <f>"064652"</f>
        <v>064652</v>
      </c>
      <c r="C8078" t="str">
        <f>"71225"</f>
        <v>71225</v>
      </c>
      <c r="D8078" t="s">
        <v>1920</v>
      </c>
      <c r="E8078" s="3">
        <v>135.21</v>
      </c>
      <c r="F8078">
        <v>20160830</v>
      </c>
      <c r="G8078" t="s">
        <v>2164</v>
      </c>
      <c r="H8078" t="s">
        <v>6529</v>
      </c>
      <c r="I8078">
        <v>0</v>
      </c>
      <c r="J8078" t="s">
        <v>1709</v>
      </c>
      <c r="K8078" t="s">
        <v>1861</v>
      </c>
      <c r="L8078" t="s">
        <v>285</v>
      </c>
      <c r="M8078" t="str">
        <f t="shared" si="593"/>
        <v>08</v>
      </c>
      <c r="N8078" t="s">
        <v>12</v>
      </c>
    </row>
    <row r="8079" spans="1:14" x14ac:dyDescent="0.25">
      <c r="A8079">
        <v>20160830</v>
      </c>
      <c r="B8079" t="str">
        <f>"064655"</f>
        <v>064655</v>
      </c>
      <c r="C8079" t="str">
        <f>"77068"</f>
        <v>77068</v>
      </c>
      <c r="D8079" t="s">
        <v>1929</v>
      </c>
      <c r="E8079" s="3">
        <v>1342.78</v>
      </c>
      <c r="F8079">
        <v>20160830</v>
      </c>
      <c r="G8079" t="s">
        <v>2588</v>
      </c>
      <c r="H8079" t="s">
        <v>6530</v>
      </c>
      <c r="I8079">
        <v>0</v>
      </c>
      <c r="J8079" t="s">
        <v>1709</v>
      </c>
      <c r="K8079" t="s">
        <v>1861</v>
      </c>
      <c r="L8079" t="s">
        <v>285</v>
      </c>
      <c r="M8079" t="str">
        <f t="shared" si="593"/>
        <v>08</v>
      </c>
      <c r="N8079" t="s">
        <v>12</v>
      </c>
    </row>
    <row r="8080" spans="1:14" x14ac:dyDescent="0.25">
      <c r="A8080">
        <v>20151113</v>
      </c>
      <c r="B8080" t="str">
        <f>"111315"</f>
        <v>111315</v>
      </c>
      <c r="C8080" t="str">
        <f>"78311"</f>
        <v>78311</v>
      </c>
      <c r="D8080" t="s">
        <v>458</v>
      </c>
      <c r="E8080" s="3">
        <v>49.03</v>
      </c>
      <c r="F8080">
        <v>20151204</v>
      </c>
      <c r="G8080" t="s">
        <v>1710</v>
      </c>
      <c r="H8080" t="s">
        <v>3274</v>
      </c>
      <c r="I8080">
        <v>0</v>
      </c>
      <c r="J8080" t="s">
        <v>1709</v>
      </c>
      <c r="K8080" t="s">
        <v>290</v>
      </c>
      <c r="L8080" t="s">
        <v>17</v>
      </c>
      <c r="M8080" t="str">
        <f>"11"</f>
        <v>11</v>
      </c>
      <c r="N8080" t="s">
        <v>12</v>
      </c>
    </row>
    <row r="8081" spans="1:14" x14ac:dyDescent="0.25">
      <c r="A8081">
        <v>20151113</v>
      </c>
      <c r="B8081" t="str">
        <f>"111315"</f>
        <v>111315</v>
      </c>
      <c r="C8081" t="str">
        <f>"78311"</f>
        <v>78311</v>
      </c>
      <c r="D8081" t="s">
        <v>458</v>
      </c>
      <c r="E8081" s="3">
        <v>12.79</v>
      </c>
      <c r="F8081">
        <v>20151204</v>
      </c>
      <c r="G8081" t="s">
        <v>1710</v>
      </c>
      <c r="H8081" t="s">
        <v>3274</v>
      </c>
      <c r="I8081">
        <v>0</v>
      </c>
      <c r="J8081" t="s">
        <v>1709</v>
      </c>
      <c r="K8081" t="s">
        <v>290</v>
      </c>
      <c r="L8081" t="s">
        <v>17</v>
      </c>
      <c r="M8081" t="str">
        <f>"11"</f>
        <v>11</v>
      </c>
      <c r="N8081" t="s">
        <v>12</v>
      </c>
    </row>
    <row r="8082" spans="1:14" x14ac:dyDescent="0.25">
      <c r="A8082">
        <v>20150911</v>
      </c>
      <c r="B8082" t="str">
        <f>"060274"</f>
        <v>060274</v>
      </c>
      <c r="C8082" t="str">
        <f>"16801"</f>
        <v>16801</v>
      </c>
      <c r="D8082" t="s">
        <v>6531</v>
      </c>
      <c r="E8082" s="3">
        <v>219</v>
      </c>
      <c r="F8082">
        <v>20150909</v>
      </c>
      <c r="G8082" t="s">
        <v>6532</v>
      </c>
      <c r="H8082" t="s">
        <v>6533</v>
      </c>
      <c r="I8082">
        <v>0</v>
      </c>
      <c r="J8082" t="s">
        <v>6534</v>
      </c>
      <c r="K8082" t="s">
        <v>235</v>
      </c>
      <c r="L8082" t="s">
        <v>285</v>
      </c>
      <c r="M8082" t="str">
        <f>"09"</f>
        <v>09</v>
      </c>
      <c r="N8082" t="s">
        <v>12</v>
      </c>
    </row>
    <row r="8083" spans="1:14" x14ac:dyDescent="0.25">
      <c r="A8083">
        <v>20150911</v>
      </c>
      <c r="B8083" t="str">
        <f>"060274"</f>
        <v>060274</v>
      </c>
      <c r="C8083" t="str">
        <f>"16801"</f>
        <v>16801</v>
      </c>
      <c r="D8083" t="s">
        <v>6531</v>
      </c>
      <c r="E8083" s="3">
        <v>219</v>
      </c>
      <c r="F8083">
        <v>20150909</v>
      </c>
      <c r="G8083" t="s">
        <v>6532</v>
      </c>
      <c r="H8083" t="s">
        <v>6535</v>
      </c>
      <c r="I8083">
        <v>0</v>
      </c>
      <c r="J8083" t="s">
        <v>6534</v>
      </c>
      <c r="K8083" t="s">
        <v>235</v>
      </c>
      <c r="L8083" t="s">
        <v>285</v>
      </c>
      <c r="M8083" t="str">
        <f>"09"</f>
        <v>09</v>
      </c>
      <c r="N8083" t="s">
        <v>12</v>
      </c>
    </row>
    <row r="8084" spans="1:14" x14ac:dyDescent="0.25">
      <c r="A8084">
        <v>20150911</v>
      </c>
      <c r="B8084" t="str">
        <f>"060274"</f>
        <v>060274</v>
      </c>
      <c r="C8084" t="str">
        <f>"16801"</f>
        <v>16801</v>
      </c>
      <c r="D8084" t="s">
        <v>6531</v>
      </c>
      <c r="E8084" s="3">
        <v>219</v>
      </c>
      <c r="F8084">
        <v>20150909</v>
      </c>
      <c r="G8084" t="s">
        <v>6532</v>
      </c>
      <c r="H8084" t="s">
        <v>6536</v>
      </c>
      <c r="I8084">
        <v>0</v>
      </c>
      <c r="J8084" t="s">
        <v>6534</v>
      </c>
      <c r="K8084" t="s">
        <v>235</v>
      </c>
      <c r="L8084" t="s">
        <v>285</v>
      </c>
      <c r="M8084" t="str">
        <f>"09"</f>
        <v>09</v>
      </c>
      <c r="N8084" t="s">
        <v>12</v>
      </c>
    </row>
    <row r="8085" spans="1:14" x14ac:dyDescent="0.25">
      <c r="A8085">
        <v>20151016</v>
      </c>
      <c r="B8085" t="str">
        <f>"060718"</f>
        <v>060718</v>
      </c>
      <c r="C8085" t="str">
        <f t="shared" ref="C8085:C8100" si="596">"27900"</f>
        <v>27900</v>
      </c>
      <c r="D8085" t="s">
        <v>1596</v>
      </c>
      <c r="E8085" s="3">
        <v>200</v>
      </c>
      <c r="F8085">
        <v>20151015</v>
      </c>
      <c r="G8085" t="s">
        <v>6537</v>
      </c>
      <c r="H8085" t="s">
        <v>6538</v>
      </c>
      <c r="I8085">
        <v>0</v>
      </c>
      <c r="J8085" t="s">
        <v>6534</v>
      </c>
      <c r="K8085" t="s">
        <v>1643</v>
      </c>
      <c r="L8085" t="s">
        <v>285</v>
      </c>
      <c r="M8085" t="str">
        <f>"10"</f>
        <v>10</v>
      </c>
      <c r="N8085" t="s">
        <v>12</v>
      </c>
    </row>
    <row r="8086" spans="1:14" x14ac:dyDescent="0.25">
      <c r="A8086">
        <v>20151016</v>
      </c>
      <c r="B8086" t="str">
        <f>"060718"</f>
        <v>060718</v>
      </c>
      <c r="C8086" t="str">
        <f t="shared" si="596"/>
        <v>27900</v>
      </c>
      <c r="D8086" t="s">
        <v>1596</v>
      </c>
      <c r="E8086" s="3">
        <v>100</v>
      </c>
      <c r="F8086">
        <v>20151015</v>
      </c>
      <c r="G8086" t="s">
        <v>6537</v>
      </c>
      <c r="H8086" t="s">
        <v>6538</v>
      </c>
      <c r="I8086">
        <v>0</v>
      </c>
      <c r="J8086" t="s">
        <v>6534</v>
      </c>
      <c r="K8086" t="s">
        <v>1643</v>
      </c>
      <c r="L8086" t="s">
        <v>285</v>
      </c>
      <c r="M8086" t="str">
        <f>"10"</f>
        <v>10</v>
      </c>
      <c r="N8086" t="s">
        <v>12</v>
      </c>
    </row>
    <row r="8087" spans="1:14" x14ac:dyDescent="0.25">
      <c r="A8087">
        <v>20151120</v>
      </c>
      <c r="B8087" t="str">
        <f>"061153"</f>
        <v>061153</v>
      </c>
      <c r="C8087" t="str">
        <f t="shared" si="596"/>
        <v>27900</v>
      </c>
      <c r="D8087" t="s">
        <v>1596</v>
      </c>
      <c r="E8087" s="3">
        <v>50</v>
      </c>
      <c r="F8087">
        <v>20151119</v>
      </c>
      <c r="G8087" t="s">
        <v>6537</v>
      </c>
      <c r="H8087" t="s">
        <v>3063</v>
      </c>
      <c r="I8087">
        <v>0</v>
      </c>
      <c r="J8087" t="s">
        <v>6534</v>
      </c>
      <c r="K8087" t="s">
        <v>1643</v>
      </c>
      <c r="L8087" t="s">
        <v>285</v>
      </c>
      <c r="M8087" t="str">
        <f>"11"</f>
        <v>11</v>
      </c>
      <c r="N8087" t="s">
        <v>12</v>
      </c>
    </row>
    <row r="8088" spans="1:14" x14ac:dyDescent="0.25">
      <c r="A8088">
        <v>20151211</v>
      </c>
      <c r="B8088" t="str">
        <f>"061401"</f>
        <v>061401</v>
      </c>
      <c r="C8088" t="str">
        <f t="shared" si="596"/>
        <v>27900</v>
      </c>
      <c r="D8088" t="s">
        <v>1596</v>
      </c>
      <c r="E8088" s="3">
        <v>200</v>
      </c>
      <c r="F8088">
        <v>20151210</v>
      </c>
      <c r="G8088" t="s">
        <v>6539</v>
      </c>
      <c r="H8088" t="s">
        <v>6540</v>
      </c>
      <c r="I8088">
        <v>0</v>
      </c>
      <c r="J8088" t="s">
        <v>6534</v>
      </c>
      <c r="K8088" t="s">
        <v>33</v>
      </c>
      <c r="L8088" t="s">
        <v>285</v>
      </c>
      <c r="M8088" t="str">
        <f>"12"</f>
        <v>12</v>
      </c>
      <c r="N8088" t="s">
        <v>12</v>
      </c>
    </row>
    <row r="8089" spans="1:14" x14ac:dyDescent="0.25">
      <c r="A8089">
        <v>20160212</v>
      </c>
      <c r="B8089" t="str">
        <f t="shared" ref="B8089:B8100" si="597">"062288"</f>
        <v>062288</v>
      </c>
      <c r="C8089" t="str">
        <f t="shared" si="596"/>
        <v>27900</v>
      </c>
      <c r="D8089" t="s">
        <v>1596</v>
      </c>
      <c r="E8089" s="3">
        <v>2778.09</v>
      </c>
      <c r="F8089">
        <v>20160211</v>
      </c>
      <c r="G8089" t="s">
        <v>6541</v>
      </c>
      <c r="H8089" t="s">
        <v>4037</v>
      </c>
      <c r="I8089">
        <v>0</v>
      </c>
      <c r="J8089" t="s">
        <v>6534</v>
      </c>
      <c r="K8089" t="s">
        <v>1643</v>
      </c>
      <c r="L8089" t="s">
        <v>285</v>
      </c>
      <c r="M8089" t="str">
        <f t="shared" ref="M8089:M8103" si="598">"02"</f>
        <v>02</v>
      </c>
      <c r="N8089" t="s">
        <v>12</v>
      </c>
    </row>
    <row r="8090" spans="1:14" x14ac:dyDescent="0.25">
      <c r="A8090">
        <v>20160212</v>
      </c>
      <c r="B8090" t="str">
        <f t="shared" si="597"/>
        <v>062288</v>
      </c>
      <c r="C8090" t="str">
        <f t="shared" si="596"/>
        <v>27900</v>
      </c>
      <c r="D8090" t="s">
        <v>1596</v>
      </c>
      <c r="E8090" s="3">
        <v>2778.09</v>
      </c>
      <c r="F8090">
        <v>20160211</v>
      </c>
      <c r="G8090" t="s">
        <v>6542</v>
      </c>
      <c r="H8090" t="s">
        <v>4037</v>
      </c>
      <c r="I8090">
        <v>0</v>
      </c>
      <c r="J8090" t="s">
        <v>6534</v>
      </c>
      <c r="K8090" t="s">
        <v>33</v>
      </c>
      <c r="L8090" t="s">
        <v>285</v>
      </c>
      <c r="M8090" t="str">
        <f t="shared" si="598"/>
        <v>02</v>
      </c>
      <c r="N8090" t="s">
        <v>12</v>
      </c>
    </row>
    <row r="8091" spans="1:14" x14ac:dyDescent="0.25">
      <c r="A8091">
        <v>20160212</v>
      </c>
      <c r="B8091" t="str">
        <f t="shared" si="597"/>
        <v>062288</v>
      </c>
      <c r="C8091" t="str">
        <f t="shared" si="596"/>
        <v>27900</v>
      </c>
      <c r="D8091" t="s">
        <v>1596</v>
      </c>
      <c r="E8091" s="3">
        <v>5428.77</v>
      </c>
      <c r="F8091">
        <v>20160211</v>
      </c>
      <c r="G8091" t="s">
        <v>6543</v>
      </c>
      <c r="H8091" t="s">
        <v>1628</v>
      </c>
      <c r="I8091">
        <v>0</v>
      </c>
      <c r="J8091" t="s">
        <v>6534</v>
      </c>
      <c r="K8091" t="s">
        <v>1643</v>
      </c>
      <c r="L8091" t="s">
        <v>285</v>
      </c>
      <c r="M8091" t="str">
        <f t="shared" si="598"/>
        <v>02</v>
      </c>
      <c r="N8091" t="s">
        <v>12</v>
      </c>
    </row>
    <row r="8092" spans="1:14" x14ac:dyDescent="0.25">
      <c r="A8092">
        <v>20160212</v>
      </c>
      <c r="B8092" t="str">
        <f t="shared" si="597"/>
        <v>062288</v>
      </c>
      <c r="C8092" t="str">
        <f t="shared" si="596"/>
        <v>27900</v>
      </c>
      <c r="D8092" t="s">
        <v>1596</v>
      </c>
      <c r="E8092" s="3">
        <v>3331.12</v>
      </c>
      <c r="F8092">
        <v>20160211</v>
      </c>
      <c r="G8092" t="s">
        <v>6544</v>
      </c>
      <c r="H8092" t="s">
        <v>1628</v>
      </c>
      <c r="I8092">
        <v>0</v>
      </c>
      <c r="J8092" t="s">
        <v>6534</v>
      </c>
      <c r="K8092" t="s">
        <v>33</v>
      </c>
      <c r="L8092" t="s">
        <v>285</v>
      </c>
      <c r="M8092" t="str">
        <f t="shared" si="598"/>
        <v>02</v>
      </c>
      <c r="N8092" t="s">
        <v>12</v>
      </c>
    </row>
    <row r="8093" spans="1:14" x14ac:dyDescent="0.25">
      <c r="A8093">
        <v>20160212</v>
      </c>
      <c r="B8093" t="str">
        <f t="shared" si="597"/>
        <v>062288</v>
      </c>
      <c r="C8093" t="str">
        <f t="shared" si="596"/>
        <v>27900</v>
      </c>
      <c r="D8093" t="s">
        <v>1596</v>
      </c>
      <c r="E8093" s="3">
        <v>240</v>
      </c>
      <c r="F8093">
        <v>20160211</v>
      </c>
      <c r="G8093" t="s">
        <v>6537</v>
      </c>
      <c r="H8093" t="s">
        <v>4041</v>
      </c>
      <c r="I8093">
        <v>0</v>
      </c>
      <c r="J8093" t="s">
        <v>6534</v>
      </c>
      <c r="K8093" t="s">
        <v>1643</v>
      </c>
      <c r="L8093" t="s">
        <v>285</v>
      </c>
      <c r="M8093" t="str">
        <f t="shared" si="598"/>
        <v>02</v>
      </c>
      <c r="N8093" t="s">
        <v>12</v>
      </c>
    </row>
    <row r="8094" spans="1:14" x14ac:dyDescent="0.25">
      <c r="A8094">
        <v>20160212</v>
      </c>
      <c r="B8094" t="str">
        <f t="shared" si="597"/>
        <v>062288</v>
      </c>
      <c r="C8094" t="str">
        <f t="shared" si="596"/>
        <v>27900</v>
      </c>
      <c r="D8094" t="s">
        <v>1596</v>
      </c>
      <c r="E8094" s="3">
        <v>300</v>
      </c>
      <c r="F8094">
        <v>20160211</v>
      </c>
      <c r="G8094" t="s">
        <v>6537</v>
      </c>
      <c r="H8094" t="s">
        <v>6545</v>
      </c>
      <c r="I8094">
        <v>0</v>
      </c>
      <c r="J8094" t="s">
        <v>6534</v>
      </c>
      <c r="K8094" t="s">
        <v>1643</v>
      </c>
      <c r="L8094" t="s">
        <v>285</v>
      </c>
      <c r="M8094" t="str">
        <f t="shared" si="598"/>
        <v>02</v>
      </c>
      <c r="N8094" t="s">
        <v>12</v>
      </c>
    </row>
    <row r="8095" spans="1:14" x14ac:dyDescent="0.25">
      <c r="A8095">
        <v>20160212</v>
      </c>
      <c r="B8095" t="str">
        <f t="shared" si="597"/>
        <v>062288</v>
      </c>
      <c r="C8095" t="str">
        <f t="shared" si="596"/>
        <v>27900</v>
      </c>
      <c r="D8095" t="s">
        <v>1596</v>
      </c>
      <c r="E8095" s="3">
        <v>200</v>
      </c>
      <c r="F8095">
        <v>20160211</v>
      </c>
      <c r="G8095" t="s">
        <v>6537</v>
      </c>
      <c r="H8095" t="s">
        <v>6546</v>
      </c>
      <c r="I8095">
        <v>0</v>
      </c>
      <c r="J8095" t="s">
        <v>6534</v>
      </c>
      <c r="K8095" t="s">
        <v>1643</v>
      </c>
      <c r="L8095" t="s">
        <v>285</v>
      </c>
      <c r="M8095" t="str">
        <f t="shared" si="598"/>
        <v>02</v>
      </c>
      <c r="N8095" t="s">
        <v>12</v>
      </c>
    </row>
    <row r="8096" spans="1:14" x14ac:dyDescent="0.25">
      <c r="A8096">
        <v>20160212</v>
      </c>
      <c r="B8096" t="str">
        <f t="shared" si="597"/>
        <v>062288</v>
      </c>
      <c r="C8096" t="str">
        <f t="shared" si="596"/>
        <v>27900</v>
      </c>
      <c r="D8096" t="s">
        <v>1596</v>
      </c>
      <c r="E8096" s="3">
        <v>125</v>
      </c>
      <c r="F8096">
        <v>20160211</v>
      </c>
      <c r="G8096" t="s">
        <v>6537</v>
      </c>
      <c r="H8096" t="s">
        <v>6547</v>
      </c>
      <c r="I8096">
        <v>0</v>
      </c>
      <c r="J8096" t="s">
        <v>6534</v>
      </c>
      <c r="K8096" t="s">
        <v>1643</v>
      </c>
      <c r="L8096" t="s">
        <v>285</v>
      </c>
      <c r="M8096" t="str">
        <f t="shared" si="598"/>
        <v>02</v>
      </c>
      <c r="N8096" t="s">
        <v>12</v>
      </c>
    </row>
    <row r="8097" spans="1:14" x14ac:dyDescent="0.25">
      <c r="A8097">
        <v>20160212</v>
      </c>
      <c r="B8097" t="str">
        <f t="shared" si="597"/>
        <v>062288</v>
      </c>
      <c r="C8097" t="str">
        <f t="shared" si="596"/>
        <v>27900</v>
      </c>
      <c r="D8097" t="s">
        <v>1596</v>
      </c>
      <c r="E8097" s="3">
        <v>125</v>
      </c>
      <c r="F8097">
        <v>20160211</v>
      </c>
      <c r="G8097" t="s">
        <v>6537</v>
      </c>
      <c r="H8097" t="s">
        <v>6547</v>
      </c>
      <c r="I8097">
        <v>0</v>
      </c>
      <c r="J8097" t="s">
        <v>6534</v>
      </c>
      <c r="K8097" t="s">
        <v>1643</v>
      </c>
      <c r="L8097" t="s">
        <v>285</v>
      </c>
      <c r="M8097" t="str">
        <f t="shared" si="598"/>
        <v>02</v>
      </c>
      <c r="N8097" t="s">
        <v>12</v>
      </c>
    </row>
    <row r="8098" spans="1:14" x14ac:dyDescent="0.25">
      <c r="A8098">
        <v>20160212</v>
      </c>
      <c r="B8098" t="str">
        <f t="shared" si="597"/>
        <v>062288</v>
      </c>
      <c r="C8098" t="str">
        <f t="shared" si="596"/>
        <v>27900</v>
      </c>
      <c r="D8098" t="s">
        <v>1596</v>
      </c>
      <c r="E8098" s="3">
        <v>1942</v>
      </c>
      <c r="F8098">
        <v>20160211</v>
      </c>
      <c r="G8098" t="s">
        <v>6548</v>
      </c>
      <c r="H8098" t="s">
        <v>6549</v>
      </c>
      <c r="I8098">
        <v>0</v>
      </c>
      <c r="J8098" t="s">
        <v>6534</v>
      </c>
      <c r="K8098" t="s">
        <v>2764</v>
      </c>
      <c r="L8098" t="s">
        <v>285</v>
      </c>
      <c r="M8098" t="str">
        <f t="shared" si="598"/>
        <v>02</v>
      </c>
      <c r="N8098" t="s">
        <v>12</v>
      </c>
    </row>
    <row r="8099" spans="1:14" x14ac:dyDescent="0.25">
      <c r="A8099">
        <v>20160212</v>
      </c>
      <c r="B8099" t="str">
        <f t="shared" si="597"/>
        <v>062288</v>
      </c>
      <c r="C8099" t="str">
        <f t="shared" si="596"/>
        <v>27900</v>
      </c>
      <c r="D8099" t="s">
        <v>1596</v>
      </c>
      <c r="E8099" s="3">
        <v>600</v>
      </c>
      <c r="F8099">
        <v>20160211</v>
      </c>
      <c r="G8099" t="s">
        <v>6550</v>
      </c>
      <c r="H8099" t="s">
        <v>4041</v>
      </c>
      <c r="I8099">
        <v>0</v>
      </c>
      <c r="J8099" t="s">
        <v>6534</v>
      </c>
      <c r="K8099" t="s">
        <v>1643</v>
      </c>
      <c r="L8099" t="s">
        <v>285</v>
      </c>
      <c r="M8099" t="str">
        <f t="shared" si="598"/>
        <v>02</v>
      </c>
      <c r="N8099" t="s">
        <v>12</v>
      </c>
    </row>
    <row r="8100" spans="1:14" x14ac:dyDescent="0.25">
      <c r="A8100">
        <v>20160212</v>
      </c>
      <c r="B8100" t="str">
        <f t="shared" si="597"/>
        <v>062288</v>
      </c>
      <c r="C8100" t="str">
        <f t="shared" si="596"/>
        <v>27900</v>
      </c>
      <c r="D8100" t="s">
        <v>1596</v>
      </c>
      <c r="E8100" s="3">
        <v>400</v>
      </c>
      <c r="F8100">
        <v>20160211</v>
      </c>
      <c r="G8100" t="s">
        <v>6551</v>
      </c>
      <c r="H8100" t="s">
        <v>4041</v>
      </c>
      <c r="I8100">
        <v>0</v>
      </c>
      <c r="J8100" t="s">
        <v>6534</v>
      </c>
      <c r="K8100" t="s">
        <v>33</v>
      </c>
      <c r="L8100" t="s">
        <v>285</v>
      </c>
      <c r="M8100" t="str">
        <f t="shared" si="598"/>
        <v>02</v>
      </c>
      <c r="N8100" t="s">
        <v>12</v>
      </c>
    </row>
    <row r="8101" spans="1:14" x14ac:dyDescent="0.25">
      <c r="A8101">
        <v>20160212</v>
      </c>
      <c r="B8101" t="str">
        <f>"062365"</f>
        <v>062365</v>
      </c>
      <c r="C8101" t="str">
        <f>"82875"</f>
        <v>82875</v>
      </c>
      <c r="D8101" t="s">
        <v>4108</v>
      </c>
      <c r="E8101" s="3">
        <v>1150</v>
      </c>
      <c r="F8101">
        <v>20160212</v>
      </c>
      <c r="G8101" t="s">
        <v>6552</v>
      </c>
      <c r="H8101" t="s">
        <v>4109</v>
      </c>
      <c r="I8101">
        <v>0</v>
      </c>
      <c r="J8101" t="s">
        <v>6534</v>
      </c>
      <c r="K8101" t="s">
        <v>33</v>
      </c>
      <c r="L8101" t="s">
        <v>285</v>
      </c>
      <c r="M8101" t="str">
        <f t="shared" si="598"/>
        <v>02</v>
      </c>
      <c r="N8101" t="s">
        <v>12</v>
      </c>
    </row>
    <row r="8102" spans="1:14" x14ac:dyDescent="0.25">
      <c r="A8102">
        <v>20160219</v>
      </c>
      <c r="B8102" t="str">
        <f>"062494"</f>
        <v>062494</v>
      </c>
      <c r="C8102" t="str">
        <f>"78309"</f>
        <v>78309</v>
      </c>
      <c r="D8102" t="s">
        <v>2393</v>
      </c>
      <c r="E8102" s="3">
        <v>488</v>
      </c>
      <c r="F8102">
        <v>20160218</v>
      </c>
      <c r="G8102" t="s">
        <v>6553</v>
      </c>
      <c r="H8102" t="s">
        <v>6554</v>
      </c>
      <c r="I8102">
        <v>0</v>
      </c>
      <c r="J8102" t="s">
        <v>6534</v>
      </c>
      <c r="K8102" t="s">
        <v>1643</v>
      </c>
      <c r="L8102" t="s">
        <v>285</v>
      </c>
      <c r="M8102" t="str">
        <f t="shared" si="598"/>
        <v>02</v>
      </c>
      <c r="N8102" t="s">
        <v>12</v>
      </c>
    </row>
    <row r="8103" spans="1:14" x14ac:dyDescent="0.25">
      <c r="A8103">
        <v>20160219</v>
      </c>
      <c r="B8103" t="str">
        <f>"062496"</f>
        <v>062496</v>
      </c>
      <c r="C8103" t="str">
        <f>"77245"</f>
        <v>77245</v>
      </c>
      <c r="D8103" t="s">
        <v>6555</v>
      </c>
      <c r="E8103" s="3">
        <v>4522</v>
      </c>
      <c r="F8103">
        <v>20160218</v>
      </c>
      <c r="G8103" t="s">
        <v>6556</v>
      </c>
      <c r="H8103" t="s">
        <v>6557</v>
      </c>
      <c r="I8103">
        <v>0</v>
      </c>
      <c r="J8103" t="s">
        <v>6534</v>
      </c>
      <c r="K8103" t="s">
        <v>235</v>
      </c>
      <c r="L8103" t="s">
        <v>285</v>
      </c>
      <c r="M8103" t="str">
        <f t="shared" si="598"/>
        <v>02</v>
      </c>
      <c r="N8103" t="s">
        <v>12</v>
      </c>
    </row>
    <row r="8104" spans="1:14" x14ac:dyDescent="0.25">
      <c r="A8104">
        <v>20160311</v>
      </c>
      <c r="B8104" t="str">
        <f>"062673"</f>
        <v>062673</v>
      </c>
      <c r="C8104" t="str">
        <f>"50825"</f>
        <v>50825</v>
      </c>
      <c r="D8104" t="s">
        <v>5667</v>
      </c>
      <c r="E8104" s="3">
        <v>4035.01</v>
      </c>
      <c r="F8104">
        <v>20160310</v>
      </c>
      <c r="G8104" t="s">
        <v>6558</v>
      </c>
      <c r="H8104" t="s">
        <v>6559</v>
      </c>
      <c r="I8104">
        <v>0</v>
      </c>
      <c r="J8104" t="s">
        <v>6534</v>
      </c>
      <c r="K8104" t="s">
        <v>1643</v>
      </c>
      <c r="L8104" t="s">
        <v>285</v>
      </c>
      <c r="M8104" t="str">
        <f>"03"</f>
        <v>03</v>
      </c>
      <c r="N8104" t="s">
        <v>12</v>
      </c>
    </row>
    <row r="8105" spans="1:14" x14ac:dyDescent="0.25">
      <c r="A8105">
        <v>20160318</v>
      </c>
      <c r="B8105" t="str">
        <f>"062782"</f>
        <v>062782</v>
      </c>
      <c r="C8105" t="str">
        <f>"58203"</f>
        <v>58203</v>
      </c>
      <c r="D8105" t="s">
        <v>2371</v>
      </c>
      <c r="E8105" s="3">
        <v>105.25</v>
      </c>
      <c r="F8105">
        <v>20160317</v>
      </c>
      <c r="G8105" t="s">
        <v>6560</v>
      </c>
      <c r="H8105" t="s">
        <v>6561</v>
      </c>
      <c r="I8105">
        <v>0</v>
      </c>
      <c r="J8105" t="s">
        <v>6534</v>
      </c>
      <c r="K8105" t="s">
        <v>1643</v>
      </c>
      <c r="L8105" t="s">
        <v>285</v>
      </c>
      <c r="M8105" t="str">
        <f>"03"</f>
        <v>03</v>
      </c>
      <c r="N8105" t="s">
        <v>12</v>
      </c>
    </row>
    <row r="8106" spans="1:14" x14ac:dyDescent="0.25">
      <c r="A8106">
        <v>20160324</v>
      </c>
      <c r="B8106" t="str">
        <f>"062843"</f>
        <v>062843</v>
      </c>
      <c r="C8106" t="str">
        <f>"26879"</f>
        <v>26879</v>
      </c>
      <c r="D8106" t="s">
        <v>6562</v>
      </c>
      <c r="E8106" s="3">
        <v>3700</v>
      </c>
      <c r="F8106">
        <v>20160322</v>
      </c>
      <c r="G8106" t="s">
        <v>6558</v>
      </c>
      <c r="H8106" t="s">
        <v>6563</v>
      </c>
      <c r="I8106">
        <v>0</v>
      </c>
      <c r="J8106" t="s">
        <v>6534</v>
      </c>
      <c r="K8106" t="s">
        <v>1643</v>
      </c>
      <c r="L8106" t="s">
        <v>285</v>
      </c>
      <c r="M8106" t="str">
        <f>"03"</f>
        <v>03</v>
      </c>
      <c r="N8106" t="s">
        <v>12</v>
      </c>
    </row>
    <row r="8107" spans="1:14" x14ac:dyDescent="0.25">
      <c r="A8107">
        <v>20160415</v>
      </c>
      <c r="B8107" t="str">
        <f>"063049"</f>
        <v>063049</v>
      </c>
      <c r="C8107" t="str">
        <f>"70080"</f>
        <v>70080</v>
      </c>
      <c r="D8107" t="s">
        <v>6564</v>
      </c>
      <c r="E8107" s="3">
        <v>779.9</v>
      </c>
      <c r="F8107">
        <v>20160412</v>
      </c>
      <c r="G8107" t="s">
        <v>6558</v>
      </c>
      <c r="H8107" t="s">
        <v>6565</v>
      </c>
      <c r="I8107">
        <v>0</v>
      </c>
      <c r="J8107" t="s">
        <v>6534</v>
      </c>
      <c r="K8107" t="s">
        <v>1643</v>
      </c>
      <c r="L8107" t="s">
        <v>285</v>
      </c>
      <c r="M8107" t="str">
        <f>"04"</f>
        <v>04</v>
      </c>
      <c r="N8107" t="s">
        <v>12</v>
      </c>
    </row>
    <row r="8108" spans="1:14" x14ac:dyDescent="0.25">
      <c r="A8108">
        <v>20160415</v>
      </c>
      <c r="B8108" t="str">
        <f>"063070"</f>
        <v>063070</v>
      </c>
      <c r="C8108" t="str">
        <f>"27900"</f>
        <v>27900</v>
      </c>
      <c r="D8108" t="s">
        <v>1596</v>
      </c>
      <c r="E8108" s="3">
        <v>100</v>
      </c>
      <c r="F8108">
        <v>20160412</v>
      </c>
      <c r="G8108" t="s">
        <v>6537</v>
      </c>
      <c r="H8108" t="s">
        <v>6566</v>
      </c>
      <c r="I8108">
        <v>0</v>
      </c>
      <c r="J8108" t="s">
        <v>6534</v>
      </c>
      <c r="K8108" t="s">
        <v>1643</v>
      </c>
      <c r="L8108" t="s">
        <v>285</v>
      </c>
      <c r="M8108" t="str">
        <f>"04"</f>
        <v>04</v>
      </c>
      <c r="N8108" t="s">
        <v>12</v>
      </c>
    </row>
    <row r="8109" spans="1:14" x14ac:dyDescent="0.25">
      <c r="A8109">
        <v>20160415</v>
      </c>
      <c r="B8109" t="str">
        <f>"063070"</f>
        <v>063070</v>
      </c>
      <c r="C8109" t="str">
        <f>"27900"</f>
        <v>27900</v>
      </c>
      <c r="D8109" t="s">
        <v>1596</v>
      </c>
      <c r="E8109" s="3">
        <v>100</v>
      </c>
      <c r="F8109">
        <v>20160412</v>
      </c>
      <c r="G8109" t="s">
        <v>6537</v>
      </c>
      <c r="H8109" t="s">
        <v>6567</v>
      </c>
      <c r="I8109">
        <v>0</v>
      </c>
      <c r="J8109" t="s">
        <v>6534</v>
      </c>
      <c r="K8109" t="s">
        <v>1643</v>
      </c>
      <c r="L8109" t="s">
        <v>285</v>
      </c>
      <c r="M8109" t="str">
        <f>"04"</f>
        <v>04</v>
      </c>
      <c r="N8109" t="s">
        <v>12</v>
      </c>
    </row>
    <row r="8110" spans="1:14" x14ac:dyDescent="0.25">
      <c r="A8110">
        <v>20160415</v>
      </c>
      <c r="B8110" t="str">
        <f>"063070"</f>
        <v>063070</v>
      </c>
      <c r="C8110" t="str">
        <f>"27900"</f>
        <v>27900</v>
      </c>
      <c r="D8110" t="s">
        <v>1596</v>
      </c>
      <c r="E8110" s="3">
        <v>100</v>
      </c>
      <c r="F8110">
        <v>20160412</v>
      </c>
      <c r="G8110" t="s">
        <v>6553</v>
      </c>
      <c r="H8110" t="s">
        <v>4775</v>
      </c>
      <c r="I8110">
        <v>0</v>
      </c>
      <c r="J8110" t="s">
        <v>6534</v>
      </c>
      <c r="K8110" t="s">
        <v>1643</v>
      </c>
      <c r="L8110" t="s">
        <v>285</v>
      </c>
      <c r="M8110" t="str">
        <f>"04"</f>
        <v>04</v>
      </c>
      <c r="N8110" t="s">
        <v>12</v>
      </c>
    </row>
    <row r="8111" spans="1:14" x14ac:dyDescent="0.25">
      <c r="A8111">
        <v>20160527</v>
      </c>
      <c r="B8111" t="str">
        <f>"063662"</f>
        <v>063662</v>
      </c>
      <c r="C8111" t="str">
        <f>"62324"</f>
        <v>62324</v>
      </c>
      <c r="D8111" t="s">
        <v>5362</v>
      </c>
      <c r="E8111" s="3">
        <v>405</v>
      </c>
      <c r="F8111">
        <v>20160526</v>
      </c>
      <c r="G8111" t="s">
        <v>6553</v>
      </c>
      <c r="H8111" t="s">
        <v>5364</v>
      </c>
      <c r="I8111">
        <v>0</v>
      </c>
      <c r="J8111" t="s">
        <v>6534</v>
      </c>
      <c r="K8111" t="s">
        <v>1643</v>
      </c>
      <c r="L8111" t="s">
        <v>285</v>
      </c>
      <c r="M8111" t="str">
        <f>"05"</f>
        <v>05</v>
      </c>
      <c r="N8111" t="s">
        <v>12</v>
      </c>
    </row>
    <row r="8112" spans="1:14" x14ac:dyDescent="0.25">
      <c r="A8112">
        <v>20160610</v>
      </c>
      <c r="B8112" t="str">
        <f>"063857"</f>
        <v>063857</v>
      </c>
      <c r="C8112" t="str">
        <f>"54202"</f>
        <v>54202</v>
      </c>
      <c r="D8112" t="s">
        <v>6568</v>
      </c>
      <c r="E8112" s="3">
        <v>590.07000000000005</v>
      </c>
      <c r="F8112">
        <v>20160608</v>
      </c>
      <c r="G8112" t="s">
        <v>6560</v>
      </c>
      <c r="H8112" t="s">
        <v>6569</v>
      </c>
      <c r="I8112">
        <v>0</v>
      </c>
      <c r="J8112" t="s">
        <v>6534</v>
      </c>
      <c r="K8112" t="s">
        <v>1643</v>
      </c>
      <c r="L8112" t="s">
        <v>285</v>
      </c>
      <c r="M8112" t="str">
        <f>"06"</f>
        <v>06</v>
      </c>
      <c r="N8112" t="s">
        <v>12</v>
      </c>
    </row>
    <row r="8113" spans="1:14" x14ac:dyDescent="0.25">
      <c r="A8113">
        <v>20160722</v>
      </c>
      <c r="B8113" t="str">
        <f>"064119"</f>
        <v>064119</v>
      </c>
      <c r="C8113" t="str">
        <f>"18905"</f>
        <v>18905</v>
      </c>
      <c r="D8113" t="s">
        <v>2371</v>
      </c>
      <c r="E8113" s="3">
        <v>298.20999999999998</v>
      </c>
      <c r="F8113">
        <v>20160720</v>
      </c>
      <c r="G8113" t="s">
        <v>6570</v>
      </c>
      <c r="H8113" t="s">
        <v>5364</v>
      </c>
      <c r="I8113">
        <v>0</v>
      </c>
      <c r="J8113" t="s">
        <v>6534</v>
      </c>
      <c r="K8113" t="s">
        <v>33</v>
      </c>
      <c r="L8113" t="s">
        <v>285</v>
      </c>
      <c r="M8113" t="str">
        <f>"07"</f>
        <v>07</v>
      </c>
      <c r="N8113" t="s">
        <v>12</v>
      </c>
    </row>
    <row r="8114" spans="1:14" x14ac:dyDescent="0.25">
      <c r="A8114">
        <v>20160729</v>
      </c>
      <c r="B8114" t="str">
        <f>"064233"</f>
        <v>064233</v>
      </c>
      <c r="C8114" t="str">
        <f>"62299"</f>
        <v>62299</v>
      </c>
      <c r="D8114" t="s">
        <v>1675</v>
      </c>
      <c r="E8114" s="3">
        <v>2191</v>
      </c>
      <c r="F8114">
        <v>20160728</v>
      </c>
      <c r="G8114" t="s">
        <v>6571</v>
      </c>
      <c r="H8114" t="s">
        <v>1677</v>
      </c>
      <c r="I8114">
        <v>0</v>
      </c>
      <c r="J8114" t="s">
        <v>6534</v>
      </c>
      <c r="K8114" t="s">
        <v>1643</v>
      </c>
      <c r="L8114" t="s">
        <v>285</v>
      </c>
      <c r="M8114" t="str">
        <f>"07"</f>
        <v>07</v>
      </c>
      <c r="N8114" t="s">
        <v>12</v>
      </c>
    </row>
    <row r="8115" spans="1:14" x14ac:dyDescent="0.25">
      <c r="A8115">
        <v>20160729</v>
      </c>
      <c r="B8115" t="str">
        <f>"064233"</f>
        <v>064233</v>
      </c>
      <c r="C8115" t="str">
        <f>"62299"</f>
        <v>62299</v>
      </c>
      <c r="D8115" t="s">
        <v>1675</v>
      </c>
      <c r="E8115" s="3">
        <v>1314</v>
      </c>
      <c r="F8115">
        <v>20160728</v>
      </c>
      <c r="G8115" t="s">
        <v>6572</v>
      </c>
      <c r="H8115" t="s">
        <v>1677</v>
      </c>
      <c r="I8115">
        <v>0</v>
      </c>
      <c r="J8115" t="s">
        <v>6534</v>
      </c>
      <c r="K8115" t="s">
        <v>33</v>
      </c>
      <c r="L8115" t="s">
        <v>285</v>
      </c>
      <c r="M8115" t="str">
        <f>"07"</f>
        <v>07</v>
      </c>
      <c r="N8115" t="s">
        <v>12</v>
      </c>
    </row>
    <row r="8116" spans="1:14" x14ac:dyDescent="0.25">
      <c r="A8116">
        <v>20160826</v>
      </c>
      <c r="B8116" t="str">
        <f>"064549"</f>
        <v>064549</v>
      </c>
      <c r="C8116" t="str">
        <f>"50825"</f>
        <v>50825</v>
      </c>
      <c r="D8116" t="s">
        <v>5667</v>
      </c>
      <c r="E8116" s="3">
        <v>2500</v>
      </c>
      <c r="F8116">
        <v>20160826</v>
      </c>
      <c r="G8116" t="s">
        <v>6573</v>
      </c>
      <c r="H8116" t="s">
        <v>6574</v>
      </c>
      <c r="I8116">
        <v>0</v>
      </c>
      <c r="J8116" t="s">
        <v>6534</v>
      </c>
      <c r="K8116" t="s">
        <v>33</v>
      </c>
      <c r="L8116" t="s">
        <v>285</v>
      </c>
      <c r="M8116" t="str">
        <f>"08"</f>
        <v>08</v>
      </c>
      <c r="N8116" t="s">
        <v>12</v>
      </c>
    </row>
    <row r="8117" spans="1:14" x14ac:dyDescent="0.25">
      <c r="A8117">
        <v>20160826</v>
      </c>
      <c r="B8117" t="str">
        <f>"064549"</f>
        <v>064549</v>
      </c>
      <c r="C8117" t="str">
        <f>"50825"</f>
        <v>50825</v>
      </c>
      <c r="D8117" t="s">
        <v>5667</v>
      </c>
      <c r="E8117" s="3">
        <v>29448.9</v>
      </c>
      <c r="F8117">
        <v>20160826</v>
      </c>
      <c r="G8117" t="s">
        <v>6573</v>
      </c>
      <c r="H8117" t="s">
        <v>6575</v>
      </c>
      <c r="I8117">
        <v>0</v>
      </c>
      <c r="J8117" t="s">
        <v>6534</v>
      </c>
      <c r="K8117" t="s">
        <v>33</v>
      </c>
      <c r="L8117" t="s">
        <v>285</v>
      </c>
      <c r="M8117" t="str">
        <f>"08"</f>
        <v>08</v>
      </c>
      <c r="N8117" t="s">
        <v>12</v>
      </c>
    </row>
    <row r="8118" spans="1:14" x14ac:dyDescent="0.25">
      <c r="A8118">
        <v>20160826</v>
      </c>
      <c r="B8118" t="str">
        <f>"064549"</f>
        <v>064549</v>
      </c>
      <c r="C8118" t="str">
        <f>"50825"</f>
        <v>50825</v>
      </c>
      <c r="D8118" t="s">
        <v>5667</v>
      </c>
      <c r="E8118" s="3">
        <v>-17415.900000000001</v>
      </c>
      <c r="F8118">
        <v>20160826</v>
      </c>
      <c r="G8118" t="s">
        <v>6573</v>
      </c>
      <c r="H8118" t="s">
        <v>6521</v>
      </c>
      <c r="I8118">
        <v>0</v>
      </c>
      <c r="J8118" t="s">
        <v>6534</v>
      </c>
      <c r="K8118" t="s">
        <v>33</v>
      </c>
      <c r="L8118" t="s">
        <v>1385</v>
      </c>
      <c r="M8118" t="str">
        <f>"08"</f>
        <v>08</v>
      </c>
      <c r="N8118" t="s">
        <v>12</v>
      </c>
    </row>
    <row r="8119" spans="1:14" x14ac:dyDescent="0.25">
      <c r="A8119">
        <v>20150903</v>
      </c>
      <c r="B8119" t="str">
        <f>"060195"</f>
        <v>060195</v>
      </c>
      <c r="C8119" t="str">
        <f>"64935"</f>
        <v>64935</v>
      </c>
      <c r="D8119" t="s">
        <v>2560</v>
      </c>
      <c r="E8119" s="3">
        <v>1170</v>
      </c>
      <c r="F8119">
        <v>20150903</v>
      </c>
      <c r="G8119" t="s">
        <v>6576</v>
      </c>
      <c r="H8119" t="s">
        <v>6577</v>
      </c>
      <c r="I8119">
        <v>0</v>
      </c>
      <c r="J8119" t="s">
        <v>6578</v>
      </c>
      <c r="K8119" t="s">
        <v>235</v>
      </c>
      <c r="L8119" t="s">
        <v>285</v>
      </c>
      <c r="M8119" t="str">
        <f t="shared" ref="M8119:M8127" si="599">"09"</f>
        <v>09</v>
      </c>
      <c r="N8119" t="s">
        <v>12</v>
      </c>
    </row>
    <row r="8120" spans="1:14" x14ac:dyDescent="0.25">
      <c r="A8120">
        <v>20150911</v>
      </c>
      <c r="B8120" t="str">
        <f>"060215"</f>
        <v>060215</v>
      </c>
      <c r="C8120" t="str">
        <f>"29779"</f>
        <v>29779</v>
      </c>
      <c r="D8120" t="s">
        <v>1806</v>
      </c>
      <c r="E8120" s="3">
        <v>875</v>
      </c>
      <c r="F8120">
        <v>20150910</v>
      </c>
      <c r="G8120" t="s">
        <v>6576</v>
      </c>
      <c r="H8120" t="s">
        <v>6579</v>
      </c>
      <c r="I8120">
        <v>0</v>
      </c>
      <c r="J8120" t="s">
        <v>6578</v>
      </c>
      <c r="K8120" t="s">
        <v>235</v>
      </c>
      <c r="L8120" t="s">
        <v>285</v>
      </c>
      <c r="M8120" t="str">
        <f t="shared" si="599"/>
        <v>09</v>
      </c>
      <c r="N8120" t="s">
        <v>12</v>
      </c>
    </row>
    <row r="8121" spans="1:14" x14ac:dyDescent="0.25">
      <c r="A8121">
        <v>20150911</v>
      </c>
      <c r="B8121" t="str">
        <f>"060229"</f>
        <v>060229</v>
      </c>
      <c r="C8121" t="str">
        <f>"21769"</f>
        <v>21769</v>
      </c>
      <c r="D8121" t="s">
        <v>1836</v>
      </c>
      <c r="E8121" s="3">
        <v>3480</v>
      </c>
      <c r="F8121">
        <v>20150910</v>
      </c>
      <c r="G8121" t="s">
        <v>6576</v>
      </c>
      <c r="H8121" t="s">
        <v>1837</v>
      </c>
      <c r="I8121">
        <v>0</v>
      </c>
      <c r="J8121" t="s">
        <v>6578</v>
      </c>
      <c r="K8121" t="s">
        <v>235</v>
      </c>
      <c r="L8121" t="s">
        <v>285</v>
      </c>
      <c r="M8121" t="str">
        <f t="shared" si="599"/>
        <v>09</v>
      </c>
      <c r="N8121" t="s">
        <v>12</v>
      </c>
    </row>
    <row r="8122" spans="1:14" x14ac:dyDescent="0.25">
      <c r="A8122">
        <v>20150918</v>
      </c>
      <c r="B8122" t="str">
        <f>"060307"</f>
        <v>060307</v>
      </c>
      <c r="C8122" t="str">
        <f>"74150"</f>
        <v>74150</v>
      </c>
      <c r="D8122" t="s">
        <v>3047</v>
      </c>
      <c r="E8122" s="3">
        <v>2968.52</v>
      </c>
      <c r="F8122">
        <v>20150917</v>
      </c>
      <c r="G8122" t="s">
        <v>6576</v>
      </c>
      <c r="H8122" t="s">
        <v>6580</v>
      </c>
      <c r="I8122">
        <v>0</v>
      </c>
      <c r="J8122" t="s">
        <v>6578</v>
      </c>
      <c r="K8122" t="s">
        <v>235</v>
      </c>
      <c r="L8122" t="s">
        <v>285</v>
      </c>
      <c r="M8122" t="str">
        <f t="shared" si="599"/>
        <v>09</v>
      </c>
      <c r="N8122" t="s">
        <v>12</v>
      </c>
    </row>
    <row r="8123" spans="1:14" x14ac:dyDescent="0.25">
      <c r="A8123">
        <v>20150925</v>
      </c>
      <c r="B8123" t="str">
        <f>"060433"</f>
        <v>060433</v>
      </c>
      <c r="C8123" t="str">
        <f>"29779"</f>
        <v>29779</v>
      </c>
      <c r="D8123" t="s">
        <v>1806</v>
      </c>
      <c r="E8123" s="3">
        <v>550</v>
      </c>
      <c r="F8123">
        <v>20150924</v>
      </c>
      <c r="G8123" t="s">
        <v>6576</v>
      </c>
      <c r="H8123" t="s">
        <v>6581</v>
      </c>
      <c r="I8123">
        <v>0</v>
      </c>
      <c r="J8123" t="s">
        <v>6578</v>
      </c>
      <c r="K8123" t="s">
        <v>235</v>
      </c>
      <c r="L8123" t="s">
        <v>285</v>
      </c>
      <c r="M8123" t="str">
        <f t="shared" si="599"/>
        <v>09</v>
      </c>
      <c r="N8123" t="s">
        <v>12</v>
      </c>
    </row>
    <row r="8124" spans="1:14" x14ac:dyDescent="0.25">
      <c r="A8124">
        <v>20150925</v>
      </c>
      <c r="B8124" t="str">
        <f>"060433"</f>
        <v>060433</v>
      </c>
      <c r="C8124" t="str">
        <f>"29779"</f>
        <v>29779</v>
      </c>
      <c r="D8124" t="s">
        <v>1806</v>
      </c>
      <c r="E8124" s="3">
        <v>468.74</v>
      </c>
      <c r="F8124">
        <v>20150924</v>
      </c>
      <c r="G8124" t="s">
        <v>6576</v>
      </c>
      <c r="H8124" t="s">
        <v>2051</v>
      </c>
      <c r="I8124">
        <v>0</v>
      </c>
      <c r="J8124" t="s">
        <v>6578</v>
      </c>
      <c r="K8124" t="s">
        <v>235</v>
      </c>
      <c r="L8124" t="s">
        <v>285</v>
      </c>
      <c r="M8124" t="str">
        <f t="shared" si="599"/>
        <v>09</v>
      </c>
      <c r="N8124" t="s">
        <v>12</v>
      </c>
    </row>
    <row r="8125" spans="1:14" x14ac:dyDescent="0.25">
      <c r="A8125">
        <v>20150925</v>
      </c>
      <c r="B8125" t="str">
        <f>"060472"</f>
        <v>060472</v>
      </c>
      <c r="C8125" t="str">
        <f>"25862"</f>
        <v>25862</v>
      </c>
      <c r="D8125" t="s">
        <v>6582</v>
      </c>
      <c r="E8125" s="3">
        <v>598</v>
      </c>
      <c r="F8125">
        <v>20150923</v>
      </c>
      <c r="G8125" t="s">
        <v>6583</v>
      </c>
      <c r="H8125" t="s">
        <v>6584</v>
      </c>
      <c r="I8125">
        <v>0</v>
      </c>
      <c r="J8125" t="s">
        <v>6578</v>
      </c>
      <c r="K8125" t="s">
        <v>95</v>
      </c>
      <c r="L8125" t="s">
        <v>285</v>
      </c>
      <c r="M8125" t="str">
        <f t="shared" si="599"/>
        <v>09</v>
      </c>
      <c r="N8125" t="s">
        <v>12</v>
      </c>
    </row>
    <row r="8126" spans="1:14" x14ac:dyDescent="0.25">
      <c r="A8126">
        <v>20150925</v>
      </c>
      <c r="B8126" t="str">
        <f>"060472"</f>
        <v>060472</v>
      </c>
      <c r="C8126" t="str">
        <f>"25862"</f>
        <v>25862</v>
      </c>
      <c r="D8126" t="s">
        <v>6582</v>
      </c>
      <c r="E8126" s="3">
        <v>598</v>
      </c>
      <c r="F8126">
        <v>20150923</v>
      </c>
      <c r="G8126" t="s">
        <v>6585</v>
      </c>
      <c r="H8126" t="s">
        <v>6584</v>
      </c>
      <c r="I8126">
        <v>0</v>
      </c>
      <c r="J8126" t="s">
        <v>6578</v>
      </c>
      <c r="K8126" t="s">
        <v>1643</v>
      </c>
      <c r="L8126" t="s">
        <v>285</v>
      </c>
      <c r="M8126" t="str">
        <f t="shared" si="599"/>
        <v>09</v>
      </c>
      <c r="N8126" t="s">
        <v>12</v>
      </c>
    </row>
    <row r="8127" spans="1:14" x14ac:dyDescent="0.25">
      <c r="A8127">
        <v>20150925</v>
      </c>
      <c r="B8127" t="str">
        <f>"060472"</f>
        <v>060472</v>
      </c>
      <c r="C8127" t="str">
        <f>"25862"</f>
        <v>25862</v>
      </c>
      <c r="D8127" t="s">
        <v>6582</v>
      </c>
      <c r="E8127" s="3">
        <v>598</v>
      </c>
      <c r="F8127">
        <v>20150923</v>
      </c>
      <c r="G8127" t="s">
        <v>6586</v>
      </c>
      <c r="H8127" t="s">
        <v>6584</v>
      </c>
      <c r="I8127">
        <v>0</v>
      </c>
      <c r="J8127" t="s">
        <v>6578</v>
      </c>
      <c r="K8127" t="s">
        <v>33</v>
      </c>
      <c r="L8127" t="s">
        <v>285</v>
      </c>
      <c r="M8127" t="str">
        <f t="shared" si="599"/>
        <v>09</v>
      </c>
      <c r="N8127" t="s">
        <v>12</v>
      </c>
    </row>
    <row r="8128" spans="1:14" x14ac:dyDescent="0.25">
      <c r="A8128">
        <v>20151009</v>
      </c>
      <c r="B8128" t="str">
        <f t="shared" ref="B8128:B8134" si="600">"060512"</f>
        <v>060512</v>
      </c>
      <c r="C8128" t="str">
        <f t="shared" ref="C8128:C8134" si="601">"29779"</f>
        <v>29779</v>
      </c>
      <c r="D8128" t="s">
        <v>1806</v>
      </c>
      <c r="E8128" s="3">
        <v>587.48</v>
      </c>
      <c r="F8128">
        <v>20151008</v>
      </c>
      <c r="G8128" t="s">
        <v>6576</v>
      </c>
      <c r="H8128" t="s">
        <v>2051</v>
      </c>
      <c r="I8128">
        <v>0</v>
      </c>
      <c r="J8128" t="s">
        <v>6578</v>
      </c>
      <c r="K8128" t="s">
        <v>235</v>
      </c>
      <c r="L8128" t="s">
        <v>285</v>
      </c>
      <c r="M8128" t="str">
        <f t="shared" ref="M8128:M8164" si="602">"10"</f>
        <v>10</v>
      </c>
      <c r="N8128" t="s">
        <v>12</v>
      </c>
    </row>
    <row r="8129" spans="1:14" x14ac:dyDescent="0.25">
      <c r="A8129">
        <v>20151009</v>
      </c>
      <c r="B8129" t="str">
        <f t="shared" si="600"/>
        <v>060512</v>
      </c>
      <c r="C8129" t="str">
        <f t="shared" si="601"/>
        <v>29779</v>
      </c>
      <c r="D8129" t="s">
        <v>1806</v>
      </c>
      <c r="E8129" s="3">
        <v>843.75</v>
      </c>
      <c r="F8129">
        <v>20151008</v>
      </c>
      <c r="G8129" t="s">
        <v>6576</v>
      </c>
      <c r="H8129" t="s">
        <v>2051</v>
      </c>
      <c r="I8129">
        <v>0</v>
      </c>
      <c r="J8129" t="s">
        <v>6578</v>
      </c>
      <c r="K8129" t="s">
        <v>235</v>
      </c>
      <c r="L8129" t="s">
        <v>285</v>
      </c>
      <c r="M8129" t="str">
        <f t="shared" si="602"/>
        <v>10</v>
      </c>
      <c r="N8129" t="s">
        <v>12</v>
      </c>
    </row>
    <row r="8130" spans="1:14" x14ac:dyDescent="0.25">
      <c r="A8130">
        <v>20151009</v>
      </c>
      <c r="B8130" t="str">
        <f t="shared" si="600"/>
        <v>060512</v>
      </c>
      <c r="C8130" t="str">
        <f t="shared" si="601"/>
        <v>29779</v>
      </c>
      <c r="D8130" t="s">
        <v>1806</v>
      </c>
      <c r="E8130" s="3">
        <v>560</v>
      </c>
      <c r="F8130">
        <v>20151008</v>
      </c>
      <c r="G8130" t="s">
        <v>6587</v>
      </c>
      <c r="H8130" t="s">
        <v>2193</v>
      </c>
      <c r="I8130">
        <v>0</v>
      </c>
      <c r="J8130" t="s">
        <v>6578</v>
      </c>
      <c r="K8130" t="s">
        <v>2194</v>
      </c>
      <c r="L8130" t="s">
        <v>285</v>
      </c>
      <c r="M8130" t="str">
        <f t="shared" si="602"/>
        <v>10</v>
      </c>
      <c r="N8130" t="s">
        <v>12</v>
      </c>
    </row>
    <row r="8131" spans="1:14" x14ac:dyDescent="0.25">
      <c r="A8131">
        <v>20151009</v>
      </c>
      <c r="B8131" t="str">
        <f t="shared" si="600"/>
        <v>060512</v>
      </c>
      <c r="C8131" t="str">
        <f t="shared" si="601"/>
        <v>29779</v>
      </c>
      <c r="D8131" t="s">
        <v>1806</v>
      </c>
      <c r="E8131" s="3">
        <v>245</v>
      </c>
      <c r="F8131">
        <v>20151008</v>
      </c>
      <c r="G8131" t="s">
        <v>6587</v>
      </c>
      <c r="H8131" t="s">
        <v>6588</v>
      </c>
      <c r="I8131">
        <v>0</v>
      </c>
      <c r="J8131" t="s">
        <v>6578</v>
      </c>
      <c r="K8131" t="s">
        <v>2194</v>
      </c>
      <c r="L8131" t="s">
        <v>285</v>
      </c>
      <c r="M8131" t="str">
        <f t="shared" si="602"/>
        <v>10</v>
      </c>
      <c r="N8131" t="s">
        <v>12</v>
      </c>
    </row>
    <row r="8132" spans="1:14" x14ac:dyDescent="0.25">
      <c r="A8132">
        <v>20151009</v>
      </c>
      <c r="B8132" t="str">
        <f t="shared" si="600"/>
        <v>060512</v>
      </c>
      <c r="C8132" t="str">
        <f t="shared" si="601"/>
        <v>29779</v>
      </c>
      <c r="D8132" t="s">
        <v>1806</v>
      </c>
      <c r="E8132" s="3">
        <v>560</v>
      </c>
      <c r="F8132">
        <v>20151008</v>
      </c>
      <c r="G8132" t="s">
        <v>6587</v>
      </c>
      <c r="H8132" t="s">
        <v>2195</v>
      </c>
      <c r="I8132">
        <v>0</v>
      </c>
      <c r="J8132" t="s">
        <v>6578</v>
      </c>
      <c r="K8132" t="s">
        <v>2194</v>
      </c>
      <c r="L8132" t="s">
        <v>285</v>
      </c>
      <c r="M8132" t="str">
        <f t="shared" si="602"/>
        <v>10</v>
      </c>
      <c r="N8132" t="s">
        <v>12</v>
      </c>
    </row>
    <row r="8133" spans="1:14" x14ac:dyDescent="0.25">
      <c r="A8133">
        <v>20151009</v>
      </c>
      <c r="B8133" t="str">
        <f t="shared" si="600"/>
        <v>060512</v>
      </c>
      <c r="C8133" t="str">
        <f t="shared" si="601"/>
        <v>29779</v>
      </c>
      <c r="D8133" t="s">
        <v>1806</v>
      </c>
      <c r="E8133" s="3">
        <v>560</v>
      </c>
      <c r="F8133">
        <v>20151008</v>
      </c>
      <c r="G8133" t="s">
        <v>6587</v>
      </c>
      <c r="H8133" t="s">
        <v>2196</v>
      </c>
      <c r="I8133">
        <v>0</v>
      </c>
      <c r="J8133" t="s">
        <v>6578</v>
      </c>
      <c r="K8133" t="s">
        <v>2194</v>
      </c>
      <c r="L8133" t="s">
        <v>285</v>
      </c>
      <c r="M8133" t="str">
        <f t="shared" si="602"/>
        <v>10</v>
      </c>
      <c r="N8133" t="s">
        <v>12</v>
      </c>
    </row>
    <row r="8134" spans="1:14" x14ac:dyDescent="0.25">
      <c r="A8134">
        <v>20151009</v>
      </c>
      <c r="B8134" t="str">
        <f t="shared" si="600"/>
        <v>060512</v>
      </c>
      <c r="C8134" t="str">
        <f t="shared" si="601"/>
        <v>29779</v>
      </c>
      <c r="D8134" t="s">
        <v>1806</v>
      </c>
      <c r="E8134" s="3">
        <v>200</v>
      </c>
      <c r="F8134">
        <v>20151008</v>
      </c>
      <c r="G8134" t="s">
        <v>6587</v>
      </c>
      <c r="H8134" t="s">
        <v>1807</v>
      </c>
      <c r="I8134">
        <v>0</v>
      </c>
      <c r="J8134" t="s">
        <v>6578</v>
      </c>
      <c r="K8134" t="s">
        <v>2194</v>
      </c>
      <c r="L8134" t="s">
        <v>285</v>
      </c>
      <c r="M8134" t="str">
        <f t="shared" si="602"/>
        <v>10</v>
      </c>
      <c r="N8134" t="s">
        <v>12</v>
      </c>
    </row>
    <row r="8135" spans="1:14" x14ac:dyDescent="0.25">
      <c r="A8135">
        <v>20151009</v>
      </c>
      <c r="B8135" t="str">
        <f>"060545"</f>
        <v>060545</v>
      </c>
      <c r="C8135" t="str">
        <f>"23974"</f>
        <v>23974</v>
      </c>
      <c r="D8135" t="s">
        <v>1581</v>
      </c>
      <c r="E8135" s="3">
        <v>349.44</v>
      </c>
      <c r="F8135">
        <v>20151008</v>
      </c>
      <c r="G8135" t="s">
        <v>6589</v>
      </c>
      <c r="H8135" t="s">
        <v>6590</v>
      </c>
      <c r="I8135">
        <v>0</v>
      </c>
      <c r="J8135" t="s">
        <v>6578</v>
      </c>
      <c r="K8135" t="s">
        <v>2194</v>
      </c>
      <c r="L8135" t="s">
        <v>285</v>
      </c>
      <c r="M8135" t="str">
        <f t="shared" si="602"/>
        <v>10</v>
      </c>
      <c r="N8135" t="s">
        <v>12</v>
      </c>
    </row>
    <row r="8136" spans="1:14" x14ac:dyDescent="0.25">
      <c r="A8136">
        <v>20151009</v>
      </c>
      <c r="B8136" t="str">
        <f>"060597"</f>
        <v>060597</v>
      </c>
      <c r="C8136" t="str">
        <f>"50020"</f>
        <v>50020</v>
      </c>
      <c r="D8136" t="s">
        <v>6591</v>
      </c>
      <c r="E8136" s="3">
        <v>26.62</v>
      </c>
      <c r="F8136">
        <v>20151008</v>
      </c>
      <c r="G8136" t="s">
        <v>6592</v>
      </c>
      <c r="H8136" t="s">
        <v>6593</v>
      </c>
      <c r="I8136">
        <v>0</v>
      </c>
      <c r="J8136" t="s">
        <v>6578</v>
      </c>
      <c r="K8136" t="s">
        <v>290</v>
      </c>
      <c r="L8136" t="s">
        <v>285</v>
      </c>
      <c r="M8136" t="str">
        <f t="shared" si="602"/>
        <v>10</v>
      </c>
      <c r="N8136" t="s">
        <v>12</v>
      </c>
    </row>
    <row r="8137" spans="1:14" x14ac:dyDescent="0.25">
      <c r="A8137">
        <v>20151009</v>
      </c>
      <c r="B8137" t="str">
        <f>"060597"</f>
        <v>060597</v>
      </c>
      <c r="C8137" t="str">
        <f>"50020"</f>
        <v>50020</v>
      </c>
      <c r="D8137" t="s">
        <v>6591</v>
      </c>
      <c r="E8137" s="3">
        <v>26.64</v>
      </c>
      <c r="F8137">
        <v>20151008</v>
      </c>
      <c r="G8137" t="s">
        <v>6583</v>
      </c>
      <c r="H8137" t="s">
        <v>6593</v>
      </c>
      <c r="I8137">
        <v>0</v>
      </c>
      <c r="J8137" t="s">
        <v>6578</v>
      </c>
      <c r="K8137" t="s">
        <v>95</v>
      </c>
      <c r="L8137" t="s">
        <v>285</v>
      </c>
      <c r="M8137" t="str">
        <f t="shared" si="602"/>
        <v>10</v>
      </c>
      <c r="N8137" t="s">
        <v>12</v>
      </c>
    </row>
    <row r="8138" spans="1:14" x14ac:dyDescent="0.25">
      <c r="A8138">
        <v>20151009</v>
      </c>
      <c r="B8138" t="str">
        <f>"060597"</f>
        <v>060597</v>
      </c>
      <c r="C8138" t="str">
        <f>"50020"</f>
        <v>50020</v>
      </c>
      <c r="D8138" t="s">
        <v>6591</v>
      </c>
      <c r="E8138" s="3">
        <v>26.64</v>
      </c>
      <c r="F8138">
        <v>20151008</v>
      </c>
      <c r="G8138" t="s">
        <v>6585</v>
      </c>
      <c r="H8138" t="s">
        <v>6593</v>
      </c>
      <c r="I8138">
        <v>0</v>
      </c>
      <c r="J8138" t="s">
        <v>6578</v>
      </c>
      <c r="K8138" t="s">
        <v>1643</v>
      </c>
      <c r="L8138" t="s">
        <v>285</v>
      </c>
      <c r="M8138" t="str">
        <f t="shared" si="602"/>
        <v>10</v>
      </c>
      <c r="N8138" t="s">
        <v>12</v>
      </c>
    </row>
    <row r="8139" spans="1:14" x14ac:dyDescent="0.25">
      <c r="A8139">
        <v>20151016</v>
      </c>
      <c r="B8139" t="str">
        <f>"060683"</f>
        <v>060683</v>
      </c>
      <c r="C8139" t="str">
        <f>"10571"</f>
        <v>10571</v>
      </c>
      <c r="D8139" t="s">
        <v>6594</v>
      </c>
      <c r="E8139" s="3">
        <v>188.6</v>
      </c>
      <c r="F8139">
        <v>20151015</v>
      </c>
      <c r="G8139" t="s">
        <v>6592</v>
      </c>
      <c r="H8139" t="s">
        <v>2679</v>
      </c>
      <c r="I8139">
        <v>0</v>
      </c>
      <c r="J8139" t="s">
        <v>6578</v>
      </c>
      <c r="K8139" t="s">
        <v>290</v>
      </c>
      <c r="L8139" t="s">
        <v>285</v>
      </c>
      <c r="M8139" t="str">
        <f t="shared" si="602"/>
        <v>10</v>
      </c>
      <c r="N8139" t="s">
        <v>12</v>
      </c>
    </row>
    <row r="8140" spans="1:14" x14ac:dyDescent="0.25">
      <c r="A8140">
        <v>20151016</v>
      </c>
      <c r="B8140" t="str">
        <f>"060704"</f>
        <v>060704</v>
      </c>
      <c r="C8140" t="str">
        <f>"21769"</f>
        <v>21769</v>
      </c>
      <c r="D8140" t="s">
        <v>1836</v>
      </c>
      <c r="E8140" s="3">
        <v>1479</v>
      </c>
      <c r="F8140">
        <v>20151015</v>
      </c>
      <c r="G8140" t="s">
        <v>6587</v>
      </c>
      <c r="H8140" t="s">
        <v>2474</v>
      </c>
      <c r="I8140">
        <v>0</v>
      </c>
      <c r="J8140" t="s">
        <v>6578</v>
      </c>
      <c r="K8140" t="s">
        <v>2194</v>
      </c>
      <c r="L8140" t="s">
        <v>285</v>
      </c>
      <c r="M8140" t="str">
        <f t="shared" si="602"/>
        <v>10</v>
      </c>
      <c r="N8140" t="s">
        <v>12</v>
      </c>
    </row>
    <row r="8141" spans="1:14" x14ac:dyDescent="0.25">
      <c r="A8141">
        <v>20151016</v>
      </c>
      <c r="B8141" t="str">
        <f t="shared" ref="B8141:B8148" si="603">"060718"</f>
        <v>060718</v>
      </c>
      <c r="C8141" t="str">
        <f t="shared" ref="C8141:C8148" si="604">"27900"</f>
        <v>27900</v>
      </c>
      <c r="D8141" t="s">
        <v>1596</v>
      </c>
      <c r="E8141" s="3">
        <v>100</v>
      </c>
      <c r="F8141">
        <v>20151015</v>
      </c>
      <c r="G8141" t="s">
        <v>6595</v>
      </c>
      <c r="H8141" t="s">
        <v>6596</v>
      </c>
      <c r="I8141">
        <v>0</v>
      </c>
      <c r="J8141" t="s">
        <v>6578</v>
      </c>
      <c r="K8141" t="s">
        <v>290</v>
      </c>
      <c r="L8141" t="s">
        <v>285</v>
      </c>
      <c r="M8141" t="str">
        <f t="shared" si="602"/>
        <v>10</v>
      </c>
      <c r="N8141" t="s">
        <v>12</v>
      </c>
    </row>
    <row r="8142" spans="1:14" x14ac:dyDescent="0.25">
      <c r="A8142">
        <v>20151016</v>
      </c>
      <c r="B8142" t="str">
        <f t="shared" si="603"/>
        <v>060718</v>
      </c>
      <c r="C8142" t="str">
        <f t="shared" si="604"/>
        <v>27900</v>
      </c>
      <c r="D8142" t="s">
        <v>1596</v>
      </c>
      <c r="E8142" s="3">
        <v>100</v>
      </c>
      <c r="F8142">
        <v>20151015</v>
      </c>
      <c r="G8142" t="s">
        <v>6595</v>
      </c>
      <c r="H8142" t="s">
        <v>6597</v>
      </c>
      <c r="I8142">
        <v>0</v>
      </c>
      <c r="J8142" t="s">
        <v>6578</v>
      </c>
      <c r="K8142" t="s">
        <v>290</v>
      </c>
      <c r="L8142" t="s">
        <v>285</v>
      </c>
      <c r="M8142" t="str">
        <f t="shared" si="602"/>
        <v>10</v>
      </c>
      <c r="N8142" t="s">
        <v>12</v>
      </c>
    </row>
    <row r="8143" spans="1:14" x14ac:dyDescent="0.25">
      <c r="A8143">
        <v>20151016</v>
      </c>
      <c r="B8143" t="str">
        <f t="shared" si="603"/>
        <v>060718</v>
      </c>
      <c r="C8143" t="str">
        <f t="shared" si="604"/>
        <v>27900</v>
      </c>
      <c r="D8143" t="s">
        <v>1596</v>
      </c>
      <c r="E8143" s="3">
        <v>100</v>
      </c>
      <c r="F8143">
        <v>20151015</v>
      </c>
      <c r="G8143" t="s">
        <v>6595</v>
      </c>
      <c r="H8143" t="s">
        <v>6598</v>
      </c>
      <c r="I8143">
        <v>0</v>
      </c>
      <c r="J8143" t="s">
        <v>6578</v>
      </c>
      <c r="K8143" t="s">
        <v>290</v>
      </c>
      <c r="L8143" t="s">
        <v>285</v>
      </c>
      <c r="M8143" t="str">
        <f t="shared" si="602"/>
        <v>10</v>
      </c>
      <c r="N8143" t="s">
        <v>12</v>
      </c>
    </row>
    <row r="8144" spans="1:14" x14ac:dyDescent="0.25">
      <c r="A8144">
        <v>20151016</v>
      </c>
      <c r="B8144" t="str">
        <f t="shared" si="603"/>
        <v>060718</v>
      </c>
      <c r="C8144" t="str">
        <f t="shared" si="604"/>
        <v>27900</v>
      </c>
      <c r="D8144" t="s">
        <v>1596</v>
      </c>
      <c r="E8144" s="3">
        <v>125</v>
      </c>
      <c r="F8144">
        <v>20151015</v>
      </c>
      <c r="G8144" t="s">
        <v>6599</v>
      </c>
      <c r="H8144" t="s">
        <v>6600</v>
      </c>
      <c r="I8144">
        <v>0</v>
      </c>
      <c r="J8144" t="s">
        <v>6578</v>
      </c>
      <c r="K8144" t="s">
        <v>95</v>
      </c>
      <c r="L8144" t="s">
        <v>285</v>
      </c>
      <c r="M8144" t="str">
        <f t="shared" si="602"/>
        <v>10</v>
      </c>
      <c r="N8144" t="s">
        <v>12</v>
      </c>
    </row>
    <row r="8145" spans="1:14" x14ac:dyDescent="0.25">
      <c r="A8145">
        <v>20151016</v>
      </c>
      <c r="B8145" t="str">
        <f t="shared" si="603"/>
        <v>060718</v>
      </c>
      <c r="C8145" t="str">
        <f t="shared" si="604"/>
        <v>27900</v>
      </c>
      <c r="D8145" t="s">
        <v>1596</v>
      </c>
      <c r="E8145" s="3">
        <v>100</v>
      </c>
      <c r="F8145">
        <v>20151015</v>
      </c>
      <c r="G8145" t="s">
        <v>6599</v>
      </c>
      <c r="H8145" t="s">
        <v>6597</v>
      </c>
      <c r="I8145">
        <v>0</v>
      </c>
      <c r="J8145" t="s">
        <v>6578</v>
      </c>
      <c r="K8145" t="s">
        <v>95</v>
      </c>
      <c r="L8145" t="s">
        <v>285</v>
      </c>
      <c r="M8145" t="str">
        <f t="shared" si="602"/>
        <v>10</v>
      </c>
      <c r="N8145" t="s">
        <v>12</v>
      </c>
    </row>
    <row r="8146" spans="1:14" x14ac:dyDescent="0.25">
      <c r="A8146">
        <v>20151016</v>
      </c>
      <c r="B8146" t="str">
        <f t="shared" si="603"/>
        <v>060718</v>
      </c>
      <c r="C8146" t="str">
        <f t="shared" si="604"/>
        <v>27900</v>
      </c>
      <c r="D8146" t="s">
        <v>1596</v>
      </c>
      <c r="E8146" s="3">
        <v>200</v>
      </c>
      <c r="F8146">
        <v>20151015</v>
      </c>
      <c r="G8146" t="s">
        <v>6601</v>
      </c>
      <c r="H8146" t="s">
        <v>6597</v>
      </c>
      <c r="I8146">
        <v>0</v>
      </c>
      <c r="J8146" t="s">
        <v>6578</v>
      </c>
      <c r="K8146" t="s">
        <v>1643</v>
      </c>
      <c r="L8146" t="s">
        <v>285</v>
      </c>
      <c r="M8146" t="str">
        <f t="shared" si="602"/>
        <v>10</v>
      </c>
      <c r="N8146" t="s">
        <v>12</v>
      </c>
    </row>
    <row r="8147" spans="1:14" x14ac:dyDescent="0.25">
      <c r="A8147">
        <v>20151016</v>
      </c>
      <c r="B8147" t="str">
        <f t="shared" si="603"/>
        <v>060718</v>
      </c>
      <c r="C8147" t="str">
        <f t="shared" si="604"/>
        <v>27900</v>
      </c>
      <c r="D8147" t="s">
        <v>1596</v>
      </c>
      <c r="E8147" s="3">
        <v>200</v>
      </c>
      <c r="F8147">
        <v>20151015</v>
      </c>
      <c r="G8147" t="s">
        <v>6602</v>
      </c>
      <c r="H8147" t="s">
        <v>6603</v>
      </c>
      <c r="I8147">
        <v>0</v>
      </c>
      <c r="J8147" t="s">
        <v>6578</v>
      </c>
      <c r="K8147" t="s">
        <v>2194</v>
      </c>
      <c r="L8147" t="s">
        <v>285</v>
      </c>
      <c r="M8147" t="str">
        <f t="shared" si="602"/>
        <v>10</v>
      </c>
      <c r="N8147" t="s">
        <v>12</v>
      </c>
    </row>
    <row r="8148" spans="1:14" x14ac:dyDescent="0.25">
      <c r="A8148">
        <v>20151016</v>
      </c>
      <c r="B8148" t="str">
        <f t="shared" si="603"/>
        <v>060718</v>
      </c>
      <c r="C8148" t="str">
        <f t="shared" si="604"/>
        <v>27900</v>
      </c>
      <c r="D8148" t="s">
        <v>1596</v>
      </c>
      <c r="E8148" s="3">
        <v>100</v>
      </c>
      <c r="F8148">
        <v>20151015</v>
      </c>
      <c r="G8148" t="s">
        <v>6602</v>
      </c>
      <c r="H8148" t="s">
        <v>6604</v>
      </c>
      <c r="I8148">
        <v>0</v>
      </c>
      <c r="J8148" t="s">
        <v>6578</v>
      </c>
      <c r="K8148" t="s">
        <v>2194</v>
      </c>
      <c r="L8148" t="s">
        <v>285</v>
      </c>
      <c r="M8148" t="str">
        <f t="shared" si="602"/>
        <v>10</v>
      </c>
      <c r="N8148" t="s">
        <v>12</v>
      </c>
    </row>
    <row r="8149" spans="1:14" x14ac:dyDescent="0.25">
      <c r="A8149">
        <v>20151016</v>
      </c>
      <c r="B8149" t="str">
        <f>"060752"</f>
        <v>060752</v>
      </c>
      <c r="C8149" t="str">
        <f>"54495"</f>
        <v>54495</v>
      </c>
      <c r="D8149" t="s">
        <v>2756</v>
      </c>
      <c r="E8149" s="3">
        <v>1039.5</v>
      </c>
      <c r="F8149">
        <v>20151016</v>
      </c>
      <c r="G8149" t="s">
        <v>6589</v>
      </c>
      <c r="H8149" t="s">
        <v>6605</v>
      </c>
      <c r="I8149">
        <v>0</v>
      </c>
      <c r="J8149" t="s">
        <v>6578</v>
      </c>
      <c r="K8149" t="s">
        <v>2194</v>
      </c>
      <c r="L8149" t="s">
        <v>285</v>
      </c>
      <c r="M8149" t="str">
        <f t="shared" si="602"/>
        <v>10</v>
      </c>
      <c r="N8149" t="s">
        <v>12</v>
      </c>
    </row>
    <row r="8150" spans="1:14" x14ac:dyDescent="0.25">
      <c r="A8150">
        <v>20151016</v>
      </c>
      <c r="B8150" t="str">
        <f>"060752"</f>
        <v>060752</v>
      </c>
      <c r="C8150" t="str">
        <f>"54495"</f>
        <v>54495</v>
      </c>
      <c r="D8150" t="s">
        <v>2756</v>
      </c>
      <c r="E8150" s="3">
        <v>160</v>
      </c>
      <c r="F8150">
        <v>20151016</v>
      </c>
      <c r="G8150" t="s">
        <v>6589</v>
      </c>
      <c r="H8150" t="s">
        <v>6606</v>
      </c>
      <c r="I8150">
        <v>0</v>
      </c>
      <c r="J8150" t="s">
        <v>6578</v>
      </c>
      <c r="K8150" t="s">
        <v>2194</v>
      </c>
      <c r="L8150" t="s">
        <v>285</v>
      </c>
      <c r="M8150" t="str">
        <f t="shared" si="602"/>
        <v>10</v>
      </c>
      <c r="N8150" t="s">
        <v>12</v>
      </c>
    </row>
    <row r="8151" spans="1:14" x14ac:dyDescent="0.25">
      <c r="A8151">
        <v>20151016</v>
      </c>
      <c r="B8151" t="str">
        <f>"060780"</f>
        <v>060780</v>
      </c>
      <c r="C8151" t="str">
        <f>"64935"</f>
        <v>64935</v>
      </c>
      <c r="D8151" t="s">
        <v>2560</v>
      </c>
      <c r="E8151" s="3">
        <v>357.5</v>
      </c>
      <c r="F8151">
        <v>20151016</v>
      </c>
      <c r="G8151" t="s">
        <v>6587</v>
      </c>
      <c r="H8151" t="s">
        <v>2561</v>
      </c>
      <c r="I8151">
        <v>0</v>
      </c>
      <c r="J8151" t="s">
        <v>6578</v>
      </c>
      <c r="K8151" t="s">
        <v>2194</v>
      </c>
      <c r="L8151" t="s">
        <v>285</v>
      </c>
      <c r="M8151" t="str">
        <f t="shared" si="602"/>
        <v>10</v>
      </c>
      <c r="N8151" t="s">
        <v>12</v>
      </c>
    </row>
    <row r="8152" spans="1:14" x14ac:dyDescent="0.25">
      <c r="A8152">
        <v>20151016</v>
      </c>
      <c r="B8152" t="str">
        <f>"060793"</f>
        <v>060793</v>
      </c>
      <c r="C8152" t="str">
        <f>"74047"</f>
        <v>74047</v>
      </c>
      <c r="D8152" t="s">
        <v>6607</v>
      </c>
      <c r="E8152" s="3">
        <v>199.99</v>
      </c>
      <c r="F8152">
        <v>20151016</v>
      </c>
      <c r="G8152" t="s">
        <v>6608</v>
      </c>
      <c r="H8152" t="s">
        <v>6609</v>
      </c>
      <c r="I8152">
        <v>0</v>
      </c>
      <c r="J8152" t="s">
        <v>6578</v>
      </c>
      <c r="K8152" t="s">
        <v>33</v>
      </c>
      <c r="L8152" t="s">
        <v>285</v>
      </c>
      <c r="M8152" t="str">
        <f t="shared" si="602"/>
        <v>10</v>
      </c>
      <c r="N8152" t="s">
        <v>12</v>
      </c>
    </row>
    <row r="8153" spans="1:14" x14ac:dyDescent="0.25">
      <c r="A8153">
        <v>20151023</v>
      </c>
      <c r="B8153" t="str">
        <f>"060825"</f>
        <v>060825</v>
      </c>
      <c r="C8153" t="str">
        <f>"10200"</f>
        <v>10200</v>
      </c>
      <c r="D8153" t="s">
        <v>6610</v>
      </c>
      <c r="E8153" s="3">
        <v>17.48</v>
      </c>
      <c r="F8153">
        <v>20151021</v>
      </c>
      <c r="G8153" t="s">
        <v>6585</v>
      </c>
      <c r="H8153" t="s">
        <v>5194</v>
      </c>
      <c r="I8153">
        <v>0</v>
      </c>
      <c r="J8153" t="s">
        <v>6578</v>
      </c>
      <c r="K8153" t="s">
        <v>1643</v>
      </c>
      <c r="L8153" t="s">
        <v>285</v>
      </c>
      <c r="M8153" t="str">
        <f t="shared" si="602"/>
        <v>10</v>
      </c>
      <c r="N8153" t="s">
        <v>12</v>
      </c>
    </row>
    <row r="8154" spans="1:14" x14ac:dyDescent="0.25">
      <c r="A8154">
        <v>20151023</v>
      </c>
      <c r="B8154" t="str">
        <f>"060867"</f>
        <v>060867</v>
      </c>
      <c r="C8154" t="str">
        <f>"46850"</f>
        <v>46850</v>
      </c>
      <c r="D8154" t="s">
        <v>2677</v>
      </c>
      <c r="E8154" s="3">
        <v>263.08999999999997</v>
      </c>
      <c r="F8154">
        <v>20151021</v>
      </c>
      <c r="G8154" t="s">
        <v>6583</v>
      </c>
      <c r="H8154" t="s">
        <v>2679</v>
      </c>
      <c r="I8154">
        <v>0</v>
      </c>
      <c r="J8154" t="s">
        <v>6578</v>
      </c>
      <c r="K8154" t="s">
        <v>95</v>
      </c>
      <c r="L8154" t="s">
        <v>285</v>
      </c>
      <c r="M8154" t="str">
        <f t="shared" si="602"/>
        <v>10</v>
      </c>
      <c r="N8154" t="s">
        <v>12</v>
      </c>
    </row>
    <row r="8155" spans="1:14" x14ac:dyDescent="0.25">
      <c r="A8155">
        <v>20151023</v>
      </c>
      <c r="B8155" t="str">
        <f>"060867"</f>
        <v>060867</v>
      </c>
      <c r="C8155" t="str">
        <f>"46850"</f>
        <v>46850</v>
      </c>
      <c r="D8155" t="s">
        <v>2677</v>
      </c>
      <c r="E8155" s="3">
        <v>275.37</v>
      </c>
      <c r="F8155">
        <v>20151021</v>
      </c>
      <c r="G8155" t="s">
        <v>6585</v>
      </c>
      <c r="H8155" t="s">
        <v>2679</v>
      </c>
      <c r="I8155">
        <v>0</v>
      </c>
      <c r="J8155" t="s">
        <v>6578</v>
      </c>
      <c r="K8155" t="s">
        <v>1643</v>
      </c>
      <c r="L8155" t="s">
        <v>285</v>
      </c>
      <c r="M8155" t="str">
        <f t="shared" si="602"/>
        <v>10</v>
      </c>
      <c r="N8155" t="s">
        <v>12</v>
      </c>
    </row>
    <row r="8156" spans="1:14" x14ac:dyDescent="0.25">
      <c r="A8156">
        <v>20151023</v>
      </c>
      <c r="B8156" t="str">
        <f>"060872"</f>
        <v>060872</v>
      </c>
      <c r="C8156" t="str">
        <f>"54149"</f>
        <v>54149</v>
      </c>
      <c r="D8156" t="s">
        <v>1617</v>
      </c>
      <c r="E8156" s="3">
        <v>45.56</v>
      </c>
      <c r="F8156">
        <v>20151021</v>
      </c>
      <c r="G8156" t="s">
        <v>6586</v>
      </c>
      <c r="H8156" t="s">
        <v>6611</v>
      </c>
      <c r="I8156">
        <v>0</v>
      </c>
      <c r="J8156" t="s">
        <v>6578</v>
      </c>
      <c r="K8156" t="s">
        <v>33</v>
      </c>
      <c r="L8156" t="s">
        <v>285</v>
      </c>
      <c r="M8156" t="str">
        <f t="shared" si="602"/>
        <v>10</v>
      </c>
      <c r="N8156" t="s">
        <v>12</v>
      </c>
    </row>
    <row r="8157" spans="1:14" x14ac:dyDescent="0.25">
      <c r="A8157">
        <v>20151023</v>
      </c>
      <c r="B8157" t="str">
        <f>"060883"</f>
        <v>060883</v>
      </c>
      <c r="C8157" t="str">
        <f>"60603"</f>
        <v>60603</v>
      </c>
      <c r="D8157" t="s">
        <v>2702</v>
      </c>
      <c r="E8157" s="3">
        <v>67.98</v>
      </c>
      <c r="F8157">
        <v>20151022</v>
      </c>
      <c r="G8157" t="s">
        <v>6585</v>
      </c>
      <c r="H8157" t="s">
        <v>6612</v>
      </c>
      <c r="I8157">
        <v>0</v>
      </c>
      <c r="J8157" t="s">
        <v>6578</v>
      </c>
      <c r="K8157" t="s">
        <v>1643</v>
      </c>
      <c r="L8157" t="s">
        <v>285</v>
      </c>
      <c r="M8157" t="str">
        <f t="shared" si="602"/>
        <v>10</v>
      </c>
      <c r="N8157" t="s">
        <v>12</v>
      </c>
    </row>
    <row r="8158" spans="1:14" x14ac:dyDescent="0.25">
      <c r="A8158">
        <v>20151023</v>
      </c>
      <c r="B8158" t="str">
        <f>"060883"</f>
        <v>060883</v>
      </c>
      <c r="C8158" t="str">
        <f>"60603"</f>
        <v>60603</v>
      </c>
      <c r="D8158" t="s">
        <v>2702</v>
      </c>
      <c r="E8158" s="3">
        <v>88.98</v>
      </c>
      <c r="F8158">
        <v>20151022</v>
      </c>
      <c r="G8158" t="s">
        <v>6585</v>
      </c>
      <c r="H8158" t="s">
        <v>6613</v>
      </c>
      <c r="I8158">
        <v>0</v>
      </c>
      <c r="J8158" t="s">
        <v>6578</v>
      </c>
      <c r="K8158" t="s">
        <v>1643</v>
      </c>
      <c r="L8158" t="s">
        <v>285</v>
      </c>
      <c r="M8158" t="str">
        <f t="shared" si="602"/>
        <v>10</v>
      </c>
      <c r="N8158" t="s">
        <v>12</v>
      </c>
    </row>
    <row r="8159" spans="1:14" x14ac:dyDescent="0.25">
      <c r="A8159">
        <v>20151023</v>
      </c>
      <c r="B8159" t="str">
        <f>"060895"</f>
        <v>060895</v>
      </c>
      <c r="C8159" t="str">
        <f>"72730"</f>
        <v>72730</v>
      </c>
      <c r="D8159" t="s">
        <v>1926</v>
      </c>
      <c r="E8159" s="3">
        <v>14.24</v>
      </c>
      <c r="F8159">
        <v>20151022</v>
      </c>
      <c r="G8159" t="s">
        <v>6592</v>
      </c>
      <c r="H8159" t="s">
        <v>6614</v>
      </c>
      <c r="I8159">
        <v>0</v>
      </c>
      <c r="J8159" t="s">
        <v>6578</v>
      </c>
      <c r="K8159" t="s">
        <v>290</v>
      </c>
      <c r="L8159" t="s">
        <v>285</v>
      </c>
      <c r="M8159" t="str">
        <f t="shared" si="602"/>
        <v>10</v>
      </c>
      <c r="N8159" t="s">
        <v>12</v>
      </c>
    </row>
    <row r="8160" spans="1:14" x14ac:dyDescent="0.25">
      <c r="A8160">
        <v>20151023</v>
      </c>
      <c r="B8160" t="str">
        <f>"060895"</f>
        <v>060895</v>
      </c>
      <c r="C8160" t="str">
        <f>"72730"</f>
        <v>72730</v>
      </c>
      <c r="D8160" t="s">
        <v>1926</v>
      </c>
      <c r="E8160" s="3">
        <v>71.05</v>
      </c>
      <c r="F8160">
        <v>20151022</v>
      </c>
      <c r="G8160" t="s">
        <v>6583</v>
      </c>
      <c r="H8160" t="s">
        <v>6615</v>
      </c>
      <c r="I8160">
        <v>0</v>
      </c>
      <c r="J8160" t="s">
        <v>6578</v>
      </c>
      <c r="K8160" t="s">
        <v>95</v>
      </c>
      <c r="L8160" t="s">
        <v>285</v>
      </c>
      <c r="M8160" t="str">
        <f t="shared" si="602"/>
        <v>10</v>
      </c>
      <c r="N8160" t="s">
        <v>12</v>
      </c>
    </row>
    <row r="8161" spans="1:14" x14ac:dyDescent="0.25">
      <c r="A8161">
        <v>20151023</v>
      </c>
      <c r="B8161" t="str">
        <f>"060895"</f>
        <v>060895</v>
      </c>
      <c r="C8161" t="str">
        <f>"72730"</f>
        <v>72730</v>
      </c>
      <c r="D8161" t="s">
        <v>1926</v>
      </c>
      <c r="E8161" s="3">
        <v>99.91</v>
      </c>
      <c r="F8161">
        <v>20151022</v>
      </c>
      <c r="G8161" t="s">
        <v>6585</v>
      </c>
      <c r="H8161" t="s">
        <v>6616</v>
      </c>
      <c r="I8161">
        <v>0</v>
      </c>
      <c r="J8161" t="s">
        <v>6578</v>
      </c>
      <c r="K8161" t="s">
        <v>1643</v>
      </c>
      <c r="L8161" t="s">
        <v>285</v>
      </c>
      <c r="M8161" t="str">
        <f t="shared" si="602"/>
        <v>10</v>
      </c>
      <c r="N8161" t="s">
        <v>12</v>
      </c>
    </row>
    <row r="8162" spans="1:14" x14ac:dyDescent="0.25">
      <c r="A8162">
        <v>20151023</v>
      </c>
      <c r="B8162" t="str">
        <f>"060895"</f>
        <v>060895</v>
      </c>
      <c r="C8162" t="str">
        <f>"72730"</f>
        <v>72730</v>
      </c>
      <c r="D8162" t="s">
        <v>1926</v>
      </c>
      <c r="E8162" s="3">
        <v>57.19</v>
      </c>
      <c r="F8162">
        <v>20151022</v>
      </c>
      <c r="G8162" t="s">
        <v>6586</v>
      </c>
      <c r="H8162" t="s">
        <v>6617</v>
      </c>
      <c r="I8162">
        <v>0</v>
      </c>
      <c r="J8162" t="s">
        <v>6578</v>
      </c>
      <c r="K8162" t="s">
        <v>33</v>
      </c>
      <c r="L8162" t="s">
        <v>285</v>
      </c>
      <c r="M8162" t="str">
        <f t="shared" si="602"/>
        <v>10</v>
      </c>
      <c r="N8162" t="s">
        <v>12</v>
      </c>
    </row>
    <row r="8163" spans="1:14" x14ac:dyDescent="0.25">
      <c r="A8163">
        <v>20151029</v>
      </c>
      <c r="B8163" t="str">
        <f>"060993"</f>
        <v>060993</v>
      </c>
      <c r="C8163" t="str">
        <f>"83022"</f>
        <v>83022</v>
      </c>
      <c r="D8163" t="s">
        <v>394</v>
      </c>
      <c r="E8163" s="3">
        <v>8.84</v>
      </c>
      <c r="F8163">
        <v>20151028</v>
      </c>
      <c r="G8163" t="s">
        <v>6586</v>
      </c>
      <c r="H8163" t="s">
        <v>6618</v>
      </c>
      <c r="I8163">
        <v>0</v>
      </c>
      <c r="J8163" t="s">
        <v>6578</v>
      </c>
      <c r="K8163" t="s">
        <v>33</v>
      </c>
      <c r="L8163" t="s">
        <v>285</v>
      </c>
      <c r="M8163" t="str">
        <f t="shared" si="602"/>
        <v>10</v>
      </c>
      <c r="N8163" t="s">
        <v>12</v>
      </c>
    </row>
    <row r="8164" spans="1:14" x14ac:dyDescent="0.25">
      <c r="A8164">
        <v>20151029</v>
      </c>
      <c r="B8164" t="str">
        <f>"060993"</f>
        <v>060993</v>
      </c>
      <c r="C8164" t="str">
        <f>"83022"</f>
        <v>83022</v>
      </c>
      <c r="D8164" t="s">
        <v>394</v>
      </c>
      <c r="E8164" s="3">
        <v>24.4</v>
      </c>
      <c r="F8164">
        <v>20151028</v>
      </c>
      <c r="G8164" t="s">
        <v>6586</v>
      </c>
      <c r="H8164" t="s">
        <v>6619</v>
      </c>
      <c r="I8164">
        <v>0</v>
      </c>
      <c r="J8164" t="s">
        <v>6578</v>
      </c>
      <c r="K8164" t="s">
        <v>33</v>
      </c>
      <c r="L8164" t="s">
        <v>285</v>
      </c>
      <c r="M8164" t="str">
        <f t="shared" si="602"/>
        <v>10</v>
      </c>
      <c r="N8164" t="s">
        <v>12</v>
      </c>
    </row>
    <row r="8165" spans="1:14" x14ac:dyDescent="0.25">
      <c r="A8165">
        <v>20151106</v>
      </c>
      <c r="B8165" t="str">
        <f>"060997"</f>
        <v>060997</v>
      </c>
      <c r="C8165" t="str">
        <f>"29779"</f>
        <v>29779</v>
      </c>
      <c r="D8165" t="s">
        <v>1806</v>
      </c>
      <c r="E8165" s="3">
        <v>818.74</v>
      </c>
      <c r="F8165">
        <v>20151103</v>
      </c>
      <c r="G8165" t="s">
        <v>6587</v>
      </c>
      <c r="H8165" t="s">
        <v>2051</v>
      </c>
      <c r="I8165">
        <v>0</v>
      </c>
      <c r="J8165" t="s">
        <v>6578</v>
      </c>
      <c r="K8165" t="s">
        <v>2194</v>
      </c>
      <c r="L8165" t="s">
        <v>285</v>
      </c>
      <c r="M8165" t="str">
        <f t="shared" ref="M8165:M8192" si="605">"11"</f>
        <v>11</v>
      </c>
      <c r="N8165" t="s">
        <v>12</v>
      </c>
    </row>
    <row r="8166" spans="1:14" x14ac:dyDescent="0.25">
      <c r="A8166">
        <v>20151106</v>
      </c>
      <c r="B8166" t="str">
        <f>"060997"</f>
        <v>060997</v>
      </c>
      <c r="C8166" t="str">
        <f>"29779"</f>
        <v>29779</v>
      </c>
      <c r="D8166" t="s">
        <v>1806</v>
      </c>
      <c r="E8166" s="3">
        <v>400</v>
      </c>
      <c r="F8166">
        <v>20151103</v>
      </c>
      <c r="G8166" t="s">
        <v>6587</v>
      </c>
      <c r="H8166" t="s">
        <v>2813</v>
      </c>
      <c r="I8166">
        <v>0</v>
      </c>
      <c r="J8166" t="s">
        <v>6578</v>
      </c>
      <c r="K8166" t="s">
        <v>2194</v>
      </c>
      <c r="L8166" t="s">
        <v>285</v>
      </c>
      <c r="M8166" t="str">
        <f t="shared" si="605"/>
        <v>11</v>
      </c>
      <c r="N8166" t="s">
        <v>12</v>
      </c>
    </row>
    <row r="8167" spans="1:14" x14ac:dyDescent="0.25">
      <c r="A8167">
        <v>20151106</v>
      </c>
      <c r="B8167" t="str">
        <f>"060997"</f>
        <v>060997</v>
      </c>
      <c r="C8167" t="str">
        <f>"29779"</f>
        <v>29779</v>
      </c>
      <c r="D8167" t="s">
        <v>1806</v>
      </c>
      <c r="E8167" s="3">
        <v>818.74</v>
      </c>
      <c r="F8167">
        <v>20151103</v>
      </c>
      <c r="G8167" t="s">
        <v>6587</v>
      </c>
      <c r="H8167" t="s">
        <v>2051</v>
      </c>
      <c r="I8167">
        <v>0</v>
      </c>
      <c r="J8167" t="s">
        <v>6578</v>
      </c>
      <c r="K8167" t="s">
        <v>2194</v>
      </c>
      <c r="L8167" t="s">
        <v>285</v>
      </c>
      <c r="M8167" t="str">
        <f t="shared" si="605"/>
        <v>11</v>
      </c>
      <c r="N8167" t="s">
        <v>12</v>
      </c>
    </row>
    <row r="8168" spans="1:14" x14ac:dyDescent="0.25">
      <c r="A8168">
        <v>20151106</v>
      </c>
      <c r="B8168" t="str">
        <f>"060997"</f>
        <v>060997</v>
      </c>
      <c r="C8168" t="str">
        <f>"29779"</f>
        <v>29779</v>
      </c>
      <c r="D8168" t="s">
        <v>1806</v>
      </c>
      <c r="E8168" s="3">
        <v>1062.48</v>
      </c>
      <c r="F8168">
        <v>20151103</v>
      </c>
      <c r="G8168" t="s">
        <v>6587</v>
      </c>
      <c r="H8168" t="s">
        <v>2051</v>
      </c>
      <c r="I8168">
        <v>0</v>
      </c>
      <c r="J8168" t="s">
        <v>6578</v>
      </c>
      <c r="K8168" t="s">
        <v>2194</v>
      </c>
      <c r="L8168" t="s">
        <v>285</v>
      </c>
      <c r="M8168" t="str">
        <f t="shared" si="605"/>
        <v>11</v>
      </c>
      <c r="N8168" t="s">
        <v>12</v>
      </c>
    </row>
    <row r="8169" spans="1:14" x14ac:dyDescent="0.25">
      <c r="A8169">
        <v>20151106</v>
      </c>
      <c r="B8169" t="str">
        <f>"060997"</f>
        <v>060997</v>
      </c>
      <c r="C8169" t="str">
        <f>"29779"</f>
        <v>29779</v>
      </c>
      <c r="D8169" t="s">
        <v>1806</v>
      </c>
      <c r="E8169" s="3">
        <v>2240</v>
      </c>
      <c r="F8169">
        <v>20151103</v>
      </c>
      <c r="G8169" t="s">
        <v>6587</v>
      </c>
      <c r="H8169" t="s">
        <v>6620</v>
      </c>
      <c r="I8169">
        <v>0</v>
      </c>
      <c r="J8169" t="s">
        <v>6578</v>
      </c>
      <c r="K8169" t="s">
        <v>2194</v>
      </c>
      <c r="L8169" t="s">
        <v>285</v>
      </c>
      <c r="M8169" t="str">
        <f t="shared" si="605"/>
        <v>11</v>
      </c>
      <c r="N8169" t="s">
        <v>12</v>
      </c>
    </row>
    <row r="8170" spans="1:14" x14ac:dyDescent="0.25">
      <c r="A8170">
        <v>20151106</v>
      </c>
      <c r="B8170" t="str">
        <f>"061060"</f>
        <v>061060</v>
      </c>
      <c r="C8170" t="str">
        <f>"74047"</f>
        <v>74047</v>
      </c>
      <c r="D8170" t="s">
        <v>6607</v>
      </c>
      <c r="E8170" s="3">
        <v>759.96</v>
      </c>
      <c r="F8170">
        <v>20151103</v>
      </c>
      <c r="G8170" t="s">
        <v>6601</v>
      </c>
      <c r="H8170" t="s">
        <v>6609</v>
      </c>
      <c r="I8170">
        <v>0</v>
      </c>
      <c r="J8170" t="s">
        <v>6578</v>
      </c>
      <c r="K8170" t="s">
        <v>1643</v>
      </c>
      <c r="L8170" t="s">
        <v>285</v>
      </c>
      <c r="M8170" t="str">
        <f t="shared" si="605"/>
        <v>11</v>
      </c>
      <c r="N8170" t="s">
        <v>12</v>
      </c>
    </row>
    <row r="8171" spans="1:14" x14ac:dyDescent="0.25">
      <c r="A8171">
        <v>20151113</v>
      </c>
      <c r="B8171" t="str">
        <f>"061086"</f>
        <v>061086</v>
      </c>
      <c r="C8171" t="str">
        <f>"41234"</f>
        <v>41234</v>
      </c>
      <c r="D8171" t="s">
        <v>6621</v>
      </c>
      <c r="E8171" s="3">
        <v>441.45</v>
      </c>
      <c r="F8171">
        <v>20151112</v>
      </c>
      <c r="G8171" t="s">
        <v>6602</v>
      </c>
      <c r="H8171" t="s">
        <v>6622</v>
      </c>
      <c r="I8171">
        <v>0</v>
      </c>
      <c r="J8171" t="s">
        <v>6578</v>
      </c>
      <c r="K8171" t="s">
        <v>2194</v>
      </c>
      <c r="L8171" t="s">
        <v>285</v>
      </c>
      <c r="M8171" t="str">
        <f t="shared" si="605"/>
        <v>11</v>
      </c>
      <c r="N8171" t="s">
        <v>12</v>
      </c>
    </row>
    <row r="8172" spans="1:14" x14ac:dyDescent="0.25">
      <c r="A8172">
        <v>20151113</v>
      </c>
      <c r="B8172" t="str">
        <f>"061087"</f>
        <v>061087</v>
      </c>
      <c r="C8172" t="str">
        <f>"41234"</f>
        <v>41234</v>
      </c>
      <c r="D8172" t="s">
        <v>6621</v>
      </c>
      <c r="E8172" s="3">
        <v>441.45</v>
      </c>
      <c r="F8172">
        <v>20151112</v>
      </c>
      <c r="G8172" t="s">
        <v>6623</v>
      </c>
      <c r="H8172" t="s">
        <v>6622</v>
      </c>
      <c r="I8172">
        <v>0</v>
      </c>
      <c r="J8172" t="s">
        <v>6578</v>
      </c>
      <c r="K8172" t="s">
        <v>2194</v>
      </c>
      <c r="L8172" t="s">
        <v>285</v>
      </c>
      <c r="M8172" t="str">
        <f t="shared" si="605"/>
        <v>11</v>
      </c>
      <c r="N8172" t="s">
        <v>12</v>
      </c>
    </row>
    <row r="8173" spans="1:14" x14ac:dyDescent="0.25">
      <c r="A8173">
        <v>20151113</v>
      </c>
      <c r="B8173" t="str">
        <f>"061098"</f>
        <v>061098</v>
      </c>
      <c r="C8173" t="str">
        <f>"54218"</f>
        <v>54218</v>
      </c>
      <c r="D8173" t="s">
        <v>6624</v>
      </c>
      <c r="E8173" s="3">
        <v>370</v>
      </c>
      <c r="F8173">
        <v>20151112</v>
      </c>
      <c r="G8173" t="s">
        <v>6623</v>
      </c>
      <c r="H8173" t="s">
        <v>6622</v>
      </c>
      <c r="I8173">
        <v>0</v>
      </c>
      <c r="J8173" t="s">
        <v>6578</v>
      </c>
      <c r="K8173" t="s">
        <v>2194</v>
      </c>
      <c r="L8173" t="s">
        <v>285</v>
      </c>
      <c r="M8173" t="str">
        <f t="shared" si="605"/>
        <v>11</v>
      </c>
      <c r="N8173" t="s">
        <v>12</v>
      </c>
    </row>
    <row r="8174" spans="1:14" x14ac:dyDescent="0.25">
      <c r="A8174">
        <v>20151113</v>
      </c>
      <c r="B8174" t="str">
        <f>"061098"</f>
        <v>061098</v>
      </c>
      <c r="C8174" t="str">
        <f>"54218"</f>
        <v>54218</v>
      </c>
      <c r="D8174" t="s">
        <v>6624</v>
      </c>
      <c r="E8174" s="3">
        <v>500</v>
      </c>
      <c r="F8174">
        <v>20151112</v>
      </c>
      <c r="G8174" t="s">
        <v>6602</v>
      </c>
      <c r="H8174" t="s">
        <v>6622</v>
      </c>
      <c r="I8174">
        <v>0</v>
      </c>
      <c r="J8174" t="s">
        <v>6578</v>
      </c>
      <c r="K8174" t="s">
        <v>2194</v>
      </c>
      <c r="L8174" t="s">
        <v>285</v>
      </c>
      <c r="M8174" t="str">
        <f t="shared" si="605"/>
        <v>11</v>
      </c>
      <c r="N8174" t="s">
        <v>12</v>
      </c>
    </row>
    <row r="8175" spans="1:14" x14ac:dyDescent="0.25">
      <c r="A8175">
        <v>20151120</v>
      </c>
      <c r="B8175" t="str">
        <f>"061118"</f>
        <v>061118</v>
      </c>
      <c r="C8175" t="str">
        <f>"29779"</f>
        <v>29779</v>
      </c>
      <c r="D8175" t="s">
        <v>1806</v>
      </c>
      <c r="E8175" s="3">
        <v>1062.48</v>
      </c>
      <c r="F8175">
        <v>20151118</v>
      </c>
      <c r="G8175" t="s">
        <v>6587</v>
      </c>
      <c r="H8175" t="s">
        <v>2051</v>
      </c>
      <c r="I8175">
        <v>0</v>
      </c>
      <c r="J8175" t="s">
        <v>6578</v>
      </c>
      <c r="K8175" t="s">
        <v>2194</v>
      </c>
      <c r="L8175" t="s">
        <v>285</v>
      </c>
      <c r="M8175" t="str">
        <f t="shared" si="605"/>
        <v>11</v>
      </c>
      <c r="N8175" t="s">
        <v>12</v>
      </c>
    </row>
    <row r="8176" spans="1:14" x14ac:dyDescent="0.25">
      <c r="A8176">
        <v>20151120</v>
      </c>
      <c r="B8176" t="str">
        <f>"061118"</f>
        <v>061118</v>
      </c>
      <c r="C8176" t="str">
        <f>"29779"</f>
        <v>29779</v>
      </c>
      <c r="D8176" t="s">
        <v>1806</v>
      </c>
      <c r="E8176" s="3">
        <v>109.48</v>
      </c>
      <c r="F8176">
        <v>20151118</v>
      </c>
      <c r="G8176" t="s">
        <v>6587</v>
      </c>
      <c r="H8176" t="s">
        <v>2051</v>
      </c>
      <c r="I8176">
        <v>0</v>
      </c>
      <c r="J8176" t="s">
        <v>6578</v>
      </c>
      <c r="K8176" t="s">
        <v>2194</v>
      </c>
      <c r="L8176" t="s">
        <v>285</v>
      </c>
      <c r="M8176" t="str">
        <f t="shared" si="605"/>
        <v>11</v>
      </c>
      <c r="N8176" t="s">
        <v>12</v>
      </c>
    </row>
    <row r="8177" spans="1:14" x14ac:dyDescent="0.25">
      <c r="A8177">
        <v>20151120</v>
      </c>
      <c r="B8177" t="str">
        <f>"061118"</f>
        <v>061118</v>
      </c>
      <c r="C8177" t="str">
        <f>"29779"</f>
        <v>29779</v>
      </c>
      <c r="D8177" t="s">
        <v>1806</v>
      </c>
      <c r="E8177" s="3">
        <v>700</v>
      </c>
      <c r="F8177">
        <v>20151118</v>
      </c>
      <c r="G8177" t="s">
        <v>6587</v>
      </c>
      <c r="H8177" t="s">
        <v>6625</v>
      </c>
      <c r="I8177">
        <v>0</v>
      </c>
      <c r="J8177" t="s">
        <v>6578</v>
      </c>
      <c r="K8177" t="s">
        <v>2194</v>
      </c>
      <c r="L8177" t="s">
        <v>285</v>
      </c>
      <c r="M8177" t="str">
        <f t="shared" si="605"/>
        <v>11</v>
      </c>
      <c r="N8177" t="s">
        <v>12</v>
      </c>
    </row>
    <row r="8178" spans="1:14" x14ac:dyDescent="0.25">
      <c r="A8178">
        <v>20151120</v>
      </c>
      <c r="B8178" t="str">
        <f>"061137"</f>
        <v>061137</v>
      </c>
      <c r="C8178" t="str">
        <f>"74150"</f>
        <v>74150</v>
      </c>
      <c r="D8178" t="s">
        <v>3047</v>
      </c>
      <c r="E8178" s="3">
        <v>1926.82</v>
      </c>
      <c r="F8178">
        <v>20151118</v>
      </c>
      <c r="G8178" t="s">
        <v>6587</v>
      </c>
      <c r="H8178" t="s">
        <v>3048</v>
      </c>
      <c r="I8178">
        <v>0</v>
      </c>
      <c r="J8178" t="s">
        <v>6578</v>
      </c>
      <c r="K8178" t="s">
        <v>2194</v>
      </c>
      <c r="L8178" t="s">
        <v>285</v>
      </c>
      <c r="M8178" t="str">
        <f t="shared" si="605"/>
        <v>11</v>
      </c>
      <c r="N8178" t="s">
        <v>12</v>
      </c>
    </row>
    <row r="8179" spans="1:14" x14ac:dyDescent="0.25">
      <c r="A8179">
        <v>20151120</v>
      </c>
      <c r="B8179" t="str">
        <f>"061137"</f>
        <v>061137</v>
      </c>
      <c r="C8179" t="str">
        <f>"74150"</f>
        <v>74150</v>
      </c>
      <c r="D8179" t="s">
        <v>3047</v>
      </c>
      <c r="E8179" s="3">
        <v>726.63</v>
      </c>
      <c r="F8179">
        <v>20151118</v>
      </c>
      <c r="G8179" t="s">
        <v>6587</v>
      </c>
      <c r="H8179" t="s">
        <v>3049</v>
      </c>
      <c r="I8179">
        <v>0</v>
      </c>
      <c r="J8179" t="s">
        <v>6578</v>
      </c>
      <c r="K8179" t="s">
        <v>2194</v>
      </c>
      <c r="L8179" t="s">
        <v>285</v>
      </c>
      <c r="M8179" t="str">
        <f t="shared" si="605"/>
        <v>11</v>
      </c>
      <c r="N8179" t="s">
        <v>12</v>
      </c>
    </row>
    <row r="8180" spans="1:14" x14ac:dyDescent="0.25">
      <c r="A8180">
        <v>20151120</v>
      </c>
      <c r="B8180" t="str">
        <f>"061143"</f>
        <v>061143</v>
      </c>
      <c r="C8180" t="str">
        <f>"21769"</f>
        <v>21769</v>
      </c>
      <c r="D8180" t="s">
        <v>1836</v>
      </c>
      <c r="E8180" s="3">
        <v>1500</v>
      </c>
      <c r="F8180">
        <v>20151118</v>
      </c>
      <c r="G8180" t="s">
        <v>6587</v>
      </c>
      <c r="H8180" t="s">
        <v>3056</v>
      </c>
      <c r="I8180">
        <v>0</v>
      </c>
      <c r="J8180" t="s">
        <v>6578</v>
      </c>
      <c r="K8180" t="s">
        <v>2194</v>
      </c>
      <c r="L8180" t="s">
        <v>285</v>
      </c>
      <c r="M8180" t="str">
        <f t="shared" si="605"/>
        <v>11</v>
      </c>
      <c r="N8180" t="s">
        <v>12</v>
      </c>
    </row>
    <row r="8181" spans="1:14" x14ac:dyDescent="0.25">
      <c r="A8181">
        <v>20151120</v>
      </c>
      <c r="B8181" t="str">
        <f>"061153"</f>
        <v>061153</v>
      </c>
      <c r="C8181" t="str">
        <f>"27900"</f>
        <v>27900</v>
      </c>
      <c r="D8181" t="s">
        <v>1596</v>
      </c>
      <c r="E8181" s="3">
        <v>50</v>
      </c>
      <c r="F8181">
        <v>20151119</v>
      </c>
      <c r="G8181" t="s">
        <v>6595</v>
      </c>
      <c r="H8181" t="s">
        <v>6626</v>
      </c>
      <c r="I8181">
        <v>0</v>
      </c>
      <c r="J8181" t="s">
        <v>6578</v>
      </c>
      <c r="K8181" t="s">
        <v>290</v>
      </c>
      <c r="L8181" t="s">
        <v>285</v>
      </c>
      <c r="M8181" t="str">
        <f t="shared" si="605"/>
        <v>11</v>
      </c>
      <c r="N8181" t="s">
        <v>12</v>
      </c>
    </row>
    <row r="8182" spans="1:14" x14ac:dyDescent="0.25">
      <c r="A8182">
        <v>20151120</v>
      </c>
      <c r="B8182" t="str">
        <f>"061153"</f>
        <v>061153</v>
      </c>
      <c r="C8182" t="str">
        <f>"27900"</f>
        <v>27900</v>
      </c>
      <c r="D8182" t="s">
        <v>1596</v>
      </c>
      <c r="E8182" s="3">
        <v>100</v>
      </c>
      <c r="F8182">
        <v>20151119</v>
      </c>
      <c r="G8182" t="s">
        <v>6595</v>
      </c>
      <c r="H8182" t="s">
        <v>6627</v>
      </c>
      <c r="I8182">
        <v>0</v>
      </c>
      <c r="J8182" t="s">
        <v>6578</v>
      </c>
      <c r="K8182" t="s">
        <v>290</v>
      </c>
      <c r="L8182" t="s">
        <v>285</v>
      </c>
      <c r="M8182" t="str">
        <f t="shared" si="605"/>
        <v>11</v>
      </c>
      <c r="N8182" t="s">
        <v>12</v>
      </c>
    </row>
    <row r="8183" spans="1:14" x14ac:dyDescent="0.25">
      <c r="A8183">
        <v>20151120</v>
      </c>
      <c r="B8183" t="str">
        <f>"061153"</f>
        <v>061153</v>
      </c>
      <c r="C8183" t="str">
        <f>"27900"</f>
        <v>27900</v>
      </c>
      <c r="D8183" t="s">
        <v>1596</v>
      </c>
      <c r="E8183" s="3">
        <v>100</v>
      </c>
      <c r="F8183">
        <v>20151119</v>
      </c>
      <c r="G8183" t="s">
        <v>6602</v>
      </c>
      <c r="H8183" t="s">
        <v>6628</v>
      </c>
      <c r="I8183">
        <v>0</v>
      </c>
      <c r="J8183" t="s">
        <v>6578</v>
      </c>
      <c r="K8183" t="s">
        <v>2194</v>
      </c>
      <c r="L8183" t="s">
        <v>285</v>
      </c>
      <c r="M8183" t="str">
        <f t="shared" si="605"/>
        <v>11</v>
      </c>
      <c r="N8183" t="s">
        <v>12</v>
      </c>
    </row>
    <row r="8184" spans="1:14" x14ac:dyDescent="0.25">
      <c r="A8184">
        <v>20151120</v>
      </c>
      <c r="B8184" t="str">
        <f>"061153"</f>
        <v>061153</v>
      </c>
      <c r="C8184" t="str">
        <f>"27900"</f>
        <v>27900</v>
      </c>
      <c r="D8184" t="s">
        <v>1596</v>
      </c>
      <c r="E8184" s="3">
        <v>100</v>
      </c>
      <c r="F8184">
        <v>20151119</v>
      </c>
      <c r="G8184" t="s">
        <v>6602</v>
      </c>
      <c r="H8184" t="s">
        <v>6628</v>
      </c>
      <c r="I8184">
        <v>0</v>
      </c>
      <c r="J8184" t="s">
        <v>6578</v>
      </c>
      <c r="K8184" t="s">
        <v>2194</v>
      </c>
      <c r="L8184" t="s">
        <v>285</v>
      </c>
      <c r="M8184" t="str">
        <f t="shared" si="605"/>
        <v>11</v>
      </c>
      <c r="N8184" t="s">
        <v>12</v>
      </c>
    </row>
    <row r="8185" spans="1:14" x14ac:dyDescent="0.25">
      <c r="A8185">
        <v>20151120</v>
      </c>
      <c r="B8185" t="str">
        <f>"061153"</f>
        <v>061153</v>
      </c>
      <c r="C8185" t="str">
        <f>"27900"</f>
        <v>27900</v>
      </c>
      <c r="D8185" t="s">
        <v>1596</v>
      </c>
      <c r="E8185" s="3">
        <v>200</v>
      </c>
      <c r="F8185">
        <v>20151119</v>
      </c>
      <c r="G8185" t="s">
        <v>6602</v>
      </c>
      <c r="H8185" t="s">
        <v>6627</v>
      </c>
      <c r="I8185">
        <v>0</v>
      </c>
      <c r="J8185" t="s">
        <v>6578</v>
      </c>
      <c r="K8185" t="s">
        <v>2194</v>
      </c>
      <c r="L8185" t="s">
        <v>285</v>
      </c>
      <c r="M8185" t="str">
        <f t="shared" si="605"/>
        <v>11</v>
      </c>
      <c r="N8185" t="s">
        <v>12</v>
      </c>
    </row>
    <row r="8186" spans="1:14" x14ac:dyDescent="0.25">
      <c r="A8186">
        <v>20151120</v>
      </c>
      <c r="B8186" t="str">
        <f>"061191"</f>
        <v>061191</v>
      </c>
      <c r="C8186" t="str">
        <f>"54050"</f>
        <v>54050</v>
      </c>
      <c r="D8186" t="s">
        <v>4076</v>
      </c>
      <c r="E8186" s="3">
        <v>192</v>
      </c>
      <c r="F8186">
        <v>20151118</v>
      </c>
      <c r="G8186" t="s">
        <v>6589</v>
      </c>
      <c r="H8186" t="s">
        <v>6629</v>
      </c>
      <c r="I8186">
        <v>0</v>
      </c>
      <c r="J8186" t="s">
        <v>6578</v>
      </c>
      <c r="K8186" t="s">
        <v>2194</v>
      </c>
      <c r="L8186" t="s">
        <v>285</v>
      </c>
      <c r="M8186" t="str">
        <f t="shared" si="605"/>
        <v>11</v>
      </c>
      <c r="N8186" t="s">
        <v>12</v>
      </c>
    </row>
    <row r="8187" spans="1:14" x14ac:dyDescent="0.25">
      <c r="A8187">
        <v>20151120</v>
      </c>
      <c r="B8187" t="str">
        <f>"061191"</f>
        <v>061191</v>
      </c>
      <c r="C8187" t="str">
        <f>"54050"</f>
        <v>54050</v>
      </c>
      <c r="D8187" t="s">
        <v>4076</v>
      </c>
      <c r="E8187" s="3">
        <v>390</v>
      </c>
      <c r="F8187">
        <v>20151118</v>
      </c>
      <c r="G8187" t="s">
        <v>6589</v>
      </c>
      <c r="H8187" t="s">
        <v>6630</v>
      </c>
      <c r="I8187">
        <v>0</v>
      </c>
      <c r="J8187" t="s">
        <v>6578</v>
      </c>
      <c r="K8187" t="s">
        <v>2194</v>
      </c>
      <c r="L8187" t="s">
        <v>285</v>
      </c>
      <c r="M8187" t="str">
        <f t="shared" si="605"/>
        <v>11</v>
      </c>
      <c r="N8187" t="s">
        <v>12</v>
      </c>
    </row>
    <row r="8188" spans="1:14" x14ac:dyDescent="0.25">
      <c r="A8188">
        <v>20151120</v>
      </c>
      <c r="B8188" t="str">
        <f>"061191"</f>
        <v>061191</v>
      </c>
      <c r="C8188" t="str">
        <f>"54050"</f>
        <v>54050</v>
      </c>
      <c r="D8188" t="s">
        <v>4076</v>
      </c>
      <c r="E8188" s="3">
        <v>60</v>
      </c>
      <c r="F8188">
        <v>20151118</v>
      </c>
      <c r="G8188" t="s">
        <v>6589</v>
      </c>
      <c r="H8188" t="s">
        <v>6631</v>
      </c>
      <c r="I8188">
        <v>0</v>
      </c>
      <c r="J8188" t="s">
        <v>6578</v>
      </c>
      <c r="K8188" t="s">
        <v>2194</v>
      </c>
      <c r="L8188" t="s">
        <v>285</v>
      </c>
      <c r="M8188" t="str">
        <f t="shared" si="605"/>
        <v>11</v>
      </c>
      <c r="N8188" t="s">
        <v>12</v>
      </c>
    </row>
    <row r="8189" spans="1:14" x14ac:dyDescent="0.25">
      <c r="A8189">
        <v>20151120</v>
      </c>
      <c r="B8189" t="str">
        <f>"061192"</f>
        <v>061192</v>
      </c>
      <c r="C8189" t="str">
        <f>"54218"</f>
        <v>54218</v>
      </c>
      <c r="D8189" t="s">
        <v>6624</v>
      </c>
      <c r="E8189" s="3">
        <v>370</v>
      </c>
      <c r="F8189">
        <v>20151118</v>
      </c>
      <c r="G8189" t="s">
        <v>6602</v>
      </c>
      <c r="H8189" t="s">
        <v>6622</v>
      </c>
      <c r="I8189">
        <v>0</v>
      </c>
      <c r="J8189" t="s">
        <v>6578</v>
      </c>
      <c r="K8189" t="s">
        <v>2194</v>
      </c>
      <c r="L8189" t="s">
        <v>285</v>
      </c>
      <c r="M8189" t="str">
        <f t="shared" si="605"/>
        <v>11</v>
      </c>
      <c r="N8189" t="s">
        <v>12</v>
      </c>
    </row>
    <row r="8190" spans="1:14" x14ac:dyDescent="0.25">
      <c r="A8190">
        <v>20151120</v>
      </c>
      <c r="B8190" t="str">
        <f>"061220"</f>
        <v>061220</v>
      </c>
      <c r="C8190" t="str">
        <f>"64935"</f>
        <v>64935</v>
      </c>
      <c r="D8190" t="s">
        <v>2560</v>
      </c>
      <c r="E8190" s="3">
        <v>650</v>
      </c>
      <c r="F8190">
        <v>20151118</v>
      </c>
      <c r="G8190" t="s">
        <v>6587</v>
      </c>
      <c r="H8190" t="s">
        <v>6632</v>
      </c>
      <c r="I8190">
        <v>0</v>
      </c>
      <c r="J8190" t="s">
        <v>6578</v>
      </c>
      <c r="K8190" t="s">
        <v>2194</v>
      </c>
      <c r="L8190" t="s">
        <v>285</v>
      </c>
      <c r="M8190" t="str">
        <f t="shared" si="605"/>
        <v>11</v>
      </c>
      <c r="N8190" t="s">
        <v>12</v>
      </c>
    </row>
    <row r="8191" spans="1:14" x14ac:dyDescent="0.25">
      <c r="A8191">
        <v>20151120</v>
      </c>
      <c r="B8191" t="str">
        <f>"061228"</f>
        <v>061228</v>
      </c>
      <c r="C8191" t="str">
        <f>"74047"</f>
        <v>74047</v>
      </c>
      <c r="D8191" t="s">
        <v>6607</v>
      </c>
      <c r="E8191" s="3">
        <v>209.99</v>
      </c>
      <c r="F8191">
        <v>20151118</v>
      </c>
      <c r="G8191" t="s">
        <v>6599</v>
      </c>
      <c r="H8191" t="s">
        <v>6609</v>
      </c>
      <c r="I8191">
        <v>0</v>
      </c>
      <c r="J8191" t="s">
        <v>6578</v>
      </c>
      <c r="K8191" t="s">
        <v>95</v>
      </c>
      <c r="L8191" t="s">
        <v>285</v>
      </c>
      <c r="M8191" t="str">
        <f t="shared" si="605"/>
        <v>11</v>
      </c>
      <c r="N8191" t="s">
        <v>12</v>
      </c>
    </row>
    <row r="8192" spans="1:14" x14ac:dyDescent="0.25">
      <c r="A8192">
        <v>20151120</v>
      </c>
      <c r="B8192" t="str">
        <f>"061228"</f>
        <v>061228</v>
      </c>
      <c r="C8192" t="str">
        <f>"74047"</f>
        <v>74047</v>
      </c>
      <c r="D8192" t="s">
        <v>6607</v>
      </c>
      <c r="E8192" s="3">
        <v>209.99</v>
      </c>
      <c r="F8192">
        <v>20151118</v>
      </c>
      <c r="G8192" t="s">
        <v>6599</v>
      </c>
      <c r="H8192" t="s">
        <v>6609</v>
      </c>
      <c r="I8192">
        <v>0</v>
      </c>
      <c r="J8192" t="s">
        <v>6578</v>
      </c>
      <c r="K8192" t="s">
        <v>95</v>
      </c>
      <c r="L8192" t="s">
        <v>285</v>
      </c>
      <c r="M8192" t="str">
        <f t="shared" si="605"/>
        <v>11</v>
      </c>
      <c r="N8192" t="s">
        <v>12</v>
      </c>
    </row>
    <row r="8193" spans="1:14" x14ac:dyDescent="0.25">
      <c r="A8193">
        <v>20151204</v>
      </c>
      <c r="B8193" t="str">
        <f>"061274"</f>
        <v>061274</v>
      </c>
      <c r="C8193" t="str">
        <f>"70080"</f>
        <v>70080</v>
      </c>
      <c r="D8193" t="s">
        <v>6564</v>
      </c>
      <c r="E8193" s="3">
        <v>300</v>
      </c>
      <c r="F8193">
        <v>20151203</v>
      </c>
      <c r="G8193" t="s">
        <v>6586</v>
      </c>
      <c r="H8193" t="s">
        <v>6633</v>
      </c>
      <c r="I8193">
        <v>0</v>
      </c>
      <c r="J8193" t="s">
        <v>6578</v>
      </c>
      <c r="K8193" t="s">
        <v>33</v>
      </c>
      <c r="L8193" t="s">
        <v>285</v>
      </c>
      <c r="M8193" t="str">
        <f t="shared" ref="M8193:M8236" si="606">"12"</f>
        <v>12</v>
      </c>
      <c r="N8193" t="s">
        <v>12</v>
      </c>
    </row>
    <row r="8194" spans="1:14" x14ac:dyDescent="0.25">
      <c r="A8194">
        <v>20151204</v>
      </c>
      <c r="B8194" t="str">
        <f>"061317"</f>
        <v>061317</v>
      </c>
      <c r="C8194" t="str">
        <f>"46850"</f>
        <v>46850</v>
      </c>
      <c r="D8194" t="s">
        <v>2677</v>
      </c>
      <c r="E8194" s="3">
        <v>83.53</v>
      </c>
      <c r="F8194">
        <v>20151203</v>
      </c>
      <c r="G8194" t="s">
        <v>6585</v>
      </c>
      <c r="H8194" t="s">
        <v>2169</v>
      </c>
      <c r="I8194">
        <v>0</v>
      </c>
      <c r="J8194" t="s">
        <v>6578</v>
      </c>
      <c r="K8194" t="s">
        <v>1643</v>
      </c>
      <c r="L8194" t="s">
        <v>285</v>
      </c>
      <c r="M8194" t="str">
        <f t="shared" si="606"/>
        <v>12</v>
      </c>
      <c r="N8194" t="s">
        <v>12</v>
      </c>
    </row>
    <row r="8195" spans="1:14" x14ac:dyDescent="0.25">
      <c r="A8195">
        <v>20151204</v>
      </c>
      <c r="B8195" t="str">
        <f>"061364"</f>
        <v>061364</v>
      </c>
      <c r="C8195" t="str">
        <f>"83022"</f>
        <v>83022</v>
      </c>
      <c r="D8195" t="s">
        <v>394</v>
      </c>
      <c r="E8195" s="3">
        <v>68.52</v>
      </c>
      <c r="F8195">
        <v>20151204</v>
      </c>
      <c r="G8195" t="s">
        <v>6583</v>
      </c>
      <c r="H8195" t="s">
        <v>6634</v>
      </c>
      <c r="I8195">
        <v>0</v>
      </c>
      <c r="J8195" t="s">
        <v>6578</v>
      </c>
      <c r="K8195" t="s">
        <v>95</v>
      </c>
      <c r="L8195" t="s">
        <v>285</v>
      </c>
      <c r="M8195" t="str">
        <f t="shared" si="606"/>
        <v>12</v>
      </c>
      <c r="N8195" t="s">
        <v>12</v>
      </c>
    </row>
    <row r="8196" spans="1:14" x14ac:dyDescent="0.25">
      <c r="A8196">
        <v>20151204</v>
      </c>
      <c r="B8196" t="str">
        <f>"061364"</f>
        <v>061364</v>
      </c>
      <c r="C8196" t="str">
        <f>"83022"</f>
        <v>83022</v>
      </c>
      <c r="D8196" t="s">
        <v>394</v>
      </c>
      <c r="E8196" s="3">
        <v>68.52</v>
      </c>
      <c r="F8196">
        <v>20151204</v>
      </c>
      <c r="G8196" t="s">
        <v>6585</v>
      </c>
      <c r="H8196" t="s">
        <v>6634</v>
      </c>
      <c r="I8196">
        <v>0</v>
      </c>
      <c r="J8196" t="s">
        <v>6578</v>
      </c>
      <c r="K8196" t="s">
        <v>1643</v>
      </c>
      <c r="L8196" t="s">
        <v>285</v>
      </c>
      <c r="M8196" t="str">
        <f t="shared" si="606"/>
        <v>12</v>
      </c>
      <c r="N8196" t="s">
        <v>12</v>
      </c>
    </row>
    <row r="8197" spans="1:14" x14ac:dyDescent="0.25">
      <c r="A8197">
        <v>20151211</v>
      </c>
      <c r="B8197" t="str">
        <f>"061399"</f>
        <v>061399</v>
      </c>
      <c r="C8197" t="str">
        <f>"26891"</f>
        <v>26891</v>
      </c>
      <c r="D8197" t="s">
        <v>6635</v>
      </c>
      <c r="E8197" s="3">
        <v>501.36</v>
      </c>
      <c r="F8197">
        <v>20151210</v>
      </c>
      <c r="G8197" t="s">
        <v>6595</v>
      </c>
      <c r="H8197" t="s">
        <v>6636</v>
      </c>
      <c r="I8197">
        <v>0</v>
      </c>
      <c r="J8197" t="s">
        <v>6578</v>
      </c>
      <c r="K8197" t="s">
        <v>290</v>
      </c>
      <c r="L8197" t="s">
        <v>285</v>
      </c>
      <c r="M8197" t="str">
        <f t="shared" si="606"/>
        <v>12</v>
      </c>
      <c r="N8197" t="s">
        <v>12</v>
      </c>
    </row>
    <row r="8198" spans="1:14" x14ac:dyDescent="0.25">
      <c r="A8198">
        <v>20151211</v>
      </c>
      <c r="B8198" t="str">
        <f>"061399"</f>
        <v>061399</v>
      </c>
      <c r="C8198" t="str">
        <f>"26891"</f>
        <v>26891</v>
      </c>
      <c r="D8198" t="s">
        <v>6635</v>
      </c>
      <c r="E8198" s="3">
        <v>-501.36</v>
      </c>
      <c r="F8198">
        <v>20160111</v>
      </c>
      <c r="G8198" t="s">
        <v>6595</v>
      </c>
      <c r="H8198" t="s">
        <v>6637</v>
      </c>
      <c r="I8198">
        <v>0</v>
      </c>
      <c r="J8198" t="s">
        <v>6578</v>
      </c>
      <c r="K8198" t="s">
        <v>290</v>
      </c>
      <c r="L8198" t="s">
        <v>17</v>
      </c>
      <c r="M8198" t="str">
        <f t="shared" si="606"/>
        <v>12</v>
      </c>
      <c r="N8198" t="s">
        <v>12</v>
      </c>
    </row>
    <row r="8199" spans="1:14" x14ac:dyDescent="0.25">
      <c r="A8199">
        <v>20151211</v>
      </c>
      <c r="B8199" t="str">
        <f t="shared" ref="B8199:B8206" si="607">"061401"</f>
        <v>061401</v>
      </c>
      <c r="C8199" t="str">
        <f t="shared" ref="C8199:C8206" si="608">"27900"</f>
        <v>27900</v>
      </c>
      <c r="D8199" t="s">
        <v>1596</v>
      </c>
      <c r="E8199" s="3">
        <v>100</v>
      </c>
      <c r="F8199">
        <v>20151210</v>
      </c>
      <c r="G8199" t="s">
        <v>6595</v>
      </c>
      <c r="H8199" t="s">
        <v>6638</v>
      </c>
      <c r="I8199">
        <v>0</v>
      </c>
      <c r="J8199" t="s">
        <v>6578</v>
      </c>
      <c r="K8199" t="s">
        <v>290</v>
      </c>
      <c r="L8199" t="s">
        <v>285</v>
      </c>
      <c r="M8199" t="str">
        <f t="shared" si="606"/>
        <v>12</v>
      </c>
      <c r="N8199" t="s">
        <v>12</v>
      </c>
    </row>
    <row r="8200" spans="1:14" x14ac:dyDescent="0.25">
      <c r="A8200">
        <v>20151211</v>
      </c>
      <c r="B8200" t="str">
        <f t="shared" si="607"/>
        <v>061401</v>
      </c>
      <c r="C8200" t="str">
        <f t="shared" si="608"/>
        <v>27900</v>
      </c>
      <c r="D8200" t="s">
        <v>1596</v>
      </c>
      <c r="E8200" s="3">
        <v>200</v>
      </c>
      <c r="F8200">
        <v>20151210</v>
      </c>
      <c r="G8200" t="s">
        <v>6608</v>
      </c>
      <c r="H8200" t="s">
        <v>6540</v>
      </c>
      <c r="I8200">
        <v>0</v>
      </c>
      <c r="J8200" t="s">
        <v>6578</v>
      </c>
      <c r="K8200" t="s">
        <v>33</v>
      </c>
      <c r="L8200" t="s">
        <v>285</v>
      </c>
      <c r="M8200" t="str">
        <f t="shared" si="606"/>
        <v>12</v>
      </c>
      <c r="N8200" t="s">
        <v>12</v>
      </c>
    </row>
    <row r="8201" spans="1:14" x14ac:dyDescent="0.25">
      <c r="A8201">
        <v>20151211</v>
      </c>
      <c r="B8201" t="str">
        <f t="shared" si="607"/>
        <v>061401</v>
      </c>
      <c r="C8201" t="str">
        <f t="shared" si="608"/>
        <v>27900</v>
      </c>
      <c r="D8201" t="s">
        <v>1596</v>
      </c>
      <c r="E8201" s="3">
        <v>100</v>
      </c>
      <c r="F8201">
        <v>20151210</v>
      </c>
      <c r="G8201" t="s">
        <v>6608</v>
      </c>
      <c r="H8201" t="s">
        <v>6639</v>
      </c>
      <c r="I8201">
        <v>0</v>
      </c>
      <c r="J8201" t="s">
        <v>6578</v>
      </c>
      <c r="K8201" t="s">
        <v>33</v>
      </c>
      <c r="L8201" t="s">
        <v>285</v>
      </c>
      <c r="M8201" t="str">
        <f t="shared" si="606"/>
        <v>12</v>
      </c>
      <c r="N8201" t="s">
        <v>12</v>
      </c>
    </row>
    <row r="8202" spans="1:14" x14ac:dyDescent="0.25">
      <c r="A8202">
        <v>20151211</v>
      </c>
      <c r="B8202" t="str">
        <f t="shared" si="607"/>
        <v>061401</v>
      </c>
      <c r="C8202" t="str">
        <f t="shared" si="608"/>
        <v>27900</v>
      </c>
      <c r="D8202" t="s">
        <v>1596</v>
      </c>
      <c r="E8202" s="3">
        <v>100</v>
      </c>
      <c r="F8202">
        <v>20151210</v>
      </c>
      <c r="G8202" t="s">
        <v>6623</v>
      </c>
      <c r="H8202" t="s">
        <v>6640</v>
      </c>
      <c r="I8202">
        <v>0</v>
      </c>
      <c r="J8202" t="s">
        <v>6578</v>
      </c>
      <c r="K8202" t="s">
        <v>2194</v>
      </c>
      <c r="L8202" t="s">
        <v>285</v>
      </c>
      <c r="M8202" t="str">
        <f t="shared" si="606"/>
        <v>12</v>
      </c>
      <c r="N8202" t="s">
        <v>12</v>
      </c>
    </row>
    <row r="8203" spans="1:14" x14ac:dyDescent="0.25">
      <c r="A8203">
        <v>20151211</v>
      </c>
      <c r="B8203" t="str">
        <f t="shared" si="607"/>
        <v>061401</v>
      </c>
      <c r="C8203" t="str">
        <f t="shared" si="608"/>
        <v>27900</v>
      </c>
      <c r="D8203" t="s">
        <v>1596</v>
      </c>
      <c r="E8203" s="3">
        <v>100</v>
      </c>
      <c r="F8203">
        <v>20151210</v>
      </c>
      <c r="G8203" t="s">
        <v>6641</v>
      </c>
      <c r="H8203" t="s">
        <v>6640</v>
      </c>
      <c r="I8203">
        <v>0</v>
      </c>
      <c r="J8203" t="s">
        <v>6578</v>
      </c>
      <c r="K8203" t="s">
        <v>290</v>
      </c>
      <c r="L8203" t="s">
        <v>285</v>
      </c>
      <c r="M8203" t="str">
        <f t="shared" si="606"/>
        <v>12</v>
      </c>
      <c r="N8203" t="s">
        <v>12</v>
      </c>
    </row>
    <row r="8204" spans="1:14" x14ac:dyDescent="0.25">
      <c r="A8204">
        <v>20151211</v>
      </c>
      <c r="B8204" t="str">
        <f t="shared" si="607"/>
        <v>061401</v>
      </c>
      <c r="C8204" t="str">
        <f t="shared" si="608"/>
        <v>27900</v>
      </c>
      <c r="D8204" t="s">
        <v>1596</v>
      </c>
      <c r="E8204" s="3">
        <v>100</v>
      </c>
      <c r="F8204">
        <v>20151210</v>
      </c>
      <c r="G8204" t="s">
        <v>6642</v>
      </c>
      <c r="H8204" t="s">
        <v>6640</v>
      </c>
      <c r="I8204">
        <v>0</v>
      </c>
      <c r="J8204" t="s">
        <v>6578</v>
      </c>
      <c r="K8204" t="s">
        <v>95</v>
      </c>
      <c r="L8204" t="s">
        <v>285</v>
      </c>
      <c r="M8204" t="str">
        <f t="shared" si="606"/>
        <v>12</v>
      </c>
      <c r="N8204" t="s">
        <v>12</v>
      </c>
    </row>
    <row r="8205" spans="1:14" x14ac:dyDescent="0.25">
      <c r="A8205">
        <v>20151211</v>
      </c>
      <c r="B8205" t="str">
        <f t="shared" si="607"/>
        <v>061401</v>
      </c>
      <c r="C8205" t="str">
        <f t="shared" si="608"/>
        <v>27900</v>
      </c>
      <c r="D8205" t="s">
        <v>1596</v>
      </c>
      <c r="E8205" s="3">
        <v>100</v>
      </c>
      <c r="F8205">
        <v>20151210</v>
      </c>
      <c r="G8205" t="s">
        <v>6602</v>
      </c>
      <c r="H8205" t="s">
        <v>6640</v>
      </c>
      <c r="I8205">
        <v>0</v>
      </c>
      <c r="J8205" t="s">
        <v>6578</v>
      </c>
      <c r="K8205" t="s">
        <v>2194</v>
      </c>
      <c r="L8205" t="s">
        <v>285</v>
      </c>
      <c r="M8205" t="str">
        <f t="shared" si="606"/>
        <v>12</v>
      </c>
      <c r="N8205" t="s">
        <v>12</v>
      </c>
    </row>
    <row r="8206" spans="1:14" x14ac:dyDescent="0.25">
      <c r="A8206">
        <v>20151211</v>
      </c>
      <c r="B8206" t="str">
        <f t="shared" si="607"/>
        <v>061401</v>
      </c>
      <c r="C8206" t="str">
        <f t="shared" si="608"/>
        <v>27900</v>
      </c>
      <c r="D8206" t="s">
        <v>1596</v>
      </c>
      <c r="E8206" s="3">
        <v>300</v>
      </c>
      <c r="F8206">
        <v>20151210</v>
      </c>
      <c r="G8206" t="s">
        <v>6602</v>
      </c>
      <c r="H8206" t="s">
        <v>6640</v>
      </c>
      <c r="I8206">
        <v>0</v>
      </c>
      <c r="J8206" t="s">
        <v>6578</v>
      </c>
      <c r="K8206" t="s">
        <v>2194</v>
      </c>
      <c r="L8206" t="s">
        <v>285</v>
      </c>
      <c r="M8206" t="str">
        <f t="shared" si="606"/>
        <v>12</v>
      </c>
      <c r="N8206" t="s">
        <v>12</v>
      </c>
    </row>
    <row r="8207" spans="1:14" x14ac:dyDescent="0.25">
      <c r="A8207">
        <v>20151211</v>
      </c>
      <c r="B8207" t="str">
        <f>"061421"</f>
        <v>061421</v>
      </c>
      <c r="C8207" t="str">
        <f>"39135"</f>
        <v>39135</v>
      </c>
      <c r="D8207" t="s">
        <v>5649</v>
      </c>
      <c r="E8207" s="3">
        <v>132</v>
      </c>
      <c r="F8207">
        <v>20151210</v>
      </c>
      <c r="G8207" t="s">
        <v>6589</v>
      </c>
      <c r="H8207" t="s">
        <v>6643</v>
      </c>
      <c r="I8207">
        <v>0</v>
      </c>
      <c r="J8207" t="s">
        <v>6578</v>
      </c>
      <c r="K8207" t="s">
        <v>2194</v>
      </c>
      <c r="L8207" t="s">
        <v>285</v>
      </c>
      <c r="M8207" t="str">
        <f t="shared" si="606"/>
        <v>12</v>
      </c>
      <c r="N8207" t="s">
        <v>12</v>
      </c>
    </row>
    <row r="8208" spans="1:14" x14ac:dyDescent="0.25">
      <c r="A8208">
        <v>20151211</v>
      </c>
      <c r="B8208" t="str">
        <f>"061422"</f>
        <v>061422</v>
      </c>
      <c r="C8208" t="str">
        <f>"37500"</f>
        <v>37500</v>
      </c>
      <c r="D8208" t="s">
        <v>1652</v>
      </c>
      <c r="E8208" s="3">
        <v>10.050000000000001</v>
      </c>
      <c r="F8208">
        <v>20151210</v>
      </c>
      <c r="G8208" t="s">
        <v>6583</v>
      </c>
      <c r="H8208" t="s">
        <v>5397</v>
      </c>
      <c r="I8208">
        <v>0</v>
      </c>
      <c r="J8208" t="s">
        <v>6578</v>
      </c>
      <c r="K8208" t="s">
        <v>95</v>
      </c>
      <c r="L8208" t="s">
        <v>285</v>
      </c>
      <c r="M8208" t="str">
        <f t="shared" si="606"/>
        <v>12</v>
      </c>
      <c r="N8208" t="s">
        <v>12</v>
      </c>
    </row>
    <row r="8209" spans="1:14" x14ac:dyDescent="0.25">
      <c r="A8209">
        <v>20151211</v>
      </c>
      <c r="B8209" t="str">
        <f>"061428"</f>
        <v>061428</v>
      </c>
      <c r="C8209" t="str">
        <f>"60601"</f>
        <v>60601</v>
      </c>
      <c r="D8209" t="s">
        <v>3590</v>
      </c>
      <c r="E8209" s="3">
        <v>349</v>
      </c>
      <c r="F8209">
        <v>20151210</v>
      </c>
      <c r="G8209" t="s">
        <v>6586</v>
      </c>
      <c r="H8209" t="s">
        <v>2179</v>
      </c>
      <c r="I8209">
        <v>0</v>
      </c>
      <c r="J8209" t="s">
        <v>6578</v>
      </c>
      <c r="K8209" t="s">
        <v>33</v>
      </c>
      <c r="L8209" t="s">
        <v>285</v>
      </c>
      <c r="M8209" t="str">
        <f t="shared" si="606"/>
        <v>12</v>
      </c>
      <c r="N8209" t="s">
        <v>12</v>
      </c>
    </row>
    <row r="8210" spans="1:14" x14ac:dyDescent="0.25">
      <c r="A8210">
        <v>20151211</v>
      </c>
      <c r="B8210" t="str">
        <f>"061431"</f>
        <v>061431</v>
      </c>
      <c r="C8210" t="str">
        <f>"45855"</f>
        <v>45855</v>
      </c>
      <c r="D8210" t="s">
        <v>2546</v>
      </c>
      <c r="E8210" s="3">
        <v>292.64999999999998</v>
      </c>
      <c r="F8210">
        <v>20151210</v>
      </c>
      <c r="G8210" t="s">
        <v>6623</v>
      </c>
      <c r="H8210" t="s">
        <v>6622</v>
      </c>
      <c r="I8210">
        <v>0</v>
      </c>
      <c r="J8210" t="s">
        <v>6578</v>
      </c>
      <c r="K8210" t="s">
        <v>2194</v>
      </c>
      <c r="L8210" t="s">
        <v>285</v>
      </c>
      <c r="M8210" t="str">
        <f t="shared" si="606"/>
        <v>12</v>
      </c>
      <c r="N8210" t="s">
        <v>12</v>
      </c>
    </row>
    <row r="8211" spans="1:14" x14ac:dyDescent="0.25">
      <c r="A8211">
        <v>20151211</v>
      </c>
      <c r="B8211" t="str">
        <f t="shared" ref="B8211:B8216" si="609">"061440"</f>
        <v>061440</v>
      </c>
      <c r="C8211" t="str">
        <f t="shared" ref="C8211:C8216" si="610">"54495"</f>
        <v>54495</v>
      </c>
      <c r="D8211" t="s">
        <v>2756</v>
      </c>
      <c r="E8211" s="3">
        <v>54.15</v>
      </c>
      <c r="F8211">
        <v>20151210</v>
      </c>
      <c r="G8211" t="s">
        <v>6644</v>
      </c>
      <c r="H8211" t="s">
        <v>6645</v>
      </c>
      <c r="I8211">
        <v>0</v>
      </c>
      <c r="J8211" t="s">
        <v>6578</v>
      </c>
      <c r="K8211" t="s">
        <v>290</v>
      </c>
      <c r="L8211" t="s">
        <v>285</v>
      </c>
      <c r="M8211" t="str">
        <f t="shared" si="606"/>
        <v>12</v>
      </c>
      <c r="N8211" t="s">
        <v>12</v>
      </c>
    </row>
    <row r="8212" spans="1:14" x14ac:dyDescent="0.25">
      <c r="A8212">
        <v>20151211</v>
      </c>
      <c r="B8212" t="str">
        <f t="shared" si="609"/>
        <v>061440</v>
      </c>
      <c r="C8212" t="str">
        <f t="shared" si="610"/>
        <v>54495</v>
      </c>
      <c r="D8212" t="s">
        <v>2756</v>
      </c>
      <c r="E8212" s="3">
        <v>134.63</v>
      </c>
      <c r="F8212">
        <v>20151210</v>
      </c>
      <c r="G8212" t="s">
        <v>6592</v>
      </c>
      <c r="H8212" t="s">
        <v>6646</v>
      </c>
      <c r="I8212">
        <v>0</v>
      </c>
      <c r="J8212" t="s">
        <v>6578</v>
      </c>
      <c r="K8212" t="s">
        <v>290</v>
      </c>
      <c r="L8212" t="s">
        <v>285</v>
      </c>
      <c r="M8212" t="str">
        <f t="shared" si="606"/>
        <v>12</v>
      </c>
      <c r="N8212" t="s">
        <v>12</v>
      </c>
    </row>
    <row r="8213" spans="1:14" x14ac:dyDescent="0.25">
      <c r="A8213">
        <v>20151211</v>
      </c>
      <c r="B8213" t="str">
        <f t="shared" si="609"/>
        <v>061440</v>
      </c>
      <c r="C8213" t="str">
        <f t="shared" si="610"/>
        <v>54495</v>
      </c>
      <c r="D8213" t="s">
        <v>2756</v>
      </c>
      <c r="E8213" s="3">
        <v>181.77</v>
      </c>
      <c r="F8213">
        <v>20151210</v>
      </c>
      <c r="G8213" t="s">
        <v>6583</v>
      </c>
      <c r="H8213" t="s">
        <v>6647</v>
      </c>
      <c r="I8213">
        <v>0</v>
      </c>
      <c r="J8213" t="s">
        <v>6578</v>
      </c>
      <c r="K8213" t="s">
        <v>95</v>
      </c>
      <c r="L8213" t="s">
        <v>285</v>
      </c>
      <c r="M8213" t="str">
        <f t="shared" si="606"/>
        <v>12</v>
      </c>
      <c r="N8213" t="s">
        <v>12</v>
      </c>
    </row>
    <row r="8214" spans="1:14" x14ac:dyDescent="0.25">
      <c r="A8214">
        <v>20151211</v>
      </c>
      <c r="B8214" t="str">
        <f t="shared" si="609"/>
        <v>061440</v>
      </c>
      <c r="C8214" t="str">
        <f t="shared" si="610"/>
        <v>54495</v>
      </c>
      <c r="D8214" t="s">
        <v>2756</v>
      </c>
      <c r="E8214" s="3">
        <v>181.77</v>
      </c>
      <c r="F8214">
        <v>20151210</v>
      </c>
      <c r="G8214" t="s">
        <v>6585</v>
      </c>
      <c r="H8214" t="s">
        <v>6648</v>
      </c>
      <c r="I8214">
        <v>0</v>
      </c>
      <c r="J8214" t="s">
        <v>6578</v>
      </c>
      <c r="K8214" t="s">
        <v>1643</v>
      </c>
      <c r="L8214" t="s">
        <v>285</v>
      </c>
      <c r="M8214" t="str">
        <f t="shared" si="606"/>
        <v>12</v>
      </c>
      <c r="N8214" t="s">
        <v>12</v>
      </c>
    </row>
    <row r="8215" spans="1:14" x14ac:dyDescent="0.25">
      <c r="A8215">
        <v>20151211</v>
      </c>
      <c r="B8215" t="str">
        <f t="shared" si="609"/>
        <v>061440</v>
      </c>
      <c r="C8215" t="str">
        <f t="shared" si="610"/>
        <v>54495</v>
      </c>
      <c r="D8215" t="s">
        <v>2756</v>
      </c>
      <c r="E8215" s="3">
        <v>181.7</v>
      </c>
      <c r="F8215">
        <v>20151210</v>
      </c>
      <c r="G8215" t="s">
        <v>6586</v>
      </c>
      <c r="H8215" t="s">
        <v>6648</v>
      </c>
      <c r="I8215">
        <v>0</v>
      </c>
      <c r="J8215" t="s">
        <v>6578</v>
      </c>
      <c r="K8215" t="s">
        <v>33</v>
      </c>
      <c r="L8215" t="s">
        <v>285</v>
      </c>
      <c r="M8215" t="str">
        <f t="shared" si="606"/>
        <v>12</v>
      </c>
      <c r="N8215" t="s">
        <v>12</v>
      </c>
    </row>
    <row r="8216" spans="1:14" x14ac:dyDescent="0.25">
      <c r="A8216">
        <v>20151211</v>
      </c>
      <c r="B8216" t="str">
        <f t="shared" si="609"/>
        <v>061440</v>
      </c>
      <c r="C8216" t="str">
        <f t="shared" si="610"/>
        <v>54495</v>
      </c>
      <c r="D8216" t="s">
        <v>2756</v>
      </c>
      <c r="E8216" s="3">
        <v>85</v>
      </c>
      <c r="F8216">
        <v>20151210</v>
      </c>
      <c r="G8216" t="s">
        <v>6589</v>
      </c>
      <c r="H8216" t="s">
        <v>6649</v>
      </c>
      <c r="I8216">
        <v>0</v>
      </c>
      <c r="J8216" t="s">
        <v>6578</v>
      </c>
      <c r="K8216" t="s">
        <v>2194</v>
      </c>
      <c r="L8216" t="s">
        <v>285</v>
      </c>
      <c r="M8216" t="str">
        <f t="shared" si="606"/>
        <v>12</v>
      </c>
      <c r="N8216" t="s">
        <v>12</v>
      </c>
    </row>
    <row r="8217" spans="1:14" x14ac:dyDescent="0.25">
      <c r="A8217">
        <v>20151211</v>
      </c>
      <c r="B8217" t="str">
        <f>"061446"</f>
        <v>061446</v>
      </c>
      <c r="C8217" t="str">
        <f>"60343"</f>
        <v>60343</v>
      </c>
      <c r="D8217" t="s">
        <v>6650</v>
      </c>
      <c r="E8217" s="3">
        <v>162.81</v>
      </c>
      <c r="F8217">
        <v>20151210</v>
      </c>
      <c r="G8217" t="s">
        <v>6651</v>
      </c>
      <c r="H8217" t="s">
        <v>6652</v>
      </c>
      <c r="I8217">
        <v>0</v>
      </c>
      <c r="J8217" t="s">
        <v>6578</v>
      </c>
      <c r="K8217" t="s">
        <v>290</v>
      </c>
      <c r="L8217" t="s">
        <v>285</v>
      </c>
      <c r="M8217" t="str">
        <f t="shared" si="606"/>
        <v>12</v>
      </c>
      <c r="N8217" t="s">
        <v>12</v>
      </c>
    </row>
    <row r="8218" spans="1:14" x14ac:dyDescent="0.25">
      <c r="A8218">
        <v>20151211</v>
      </c>
      <c r="B8218" t="str">
        <f>"061446"</f>
        <v>061446</v>
      </c>
      <c r="C8218" t="str">
        <f>"60343"</f>
        <v>60343</v>
      </c>
      <c r="D8218" t="s">
        <v>6650</v>
      </c>
      <c r="E8218" s="3">
        <v>162.81</v>
      </c>
      <c r="F8218">
        <v>20151210</v>
      </c>
      <c r="G8218" t="s">
        <v>6653</v>
      </c>
      <c r="H8218" t="s">
        <v>6654</v>
      </c>
      <c r="I8218">
        <v>0</v>
      </c>
      <c r="J8218" t="s">
        <v>6578</v>
      </c>
      <c r="K8218" t="s">
        <v>95</v>
      </c>
      <c r="L8218" t="s">
        <v>285</v>
      </c>
      <c r="M8218" t="str">
        <f t="shared" si="606"/>
        <v>12</v>
      </c>
      <c r="N8218" t="s">
        <v>12</v>
      </c>
    </row>
    <row r="8219" spans="1:14" x14ac:dyDescent="0.25">
      <c r="A8219">
        <v>20151211</v>
      </c>
      <c r="B8219" t="str">
        <f>"061446"</f>
        <v>061446</v>
      </c>
      <c r="C8219" t="str">
        <f>"60343"</f>
        <v>60343</v>
      </c>
      <c r="D8219" t="s">
        <v>6650</v>
      </c>
      <c r="E8219" s="3">
        <v>162.81</v>
      </c>
      <c r="F8219">
        <v>20151210</v>
      </c>
      <c r="G8219" t="s">
        <v>6655</v>
      </c>
      <c r="H8219" t="s">
        <v>6656</v>
      </c>
      <c r="I8219">
        <v>0</v>
      </c>
      <c r="J8219" t="s">
        <v>6578</v>
      </c>
      <c r="K8219" t="s">
        <v>1643</v>
      </c>
      <c r="L8219" t="s">
        <v>285</v>
      </c>
      <c r="M8219" t="str">
        <f t="shared" si="606"/>
        <v>12</v>
      </c>
      <c r="N8219" t="s">
        <v>12</v>
      </c>
    </row>
    <row r="8220" spans="1:14" x14ac:dyDescent="0.25">
      <c r="A8220">
        <v>20151211</v>
      </c>
      <c r="B8220" t="str">
        <f>"061446"</f>
        <v>061446</v>
      </c>
      <c r="C8220" t="str">
        <f>"60343"</f>
        <v>60343</v>
      </c>
      <c r="D8220" t="s">
        <v>6650</v>
      </c>
      <c r="E8220" s="3">
        <v>162.81</v>
      </c>
      <c r="F8220">
        <v>20151210</v>
      </c>
      <c r="G8220" t="s">
        <v>6657</v>
      </c>
      <c r="H8220" t="s">
        <v>6656</v>
      </c>
      <c r="I8220">
        <v>0</v>
      </c>
      <c r="J8220" t="s">
        <v>6578</v>
      </c>
      <c r="K8220" t="s">
        <v>33</v>
      </c>
      <c r="L8220" t="s">
        <v>285</v>
      </c>
      <c r="M8220" t="str">
        <f t="shared" si="606"/>
        <v>12</v>
      </c>
      <c r="N8220" t="s">
        <v>12</v>
      </c>
    </row>
    <row r="8221" spans="1:14" x14ac:dyDescent="0.25">
      <c r="A8221">
        <v>20151211</v>
      </c>
      <c r="B8221" t="str">
        <f>"061474"</f>
        <v>061474</v>
      </c>
      <c r="C8221" t="str">
        <f>"74117"</f>
        <v>74117</v>
      </c>
      <c r="D8221" t="s">
        <v>3615</v>
      </c>
      <c r="E8221" s="3">
        <v>717.24</v>
      </c>
      <c r="F8221">
        <v>20151211</v>
      </c>
      <c r="G8221" t="s">
        <v>6585</v>
      </c>
      <c r="H8221" t="s">
        <v>2679</v>
      </c>
      <c r="I8221">
        <v>0</v>
      </c>
      <c r="J8221" t="s">
        <v>6578</v>
      </c>
      <c r="K8221" t="s">
        <v>1643</v>
      </c>
      <c r="L8221" t="s">
        <v>285</v>
      </c>
      <c r="M8221" t="str">
        <f t="shared" si="606"/>
        <v>12</v>
      </c>
      <c r="N8221" t="s">
        <v>12</v>
      </c>
    </row>
    <row r="8222" spans="1:14" x14ac:dyDescent="0.25">
      <c r="A8222">
        <v>20151211</v>
      </c>
      <c r="B8222" t="str">
        <f>"061474"</f>
        <v>061474</v>
      </c>
      <c r="C8222" t="str">
        <f>"74117"</f>
        <v>74117</v>
      </c>
      <c r="D8222" t="s">
        <v>3615</v>
      </c>
      <c r="E8222" s="3">
        <v>717.23</v>
      </c>
      <c r="F8222">
        <v>20151211</v>
      </c>
      <c r="G8222" t="s">
        <v>6586</v>
      </c>
      <c r="H8222" t="s">
        <v>2679</v>
      </c>
      <c r="I8222">
        <v>0</v>
      </c>
      <c r="J8222" t="s">
        <v>6578</v>
      </c>
      <c r="K8222" t="s">
        <v>33</v>
      </c>
      <c r="L8222" t="s">
        <v>285</v>
      </c>
      <c r="M8222" t="str">
        <f t="shared" si="606"/>
        <v>12</v>
      </c>
      <c r="N8222" t="s">
        <v>12</v>
      </c>
    </row>
    <row r="8223" spans="1:14" x14ac:dyDescent="0.25">
      <c r="A8223">
        <v>20151218</v>
      </c>
      <c r="B8223" t="str">
        <f>"061496"</f>
        <v>061496</v>
      </c>
      <c r="C8223" t="str">
        <f>"00303"</f>
        <v>00303</v>
      </c>
      <c r="D8223" t="s">
        <v>5416</v>
      </c>
      <c r="E8223" s="3">
        <v>73.930000000000007</v>
      </c>
      <c r="F8223">
        <v>20151216</v>
      </c>
      <c r="G8223" t="s">
        <v>6602</v>
      </c>
      <c r="H8223" t="s">
        <v>6622</v>
      </c>
      <c r="I8223">
        <v>0</v>
      </c>
      <c r="J8223" t="s">
        <v>6578</v>
      </c>
      <c r="K8223" t="s">
        <v>2194</v>
      </c>
      <c r="L8223" t="s">
        <v>285</v>
      </c>
      <c r="M8223" t="str">
        <f t="shared" si="606"/>
        <v>12</v>
      </c>
      <c r="N8223" t="s">
        <v>12</v>
      </c>
    </row>
    <row r="8224" spans="1:14" x14ac:dyDescent="0.25">
      <c r="A8224">
        <v>20151218</v>
      </c>
      <c r="B8224" t="str">
        <f>"061499"</f>
        <v>061499</v>
      </c>
      <c r="C8224" t="str">
        <f>"29779"</f>
        <v>29779</v>
      </c>
      <c r="D8224" t="s">
        <v>1806</v>
      </c>
      <c r="E8224" s="3">
        <v>1120</v>
      </c>
      <c r="F8224">
        <v>20151216</v>
      </c>
      <c r="G8224" t="s">
        <v>6587</v>
      </c>
      <c r="H8224" t="s">
        <v>6658</v>
      </c>
      <c r="I8224">
        <v>0</v>
      </c>
      <c r="J8224" t="s">
        <v>6578</v>
      </c>
      <c r="K8224" t="s">
        <v>2194</v>
      </c>
      <c r="L8224" t="s">
        <v>285</v>
      </c>
      <c r="M8224" t="str">
        <f t="shared" si="606"/>
        <v>12</v>
      </c>
      <c r="N8224" t="s">
        <v>12</v>
      </c>
    </row>
    <row r="8225" spans="1:14" x14ac:dyDescent="0.25">
      <c r="A8225">
        <v>20151218</v>
      </c>
      <c r="B8225" t="str">
        <f>"061499"</f>
        <v>061499</v>
      </c>
      <c r="C8225" t="str">
        <f>"29779"</f>
        <v>29779</v>
      </c>
      <c r="D8225" t="s">
        <v>1806</v>
      </c>
      <c r="E8225" s="3">
        <v>1656.22</v>
      </c>
      <c r="F8225">
        <v>20151216</v>
      </c>
      <c r="G8225" t="s">
        <v>6587</v>
      </c>
      <c r="H8225" t="s">
        <v>6659</v>
      </c>
      <c r="I8225">
        <v>0</v>
      </c>
      <c r="J8225" t="s">
        <v>6578</v>
      </c>
      <c r="K8225" t="s">
        <v>2194</v>
      </c>
      <c r="L8225" t="s">
        <v>285</v>
      </c>
      <c r="M8225" t="str">
        <f t="shared" si="606"/>
        <v>12</v>
      </c>
      <c r="N8225" t="s">
        <v>12</v>
      </c>
    </row>
    <row r="8226" spans="1:14" x14ac:dyDescent="0.25">
      <c r="A8226">
        <v>20151218</v>
      </c>
      <c r="B8226" t="str">
        <f>"061499"</f>
        <v>061499</v>
      </c>
      <c r="C8226" t="str">
        <f>"29779"</f>
        <v>29779</v>
      </c>
      <c r="D8226" t="s">
        <v>1806</v>
      </c>
      <c r="E8226" s="3">
        <v>-1062.48</v>
      </c>
      <c r="F8226">
        <v>20151209</v>
      </c>
      <c r="G8226" t="s">
        <v>6587</v>
      </c>
      <c r="H8226" t="s">
        <v>442</v>
      </c>
      <c r="I8226">
        <v>0</v>
      </c>
      <c r="J8226" t="s">
        <v>6578</v>
      </c>
      <c r="K8226" t="s">
        <v>2194</v>
      </c>
      <c r="L8226" t="s">
        <v>1385</v>
      </c>
      <c r="M8226" t="str">
        <f t="shared" si="606"/>
        <v>12</v>
      </c>
      <c r="N8226" t="s">
        <v>12</v>
      </c>
    </row>
    <row r="8227" spans="1:14" x14ac:dyDescent="0.25">
      <c r="A8227">
        <v>20151218</v>
      </c>
      <c r="B8227" t="str">
        <f>"061507"</f>
        <v>061507</v>
      </c>
      <c r="C8227" t="str">
        <f>"10033"</f>
        <v>10033</v>
      </c>
      <c r="D8227" t="s">
        <v>1611</v>
      </c>
      <c r="E8227" s="3">
        <v>17.600000000000001</v>
      </c>
      <c r="F8227">
        <v>20151216</v>
      </c>
      <c r="G8227" t="s">
        <v>6589</v>
      </c>
      <c r="H8227" t="s">
        <v>6660</v>
      </c>
      <c r="I8227">
        <v>0</v>
      </c>
      <c r="J8227" t="s">
        <v>6578</v>
      </c>
      <c r="K8227" t="s">
        <v>2194</v>
      </c>
      <c r="L8227" t="s">
        <v>285</v>
      </c>
      <c r="M8227" t="str">
        <f t="shared" si="606"/>
        <v>12</v>
      </c>
      <c r="N8227" t="s">
        <v>12</v>
      </c>
    </row>
    <row r="8228" spans="1:14" x14ac:dyDescent="0.25">
      <c r="A8228">
        <v>20151218</v>
      </c>
      <c r="B8228" t="str">
        <f>"061530"</f>
        <v>061530</v>
      </c>
      <c r="C8228" t="str">
        <f>"74150"</f>
        <v>74150</v>
      </c>
      <c r="D8228" t="s">
        <v>3047</v>
      </c>
      <c r="E8228" s="3">
        <v>1034.52</v>
      </c>
      <c r="F8228">
        <v>20151216</v>
      </c>
      <c r="G8228" t="s">
        <v>6587</v>
      </c>
      <c r="H8228" t="s">
        <v>3430</v>
      </c>
      <c r="I8228">
        <v>0</v>
      </c>
      <c r="J8228" t="s">
        <v>6578</v>
      </c>
      <c r="K8228" t="s">
        <v>2194</v>
      </c>
      <c r="L8228" t="s">
        <v>285</v>
      </c>
      <c r="M8228" t="str">
        <f t="shared" si="606"/>
        <v>12</v>
      </c>
      <c r="N8228" t="s">
        <v>12</v>
      </c>
    </row>
    <row r="8229" spans="1:14" x14ac:dyDescent="0.25">
      <c r="A8229">
        <v>20151218</v>
      </c>
      <c r="B8229" t="str">
        <f>"061536"</f>
        <v>061536</v>
      </c>
      <c r="C8229" t="str">
        <f>"21132"</f>
        <v>21132</v>
      </c>
      <c r="D8229" t="s">
        <v>5498</v>
      </c>
      <c r="E8229" s="3">
        <v>70.2</v>
      </c>
      <c r="F8229">
        <v>20151216</v>
      </c>
      <c r="G8229" t="s">
        <v>6602</v>
      </c>
      <c r="H8229" t="s">
        <v>6622</v>
      </c>
      <c r="I8229">
        <v>0</v>
      </c>
      <c r="J8229" t="s">
        <v>6578</v>
      </c>
      <c r="K8229" t="s">
        <v>2194</v>
      </c>
      <c r="L8229" t="s">
        <v>285</v>
      </c>
      <c r="M8229" t="str">
        <f t="shared" si="606"/>
        <v>12</v>
      </c>
      <c r="N8229" t="s">
        <v>12</v>
      </c>
    </row>
    <row r="8230" spans="1:14" x14ac:dyDescent="0.25">
      <c r="A8230">
        <v>20151218</v>
      </c>
      <c r="B8230" t="str">
        <f>"061539"</f>
        <v>061539</v>
      </c>
      <c r="C8230" t="str">
        <f>"21769"</f>
        <v>21769</v>
      </c>
      <c r="D8230" t="s">
        <v>1836</v>
      </c>
      <c r="E8230" s="3">
        <v>1500</v>
      </c>
      <c r="F8230">
        <v>20151216</v>
      </c>
      <c r="G8230" t="s">
        <v>6587</v>
      </c>
      <c r="H8230" t="s">
        <v>3436</v>
      </c>
      <c r="I8230">
        <v>0</v>
      </c>
      <c r="J8230" t="s">
        <v>6578</v>
      </c>
      <c r="K8230" t="s">
        <v>2194</v>
      </c>
      <c r="L8230" t="s">
        <v>285</v>
      </c>
      <c r="M8230" t="str">
        <f t="shared" si="606"/>
        <v>12</v>
      </c>
      <c r="N8230" t="s">
        <v>12</v>
      </c>
    </row>
    <row r="8231" spans="1:14" x14ac:dyDescent="0.25">
      <c r="A8231">
        <v>20151218</v>
      </c>
      <c r="B8231" t="str">
        <f>"061540"</f>
        <v>061540</v>
      </c>
      <c r="C8231" t="str">
        <f>"22133"</f>
        <v>22133</v>
      </c>
      <c r="D8231" t="s">
        <v>1072</v>
      </c>
      <c r="E8231" s="3">
        <v>1400</v>
      </c>
      <c r="F8231">
        <v>20151216</v>
      </c>
      <c r="G8231" t="s">
        <v>6661</v>
      </c>
      <c r="H8231" t="s">
        <v>6662</v>
      </c>
      <c r="I8231">
        <v>0</v>
      </c>
      <c r="J8231" t="s">
        <v>6578</v>
      </c>
      <c r="K8231" t="s">
        <v>95</v>
      </c>
      <c r="L8231" t="s">
        <v>285</v>
      </c>
      <c r="M8231" t="str">
        <f t="shared" si="606"/>
        <v>12</v>
      </c>
      <c r="N8231" t="s">
        <v>12</v>
      </c>
    </row>
    <row r="8232" spans="1:14" x14ac:dyDescent="0.25">
      <c r="A8232">
        <v>20151218</v>
      </c>
      <c r="B8232" t="str">
        <f>"061540"</f>
        <v>061540</v>
      </c>
      <c r="C8232" t="str">
        <f>"22133"</f>
        <v>22133</v>
      </c>
      <c r="D8232" t="s">
        <v>1072</v>
      </c>
      <c r="E8232" s="3">
        <v>9436</v>
      </c>
      <c r="F8232">
        <v>20151216</v>
      </c>
      <c r="G8232" t="s">
        <v>6663</v>
      </c>
      <c r="H8232" t="s">
        <v>6664</v>
      </c>
      <c r="I8232">
        <v>0</v>
      </c>
      <c r="J8232" t="s">
        <v>6578</v>
      </c>
      <c r="K8232" t="s">
        <v>1643</v>
      </c>
      <c r="L8232" t="s">
        <v>285</v>
      </c>
      <c r="M8232" t="str">
        <f t="shared" si="606"/>
        <v>12</v>
      </c>
      <c r="N8232" t="s">
        <v>12</v>
      </c>
    </row>
    <row r="8233" spans="1:14" x14ac:dyDescent="0.25">
      <c r="A8233">
        <v>20151218</v>
      </c>
      <c r="B8233" t="str">
        <f>"061540"</f>
        <v>061540</v>
      </c>
      <c r="C8233" t="str">
        <f>"22133"</f>
        <v>22133</v>
      </c>
      <c r="D8233" t="s">
        <v>1072</v>
      </c>
      <c r="E8233" s="3">
        <v>1469</v>
      </c>
      <c r="F8233">
        <v>20151216</v>
      </c>
      <c r="G8233" t="s">
        <v>6665</v>
      </c>
      <c r="H8233" t="s">
        <v>6662</v>
      </c>
      <c r="I8233">
        <v>0</v>
      </c>
      <c r="J8233" t="s">
        <v>6578</v>
      </c>
      <c r="K8233" t="s">
        <v>33</v>
      </c>
      <c r="L8233" t="s">
        <v>285</v>
      </c>
      <c r="M8233" t="str">
        <f t="shared" si="606"/>
        <v>12</v>
      </c>
      <c r="N8233" t="s">
        <v>12</v>
      </c>
    </row>
    <row r="8234" spans="1:14" x14ac:dyDescent="0.25">
      <c r="A8234">
        <v>20151218</v>
      </c>
      <c r="B8234" t="str">
        <f>"061552"</f>
        <v>061552</v>
      </c>
      <c r="C8234" t="str">
        <f>"29500"</f>
        <v>29500</v>
      </c>
      <c r="D8234" t="s">
        <v>1698</v>
      </c>
      <c r="E8234" s="3">
        <v>281</v>
      </c>
      <c r="F8234">
        <v>20151216</v>
      </c>
      <c r="G8234" t="s">
        <v>6592</v>
      </c>
      <c r="H8234" t="s">
        <v>6666</v>
      </c>
      <c r="I8234">
        <v>0</v>
      </c>
      <c r="J8234" t="s">
        <v>6578</v>
      </c>
      <c r="K8234" t="s">
        <v>290</v>
      </c>
      <c r="L8234" t="s">
        <v>285</v>
      </c>
      <c r="M8234" t="str">
        <f t="shared" si="606"/>
        <v>12</v>
      </c>
      <c r="N8234" t="s">
        <v>12</v>
      </c>
    </row>
    <row r="8235" spans="1:14" x14ac:dyDescent="0.25">
      <c r="A8235">
        <v>20151218</v>
      </c>
      <c r="B8235" t="str">
        <f>"061591"</f>
        <v>061591</v>
      </c>
      <c r="C8235" t="str">
        <f>"48958"</f>
        <v>48958</v>
      </c>
      <c r="D8235" t="s">
        <v>3849</v>
      </c>
      <c r="E8235" s="3">
        <v>79.69</v>
      </c>
      <c r="F8235">
        <v>20151216</v>
      </c>
      <c r="G8235" t="s">
        <v>6602</v>
      </c>
      <c r="H8235" t="s">
        <v>6622</v>
      </c>
      <c r="I8235">
        <v>0</v>
      </c>
      <c r="J8235" t="s">
        <v>6578</v>
      </c>
      <c r="K8235" t="s">
        <v>2194</v>
      </c>
      <c r="L8235" t="s">
        <v>285</v>
      </c>
      <c r="M8235" t="str">
        <f t="shared" si="606"/>
        <v>12</v>
      </c>
      <c r="N8235" t="s">
        <v>12</v>
      </c>
    </row>
    <row r="8236" spans="1:14" x14ac:dyDescent="0.25">
      <c r="A8236">
        <v>20151218</v>
      </c>
      <c r="B8236" t="str">
        <f>"061617"</f>
        <v>061617</v>
      </c>
      <c r="C8236" t="str">
        <f>"58210"</f>
        <v>58210</v>
      </c>
      <c r="D8236" t="s">
        <v>2546</v>
      </c>
      <c r="E8236" s="3">
        <v>69.98</v>
      </c>
      <c r="F8236">
        <v>20151216</v>
      </c>
      <c r="G8236" t="s">
        <v>6592</v>
      </c>
      <c r="H8236" t="s">
        <v>6667</v>
      </c>
      <c r="I8236">
        <v>0</v>
      </c>
      <c r="J8236" t="s">
        <v>6578</v>
      </c>
      <c r="K8236" t="s">
        <v>290</v>
      </c>
      <c r="L8236" t="s">
        <v>285</v>
      </c>
      <c r="M8236" t="str">
        <f t="shared" si="606"/>
        <v>12</v>
      </c>
      <c r="N8236" t="s">
        <v>12</v>
      </c>
    </row>
    <row r="8237" spans="1:14" x14ac:dyDescent="0.25">
      <c r="A8237">
        <v>20160111</v>
      </c>
      <c r="B8237" t="str">
        <f>"061693"</f>
        <v>061693</v>
      </c>
      <c r="C8237" t="str">
        <f>"27900"</f>
        <v>27900</v>
      </c>
      <c r="D8237" t="s">
        <v>1596</v>
      </c>
      <c r="E8237" s="3">
        <v>50</v>
      </c>
      <c r="F8237">
        <v>20160108</v>
      </c>
      <c r="G8237" t="s">
        <v>6595</v>
      </c>
      <c r="H8237" t="s">
        <v>3555</v>
      </c>
      <c r="I8237">
        <v>0</v>
      </c>
      <c r="J8237" t="s">
        <v>6578</v>
      </c>
      <c r="K8237" t="s">
        <v>290</v>
      </c>
      <c r="L8237" t="s">
        <v>285</v>
      </c>
      <c r="M8237" t="str">
        <f t="shared" ref="M8237:M8267" si="611">"01"</f>
        <v>01</v>
      </c>
      <c r="N8237" t="s">
        <v>12</v>
      </c>
    </row>
    <row r="8238" spans="1:14" x14ac:dyDescent="0.25">
      <c r="A8238">
        <v>20160111</v>
      </c>
      <c r="B8238" t="str">
        <f>"061693"</f>
        <v>061693</v>
      </c>
      <c r="C8238" t="str">
        <f>"27900"</f>
        <v>27900</v>
      </c>
      <c r="D8238" t="s">
        <v>1596</v>
      </c>
      <c r="E8238" s="3">
        <v>50</v>
      </c>
      <c r="F8238">
        <v>20160108</v>
      </c>
      <c r="G8238" t="s">
        <v>6599</v>
      </c>
      <c r="H8238" t="s">
        <v>3555</v>
      </c>
      <c r="I8238">
        <v>0</v>
      </c>
      <c r="J8238" t="s">
        <v>6578</v>
      </c>
      <c r="K8238" t="s">
        <v>95</v>
      </c>
      <c r="L8238" t="s">
        <v>285</v>
      </c>
      <c r="M8238" t="str">
        <f t="shared" si="611"/>
        <v>01</v>
      </c>
      <c r="N8238" t="s">
        <v>12</v>
      </c>
    </row>
    <row r="8239" spans="1:14" x14ac:dyDescent="0.25">
      <c r="A8239">
        <v>20160111</v>
      </c>
      <c r="B8239" t="str">
        <f>"061693"</f>
        <v>061693</v>
      </c>
      <c r="C8239" t="str">
        <f>"27900"</f>
        <v>27900</v>
      </c>
      <c r="D8239" t="s">
        <v>1596</v>
      </c>
      <c r="E8239" s="3">
        <v>50</v>
      </c>
      <c r="F8239">
        <v>20160108</v>
      </c>
      <c r="G8239" t="s">
        <v>6601</v>
      </c>
      <c r="H8239" t="s">
        <v>3555</v>
      </c>
      <c r="I8239">
        <v>0</v>
      </c>
      <c r="J8239" t="s">
        <v>6578</v>
      </c>
      <c r="K8239" t="s">
        <v>1643</v>
      </c>
      <c r="L8239" t="s">
        <v>285</v>
      </c>
      <c r="M8239" t="str">
        <f t="shared" si="611"/>
        <v>01</v>
      </c>
      <c r="N8239" t="s">
        <v>12</v>
      </c>
    </row>
    <row r="8240" spans="1:14" x14ac:dyDescent="0.25">
      <c r="A8240">
        <v>20160111</v>
      </c>
      <c r="B8240" t="str">
        <f>"061693"</f>
        <v>061693</v>
      </c>
      <c r="C8240" t="str">
        <f>"27900"</f>
        <v>27900</v>
      </c>
      <c r="D8240" t="s">
        <v>1596</v>
      </c>
      <c r="E8240" s="3">
        <v>350</v>
      </c>
      <c r="F8240">
        <v>20160108</v>
      </c>
      <c r="G8240" t="s">
        <v>6602</v>
      </c>
      <c r="H8240" t="s">
        <v>3555</v>
      </c>
      <c r="I8240">
        <v>0</v>
      </c>
      <c r="J8240" t="s">
        <v>6578</v>
      </c>
      <c r="K8240" t="s">
        <v>2194</v>
      </c>
      <c r="L8240" t="s">
        <v>285</v>
      </c>
      <c r="M8240" t="str">
        <f t="shared" si="611"/>
        <v>01</v>
      </c>
      <c r="N8240" t="s">
        <v>12</v>
      </c>
    </row>
    <row r="8241" spans="1:14" x14ac:dyDescent="0.25">
      <c r="A8241">
        <v>20160111</v>
      </c>
      <c r="B8241" t="str">
        <f>"061693"</f>
        <v>061693</v>
      </c>
      <c r="C8241" t="str">
        <f>"27900"</f>
        <v>27900</v>
      </c>
      <c r="D8241" t="s">
        <v>1596</v>
      </c>
      <c r="E8241" s="3">
        <v>700</v>
      </c>
      <c r="F8241">
        <v>20160108</v>
      </c>
      <c r="G8241" t="s">
        <v>6602</v>
      </c>
      <c r="H8241" t="s">
        <v>3555</v>
      </c>
      <c r="I8241">
        <v>0</v>
      </c>
      <c r="J8241" t="s">
        <v>6578</v>
      </c>
      <c r="K8241" t="s">
        <v>2194</v>
      </c>
      <c r="L8241" t="s">
        <v>285</v>
      </c>
      <c r="M8241" t="str">
        <f t="shared" si="611"/>
        <v>01</v>
      </c>
      <c r="N8241" t="s">
        <v>12</v>
      </c>
    </row>
    <row r="8242" spans="1:14" x14ac:dyDescent="0.25">
      <c r="A8242">
        <v>20160111</v>
      </c>
      <c r="B8242" t="str">
        <f>"061694"</f>
        <v>061694</v>
      </c>
      <c r="C8242" t="str">
        <f>"27105"</f>
        <v>27105</v>
      </c>
      <c r="D8242" t="s">
        <v>6668</v>
      </c>
      <c r="E8242" s="3">
        <v>100</v>
      </c>
      <c r="F8242">
        <v>20160108</v>
      </c>
      <c r="G8242" t="s">
        <v>6592</v>
      </c>
      <c r="H8242" t="s">
        <v>6669</v>
      </c>
      <c r="I8242">
        <v>0</v>
      </c>
      <c r="J8242" t="s">
        <v>6578</v>
      </c>
      <c r="K8242" t="s">
        <v>290</v>
      </c>
      <c r="L8242" t="s">
        <v>285</v>
      </c>
      <c r="M8242" t="str">
        <f t="shared" si="611"/>
        <v>01</v>
      </c>
      <c r="N8242" t="s">
        <v>12</v>
      </c>
    </row>
    <row r="8243" spans="1:14" x14ac:dyDescent="0.25">
      <c r="A8243">
        <v>20160111</v>
      </c>
      <c r="B8243" t="str">
        <f>"061704"</f>
        <v>061704</v>
      </c>
      <c r="C8243" t="str">
        <f>"39135"</f>
        <v>39135</v>
      </c>
      <c r="D8243" t="s">
        <v>5649</v>
      </c>
      <c r="E8243" s="3">
        <v>132</v>
      </c>
      <c r="F8243">
        <v>20160108</v>
      </c>
      <c r="G8243" t="s">
        <v>6589</v>
      </c>
      <c r="H8243" t="s">
        <v>6670</v>
      </c>
      <c r="I8243">
        <v>0</v>
      </c>
      <c r="J8243" t="s">
        <v>6578</v>
      </c>
      <c r="K8243" t="s">
        <v>2194</v>
      </c>
      <c r="L8243" t="s">
        <v>285</v>
      </c>
      <c r="M8243" t="str">
        <f t="shared" si="611"/>
        <v>01</v>
      </c>
      <c r="N8243" t="s">
        <v>12</v>
      </c>
    </row>
    <row r="8244" spans="1:14" x14ac:dyDescent="0.25">
      <c r="A8244">
        <v>20160111</v>
      </c>
      <c r="B8244" t="str">
        <f>"061705"</f>
        <v>061705</v>
      </c>
      <c r="C8244" t="str">
        <f>"37500"</f>
        <v>37500</v>
      </c>
      <c r="D8244" t="s">
        <v>1652</v>
      </c>
      <c r="E8244" s="3">
        <v>7.48</v>
      </c>
      <c r="F8244">
        <v>20160108</v>
      </c>
      <c r="G8244" t="s">
        <v>6583</v>
      </c>
      <c r="H8244" t="s">
        <v>3581</v>
      </c>
      <c r="I8244">
        <v>0</v>
      </c>
      <c r="J8244" t="s">
        <v>6578</v>
      </c>
      <c r="K8244" t="s">
        <v>95</v>
      </c>
      <c r="L8244" t="s">
        <v>285</v>
      </c>
      <c r="M8244" t="str">
        <f t="shared" si="611"/>
        <v>01</v>
      </c>
      <c r="N8244" t="s">
        <v>12</v>
      </c>
    </row>
    <row r="8245" spans="1:14" x14ac:dyDescent="0.25">
      <c r="A8245">
        <v>20160111</v>
      </c>
      <c r="B8245" t="str">
        <f>"061706"</f>
        <v>061706</v>
      </c>
      <c r="C8245" t="str">
        <f>"63511"</f>
        <v>63511</v>
      </c>
      <c r="D8245" t="s">
        <v>2322</v>
      </c>
      <c r="E8245" s="3">
        <v>416.96</v>
      </c>
      <c r="F8245">
        <v>20160108</v>
      </c>
      <c r="G8245" t="s">
        <v>6589</v>
      </c>
      <c r="H8245" t="s">
        <v>6670</v>
      </c>
      <c r="I8245">
        <v>0</v>
      </c>
      <c r="J8245" t="s">
        <v>6578</v>
      </c>
      <c r="K8245" t="s">
        <v>2194</v>
      </c>
      <c r="L8245" t="s">
        <v>285</v>
      </c>
      <c r="M8245" t="str">
        <f t="shared" si="611"/>
        <v>01</v>
      </c>
      <c r="N8245" t="s">
        <v>12</v>
      </c>
    </row>
    <row r="8246" spans="1:14" x14ac:dyDescent="0.25">
      <c r="A8246">
        <v>20160111</v>
      </c>
      <c r="B8246" t="str">
        <f>"061723"</f>
        <v>061723</v>
      </c>
      <c r="C8246" t="str">
        <f>"58210"</f>
        <v>58210</v>
      </c>
      <c r="D8246" t="s">
        <v>2546</v>
      </c>
      <c r="E8246" s="3">
        <v>19.96</v>
      </c>
      <c r="F8246">
        <v>20160108</v>
      </c>
      <c r="G8246" t="s">
        <v>6592</v>
      </c>
      <c r="H8246" t="s">
        <v>6669</v>
      </c>
      <c r="I8246">
        <v>0</v>
      </c>
      <c r="J8246" t="s">
        <v>6578</v>
      </c>
      <c r="K8246" t="s">
        <v>290</v>
      </c>
      <c r="L8246" t="s">
        <v>285</v>
      </c>
      <c r="M8246" t="str">
        <f t="shared" si="611"/>
        <v>01</v>
      </c>
      <c r="N8246" t="s">
        <v>12</v>
      </c>
    </row>
    <row r="8247" spans="1:14" x14ac:dyDescent="0.25">
      <c r="A8247">
        <v>20160111</v>
      </c>
      <c r="B8247" t="str">
        <f>"061746"</f>
        <v>061746</v>
      </c>
      <c r="C8247" t="str">
        <f>"83022"</f>
        <v>83022</v>
      </c>
      <c r="D8247" t="s">
        <v>394</v>
      </c>
      <c r="E8247" s="3">
        <v>19.93</v>
      </c>
      <c r="F8247">
        <v>20160108</v>
      </c>
      <c r="G8247" t="s">
        <v>6586</v>
      </c>
      <c r="H8247" t="s">
        <v>3623</v>
      </c>
      <c r="I8247">
        <v>0</v>
      </c>
      <c r="J8247" t="s">
        <v>6578</v>
      </c>
      <c r="K8247" t="s">
        <v>33</v>
      </c>
      <c r="L8247" t="s">
        <v>285</v>
      </c>
      <c r="M8247" t="str">
        <f t="shared" si="611"/>
        <v>01</v>
      </c>
      <c r="N8247" t="s">
        <v>12</v>
      </c>
    </row>
    <row r="8248" spans="1:14" x14ac:dyDescent="0.25">
      <c r="A8248">
        <v>20160122</v>
      </c>
      <c r="B8248" t="str">
        <f>"061808"</f>
        <v>061808</v>
      </c>
      <c r="C8248" t="str">
        <f>"74150"</f>
        <v>74150</v>
      </c>
      <c r="D8248" t="s">
        <v>3047</v>
      </c>
      <c r="E8248" s="3">
        <v>1046.25</v>
      </c>
      <c r="F8248">
        <v>20160121</v>
      </c>
      <c r="G8248" t="s">
        <v>6587</v>
      </c>
      <c r="H8248" t="s">
        <v>6671</v>
      </c>
      <c r="I8248">
        <v>0</v>
      </c>
      <c r="J8248" t="s">
        <v>6578</v>
      </c>
      <c r="K8248" t="s">
        <v>2194</v>
      </c>
      <c r="L8248" t="s">
        <v>285</v>
      </c>
      <c r="M8248" t="str">
        <f t="shared" si="611"/>
        <v>01</v>
      </c>
      <c r="N8248" t="s">
        <v>12</v>
      </c>
    </row>
    <row r="8249" spans="1:14" x14ac:dyDescent="0.25">
      <c r="A8249">
        <v>20160122</v>
      </c>
      <c r="B8249" t="str">
        <f>"061816"</f>
        <v>061816</v>
      </c>
      <c r="C8249" t="str">
        <f>"23646"</f>
        <v>23646</v>
      </c>
      <c r="D8249" t="s">
        <v>4765</v>
      </c>
      <c r="E8249" s="3">
        <v>302.39999999999998</v>
      </c>
      <c r="F8249">
        <v>20160121</v>
      </c>
      <c r="G8249" t="s">
        <v>6592</v>
      </c>
      <c r="H8249" t="s">
        <v>6672</v>
      </c>
      <c r="I8249">
        <v>0</v>
      </c>
      <c r="J8249" t="s">
        <v>6578</v>
      </c>
      <c r="K8249" t="s">
        <v>290</v>
      </c>
      <c r="L8249" t="s">
        <v>285</v>
      </c>
      <c r="M8249" t="str">
        <f t="shared" si="611"/>
        <v>01</v>
      </c>
      <c r="N8249" t="s">
        <v>12</v>
      </c>
    </row>
    <row r="8250" spans="1:14" x14ac:dyDescent="0.25">
      <c r="A8250">
        <v>20160122</v>
      </c>
      <c r="B8250" t="str">
        <f>"061816"</f>
        <v>061816</v>
      </c>
      <c r="C8250" t="str">
        <f>"23646"</f>
        <v>23646</v>
      </c>
      <c r="D8250" t="s">
        <v>4765</v>
      </c>
      <c r="E8250" s="3">
        <v>302.39999999999998</v>
      </c>
      <c r="F8250">
        <v>20160121</v>
      </c>
      <c r="G8250" t="s">
        <v>6583</v>
      </c>
      <c r="H8250" t="s">
        <v>6672</v>
      </c>
      <c r="I8250">
        <v>0</v>
      </c>
      <c r="J8250" t="s">
        <v>6578</v>
      </c>
      <c r="K8250" t="s">
        <v>95</v>
      </c>
      <c r="L8250" t="s">
        <v>285</v>
      </c>
      <c r="M8250" t="str">
        <f t="shared" si="611"/>
        <v>01</v>
      </c>
      <c r="N8250" t="s">
        <v>12</v>
      </c>
    </row>
    <row r="8251" spans="1:14" x14ac:dyDescent="0.25">
      <c r="A8251">
        <v>20160122</v>
      </c>
      <c r="B8251" t="str">
        <f>"061816"</f>
        <v>061816</v>
      </c>
      <c r="C8251" t="str">
        <f>"23646"</f>
        <v>23646</v>
      </c>
      <c r="D8251" t="s">
        <v>4765</v>
      </c>
      <c r="E8251" s="3">
        <v>302.39999999999998</v>
      </c>
      <c r="F8251">
        <v>20160121</v>
      </c>
      <c r="G8251" t="s">
        <v>6585</v>
      </c>
      <c r="H8251" t="s">
        <v>6672</v>
      </c>
      <c r="I8251">
        <v>0</v>
      </c>
      <c r="J8251" t="s">
        <v>6578</v>
      </c>
      <c r="K8251" t="s">
        <v>1643</v>
      </c>
      <c r="L8251" t="s">
        <v>285</v>
      </c>
      <c r="M8251" t="str">
        <f t="shared" si="611"/>
        <v>01</v>
      </c>
      <c r="N8251" t="s">
        <v>12</v>
      </c>
    </row>
    <row r="8252" spans="1:14" x14ac:dyDescent="0.25">
      <c r="A8252">
        <v>20160122</v>
      </c>
      <c r="B8252" t="str">
        <f>"061816"</f>
        <v>061816</v>
      </c>
      <c r="C8252" t="str">
        <f>"23646"</f>
        <v>23646</v>
      </c>
      <c r="D8252" t="s">
        <v>4765</v>
      </c>
      <c r="E8252" s="3">
        <v>302.39999999999998</v>
      </c>
      <c r="F8252">
        <v>20160121</v>
      </c>
      <c r="G8252" t="s">
        <v>6586</v>
      </c>
      <c r="H8252" t="s">
        <v>6672</v>
      </c>
      <c r="I8252">
        <v>0</v>
      </c>
      <c r="J8252" t="s">
        <v>6578</v>
      </c>
      <c r="K8252" t="s">
        <v>33</v>
      </c>
      <c r="L8252" t="s">
        <v>285</v>
      </c>
      <c r="M8252" t="str">
        <f t="shared" si="611"/>
        <v>01</v>
      </c>
      <c r="N8252" t="s">
        <v>12</v>
      </c>
    </row>
    <row r="8253" spans="1:14" x14ac:dyDescent="0.25">
      <c r="A8253">
        <v>20160122</v>
      </c>
      <c r="B8253" t="str">
        <f>"061894"</f>
        <v>061894</v>
      </c>
      <c r="C8253" t="str">
        <f>"80106"</f>
        <v>80106</v>
      </c>
      <c r="D8253" t="s">
        <v>6673</v>
      </c>
      <c r="E8253" s="3">
        <v>60.47</v>
      </c>
      <c r="F8253">
        <v>20160122</v>
      </c>
      <c r="G8253" t="s">
        <v>6583</v>
      </c>
      <c r="H8253" t="s">
        <v>2169</v>
      </c>
      <c r="I8253">
        <v>0</v>
      </c>
      <c r="J8253" t="s">
        <v>6578</v>
      </c>
      <c r="K8253" t="s">
        <v>95</v>
      </c>
      <c r="L8253" t="s">
        <v>285</v>
      </c>
      <c r="M8253" t="str">
        <f t="shared" si="611"/>
        <v>01</v>
      </c>
      <c r="N8253" t="s">
        <v>12</v>
      </c>
    </row>
    <row r="8254" spans="1:14" x14ac:dyDescent="0.25">
      <c r="A8254">
        <v>20160122</v>
      </c>
      <c r="B8254" t="str">
        <f>"061894"</f>
        <v>061894</v>
      </c>
      <c r="C8254" t="str">
        <f>"80106"</f>
        <v>80106</v>
      </c>
      <c r="D8254" t="s">
        <v>6673</v>
      </c>
      <c r="E8254" s="3">
        <v>60.46</v>
      </c>
      <c r="F8254">
        <v>20160122</v>
      </c>
      <c r="G8254" t="s">
        <v>6586</v>
      </c>
      <c r="H8254" t="s">
        <v>2169</v>
      </c>
      <c r="I8254">
        <v>0</v>
      </c>
      <c r="J8254" t="s">
        <v>6578</v>
      </c>
      <c r="K8254" t="s">
        <v>33</v>
      </c>
      <c r="L8254" t="s">
        <v>285</v>
      </c>
      <c r="M8254" t="str">
        <f t="shared" si="611"/>
        <v>01</v>
      </c>
      <c r="N8254" t="s">
        <v>12</v>
      </c>
    </row>
    <row r="8255" spans="1:14" x14ac:dyDescent="0.25">
      <c r="A8255">
        <v>20160129</v>
      </c>
      <c r="B8255" t="str">
        <f>"061915"</f>
        <v>061915</v>
      </c>
      <c r="C8255" t="str">
        <f>"29779"</f>
        <v>29779</v>
      </c>
      <c r="D8255" t="s">
        <v>1806</v>
      </c>
      <c r="E8255" s="3">
        <v>1365</v>
      </c>
      <c r="F8255">
        <v>20160127</v>
      </c>
      <c r="G8255" t="s">
        <v>6587</v>
      </c>
      <c r="H8255" t="s">
        <v>6674</v>
      </c>
      <c r="I8255">
        <v>0</v>
      </c>
      <c r="J8255" t="s">
        <v>6578</v>
      </c>
      <c r="K8255" t="s">
        <v>2194</v>
      </c>
      <c r="L8255" t="s">
        <v>285</v>
      </c>
      <c r="M8255" t="str">
        <f t="shared" si="611"/>
        <v>01</v>
      </c>
      <c r="N8255" t="s">
        <v>12</v>
      </c>
    </row>
    <row r="8256" spans="1:14" x14ac:dyDescent="0.25">
      <c r="A8256">
        <v>20160129</v>
      </c>
      <c r="B8256" t="str">
        <f>"061915"</f>
        <v>061915</v>
      </c>
      <c r="C8256" t="str">
        <f>"29779"</f>
        <v>29779</v>
      </c>
      <c r="D8256" t="s">
        <v>1806</v>
      </c>
      <c r="E8256" s="3">
        <v>837.48</v>
      </c>
      <c r="F8256">
        <v>20160127</v>
      </c>
      <c r="G8256" t="s">
        <v>6587</v>
      </c>
      <c r="H8256" t="s">
        <v>6675</v>
      </c>
      <c r="I8256">
        <v>0</v>
      </c>
      <c r="J8256" t="s">
        <v>6578</v>
      </c>
      <c r="K8256" t="s">
        <v>2194</v>
      </c>
      <c r="L8256" t="s">
        <v>285</v>
      </c>
      <c r="M8256" t="str">
        <f t="shared" si="611"/>
        <v>01</v>
      </c>
      <c r="N8256" t="s">
        <v>12</v>
      </c>
    </row>
    <row r="8257" spans="1:14" x14ac:dyDescent="0.25">
      <c r="A8257">
        <v>20160129</v>
      </c>
      <c r="B8257" t="str">
        <f>"061915"</f>
        <v>061915</v>
      </c>
      <c r="C8257" t="str">
        <f>"29779"</f>
        <v>29779</v>
      </c>
      <c r="D8257" t="s">
        <v>1806</v>
      </c>
      <c r="E8257" s="3">
        <v>560</v>
      </c>
      <c r="F8257">
        <v>20160127</v>
      </c>
      <c r="G8257" t="s">
        <v>6587</v>
      </c>
      <c r="H8257" t="s">
        <v>3758</v>
      </c>
      <c r="I8257">
        <v>0</v>
      </c>
      <c r="J8257" t="s">
        <v>6578</v>
      </c>
      <c r="K8257" t="s">
        <v>2194</v>
      </c>
      <c r="L8257" t="s">
        <v>285</v>
      </c>
      <c r="M8257" t="str">
        <f t="shared" si="611"/>
        <v>01</v>
      </c>
      <c r="N8257" t="s">
        <v>12</v>
      </c>
    </row>
    <row r="8258" spans="1:14" x14ac:dyDescent="0.25">
      <c r="A8258">
        <v>20160129</v>
      </c>
      <c r="B8258" t="str">
        <f>"061984"</f>
        <v>061984</v>
      </c>
      <c r="C8258" t="str">
        <f>"54495"</f>
        <v>54495</v>
      </c>
      <c r="D8258" t="s">
        <v>2756</v>
      </c>
      <c r="E8258" s="3">
        <v>387.5</v>
      </c>
      <c r="F8258">
        <v>20160128</v>
      </c>
      <c r="G8258" t="s">
        <v>6585</v>
      </c>
      <c r="H8258" t="s">
        <v>6676</v>
      </c>
      <c r="I8258">
        <v>0</v>
      </c>
      <c r="J8258" t="s">
        <v>6578</v>
      </c>
      <c r="K8258" t="s">
        <v>1643</v>
      </c>
      <c r="L8258" t="s">
        <v>285</v>
      </c>
      <c r="M8258" t="str">
        <f t="shared" si="611"/>
        <v>01</v>
      </c>
      <c r="N8258" t="s">
        <v>12</v>
      </c>
    </row>
    <row r="8259" spans="1:14" x14ac:dyDescent="0.25">
      <c r="A8259">
        <v>20160129</v>
      </c>
      <c r="B8259" t="str">
        <f>"061984"</f>
        <v>061984</v>
      </c>
      <c r="C8259" t="str">
        <f>"54495"</f>
        <v>54495</v>
      </c>
      <c r="D8259" t="s">
        <v>2756</v>
      </c>
      <c r="E8259" s="3">
        <v>387.5</v>
      </c>
      <c r="F8259">
        <v>20160128</v>
      </c>
      <c r="G8259" t="s">
        <v>6586</v>
      </c>
      <c r="H8259" t="s">
        <v>6677</v>
      </c>
      <c r="I8259">
        <v>0</v>
      </c>
      <c r="J8259" t="s">
        <v>6578</v>
      </c>
      <c r="K8259" t="s">
        <v>33</v>
      </c>
      <c r="L8259" t="s">
        <v>285</v>
      </c>
      <c r="M8259" t="str">
        <f t="shared" si="611"/>
        <v>01</v>
      </c>
      <c r="N8259" t="s">
        <v>12</v>
      </c>
    </row>
    <row r="8260" spans="1:14" x14ac:dyDescent="0.25">
      <c r="A8260">
        <v>20160129</v>
      </c>
      <c r="B8260" t="str">
        <f>"061993"</f>
        <v>061993</v>
      </c>
      <c r="C8260" t="str">
        <f>"58210"</f>
        <v>58210</v>
      </c>
      <c r="D8260" t="s">
        <v>2546</v>
      </c>
      <c r="E8260" s="3">
        <v>46.06</v>
      </c>
      <c r="F8260">
        <v>20160128</v>
      </c>
      <c r="G8260" t="s">
        <v>6585</v>
      </c>
      <c r="H8260" t="s">
        <v>6678</v>
      </c>
      <c r="I8260">
        <v>0</v>
      </c>
      <c r="J8260" t="s">
        <v>6578</v>
      </c>
      <c r="K8260" t="s">
        <v>1643</v>
      </c>
      <c r="L8260" t="s">
        <v>285</v>
      </c>
      <c r="M8260" t="str">
        <f t="shared" si="611"/>
        <v>01</v>
      </c>
      <c r="N8260" t="s">
        <v>12</v>
      </c>
    </row>
    <row r="8261" spans="1:14" x14ac:dyDescent="0.25">
      <c r="A8261">
        <v>20160129</v>
      </c>
      <c r="B8261" t="str">
        <f>"061993"</f>
        <v>061993</v>
      </c>
      <c r="C8261" t="str">
        <f>"58210"</f>
        <v>58210</v>
      </c>
      <c r="D8261" t="s">
        <v>2546</v>
      </c>
      <c r="E8261" s="3">
        <v>21</v>
      </c>
      <c r="F8261">
        <v>20160128</v>
      </c>
      <c r="G8261" t="s">
        <v>6586</v>
      </c>
      <c r="H8261" t="s">
        <v>6679</v>
      </c>
      <c r="I8261">
        <v>0</v>
      </c>
      <c r="J8261" t="s">
        <v>6578</v>
      </c>
      <c r="K8261" t="s">
        <v>33</v>
      </c>
      <c r="L8261" t="s">
        <v>285</v>
      </c>
      <c r="M8261" t="str">
        <f t="shared" si="611"/>
        <v>01</v>
      </c>
      <c r="N8261" t="s">
        <v>12</v>
      </c>
    </row>
    <row r="8262" spans="1:14" x14ac:dyDescent="0.25">
      <c r="A8262">
        <v>20160129</v>
      </c>
      <c r="B8262" t="str">
        <f t="shared" ref="B8262:B8267" si="612">"062026"</f>
        <v>062026</v>
      </c>
      <c r="C8262" t="str">
        <f t="shared" ref="C8262:C8267" si="613">"83022"</f>
        <v>83022</v>
      </c>
      <c r="D8262" t="s">
        <v>394</v>
      </c>
      <c r="E8262" s="3">
        <v>276.10000000000002</v>
      </c>
      <c r="F8262">
        <v>20160128</v>
      </c>
      <c r="G8262" t="s">
        <v>6592</v>
      </c>
      <c r="H8262" t="s">
        <v>595</v>
      </c>
      <c r="I8262">
        <v>0</v>
      </c>
      <c r="J8262" t="s">
        <v>6578</v>
      </c>
      <c r="K8262" t="s">
        <v>290</v>
      </c>
      <c r="L8262" t="s">
        <v>285</v>
      </c>
      <c r="M8262" t="str">
        <f t="shared" si="611"/>
        <v>01</v>
      </c>
      <c r="N8262" t="s">
        <v>12</v>
      </c>
    </row>
    <row r="8263" spans="1:14" x14ac:dyDescent="0.25">
      <c r="A8263">
        <v>20160129</v>
      </c>
      <c r="B8263" t="str">
        <f t="shared" si="612"/>
        <v>062026</v>
      </c>
      <c r="C8263" t="str">
        <f t="shared" si="613"/>
        <v>83022</v>
      </c>
      <c r="D8263" t="s">
        <v>394</v>
      </c>
      <c r="E8263" s="3">
        <v>46.15</v>
      </c>
      <c r="F8263">
        <v>20160128</v>
      </c>
      <c r="G8263" t="s">
        <v>6592</v>
      </c>
      <c r="H8263" t="s">
        <v>2169</v>
      </c>
      <c r="I8263">
        <v>0</v>
      </c>
      <c r="J8263" t="s">
        <v>6578</v>
      </c>
      <c r="K8263" t="s">
        <v>290</v>
      </c>
      <c r="L8263" t="s">
        <v>285</v>
      </c>
      <c r="M8263" t="str">
        <f t="shared" si="611"/>
        <v>01</v>
      </c>
      <c r="N8263" t="s">
        <v>12</v>
      </c>
    </row>
    <row r="8264" spans="1:14" x14ac:dyDescent="0.25">
      <c r="A8264">
        <v>20160129</v>
      </c>
      <c r="B8264" t="str">
        <f t="shared" si="612"/>
        <v>062026</v>
      </c>
      <c r="C8264" t="str">
        <f t="shared" si="613"/>
        <v>83022</v>
      </c>
      <c r="D8264" t="s">
        <v>394</v>
      </c>
      <c r="E8264" s="3">
        <v>-24.48</v>
      </c>
      <c r="F8264">
        <v>20151218</v>
      </c>
      <c r="G8264" t="s">
        <v>6592</v>
      </c>
      <c r="H8264" t="s">
        <v>6680</v>
      </c>
      <c r="I8264">
        <v>0</v>
      </c>
      <c r="J8264" t="s">
        <v>6578</v>
      </c>
      <c r="K8264" t="s">
        <v>290</v>
      </c>
      <c r="L8264" t="s">
        <v>1385</v>
      </c>
      <c r="M8264" t="str">
        <f t="shared" si="611"/>
        <v>01</v>
      </c>
      <c r="N8264" t="s">
        <v>12</v>
      </c>
    </row>
    <row r="8265" spans="1:14" x14ac:dyDescent="0.25">
      <c r="A8265">
        <v>20160129</v>
      </c>
      <c r="B8265" t="str">
        <f t="shared" si="612"/>
        <v>062026</v>
      </c>
      <c r="C8265" t="str">
        <f t="shared" si="613"/>
        <v>83022</v>
      </c>
      <c r="D8265" t="s">
        <v>394</v>
      </c>
      <c r="E8265" s="3">
        <v>21.5</v>
      </c>
      <c r="F8265">
        <v>20160128</v>
      </c>
      <c r="G8265" t="s">
        <v>6586</v>
      </c>
      <c r="H8265" t="s">
        <v>2169</v>
      </c>
      <c r="I8265">
        <v>0</v>
      </c>
      <c r="J8265" t="s">
        <v>6578</v>
      </c>
      <c r="K8265" t="s">
        <v>33</v>
      </c>
      <c r="L8265" t="s">
        <v>285</v>
      </c>
      <c r="M8265" t="str">
        <f t="shared" si="611"/>
        <v>01</v>
      </c>
      <c r="N8265" t="s">
        <v>12</v>
      </c>
    </row>
    <row r="8266" spans="1:14" x14ac:dyDescent="0.25">
      <c r="A8266">
        <v>20160129</v>
      </c>
      <c r="B8266" t="str">
        <f t="shared" si="612"/>
        <v>062026</v>
      </c>
      <c r="C8266" t="str">
        <f t="shared" si="613"/>
        <v>83022</v>
      </c>
      <c r="D8266" t="s">
        <v>394</v>
      </c>
      <c r="E8266" s="3">
        <v>40.659999999999997</v>
      </c>
      <c r="F8266">
        <v>20160128</v>
      </c>
      <c r="G8266" t="s">
        <v>6586</v>
      </c>
      <c r="H8266" t="s">
        <v>4790</v>
      </c>
      <c r="I8266">
        <v>0</v>
      </c>
      <c r="J8266" t="s">
        <v>6578</v>
      </c>
      <c r="K8266" t="s">
        <v>33</v>
      </c>
      <c r="L8266" t="s">
        <v>285</v>
      </c>
      <c r="M8266" t="str">
        <f t="shared" si="611"/>
        <v>01</v>
      </c>
      <c r="N8266" t="s">
        <v>12</v>
      </c>
    </row>
    <row r="8267" spans="1:14" x14ac:dyDescent="0.25">
      <c r="A8267">
        <v>20160129</v>
      </c>
      <c r="B8267" t="str">
        <f t="shared" si="612"/>
        <v>062026</v>
      </c>
      <c r="C8267" t="str">
        <f t="shared" si="613"/>
        <v>83022</v>
      </c>
      <c r="D8267" t="s">
        <v>394</v>
      </c>
      <c r="E8267" s="3">
        <v>19.77</v>
      </c>
      <c r="F8267">
        <v>20160128</v>
      </c>
      <c r="G8267" t="s">
        <v>6586</v>
      </c>
      <c r="H8267" t="s">
        <v>2169</v>
      </c>
      <c r="I8267">
        <v>0</v>
      </c>
      <c r="J8267" t="s">
        <v>6578</v>
      </c>
      <c r="K8267" t="s">
        <v>33</v>
      </c>
      <c r="L8267" t="s">
        <v>285</v>
      </c>
      <c r="M8267" t="str">
        <f t="shared" si="611"/>
        <v>01</v>
      </c>
      <c r="N8267" t="s">
        <v>12</v>
      </c>
    </row>
    <row r="8268" spans="1:14" x14ac:dyDescent="0.25">
      <c r="A8268">
        <v>20160205</v>
      </c>
      <c r="B8268" t="str">
        <f>"062226"</f>
        <v>062226</v>
      </c>
      <c r="C8268" t="str">
        <f>"54218"</f>
        <v>54218</v>
      </c>
      <c r="D8268" t="s">
        <v>6624</v>
      </c>
      <c r="E8268" s="3">
        <v>165</v>
      </c>
      <c r="F8268">
        <v>20160204</v>
      </c>
      <c r="G8268" t="s">
        <v>6623</v>
      </c>
      <c r="H8268" t="s">
        <v>6681</v>
      </c>
      <c r="I8268">
        <v>0</v>
      </c>
      <c r="J8268" t="s">
        <v>6578</v>
      </c>
      <c r="K8268" t="s">
        <v>2194</v>
      </c>
      <c r="L8268" t="s">
        <v>285</v>
      </c>
      <c r="M8268" t="str">
        <f t="shared" ref="M8268:M8282" si="614">"02"</f>
        <v>02</v>
      </c>
      <c r="N8268" t="s">
        <v>12</v>
      </c>
    </row>
    <row r="8269" spans="1:14" x14ac:dyDescent="0.25">
      <c r="A8269">
        <v>20160205</v>
      </c>
      <c r="B8269" t="str">
        <f>"062232"</f>
        <v>062232</v>
      </c>
      <c r="C8269" t="str">
        <f>"60378"</f>
        <v>60378</v>
      </c>
      <c r="D8269" t="s">
        <v>6682</v>
      </c>
      <c r="E8269" s="3">
        <v>271.64999999999998</v>
      </c>
      <c r="F8269">
        <v>20160204</v>
      </c>
      <c r="G8269" t="s">
        <v>6586</v>
      </c>
      <c r="H8269" t="s">
        <v>2679</v>
      </c>
      <c r="I8269">
        <v>0</v>
      </c>
      <c r="J8269" t="s">
        <v>6578</v>
      </c>
      <c r="K8269" t="s">
        <v>33</v>
      </c>
      <c r="L8269" t="s">
        <v>285</v>
      </c>
      <c r="M8269" t="str">
        <f t="shared" si="614"/>
        <v>02</v>
      </c>
      <c r="N8269" t="s">
        <v>12</v>
      </c>
    </row>
    <row r="8270" spans="1:14" x14ac:dyDescent="0.25">
      <c r="A8270">
        <v>20160205</v>
      </c>
      <c r="B8270" t="str">
        <f>"062244"</f>
        <v>062244</v>
      </c>
      <c r="C8270" t="str">
        <f>"74047"</f>
        <v>74047</v>
      </c>
      <c r="D8270" t="s">
        <v>6607</v>
      </c>
      <c r="E8270" s="3">
        <v>379.98</v>
      </c>
      <c r="F8270">
        <v>20160204</v>
      </c>
      <c r="G8270" t="s">
        <v>6595</v>
      </c>
      <c r="H8270" t="s">
        <v>6683</v>
      </c>
      <c r="I8270">
        <v>0</v>
      </c>
      <c r="J8270" t="s">
        <v>6578</v>
      </c>
      <c r="K8270" t="s">
        <v>290</v>
      </c>
      <c r="L8270" t="s">
        <v>285</v>
      </c>
      <c r="M8270" t="str">
        <f t="shared" si="614"/>
        <v>02</v>
      </c>
      <c r="N8270" t="s">
        <v>12</v>
      </c>
    </row>
    <row r="8271" spans="1:14" x14ac:dyDescent="0.25">
      <c r="A8271">
        <v>20160205</v>
      </c>
      <c r="B8271" t="str">
        <f>"062244"</f>
        <v>062244</v>
      </c>
      <c r="C8271" t="str">
        <f>"74047"</f>
        <v>74047</v>
      </c>
      <c r="D8271" t="s">
        <v>6607</v>
      </c>
      <c r="E8271" s="3">
        <v>379.98</v>
      </c>
      <c r="F8271">
        <v>20160204</v>
      </c>
      <c r="G8271" t="s">
        <v>6601</v>
      </c>
      <c r="H8271" t="s">
        <v>6683</v>
      </c>
      <c r="I8271">
        <v>0</v>
      </c>
      <c r="J8271" t="s">
        <v>6578</v>
      </c>
      <c r="K8271" t="s">
        <v>1643</v>
      </c>
      <c r="L8271" t="s">
        <v>285</v>
      </c>
      <c r="M8271" t="str">
        <f t="shared" si="614"/>
        <v>02</v>
      </c>
      <c r="N8271" t="s">
        <v>12</v>
      </c>
    </row>
    <row r="8272" spans="1:14" x14ac:dyDescent="0.25">
      <c r="A8272">
        <v>20160212</v>
      </c>
      <c r="B8272" t="str">
        <f>"062256"</f>
        <v>062256</v>
      </c>
      <c r="C8272" t="str">
        <f>"29779"</f>
        <v>29779</v>
      </c>
      <c r="D8272" t="s">
        <v>1806</v>
      </c>
      <c r="E8272" s="3">
        <v>1680</v>
      </c>
      <c r="F8272">
        <v>20160211</v>
      </c>
      <c r="G8272" t="s">
        <v>6587</v>
      </c>
      <c r="H8272" t="s">
        <v>6684</v>
      </c>
      <c r="I8272">
        <v>0</v>
      </c>
      <c r="J8272" t="s">
        <v>6578</v>
      </c>
      <c r="K8272" t="s">
        <v>2194</v>
      </c>
      <c r="L8272" t="s">
        <v>285</v>
      </c>
      <c r="M8272" t="str">
        <f t="shared" si="614"/>
        <v>02</v>
      </c>
      <c r="N8272" t="s">
        <v>12</v>
      </c>
    </row>
    <row r="8273" spans="1:14" x14ac:dyDescent="0.25">
      <c r="A8273">
        <v>20160212</v>
      </c>
      <c r="B8273" t="str">
        <f>"062283"</f>
        <v>062283</v>
      </c>
      <c r="C8273" t="str">
        <f>"23646"</f>
        <v>23646</v>
      </c>
      <c r="D8273" t="s">
        <v>4765</v>
      </c>
      <c r="E8273" s="3">
        <v>194.25</v>
      </c>
      <c r="F8273">
        <v>20160211</v>
      </c>
      <c r="G8273" t="s">
        <v>6592</v>
      </c>
      <c r="H8273" t="s">
        <v>6685</v>
      </c>
      <c r="I8273">
        <v>0</v>
      </c>
      <c r="J8273" t="s">
        <v>6578</v>
      </c>
      <c r="K8273" t="s">
        <v>290</v>
      </c>
      <c r="L8273" t="s">
        <v>285</v>
      </c>
      <c r="M8273" t="str">
        <f t="shared" si="614"/>
        <v>02</v>
      </c>
      <c r="N8273" t="s">
        <v>12</v>
      </c>
    </row>
    <row r="8274" spans="1:14" x14ac:dyDescent="0.25">
      <c r="A8274">
        <v>20160212</v>
      </c>
      <c r="B8274" t="str">
        <f>"062288"</f>
        <v>062288</v>
      </c>
      <c r="C8274" t="str">
        <f>"27900"</f>
        <v>27900</v>
      </c>
      <c r="D8274" t="s">
        <v>1596</v>
      </c>
      <c r="E8274" s="3">
        <v>75</v>
      </c>
      <c r="F8274">
        <v>20160211</v>
      </c>
      <c r="G8274" t="s">
        <v>6602</v>
      </c>
      <c r="H8274" t="s">
        <v>6686</v>
      </c>
      <c r="I8274">
        <v>0</v>
      </c>
      <c r="J8274" t="s">
        <v>6578</v>
      </c>
      <c r="K8274" t="s">
        <v>2194</v>
      </c>
      <c r="L8274" t="s">
        <v>285</v>
      </c>
      <c r="M8274" t="str">
        <f t="shared" si="614"/>
        <v>02</v>
      </c>
      <c r="N8274" t="s">
        <v>12</v>
      </c>
    </row>
    <row r="8275" spans="1:14" x14ac:dyDescent="0.25">
      <c r="A8275">
        <v>20160212</v>
      </c>
      <c r="B8275" t="str">
        <f>"062318"</f>
        <v>062318</v>
      </c>
      <c r="C8275" t="str">
        <f>"45855"</f>
        <v>45855</v>
      </c>
      <c r="D8275" t="s">
        <v>2546</v>
      </c>
      <c r="E8275" s="3">
        <v>40.98</v>
      </c>
      <c r="F8275">
        <v>20160212</v>
      </c>
      <c r="G8275" t="s">
        <v>6586</v>
      </c>
      <c r="H8275" t="s">
        <v>6687</v>
      </c>
      <c r="I8275">
        <v>0</v>
      </c>
      <c r="J8275" t="s">
        <v>6578</v>
      </c>
      <c r="K8275" t="s">
        <v>33</v>
      </c>
      <c r="L8275" t="s">
        <v>285</v>
      </c>
      <c r="M8275" t="str">
        <f t="shared" si="614"/>
        <v>02</v>
      </c>
      <c r="N8275" t="s">
        <v>12</v>
      </c>
    </row>
    <row r="8276" spans="1:14" x14ac:dyDescent="0.25">
      <c r="A8276">
        <v>20160212</v>
      </c>
      <c r="B8276" t="str">
        <f>"062318"</f>
        <v>062318</v>
      </c>
      <c r="C8276" t="str">
        <f>"45855"</f>
        <v>45855</v>
      </c>
      <c r="D8276" t="s">
        <v>2546</v>
      </c>
      <c r="E8276" s="3">
        <v>41.96</v>
      </c>
      <c r="F8276">
        <v>20160212</v>
      </c>
      <c r="G8276" t="s">
        <v>6688</v>
      </c>
      <c r="H8276" t="s">
        <v>6689</v>
      </c>
      <c r="I8276">
        <v>0</v>
      </c>
      <c r="J8276" t="s">
        <v>6578</v>
      </c>
      <c r="K8276" t="s">
        <v>2194</v>
      </c>
      <c r="L8276" t="s">
        <v>285</v>
      </c>
      <c r="M8276" t="str">
        <f t="shared" si="614"/>
        <v>02</v>
      </c>
      <c r="N8276" t="s">
        <v>12</v>
      </c>
    </row>
    <row r="8277" spans="1:14" x14ac:dyDescent="0.25">
      <c r="A8277">
        <v>20160212</v>
      </c>
      <c r="B8277" t="str">
        <f>"062326"</f>
        <v>062326</v>
      </c>
      <c r="C8277" t="str">
        <f>"49888"</f>
        <v>49888</v>
      </c>
      <c r="D8277" t="s">
        <v>6690</v>
      </c>
      <c r="E8277" s="3">
        <v>146.52000000000001</v>
      </c>
      <c r="F8277">
        <v>20160212</v>
      </c>
      <c r="G8277" t="s">
        <v>6623</v>
      </c>
      <c r="H8277" t="s">
        <v>6681</v>
      </c>
      <c r="I8277">
        <v>0</v>
      </c>
      <c r="J8277" t="s">
        <v>6578</v>
      </c>
      <c r="K8277" t="s">
        <v>2194</v>
      </c>
      <c r="L8277" t="s">
        <v>285</v>
      </c>
      <c r="M8277" t="str">
        <f t="shared" si="614"/>
        <v>02</v>
      </c>
      <c r="N8277" t="s">
        <v>12</v>
      </c>
    </row>
    <row r="8278" spans="1:14" x14ac:dyDescent="0.25">
      <c r="A8278">
        <v>20160219</v>
      </c>
      <c r="B8278" t="str">
        <f>"062394"</f>
        <v>062394</v>
      </c>
      <c r="C8278" t="str">
        <f>"74150"</f>
        <v>74150</v>
      </c>
      <c r="D8278" t="s">
        <v>3047</v>
      </c>
      <c r="E8278" s="3">
        <v>1345.5</v>
      </c>
      <c r="F8278">
        <v>20160217</v>
      </c>
      <c r="G8278" t="s">
        <v>6587</v>
      </c>
      <c r="H8278" t="s">
        <v>4125</v>
      </c>
      <c r="I8278">
        <v>0</v>
      </c>
      <c r="J8278" t="s">
        <v>6578</v>
      </c>
      <c r="K8278" t="s">
        <v>2194</v>
      </c>
      <c r="L8278" t="s">
        <v>285</v>
      </c>
      <c r="M8278" t="str">
        <f t="shared" si="614"/>
        <v>02</v>
      </c>
      <c r="N8278" t="s">
        <v>12</v>
      </c>
    </row>
    <row r="8279" spans="1:14" x14ac:dyDescent="0.25">
      <c r="A8279">
        <v>20160219</v>
      </c>
      <c r="B8279" t="str">
        <f>"062403"</f>
        <v>062403</v>
      </c>
      <c r="C8279" t="str">
        <f>"21439"</f>
        <v>21439</v>
      </c>
      <c r="D8279" t="s">
        <v>6691</v>
      </c>
      <c r="E8279" s="3">
        <v>298.66000000000003</v>
      </c>
      <c r="F8279">
        <v>20160218</v>
      </c>
      <c r="G8279" t="s">
        <v>6601</v>
      </c>
      <c r="H8279" t="s">
        <v>6692</v>
      </c>
      <c r="I8279">
        <v>0</v>
      </c>
      <c r="J8279" t="s">
        <v>6578</v>
      </c>
      <c r="K8279" t="s">
        <v>1643</v>
      </c>
      <c r="L8279" t="s">
        <v>285</v>
      </c>
      <c r="M8279" t="str">
        <f t="shared" si="614"/>
        <v>02</v>
      </c>
      <c r="N8279" t="s">
        <v>12</v>
      </c>
    </row>
    <row r="8280" spans="1:14" x14ac:dyDescent="0.25">
      <c r="A8280">
        <v>20160219</v>
      </c>
      <c r="B8280" t="str">
        <f>"062405"</f>
        <v>062405</v>
      </c>
      <c r="C8280" t="str">
        <f>"21769"</f>
        <v>21769</v>
      </c>
      <c r="D8280" t="s">
        <v>1836</v>
      </c>
      <c r="E8280" s="3">
        <v>1899.5</v>
      </c>
      <c r="F8280">
        <v>20160217</v>
      </c>
      <c r="G8280" t="s">
        <v>6587</v>
      </c>
      <c r="H8280" t="s">
        <v>4132</v>
      </c>
      <c r="I8280">
        <v>0</v>
      </c>
      <c r="J8280" t="s">
        <v>6578</v>
      </c>
      <c r="K8280" t="s">
        <v>2194</v>
      </c>
      <c r="L8280" t="s">
        <v>285</v>
      </c>
      <c r="M8280" t="str">
        <f t="shared" si="614"/>
        <v>02</v>
      </c>
      <c r="N8280" t="s">
        <v>12</v>
      </c>
    </row>
    <row r="8281" spans="1:14" x14ac:dyDescent="0.25">
      <c r="A8281">
        <v>20160219</v>
      </c>
      <c r="B8281" t="str">
        <f>"062412"</f>
        <v>062412</v>
      </c>
      <c r="C8281" t="str">
        <f>"27900"</f>
        <v>27900</v>
      </c>
      <c r="D8281" t="s">
        <v>1596</v>
      </c>
      <c r="E8281" s="3">
        <v>1150</v>
      </c>
      <c r="F8281">
        <v>20160217</v>
      </c>
      <c r="G8281" t="s">
        <v>6587</v>
      </c>
      <c r="H8281" t="s">
        <v>6693</v>
      </c>
      <c r="I8281">
        <v>0</v>
      </c>
      <c r="J8281" t="s">
        <v>6578</v>
      </c>
      <c r="K8281" t="s">
        <v>2194</v>
      </c>
      <c r="L8281" t="s">
        <v>285</v>
      </c>
      <c r="M8281" t="str">
        <f t="shared" si="614"/>
        <v>02</v>
      </c>
      <c r="N8281" t="s">
        <v>12</v>
      </c>
    </row>
    <row r="8282" spans="1:14" x14ac:dyDescent="0.25">
      <c r="A8282">
        <v>20160219</v>
      </c>
      <c r="B8282" t="str">
        <f>"062453"</f>
        <v>062453</v>
      </c>
      <c r="C8282" t="str">
        <f>"53099"</f>
        <v>53099</v>
      </c>
      <c r="D8282" t="s">
        <v>6694</v>
      </c>
      <c r="E8282" s="3">
        <v>520</v>
      </c>
      <c r="F8282">
        <v>20160217</v>
      </c>
      <c r="G8282" t="s">
        <v>6587</v>
      </c>
      <c r="H8282" t="s">
        <v>6695</v>
      </c>
      <c r="I8282">
        <v>0</v>
      </c>
      <c r="J8282" t="s">
        <v>6578</v>
      </c>
      <c r="K8282" t="s">
        <v>2194</v>
      </c>
      <c r="L8282" t="s">
        <v>285</v>
      </c>
      <c r="M8282" t="str">
        <f t="shared" si="614"/>
        <v>02</v>
      </c>
      <c r="N8282" t="s">
        <v>12</v>
      </c>
    </row>
    <row r="8283" spans="1:14" x14ac:dyDescent="0.25">
      <c r="A8283">
        <v>20160304</v>
      </c>
      <c r="B8283" t="str">
        <f t="shared" ref="B8283:B8288" si="615">"062520"</f>
        <v>062520</v>
      </c>
      <c r="C8283" t="str">
        <f t="shared" ref="C8283:C8288" si="616">"29779"</f>
        <v>29779</v>
      </c>
      <c r="D8283" t="s">
        <v>1806</v>
      </c>
      <c r="E8283" s="3">
        <v>1120</v>
      </c>
      <c r="F8283">
        <v>20160302</v>
      </c>
      <c r="G8283" t="s">
        <v>6587</v>
      </c>
      <c r="H8283" t="s">
        <v>6696</v>
      </c>
      <c r="I8283">
        <v>0</v>
      </c>
      <c r="J8283" t="s">
        <v>6578</v>
      </c>
      <c r="K8283" t="s">
        <v>2194</v>
      </c>
      <c r="L8283" t="s">
        <v>285</v>
      </c>
      <c r="M8283" t="str">
        <f t="shared" ref="M8283:M8322" si="617">"03"</f>
        <v>03</v>
      </c>
      <c r="N8283" t="s">
        <v>12</v>
      </c>
    </row>
    <row r="8284" spans="1:14" x14ac:dyDescent="0.25">
      <c r="A8284">
        <v>20160304</v>
      </c>
      <c r="B8284" t="str">
        <f t="shared" si="615"/>
        <v>062520</v>
      </c>
      <c r="C8284" t="str">
        <f t="shared" si="616"/>
        <v>29779</v>
      </c>
      <c r="D8284" t="s">
        <v>1806</v>
      </c>
      <c r="E8284" s="3">
        <v>375</v>
      </c>
      <c r="F8284">
        <v>20160302</v>
      </c>
      <c r="G8284" t="s">
        <v>6587</v>
      </c>
      <c r="H8284" t="s">
        <v>6697</v>
      </c>
      <c r="I8284">
        <v>0</v>
      </c>
      <c r="J8284" t="s">
        <v>6578</v>
      </c>
      <c r="K8284" t="s">
        <v>2194</v>
      </c>
      <c r="L8284" t="s">
        <v>285</v>
      </c>
      <c r="M8284" t="str">
        <f t="shared" si="617"/>
        <v>03</v>
      </c>
      <c r="N8284" t="s">
        <v>12</v>
      </c>
    </row>
    <row r="8285" spans="1:14" x14ac:dyDescent="0.25">
      <c r="A8285">
        <v>20160304</v>
      </c>
      <c r="B8285" t="str">
        <f t="shared" si="615"/>
        <v>062520</v>
      </c>
      <c r="C8285" t="str">
        <f t="shared" si="616"/>
        <v>29779</v>
      </c>
      <c r="D8285" t="s">
        <v>1806</v>
      </c>
      <c r="E8285" s="3">
        <v>737.48</v>
      </c>
      <c r="F8285">
        <v>20160302</v>
      </c>
      <c r="G8285" t="s">
        <v>6587</v>
      </c>
      <c r="H8285" t="s">
        <v>6698</v>
      </c>
      <c r="I8285">
        <v>0</v>
      </c>
      <c r="J8285" t="s">
        <v>6578</v>
      </c>
      <c r="K8285" t="s">
        <v>2194</v>
      </c>
      <c r="L8285" t="s">
        <v>285</v>
      </c>
      <c r="M8285" t="str">
        <f t="shared" si="617"/>
        <v>03</v>
      </c>
      <c r="N8285" t="s">
        <v>12</v>
      </c>
    </row>
    <row r="8286" spans="1:14" x14ac:dyDescent="0.25">
      <c r="A8286">
        <v>20160304</v>
      </c>
      <c r="B8286" t="str">
        <f t="shared" si="615"/>
        <v>062520</v>
      </c>
      <c r="C8286" t="str">
        <f t="shared" si="616"/>
        <v>29779</v>
      </c>
      <c r="D8286" t="s">
        <v>1806</v>
      </c>
      <c r="E8286" s="3">
        <v>843.74</v>
      </c>
      <c r="F8286">
        <v>20160302</v>
      </c>
      <c r="G8286" t="s">
        <v>6587</v>
      </c>
      <c r="H8286" t="s">
        <v>2051</v>
      </c>
      <c r="I8286">
        <v>0</v>
      </c>
      <c r="J8286" t="s">
        <v>6578</v>
      </c>
      <c r="K8286" t="s">
        <v>2194</v>
      </c>
      <c r="L8286" t="s">
        <v>285</v>
      </c>
      <c r="M8286" t="str">
        <f t="shared" si="617"/>
        <v>03</v>
      </c>
      <c r="N8286" t="s">
        <v>12</v>
      </c>
    </row>
    <row r="8287" spans="1:14" x14ac:dyDescent="0.25">
      <c r="A8287">
        <v>20160304</v>
      </c>
      <c r="B8287" t="str">
        <f t="shared" si="615"/>
        <v>062520</v>
      </c>
      <c r="C8287" t="str">
        <f t="shared" si="616"/>
        <v>29779</v>
      </c>
      <c r="D8287" t="s">
        <v>1806</v>
      </c>
      <c r="E8287" s="3">
        <v>800</v>
      </c>
      <c r="F8287">
        <v>20160302</v>
      </c>
      <c r="G8287" t="s">
        <v>6587</v>
      </c>
      <c r="H8287" t="s">
        <v>6699</v>
      </c>
      <c r="I8287">
        <v>0</v>
      </c>
      <c r="J8287" t="s">
        <v>6578</v>
      </c>
      <c r="K8287" t="s">
        <v>2194</v>
      </c>
      <c r="L8287" t="s">
        <v>285</v>
      </c>
      <c r="M8287" t="str">
        <f t="shared" si="617"/>
        <v>03</v>
      </c>
      <c r="N8287" t="s">
        <v>12</v>
      </c>
    </row>
    <row r="8288" spans="1:14" x14ac:dyDescent="0.25">
      <c r="A8288">
        <v>20160304</v>
      </c>
      <c r="B8288" t="str">
        <f t="shared" si="615"/>
        <v>062520</v>
      </c>
      <c r="C8288" t="str">
        <f t="shared" si="616"/>
        <v>29779</v>
      </c>
      <c r="D8288" t="s">
        <v>1806</v>
      </c>
      <c r="E8288" s="3">
        <v>468.74</v>
      </c>
      <c r="F8288">
        <v>20160303</v>
      </c>
      <c r="G8288" t="s">
        <v>6587</v>
      </c>
      <c r="H8288" t="s">
        <v>2051</v>
      </c>
      <c r="I8288">
        <v>0</v>
      </c>
      <c r="J8288" t="s">
        <v>6578</v>
      </c>
      <c r="K8288" t="s">
        <v>2194</v>
      </c>
      <c r="L8288" t="s">
        <v>285</v>
      </c>
      <c r="M8288" t="str">
        <f t="shared" si="617"/>
        <v>03</v>
      </c>
      <c r="N8288" t="s">
        <v>12</v>
      </c>
    </row>
    <row r="8289" spans="1:14" x14ac:dyDescent="0.25">
      <c r="A8289">
        <v>20160304</v>
      </c>
      <c r="B8289" t="str">
        <f>"062531"</f>
        <v>062531</v>
      </c>
      <c r="C8289" t="str">
        <f>"09170"</f>
        <v>09170</v>
      </c>
      <c r="D8289" t="s">
        <v>596</v>
      </c>
      <c r="E8289" s="3">
        <v>219.99</v>
      </c>
      <c r="F8289">
        <v>20160302</v>
      </c>
      <c r="G8289" t="s">
        <v>6599</v>
      </c>
      <c r="H8289" t="s">
        <v>6700</v>
      </c>
      <c r="I8289">
        <v>0</v>
      </c>
      <c r="J8289" t="s">
        <v>6578</v>
      </c>
      <c r="K8289" t="s">
        <v>95</v>
      </c>
      <c r="L8289" t="s">
        <v>285</v>
      </c>
      <c r="M8289" t="str">
        <f t="shared" si="617"/>
        <v>03</v>
      </c>
      <c r="N8289" t="s">
        <v>12</v>
      </c>
    </row>
    <row r="8290" spans="1:14" x14ac:dyDescent="0.25">
      <c r="A8290">
        <v>20160304</v>
      </c>
      <c r="B8290" t="str">
        <f>"062531"</f>
        <v>062531</v>
      </c>
      <c r="C8290" t="str">
        <f>"09170"</f>
        <v>09170</v>
      </c>
      <c r="D8290" t="s">
        <v>596</v>
      </c>
      <c r="E8290" s="3">
        <v>199</v>
      </c>
      <c r="F8290">
        <v>20160302</v>
      </c>
      <c r="G8290" t="s">
        <v>6601</v>
      </c>
      <c r="H8290" t="s">
        <v>6692</v>
      </c>
      <c r="I8290">
        <v>0</v>
      </c>
      <c r="J8290" t="s">
        <v>6578</v>
      </c>
      <c r="K8290" t="s">
        <v>1643</v>
      </c>
      <c r="L8290" t="s">
        <v>285</v>
      </c>
      <c r="M8290" t="str">
        <f t="shared" si="617"/>
        <v>03</v>
      </c>
      <c r="N8290" t="s">
        <v>12</v>
      </c>
    </row>
    <row r="8291" spans="1:14" x14ac:dyDescent="0.25">
      <c r="A8291">
        <v>20160304</v>
      </c>
      <c r="B8291" t="str">
        <f>"062531"</f>
        <v>062531</v>
      </c>
      <c r="C8291" t="str">
        <f>"09170"</f>
        <v>09170</v>
      </c>
      <c r="D8291" t="s">
        <v>596</v>
      </c>
      <c r="E8291" s="3">
        <v>75</v>
      </c>
      <c r="F8291">
        <v>20160303</v>
      </c>
      <c r="G8291" t="s">
        <v>6608</v>
      </c>
      <c r="H8291" t="s">
        <v>6701</v>
      </c>
      <c r="I8291">
        <v>0</v>
      </c>
      <c r="J8291" t="s">
        <v>6578</v>
      </c>
      <c r="K8291" t="s">
        <v>33</v>
      </c>
      <c r="L8291" t="s">
        <v>285</v>
      </c>
      <c r="M8291" t="str">
        <f t="shared" si="617"/>
        <v>03</v>
      </c>
      <c r="N8291" t="s">
        <v>12</v>
      </c>
    </row>
    <row r="8292" spans="1:14" x14ac:dyDescent="0.25">
      <c r="A8292">
        <v>20160304</v>
      </c>
      <c r="B8292" t="str">
        <f>"062531"</f>
        <v>062531</v>
      </c>
      <c r="C8292" t="str">
        <f>"09170"</f>
        <v>09170</v>
      </c>
      <c r="D8292" t="s">
        <v>596</v>
      </c>
      <c r="E8292" s="3">
        <v>99</v>
      </c>
      <c r="F8292">
        <v>20160303</v>
      </c>
      <c r="G8292" t="s">
        <v>6602</v>
      </c>
      <c r="H8292" t="s">
        <v>6702</v>
      </c>
      <c r="I8292">
        <v>0</v>
      </c>
      <c r="J8292" t="s">
        <v>6578</v>
      </c>
      <c r="K8292" t="s">
        <v>2194</v>
      </c>
      <c r="L8292" t="s">
        <v>285</v>
      </c>
      <c r="M8292" t="str">
        <f t="shared" si="617"/>
        <v>03</v>
      </c>
      <c r="N8292" t="s">
        <v>12</v>
      </c>
    </row>
    <row r="8293" spans="1:14" x14ac:dyDescent="0.25">
      <c r="A8293">
        <v>20160304</v>
      </c>
      <c r="B8293" t="str">
        <f>"062538"</f>
        <v>062538</v>
      </c>
      <c r="C8293" t="str">
        <f>"19425"</f>
        <v>19425</v>
      </c>
      <c r="D8293" t="s">
        <v>2631</v>
      </c>
      <c r="E8293" s="3">
        <v>154.6</v>
      </c>
      <c r="F8293">
        <v>20160303</v>
      </c>
      <c r="G8293" t="s">
        <v>6703</v>
      </c>
      <c r="H8293" t="s">
        <v>6704</v>
      </c>
      <c r="I8293">
        <v>0</v>
      </c>
      <c r="J8293" t="s">
        <v>6578</v>
      </c>
      <c r="K8293" t="s">
        <v>2194</v>
      </c>
      <c r="L8293" t="s">
        <v>285</v>
      </c>
      <c r="M8293" t="str">
        <f t="shared" si="617"/>
        <v>03</v>
      </c>
      <c r="N8293" t="s">
        <v>12</v>
      </c>
    </row>
    <row r="8294" spans="1:14" x14ac:dyDescent="0.25">
      <c r="A8294">
        <v>20160304</v>
      </c>
      <c r="B8294" t="str">
        <f>"062591"</f>
        <v>062591</v>
      </c>
      <c r="C8294" t="str">
        <f>"54495"</f>
        <v>54495</v>
      </c>
      <c r="D8294" t="s">
        <v>2756</v>
      </c>
      <c r="E8294" s="3">
        <v>225</v>
      </c>
      <c r="F8294">
        <v>20160303</v>
      </c>
      <c r="G8294" t="s">
        <v>6583</v>
      </c>
      <c r="H8294" t="s">
        <v>6705</v>
      </c>
      <c r="I8294">
        <v>0</v>
      </c>
      <c r="J8294" t="s">
        <v>6578</v>
      </c>
      <c r="K8294" t="s">
        <v>95</v>
      </c>
      <c r="L8294" t="s">
        <v>285</v>
      </c>
      <c r="M8294" t="str">
        <f t="shared" si="617"/>
        <v>03</v>
      </c>
      <c r="N8294" t="s">
        <v>12</v>
      </c>
    </row>
    <row r="8295" spans="1:14" x14ac:dyDescent="0.25">
      <c r="A8295">
        <v>20160304</v>
      </c>
      <c r="B8295" t="str">
        <f>"062609"</f>
        <v>062609</v>
      </c>
      <c r="C8295" t="str">
        <f>"65826"</f>
        <v>65826</v>
      </c>
      <c r="D8295" t="s">
        <v>2386</v>
      </c>
      <c r="E8295" s="3">
        <v>166.81</v>
      </c>
      <c r="F8295">
        <v>20160304</v>
      </c>
      <c r="G8295" t="s">
        <v>6585</v>
      </c>
      <c r="H8295" t="s">
        <v>2169</v>
      </c>
      <c r="I8295">
        <v>0</v>
      </c>
      <c r="J8295" t="s">
        <v>6578</v>
      </c>
      <c r="K8295" t="s">
        <v>1643</v>
      </c>
      <c r="L8295" t="s">
        <v>285</v>
      </c>
      <c r="M8295" t="str">
        <f t="shared" si="617"/>
        <v>03</v>
      </c>
      <c r="N8295" t="s">
        <v>12</v>
      </c>
    </row>
    <row r="8296" spans="1:14" x14ac:dyDescent="0.25">
      <c r="A8296">
        <v>20160304</v>
      </c>
      <c r="B8296" t="str">
        <f>"062609"</f>
        <v>062609</v>
      </c>
      <c r="C8296" t="str">
        <f>"65826"</f>
        <v>65826</v>
      </c>
      <c r="D8296" t="s">
        <v>2386</v>
      </c>
      <c r="E8296" s="3">
        <v>28.41</v>
      </c>
      <c r="F8296">
        <v>20160304</v>
      </c>
      <c r="G8296" t="s">
        <v>6586</v>
      </c>
      <c r="H8296" t="s">
        <v>6706</v>
      </c>
      <c r="I8296">
        <v>0</v>
      </c>
      <c r="J8296" t="s">
        <v>6578</v>
      </c>
      <c r="K8296" t="s">
        <v>33</v>
      </c>
      <c r="L8296" t="s">
        <v>285</v>
      </c>
      <c r="M8296" t="str">
        <f t="shared" si="617"/>
        <v>03</v>
      </c>
      <c r="N8296" t="s">
        <v>12</v>
      </c>
    </row>
    <row r="8297" spans="1:14" x14ac:dyDescent="0.25">
      <c r="A8297">
        <v>20160304</v>
      </c>
      <c r="B8297" t="str">
        <f t="shared" ref="B8297:B8303" si="618">"062627"</f>
        <v>062627</v>
      </c>
      <c r="C8297" t="str">
        <f t="shared" ref="C8297:C8303" si="619">"83022"</f>
        <v>83022</v>
      </c>
      <c r="D8297" t="s">
        <v>394</v>
      </c>
      <c r="E8297" s="3">
        <v>81.8</v>
      </c>
      <c r="F8297">
        <v>20160304</v>
      </c>
      <c r="G8297" t="s">
        <v>6586</v>
      </c>
      <c r="H8297" t="s">
        <v>6707</v>
      </c>
      <c r="I8297">
        <v>0</v>
      </c>
      <c r="J8297" t="s">
        <v>6578</v>
      </c>
      <c r="K8297" t="s">
        <v>33</v>
      </c>
      <c r="L8297" t="s">
        <v>285</v>
      </c>
      <c r="M8297" t="str">
        <f t="shared" si="617"/>
        <v>03</v>
      </c>
      <c r="N8297" t="s">
        <v>12</v>
      </c>
    </row>
    <row r="8298" spans="1:14" x14ac:dyDescent="0.25">
      <c r="A8298">
        <v>20160304</v>
      </c>
      <c r="B8298" t="str">
        <f t="shared" si="618"/>
        <v>062627</v>
      </c>
      <c r="C8298" t="str">
        <f t="shared" si="619"/>
        <v>83022</v>
      </c>
      <c r="D8298" t="s">
        <v>394</v>
      </c>
      <c r="E8298" s="3">
        <v>3.33</v>
      </c>
      <c r="F8298">
        <v>20160304</v>
      </c>
      <c r="G8298" t="s">
        <v>6586</v>
      </c>
      <c r="H8298" t="s">
        <v>6708</v>
      </c>
      <c r="I8298">
        <v>0</v>
      </c>
      <c r="J8298" t="s">
        <v>6578</v>
      </c>
      <c r="K8298" t="s">
        <v>33</v>
      </c>
      <c r="L8298" t="s">
        <v>285</v>
      </c>
      <c r="M8298" t="str">
        <f t="shared" si="617"/>
        <v>03</v>
      </c>
      <c r="N8298" t="s">
        <v>12</v>
      </c>
    </row>
    <row r="8299" spans="1:14" x14ac:dyDescent="0.25">
      <c r="A8299">
        <v>20160304</v>
      </c>
      <c r="B8299" t="str">
        <f t="shared" si="618"/>
        <v>062627</v>
      </c>
      <c r="C8299" t="str">
        <f t="shared" si="619"/>
        <v>83022</v>
      </c>
      <c r="D8299" t="s">
        <v>394</v>
      </c>
      <c r="E8299" s="3">
        <v>3.6</v>
      </c>
      <c r="F8299">
        <v>20160304</v>
      </c>
      <c r="G8299" t="s">
        <v>6586</v>
      </c>
      <c r="H8299" t="s">
        <v>6708</v>
      </c>
      <c r="I8299">
        <v>0</v>
      </c>
      <c r="J8299" t="s">
        <v>6578</v>
      </c>
      <c r="K8299" t="s">
        <v>33</v>
      </c>
      <c r="L8299" t="s">
        <v>285</v>
      </c>
      <c r="M8299" t="str">
        <f t="shared" si="617"/>
        <v>03</v>
      </c>
      <c r="N8299" t="s">
        <v>12</v>
      </c>
    </row>
    <row r="8300" spans="1:14" x14ac:dyDescent="0.25">
      <c r="A8300">
        <v>20160304</v>
      </c>
      <c r="B8300" t="str">
        <f t="shared" si="618"/>
        <v>062627</v>
      </c>
      <c r="C8300" t="str">
        <f t="shared" si="619"/>
        <v>83022</v>
      </c>
      <c r="D8300" t="s">
        <v>394</v>
      </c>
      <c r="E8300" s="3">
        <v>37.049999999999997</v>
      </c>
      <c r="F8300">
        <v>20160304</v>
      </c>
      <c r="G8300" t="s">
        <v>6586</v>
      </c>
      <c r="H8300" t="s">
        <v>2169</v>
      </c>
      <c r="I8300">
        <v>0</v>
      </c>
      <c r="J8300" t="s">
        <v>6578</v>
      </c>
      <c r="K8300" t="s">
        <v>33</v>
      </c>
      <c r="L8300" t="s">
        <v>285</v>
      </c>
      <c r="M8300" t="str">
        <f t="shared" si="617"/>
        <v>03</v>
      </c>
      <c r="N8300" t="s">
        <v>12</v>
      </c>
    </row>
    <row r="8301" spans="1:14" x14ac:dyDescent="0.25">
      <c r="A8301">
        <v>20160304</v>
      </c>
      <c r="B8301" t="str">
        <f t="shared" si="618"/>
        <v>062627</v>
      </c>
      <c r="C8301" t="str">
        <f t="shared" si="619"/>
        <v>83022</v>
      </c>
      <c r="D8301" t="s">
        <v>394</v>
      </c>
      <c r="E8301" s="3">
        <v>59.3</v>
      </c>
      <c r="F8301">
        <v>20160304</v>
      </c>
      <c r="G8301" t="s">
        <v>6586</v>
      </c>
      <c r="H8301" t="s">
        <v>4315</v>
      </c>
      <c r="I8301">
        <v>0</v>
      </c>
      <c r="J8301" t="s">
        <v>6578</v>
      </c>
      <c r="K8301" t="s">
        <v>33</v>
      </c>
      <c r="L8301" t="s">
        <v>285</v>
      </c>
      <c r="M8301" t="str">
        <f t="shared" si="617"/>
        <v>03</v>
      </c>
      <c r="N8301" t="s">
        <v>12</v>
      </c>
    </row>
    <row r="8302" spans="1:14" x14ac:dyDescent="0.25">
      <c r="A8302">
        <v>20160304</v>
      </c>
      <c r="B8302" t="str">
        <f t="shared" si="618"/>
        <v>062627</v>
      </c>
      <c r="C8302" t="str">
        <f t="shared" si="619"/>
        <v>83022</v>
      </c>
      <c r="D8302" t="s">
        <v>394</v>
      </c>
      <c r="E8302" s="3">
        <v>-3.6</v>
      </c>
      <c r="F8302">
        <v>20160203</v>
      </c>
      <c r="G8302" t="s">
        <v>6586</v>
      </c>
      <c r="H8302" t="s">
        <v>6708</v>
      </c>
      <c r="I8302">
        <v>0</v>
      </c>
      <c r="J8302" t="s">
        <v>6578</v>
      </c>
      <c r="K8302" t="s">
        <v>33</v>
      </c>
      <c r="L8302" t="s">
        <v>1385</v>
      </c>
      <c r="M8302" t="str">
        <f t="shared" si="617"/>
        <v>03</v>
      </c>
      <c r="N8302" t="s">
        <v>12</v>
      </c>
    </row>
    <row r="8303" spans="1:14" x14ac:dyDescent="0.25">
      <c r="A8303">
        <v>20160304</v>
      </c>
      <c r="B8303" t="str">
        <f t="shared" si="618"/>
        <v>062627</v>
      </c>
      <c r="C8303" t="str">
        <f t="shared" si="619"/>
        <v>83022</v>
      </c>
      <c r="D8303" t="s">
        <v>394</v>
      </c>
      <c r="E8303" s="3">
        <v>-58.8</v>
      </c>
      <c r="F8303">
        <v>20160125</v>
      </c>
      <c r="G8303" t="s">
        <v>6586</v>
      </c>
      <c r="H8303" t="s">
        <v>6709</v>
      </c>
      <c r="I8303">
        <v>0</v>
      </c>
      <c r="J8303" t="s">
        <v>6578</v>
      </c>
      <c r="K8303" t="s">
        <v>33</v>
      </c>
      <c r="L8303" t="s">
        <v>1385</v>
      </c>
      <c r="M8303" t="str">
        <f t="shared" si="617"/>
        <v>03</v>
      </c>
      <c r="N8303" t="s">
        <v>12</v>
      </c>
    </row>
    <row r="8304" spans="1:14" x14ac:dyDescent="0.25">
      <c r="A8304">
        <v>20160311</v>
      </c>
      <c r="B8304" t="str">
        <f>"062650"</f>
        <v>062650</v>
      </c>
      <c r="C8304" t="str">
        <f>"27900"</f>
        <v>27900</v>
      </c>
      <c r="D8304" t="s">
        <v>1596</v>
      </c>
      <c r="E8304" s="3">
        <v>100</v>
      </c>
      <c r="F8304">
        <v>20160310</v>
      </c>
      <c r="G8304" t="s">
        <v>6595</v>
      </c>
      <c r="H8304" t="s">
        <v>1640</v>
      </c>
      <c r="I8304">
        <v>0</v>
      </c>
      <c r="J8304" t="s">
        <v>6578</v>
      </c>
      <c r="K8304" t="s">
        <v>290</v>
      </c>
      <c r="L8304" t="s">
        <v>285</v>
      </c>
      <c r="M8304" t="str">
        <f t="shared" si="617"/>
        <v>03</v>
      </c>
      <c r="N8304" t="s">
        <v>12</v>
      </c>
    </row>
    <row r="8305" spans="1:14" x14ac:dyDescent="0.25">
      <c r="A8305">
        <v>20160311</v>
      </c>
      <c r="B8305" t="str">
        <f>"062650"</f>
        <v>062650</v>
      </c>
      <c r="C8305" t="str">
        <f>"27900"</f>
        <v>27900</v>
      </c>
      <c r="D8305" t="s">
        <v>1596</v>
      </c>
      <c r="E8305" s="3">
        <v>100</v>
      </c>
      <c r="F8305">
        <v>20160310</v>
      </c>
      <c r="G8305" t="s">
        <v>6599</v>
      </c>
      <c r="H8305" t="s">
        <v>1642</v>
      </c>
      <c r="I8305">
        <v>0</v>
      </c>
      <c r="J8305" t="s">
        <v>6578</v>
      </c>
      <c r="K8305" t="s">
        <v>95</v>
      </c>
      <c r="L8305" t="s">
        <v>285</v>
      </c>
      <c r="M8305" t="str">
        <f t="shared" si="617"/>
        <v>03</v>
      </c>
      <c r="N8305" t="s">
        <v>12</v>
      </c>
    </row>
    <row r="8306" spans="1:14" x14ac:dyDescent="0.25">
      <c r="A8306">
        <v>20160311</v>
      </c>
      <c r="B8306" t="str">
        <f>"062650"</f>
        <v>062650</v>
      </c>
      <c r="C8306" t="str">
        <f>"27900"</f>
        <v>27900</v>
      </c>
      <c r="D8306" t="s">
        <v>1596</v>
      </c>
      <c r="E8306" s="3">
        <v>25</v>
      </c>
      <c r="F8306">
        <v>20160310</v>
      </c>
      <c r="G8306" t="s">
        <v>6599</v>
      </c>
      <c r="H8306" t="s">
        <v>6710</v>
      </c>
      <c r="I8306">
        <v>0</v>
      </c>
      <c r="J8306" t="s">
        <v>6578</v>
      </c>
      <c r="K8306" t="s">
        <v>95</v>
      </c>
      <c r="L8306" t="s">
        <v>285</v>
      </c>
      <c r="M8306" t="str">
        <f t="shared" si="617"/>
        <v>03</v>
      </c>
      <c r="N8306" t="s">
        <v>12</v>
      </c>
    </row>
    <row r="8307" spans="1:14" x14ac:dyDescent="0.25">
      <c r="A8307">
        <v>20160311</v>
      </c>
      <c r="B8307" t="str">
        <f>"062650"</f>
        <v>062650</v>
      </c>
      <c r="C8307" t="str">
        <f>"27900"</f>
        <v>27900</v>
      </c>
      <c r="D8307" t="s">
        <v>1596</v>
      </c>
      <c r="E8307" s="3">
        <v>25</v>
      </c>
      <c r="F8307">
        <v>20160310</v>
      </c>
      <c r="G8307" t="s">
        <v>6608</v>
      </c>
      <c r="H8307" t="s">
        <v>6710</v>
      </c>
      <c r="I8307">
        <v>0</v>
      </c>
      <c r="J8307" t="s">
        <v>6578</v>
      </c>
      <c r="K8307" t="s">
        <v>33</v>
      </c>
      <c r="L8307" t="s">
        <v>285</v>
      </c>
      <c r="M8307" t="str">
        <f t="shared" si="617"/>
        <v>03</v>
      </c>
      <c r="N8307" t="s">
        <v>12</v>
      </c>
    </row>
    <row r="8308" spans="1:14" x14ac:dyDescent="0.25">
      <c r="A8308">
        <v>20160311</v>
      </c>
      <c r="B8308" t="str">
        <f>"062650"</f>
        <v>062650</v>
      </c>
      <c r="C8308" t="str">
        <f>"27900"</f>
        <v>27900</v>
      </c>
      <c r="D8308" t="s">
        <v>1596</v>
      </c>
      <c r="E8308" s="3">
        <v>100</v>
      </c>
      <c r="F8308">
        <v>20160310</v>
      </c>
      <c r="G8308" t="s">
        <v>6602</v>
      </c>
      <c r="H8308" t="s">
        <v>1642</v>
      </c>
      <c r="I8308">
        <v>0</v>
      </c>
      <c r="J8308" t="s">
        <v>6578</v>
      </c>
      <c r="K8308" t="s">
        <v>2194</v>
      </c>
      <c r="L8308" t="s">
        <v>285</v>
      </c>
      <c r="M8308" t="str">
        <f t="shared" si="617"/>
        <v>03</v>
      </c>
      <c r="N8308" t="s">
        <v>12</v>
      </c>
    </row>
    <row r="8309" spans="1:14" x14ac:dyDescent="0.25">
      <c r="A8309">
        <v>20160311</v>
      </c>
      <c r="B8309" t="str">
        <f>"062658"</f>
        <v>062658</v>
      </c>
      <c r="C8309" t="str">
        <f>"37500"</f>
        <v>37500</v>
      </c>
      <c r="D8309" t="s">
        <v>1652</v>
      </c>
      <c r="E8309" s="3">
        <v>43</v>
      </c>
      <c r="F8309">
        <v>20160310</v>
      </c>
      <c r="G8309" t="s">
        <v>6583</v>
      </c>
      <c r="H8309" t="s">
        <v>5397</v>
      </c>
      <c r="I8309">
        <v>0</v>
      </c>
      <c r="J8309" t="s">
        <v>6578</v>
      </c>
      <c r="K8309" t="s">
        <v>95</v>
      </c>
      <c r="L8309" t="s">
        <v>285</v>
      </c>
      <c r="M8309" t="str">
        <f t="shared" si="617"/>
        <v>03</v>
      </c>
      <c r="N8309" t="s">
        <v>12</v>
      </c>
    </row>
    <row r="8310" spans="1:14" x14ac:dyDescent="0.25">
      <c r="A8310">
        <v>20160311</v>
      </c>
      <c r="B8310" t="str">
        <f>"062665"</f>
        <v>062665</v>
      </c>
      <c r="C8310" t="str">
        <f>"60601"</f>
        <v>60601</v>
      </c>
      <c r="D8310" t="s">
        <v>3590</v>
      </c>
      <c r="E8310" s="3">
        <v>150</v>
      </c>
      <c r="F8310">
        <v>20160310</v>
      </c>
      <c r="G8310" t="s">
        <v>6592</v>
      </c>
      <c r="H8310" t="s">
        <v>6711</v>
      </c>
      <c r="I8310">
        <v>0</v>
      </c>
      <c r="J8310" t="s">
        <v>6578</v>
      </c>
      <c r="K8310" t="s">
        <v>290</v>
      </c>
      <c r="L8310" t="s">
        <v>285</v>
      </c>
      <c r="M8310" t="str">
        <f t="shared" si="617"/>
        <v>03</v>
      </c>
      <c r="N8310" t="s">
        <v>12</v>
      </c>
    </row>
    <row r="8311" spans="1:14" x14ac:dyDescent="0.25">
      <c r="A8311">
        <v>20160311</v>
      </c>
      <c r="B8311" t="str">
        <f>"062679"</f>
        <v>062679</v>
      </c>
      <c r="C8311" t="str">
        <f>"53099"</f>
        <v>53099</v>
      </c>
      <c r="D8311" t="s">
        <v>6694</v>
      </c>
      <c r="E8311" s="3">
        <v>520</v>
      </c>
      <c r="F8311">
        <v>20160310</v>
      </c>
      <c r="G8311" t="s">
        <v>6587</v>
      </c>
      <c r="H8311" t="s">
        <v>6712</v>
      </c>
      <c r="I8311">
        <v>0</v>
      </c>
      <c r="J8311" t="s">
        <v>6578</v>
      </c>
      <c r="K8311" t="s">
        <v>2194</v>
      </c>
      <c r="L8311" t="s">
        <v>285</v>
      </c>
      <c r="M8311" t="str">
        <f t="shared" si="617"/>
        <v>03</v>
      </c>
      <c r="N8311" t="s">
        <v>12</v>
      </c>
    </row>
    <row r="8312" spans="1:14" x14ac:dyDescent="0.25">
      <c r="A8312">
        <v>20160311</v>
      </c>
      <c r="B8312" t="str">
        <f>"062705"</f>
        <v>062705</v>
      </c>
      <c r="C8312" t="str">
        <f>"72730"</f>
        <v>72730</v>
      </c>
      <c r="D8312" t="s">
        <v>1926</v>
      </c>
      <c r="E8312" s="3">
        <v>84.02</v>
      </c>
      <c r="F8312">
        <v>20160311</v>
      </c>
      <c r="G8312" t="s">
        <v>6688</v>
      </c>
      <c r="H8312" t="s">
        <v>595</v>
      </c>
      <c r="I8312">
        <v>0</v>
      </c>
      <c r="J8312" t="s">
        <v>6578</v>
      </c>
      <c r="K8312" t="s">
        <v>2194</v>
      </c>
      <c r="L8312" t="s">
        <v>285</v>
      </c>
      <c r="M8312" t="str">
        <f t="shared" si="617"/>
        <v>03</v>
      </c>
      <c r="N8312" t="s">
        <v>12</v>
      </c>
    </row>
    <row r="8313" spans="1:14" x14ac:dyDescent="0.25">
      <c r="A8313">
        <v>20160311</v>
      </c>
      <c r="B8313" t="str">
        <f>"062705"</f>
        <v>062705</v>
      </c>
      <c r="C8313" t="str">
        <f>"72730"</f>
        <v>72730</v>
      </c>
      <c r="D8313" t="s">
        <v>1926</v>
      </c>
      <c r="E8313" s="3">
        <v>8.65</v>
      </c>
      <c r="F8313">
        <v>20160311</v>
      </c>
      <c r="G8313" t="s">
        <v>6688</v>
      </c>
      <c r="H8313" t="s">
        <v>4868</v>
      </c>
      <c r="I8313">
        <v>0</v>
      </c>
      <c r="J8313" t="s">
        <v>6578</v>
      </c>
      <c r="K8313" t="s">
        <v>2194</v>
      </c>
      <c r="L8313" t="s">
        <v>285</v>
      </c>
      <c r="M8313" t="str">
        <f t="shared" si="617"/>
        <v>03</v>
      </c>
      <c r="N8313" t="s">
        <v>12</v>
      </c>
    </row>
    <row r="8314" spans="1:14" x14ac:dyDescent="0.25">
      <c r="A8314">
        <v>20160311</v>
      </c>
      <c r="B8314" t="str">
        <f>"062705"</f>
        <v>062705</v>
      </c>
      <c r="C8314" t="str">
        <f>"72730"</f>
        <v>72730</v>
      </c>
      <c r="D8314" t="s">
        <v>1926</v>
      </c>
      <c r="E8314" s="3">
        <v>21.92</v>
      </c>
      <c r="F8314">
        <v>20160311</v>
      </c>
      <c r="G8314" t="s">
        <v>6688</v>
      </c>
      <c r="H8314" t="s">
        <v>3409</v>
      </c>
      <c r="I8314">
        <v>0</v>
      </c>
      <c r="J8314" t="s">
        <v>6578</v>
      </c>
      <c r="K8314" t="s">
        <v>2194</v>
      </c>
      <c r="L8314" t="s">
        <v>285</v>
      </c>
      <c r="M8314" t="str">
        <f t="shared" si="617"/>
        <v>03</v>
      </c>
      <c r="N8314" t="s">
        <v>12</v>
      </c>
    </row>
    <row r="8315" spans="1:14" x14ac:dyDescent="0.25">
      <c r="A8315">
        <v>20160311</v>
      </c>
      <c r="B8315" t="str">
        <f>"062705"</f>
        <v>062705</v>
      </c>
      <c r="C8315" t="str">
        <f>"72730"</f>
        <v>72730</v>
      </c>
      <c r="D8315" t="s">
        <v>1926</v>
      </c>
      <c r="E8315" s="3">
        <v>-12.4</v>
      </c>
      <c r="F8315">
        <v>20160212</v>
      </c>
      <c r="G8315" t="s">
        <v>6688</v>
      </c>
      <c r="H8315" t="s">
        <v>1868</v>
      </c>
      <c r="I8315">
        <v>0</v>
      </c>
      <c r="J8315" t="s">
        <v>6578</v>
      </c>
      <c r="K8315" t="s">
        <v>2194</v>
      </c>
      <c r="L8315" t="s">
        <v>1385</v>
      </c>
      <c r="M8315" t="str">
        <f t="shared" si="617"/>
        <v>03</v>
      </c>
      <c r="N8315" t="s">
        <v>12</v>
      </c>
    </row>
    <row r="8316" spans="1:14" x14ac:dyDescent="0.25">
      <c r="A8316">
        <v>20160318</v>
      </c>
      <c r="B8316" t="str">
        <f>"062722"</f>
        <v>062722</v>
      </c>
      <c r="C8316" t="str">
        <f>"29779"</f>
        <v>29779</v>
      </c>
      <c r="D8316" t="s">
        <v>1806</v>
      </c>
      <c r="E8316" s="3">
        <v>980</v>
      </c>
      <c r="F8316">
        <v>20160316</v>
      </c>
      <c r="G8316" t="s">
        <v>6587</v>
      </c>
      <c r="H8316" t="s">
        <v>6713</v>
      </c>
      <c r="I8316">
        <v>0</v>
      </c>
      <c r="J8316" t="s">
        <v>6578</v>
      </c>
      <c r="K8316" t="s">
        <v>2194</v>
      </c>
      <c r="L8316" t="s">
        <v>285</v>
      </c>
      <c r="M8316" t="str">
        <f t="shared" si="617"/>
        <v>03</v>
      </c>
      <c r="N8316" t="s">
        <v>12</v>
      </c>
    </row>
    <row r="8317" spans="1:14" x14ac:dyDescent="0.25">
      <c r="A8317">
        <v>20160318</v>
      </c>
      <c r="B8317" t="str">
        <f>"062734"</f>
        <v>062734</v>
      </c>
      <c r="C8317" t="str">
        <f>"74150"</f>
        <v>74150</v>
      </c>
      <c r="D8317" t="s">
        <v>3047</v>
      </c>
      <c r="E8317" s="3">
        <v>2000</v>
      </c>
      <c r="F8317">
        <v>20160316</v>
      </c>
      <c r="G8317" t="s">
        <v>6587</v>
      </c>
      <c r="H8317" t="s">
        <v>4485</v>
      </c>
      <c r="I8317">
        <v>0</v>
      </c>
      <c r="J8317" t="s">
        <v>6578</v>
      </c>
      <c r="K8317" t="s">
        <v>2194</v>
      </c>
      <c r="L8317" t="s">
        <v>285</v>
      </c>
      <c r="M8317" t="str">
        <f t="shared" si="617"/>
        <v>03</v>
      </c>
      <c r="N8317" t="s">
        <v>12</v>
      </c>
    </row>
    <row r="8318" spans="1:14" x14ac:dyDescent="0.25">
      <c r="A8318">
        <v>20160318</v>
      </c>
      <c r="B8318" t="str">
        <f>"062738"</f>
        <v>062738</v>
      </c>
      <c r="C8318" t="str">
        <f>"21769"</f>
        <v>21769</v>
      </c>
      <c r="D8318" t="s">
        <v>1836</v>
      </c>
      <c r="E8318" s="3">
        <v>1334</v>
      </c>
      <c r="F8318">
        <v>20160316</v>
      </c>
      <c r="G8318" t="s">
        <v>6587</v>
      </c>
      <c r="H8318" t="s">
        <v>4495</v>
      </c>
      <c r="I8318">
        <v>0</v>
      </c>
      <c r="J8318" t="s">
        <v>6578</v>
      </c>
      <c r="K8318" t="s">
        <v>2194</v>
      </c>
      <c r="L8318" t="s">
        <v>285</v>
      </c>
      <c r="M8318" t="str">
        <f t="shared" si="617"/>
        <v>03</v>
      </c>
      <c r="N8318" t="s">
        <v>12</v>
      </c>
    </row>
    <row r="8319" spans="1:14" x14ac:dyDescent="0.25">
      <c r="A8319">
        <v>20160318</v>
      </c>
      <c r="B8319" t="str">
        <f>"062761"</f>
        <v>062761</v>
      </c>
      <c r="C8319" t="str">
        <f>"45855"</f>
        <v>45855</v>
      </c>
      <c r="D8319" t="s">
        <v>2546</v>
      </c>
      <c r="E8319" s="3">
        <v>270.41000000000003</v>
      </c>
      <c r="F8319">
        <v>20160316</v>
      </c>
      <c r="G8319" t="s">
        <v>6623</v>
      </c>
      <c r="H8319" t="s">
        <v>6681</v>
      </c>
      <c r="I8319">
        <v>0</v>
      </c>
      <c r="J8319" t="s">
        <v>6578</v>
      </c>
      <c r="K8319" t="s">
        <v>2194</v>
      </c>
      <c r="L8319" t="s">
        <v>285</v>
      </c>
      <c r="M8319" t="str">
        <f t="shared" si="617"/>
        <v>03</v>
      </c>
      <c r="N8319" t="s">
        <v>12</v>
      </c>
    </row>
    <row r="8320" spans="1:14" x14ac:dyDescent="0.25">
      <c r="A8320">
        <v>20160324</v>
      </c>
      <c r="B8320" t="str">
        <f>"062887"</f>
        <v>062887</v>
      </c>
      <c r="C8320" t="str">
        <f>"83022"</f>
        <v>83022</v>
      </c>
      <c r="D8320" t="s">
        <v>394</v>
      </c>
      <c r="E8320" s="3">
        <v>72.069999999999993</v>
      </c>
      <c r="F8320">
        <v>20160323</v>
      </c>
      <c r="G8320" t="s">
        <v>6586</v>
      </c>
      <c r="H8320" t="s">
        <v>5397</v>
      </c>
      <c r="I8320">
        <v>0</v>
      </c>
      <c r="J8320" t="s">
        <v>6578</v>
      </c>
      <c r="K8320" t="s">
        <v>33</v>
      </c>
      <c r="L8320" t="s">
        <v>285</v>
      </c>
      <c r="M8320" t="str">
        <f t="shared" si="617"/>
        <v>03</v>
      </c>
      <c r="N8320" t="s">
        <v>12</v>
      </c>
    </row>
    <row r="8321" spans="1:14" x14ac:dyDescent="0.25">
      <c r="A8321">
        <v>20160331</v>
      </c>
      <c r="B8321" t="str">
        <f>"062904"</f>
        <v>062904</v>
      </c>
      <c r="C8321" t="str">
        <f>"29779"</f>
        <v>29779</v>
      </c>
      <c r="D8321" t="s">
        <v>1806</v>
      </c>
      <c r="E8321" s="3">
        <v>1120</v>
      </c>
      <c r="F8321">
        <v>20160329</v>
      </c>
      <c r="G8321" t="s">
        <v>6587</v>
      </c>
      <c r="H8321" t="s">
        <v>4634</v>
      </c>
      <c r="I8321">
        <v>0</v>
      </c>
      <c r="J8321" t="s">
        <v>6578</v>
      </c>
      <c r="K8321" t="s">
        <v>2194</v>
      </c>
      <c r="L8321" t="s">
        <v>285</v>
      </c>
      <c r="M8321" t="str">
        <f t="shared" si="617"/>
        <v>03</v>
      </c>
      <c r="N8321" t="s">
        <v>12</v>
      </c>
    </row>
    <row r="8322" spans="1:14" x14ac:dyDescent="0.25">
      <c r="A8322">
        <v>20160331</v>
      </c>
      <c r="B8322" t="str">
        <f>"062904"</f>
        <v>062904</v>
      </c>
      <c r="C8322" t="str">
        <f>"29779"</f>
        <v>29779</v>
      </c>
      <c r="D8322" t="s">
        <v>1806</v>
      </c>
      <c r="E8322" s="3">
        <v>606.22</v>
      </c>
      <c r="F8322">
        <v>20160329</v>
      </c>
      <c r="G8322" t="s">
        <v>6587</v>
      </c>
      <c r="H8322" t="s">
        <v>2051</v>
      </c>
      <c r="I8322">
        <v>0</v>
      </c>
      <c r="J8322" t="s">
        <v>6578</v>
      </c>
      <c r="K8322" t="s">
        <v>2194</v>
      </c>
      <c r="L8322" t="s">
        <v>285</v>
      </c>
      <c r="M8322" t="str">
        <f t="shared" si="617"/>
        <v>03</v>
      </c>
      <c r="N8322" t="s">
        <v>12</v>
      </c>
    </row>
    <row r="8323" spans="1:14" x14ac:dyDescent="0.25">
      <c r="A8323">
        <v>20160407</v>
      </c>
      <c r="B8323" t="str">
        <f>"063003"</f>
        <v>063003</v>
      </c>
      <c r="C8323" t="str">
        <f>"33742"</f>
        <v>33742</v>
      </c>
      <c r="D8323" t="s">
        <v>4055</v>
      </c>
      <c r="E8323" s="3">
        <v>522.32000000000005</v>
      </c>
      <c r="F8323">
        <v>20160406</v>
      </c>
      <c r="G8323" t="s">
        <v>6601</v>
      </c>
      <c r="H8323" t="s">
        <v>6692</v>
      </c>
      <c r="I8323">
        <v>0</v>
      </c>
      <c r="J8323" t="s">
        <v>6578</v>
      </c>
      <c r="K8323" t="s">
        <v>1643</v>
      </c>
      <c r="L8323" t="s">
        <v>285</v>
      </c>
      <c r="M8323" t="str">
        <f t="shared" ref="M8323:M8340" si="620">"04"</f>
        <v>04</v>
      </c>
      <c r="N8323" t="s">
        <v>12</v>
      </c>
    </row>
    <row r="8324" spans="1:14" x14ac:dyDescent="0.25">
      <c r="A8324">
        <v>20160407</v>
      </c>
      <c r="B8324" t="str">
        <f>"063018"</f>
        <v>063018</v>
      </c>
      <c r="C8324" t="str">
        <f>"56448"</f>
        <v>56448</v>
      </c>
      <c r="D8324" t="s">
        <v>6714</v>
      </c>
      <c r="E8324" s="3">
        <v>216.91</v>
      </c>
      <c r="F8324">
        <v>20160406</v>
      </c>
      <c r="G8324" t="s">
        <v>6602</v>
      </c>
      <c r="H8324" t="s">
        <v>1376</v>
      </c>
      <c r="I8324">
        <v>0</v>
      </c>
      <c r="J8324" t="s">
        <v>6578</v>
      </c>
      <c r="K8324" t="s">
        <v>2194</v>
      </c>
      <c r="L8324" t="s">
        <v>285</v>
      </c>
      <c r="M8324" t="str">
        <f t="shared" si="620"/>
        <v>04</v>
      </c>
      <c r="N8324" t="s">
        <v>12</v>
      </c>
    </row>
    <row r="8325" spans="1:14" x14ac:dyDescent="0.25">
      <c r="A8325">
        <v>20160415</v>
      </c>
      <c r="B8325" t="str">
        <f>"063033"</f>
        <v>063033</v>
      </c>
      <c r="C8325" t="str">
        <f>"29779"</f>
        <v>29779</v>
      </c>
      <c r="D8325" t="s">
        <v>1806</v>
      </c>
      <c r="E8325" s="3">
        <v>1120</v>
      </c>
      <c r="F8325">
        <v>20160412</v>
      </c>
      <c r="G8325" t="s">
        <v>6587</v>
      </c>
      <c r="H8325" t="s">
        <v>6715</v>
      </c>
      <c r="I8325">
        <v>0</v>
      </c>
      <c r="J8325" t="s">
        <v>6578</v>
      </c>
      <c r="K8325" t="s">
        <v>2194</v>
      </c>
      <c r="L8325" t="s">
        <v>285</v>
      </c>
      <c r="M8325" t="str">
        <f t="shared" si="620"/>
        <v>04</v>
      </c>
      <c r="N8325" t="s">
        <v>12</v>
      </c>
    </row>
    <row r="8326" spans="1:14" x14ac:dyDescent="0.25">
      <c r="A8326">
        <v>20160415</v>
      </c>
      <c r="B8326" t="str">
        <f>"063045"</f>
        <v>063045</v>
      </c>
      <c r="C8326" t="str">
        <f>"11776"</f>
        <v>11776</v>
      </c>
      <c r="D8326" t="s">
        <v>4734</v>
      </c>
      <c r="E8326" s="3">
        <v>2200</v>
      </c>
      <c r="F8326">
        <v>20160412</v>
      </c>
      <c r="G8326" t="s">
        <v>6587</v>
      </c>
      <c r="H8326" t="s">
        <v>6716</v>
      </c>
      <c r="I8326">
        <v>0</v>
      </c>
      <c r="J8326" t="s">
        <v>6578</v>
      </c>
      <c r="K8326" t="s">
        <v>2194</v>
      </c>
      <c r="L8326" t="s">
        <v>285</v>
      </c>
      <c r="M8326" t="str">
        <f t="shared" si="620"/>
        <v>04</v>
      </c>
      <c r="N8326" t="s">
        <v>12</v>
      </c>
    </row>
    <row r="8327" spans="1:14" x14ac:dyDescent="0.25">
      <c r="A8327">
        <v>20160415</v>
      </c>
      <c r="B8327" t="str">
        <f>"063098"</f>
        <v>063098</v>
      </c>
      <c r="C8327" t="str">
        <f>"63511"</f>
        <v>63511</v>
      </c>
      <c r="D8327" t="s">
        <v>2322</v>
      </c>
      <c r="E8327" s="3">
        <v>188</v>
      </c>
      <c r="F8327">
        <v>20160412</v>
      </c>
      <c r="G8327" t="s">
        <v>6589</v>
      </c>
      <c r="H8327" t="s">
        <v>6717</v>
      </c>
      <c r="I8327">
        <v>0</v>
      </c>
      <c r="J8327" t="s">
        <v>6578</v>
      </c>
      <c r="K8327" t="s">
        <v>2194</v>
      </c>
      <c r="L8327" t="s">
        <v>285</v>
      </c>
      <c r="M8327" t="str">
        <f t="shared" si="620"/>
        <v>04</v>
      </c>
      <c r="N8327" t="s">
        <v>12</v>
      </c>
    </row>
    <row r="8328" spans="1:14" x14ac:dyDescent="0.25">
      <c r="A8328">
        <v>20160415</v>
      </c>
      <c r="B8328" t="str">
        <f>"063098"</f>
        <v>063098</v>
      </c>
      <c r="C8328" t="str">
        <f>"63511"</f>
        <v>63511</v>
      </c>
      <c r="D8328" t="s">
        <v>2322</v>
      </c>
      <c r="E8328" s="3">
        <v>433.79</v>
      </c>
      <c r="F8328">
        <v>20160412</v>
      </c>
      <c r="G8328" t="s">
        <v>6589</v>
      </c>
      <c r="H8328" t="s">
        <v>6718</v>
      </c>
      <c r="I8328">
        <v>0</v>
      </c>
      <c r="J8328" t="s">
        <v>6578</v>
      </c>
      <c r="K8328" t="s">
        <v>2194</v>
      </c>
      <c r="L8328" t="s">
        <v>285</v>
      </c>
      <c r="M8328" t="str">
        <f t="shared" si="620"/>
        <v>04</v>
      </c>
      <c r="N8328" t="s">
        <v>12</v>
      </c>
    </row>
    <row r="8329" spans="1:14" x14ac:dyDescent="0.25">
      <c r="A8329">
        <v>20160415</v>
      </c>
      <c r="B8329" t="str">
        <f>"063116"</f>
        <v>063116</v>
      </c>
      <c r="C8329" t="str">
        <f>"54050"</f>
        <v>54050</v>
      </c>
      <c r="D8329" t="s">
        <v>4076</v>
      </c>
      <c r="E8329" s="3">
        <v>280.39999999999998</v>
      </c>
      <c r="F8329">
        <v>20160413</v>
      </c>
      <c r="G8329" t="s">
        <v>6589</v>
      </c>
      <c r="H8329" t="s">
        <v>6719</v>
      </c>
      <c r="I8329">
        <v>0</v>
      </c>
      <c r="J8329" t="s">
        <v>6578</v>
      </c>
      <c r="K8329" t="s">
        <v>2194</v>
      </c>
      <c r="L8329" t="s">
        <v>285</v>
      </c>
      <c r="M8329" t="str">
        <f t="shared" si="620"/>
        <v>04</v>
      </c>
      <c r="N8329" t="s">
        <v>12</v>
      </c>
    </row>
    <row r="8330" spans="1:14" x14ac:dyDescent="0.25">
      <c r="A8330">
        <v>20160415</v>
      </c>
      <c r="B8330" t="str">
        <f>"063153"</f>
        <v>063153</v>
      </c>
      <c r="C8330" t="str">
        <f>"67615"</f>
        <v>67615</v>
      </c>
      <c r="D8330" t="s">
        <v>5576</v>
      </c>
      <c r="E8330" s="3">
        <v>30.38</v>
      </c>
      <c r="F8330">
        <v>20160413</v>
      </c>
      <c r="G8330" t="s">
        <v>6586</v>
      </c>
      <c r="H8330" t="s">
        <v>6720</v>
      </c>
      <c r="I8330">
        <v>0</v>
      </c>
      <c r="J8330" t="s">
        <v>6578</v>
      </c>
      <c r="K8330" t="s">
        <v>33</v>
      </c>
      <c r="L8330" t="s">
        <v>285</v>
      </c>
      <c r="M8330" t="str">
        <f t="shared" si="620"/>
        <v>04</v>
      </c>
      <c r="N8330" t="s">
        <v>12</v>
      </c>
    </row>
    <row r="8331" spans="1:14" x14ac:dyDescent="0.25">
      <c r="A8331">
        <v>20160420</v>
      </c>
      <c r="B8331" t="str">
        <f>"063194"</f>
        <v>063194</v>
      </c>
      <c r="C8331" t="str">
        <f>"74150"</f>
        <v>74150</v>
      </c>
      <c r="D8331" t="s">
        <v>3047</v>
      </c>
      <c r="E8331" s="3">
        <v>2592.1799999999998</v>
      </c>
      <c r="F8331">
        <v>20160419</v>
      </c>
      <c r="G8331" t="s">
        <v>6587</v>
      </c>
      <c r="H8331" t="s">
        <v>6721</v>
      </c>
      <c r="I8331">
        <v>0</v>
      </c>
      <c r="J8331" t="s">
        <v>6578</v>
      </c>
      <c r="K8331" t="s">
        <v>2194</v>
      </c>
      <c r="L8331" t="s">
        <v>285</v>
      </c>
      <c r="M8331" t="str">
        <f t="shared" si="620"/>
        <v>04</v>
      </c>
      <c r="N8331" t="s">
        <v>12</v>
      </c>
    </row>
    <row r="8332" spans="1:14" x14ac:dyDescent="0.25">
      <c r="A8332">
        <v>20160420</v>
      </c>
      <c r="B8332" t="str">
        <f>"063201"</f>
        <v>063201</v>
      </c>
      <c r="C8332" t="str">
        <f>"21769"</f>
        <v>21769</v>
      </c>
      <c r="D8332" t="s">
        <v>1836</v>
      </c>
      <c r="E8332" s="3">
        <v>1334</v>
      </c>
      <c r="F8332">
        <v>20160419</v>
      </c>
      <c r="G8332" t="s">
        <v>6587</v>
      </c>
      <c r="H8332" t="s">
        <v>4894</v>
      </c>
      <c r="I8332">
        <v>0</v>
      </c>
      <c r="J8332" t="s">
        <v>6578</v>
      </c>
      <c r="K8332" t="s">
        <v>2194</v>
      </c>
      <c r="L8332" t="s">
        <v>285</v>
      </c>
      <c r="M8332" t="str">
        <f t="shared" si="620"/>
        <v>04</v>
      </c>
      <c r="N8332" t="s">
        <v>12</v>
      </c>
    </row>
    <row r="8333" spans="1:14" x14ac:dyDescent="0.25">
      <c r="A8333">
        <v>20160420</v>
      </c>
      <c r="B8333" t="str">
        <f>"063224"</f>
        <v>063224</v>
      </c>
      <c r="C8333" t="str">
        <f>"39135"</f>
        <v>39135</v>
      </c>
      <c r="D8333" t="s">
        <v>5649</v>
      </c>
      <c r="E8333" s="3">
        <v>882</v>
      </c>
      <c r="F8333">
        <v>20160419</v>
      </c>
      <c r="G8333" t="s">
        <v>6589</v>
      </c>
      <c r="H8333" t="s">
        <v>6722</v>
      </c>
      <c r="I8333">
        <v>0</v>
      </c>
      <c r="J8333" t="s">
        <v>6578</v>
      </c>
      <c r="K8333" t="s">
        <v>2194</v>
      </c>
      <c r="L8333" t="s">
        <v>285</v>
      </c>
      <c r="M8333" t="str">
        <f t="shared" si="620"/>
        <v>04</v>
      </c>
      <c r="N8333" t="s">
        <v>12</v>
      </c>
    </row>
    <row r="8334" spans="1:14" x14ac:dyDescent="0.25">
      <c r="A8334">
        <v>20160420</v>
      </c>
      <c r="B8334" t="str">
        <f>"063250"</f>
        <v>063250</v>
      </c>
      <c r="C8334" t="str">
        <f>"62336"</f>
        <v>62336</v>
      </c>
      <c r="D8334" t="s">
        <v>6723</v>
      </c>
      <c r="E8334" s="3">
        <v>329.98</v>
      </c>
      <c r="F8334">
        <v>20160420</v>
      </c>
      <c r="G8334" t="s">
        <v>6583</v>
      </c>
      <c r="H8334" t="s">
        <v>6724</v>
      </c>
      <c r="I8334">
        <v>0</v>
      </c>
      <c r="J8334" t="s">
        <v>6578</v>
      </c>
      <c r="K8334" t="s">
        <v>95</v>
      </c>
      <c r="L8334" t="s">
        <v>285</v>
      </c>
      <c r="M8334" t="str">
        <f t="shared" si="620"/>
        <v>04</v>
      </c>
      <c r="N8334" t="s">
        <v>12</v>
      </c>
    </row>
    <row r="8335" spans="1:14" x14ac:dyDescent="0.25">
      <c r="A8335">
        <v>20160429</v>
      </c>
      <c r="B8335" t="str">
        <f>"063277"</f>
        <v>063277</v>
      </c>
      <c r="C8335" t="str">
        <f>"29779"</f>
        <v>29779</v>
      </c>
      <c r="D8335" t="s">
        <v>1806</v>
      </c>
      <c r="E8335" s="3">
        <v>450</v>
      </c>
      <c r="F8335">
        <v>20160427</v>
      </c>
      <c r="G8335" t="s">
        <v>6587</v>
      </c>
      <c r="H8335" t="s">
        <v>6725</v>
      </c>
      <c r="I8335">
        <v>0</v>
      </c>
      <c r="J8335" t="s">
        <v>6578</v>
      </c>
      <c r="K8335" t="s">
        <v>2194</v>
      </c>
      <c r="L8335" t="s">
        <v>285</v>
      </c>
      <c r="M8335" t="str">
        <f t="shared" si="620"/>
        <v>04</v>
      </c>
      <c r="N8335" t="s">
        <v>12</v>
      </c>
    </row>
    <row r="8336" spans="1:14" x14ac:dyDescent="0.25">
      <c r="A8336">
        <v>20160429</v>
      </c>
      <c r="B8336" t="str">
        <f>"063277"</f>
        <v>063277</v>
      </c>
      <c r="C8336" t="str">
        <f>"29779"</f>
        <v>29779</v>
      </c>
      <c r="D8336" t="s">
        <v>1806</v>
      </c>
      <c r="E8336" s="3">
        <v>568.74</v>
      </c>
      <c r="F8336">
        <v>20160427</v>
      </c>
      <c r="G8336" t="s">
        <v>6587</v>
      </c>
      <c r="H8336" t="s">
        <v>2051</v>
      </c>
      <c r="I8336">
        <v>0</v>
      </c>
      <c r="J8336" t="s">
        <v>6578</v>
      </c>
      <c r="K8336" t="s">
        <v>2194</v>
      </c>
      <c r="L8336" t="s">
        <v>285</v>
      </c>
      <c r="M8336" t="str">
        <f t="shared" si="620"/>
        <v>04</v>
      </c>
      <c r="N8336" t="s">
        <v>12</v>
      </c>
    </row>
    <row r="8337" spans="1:14" x14ac:dyDescent="0.25">
      <c r="A8337">
        <v>20160429</v>
      </c>
      <c r="B8337" t="str">
        <f>"063277"</f>
        <v>063277</v>
      </c>
      <c r="C8337" t="str">
        <f>"29779"</f>
        <v>29779</v>
      </c>
      <c r="D8337" t="s">
        <v>1806</v>
      </c>
      <c r="E8337" s="3">
        <v>468.74</v>
      </c>
      <c r="F8337">
        <v>20160427</v>
      </c>
      <c r="G8337" t="s">
        <v>6587</v>
      </c>
      <c r="H8337" t="s">
        <v>2051</v>
      </c>
      <c r="I8337">
        <v>0</v>
      </c>
      <c r="J8337" t="s">
        <v>6578</v>
      </c>
      <c r="K8337" t="s">
        <v>2194</v>
      </c>
      <c r="L8337" t="s">
        <v>285</v>
      </c>
      <c r="M8337" t="str">
        <f t="shared" si="620"/>
        <v>04</v>
      </c>
      <c r="N8337" t="s">
        <v>12</v>
      </c>
    </row>
    <row r="8338" spans="1:14" x14ac:dyDescent="0.25">
      <c r="A8338">
        <v>20160429</v>
      </c>
      <c r="B8338" t="str">
        <f>"063281"</f>
        <v>063281</v>
      </c>
      <c r="C8338" t="str">
        <f>"09170"</f>
        <v>09170</v>
      </c>
      <c r="D8338" t="s">
        <v>596</v>
      </c>
      <c r="E8338" s="3">
        <v>129</v>
      </c>
      <c r="F8338">
        <v>20160427</v>
      </c>
      <c r="G8338" t="s">
        <v>6608</v>
      </c>
      <c r="H8338" t="s">
        <v>6726</v>
      </c>
      <c r="I8338">
        <v>0</v>
      </c>
      <c r="J8338" t="s">
        <v>6578</v>
      </c>
      <c r="K8338" t="s">
        <v>33</v>
      </c>
      <c r="L8338" t="s">
        <v>285</v>
      </c>
      <c r="M8338" t="str">
        <f t="shared" si="620"/>
        <v>04</v>
      </c>
      <c r="N8338" t="s">
        <v>12</v>
      </c>
    </row>
    <row r="8339" spans="1:14" x14ac:dyDescent="0.25">
      <c r="A8339">
        <v>20160429</v>
      </c>
      <c r="B8339" t="str">
        <f>"063290"</f>
        <v>063290</v>
      </c>
      <c r="C8339" t="str">
        <f>"19425"</f>
        <v>19425</v>
      </c>
      <c r="D8339" t="s">
        <v>2631</v>
      </c>
      <c r="E8339" s="3">
        <v>171.5</v>
      </c>
      <c r="F8339">
        <v>20160427</v>
      </c>
      <c r="G8339" t="s">
        <v>6703</v>
      </c>
      <c r="H8339" t="s">
        <v>6727</v>
      </c>
      <c r="I8339">
        <v>0</v>
      </c>
      <c r="J8339" t="s">
        <v>6578</v>
      </c>
      <c r="K8339" t="s">
        <v>2194</v>
      </c>
      <c r="L8339" t="s">
        <v>285</v>
      </c>
      <c r="M8339" t="str">
        <f t="shared" si="620"/>
        <v>04</v>
      </c>
      <c r="N8339" t="s">
        <v>12</v>
      </c>
    </row>
    <row r="8340" spans="1:14" x14ac:dyDescent="0.25">
      <c r="A8340">
        <v>20160429</v>
      </c>
      <c r="B8340" t="str">
        <f>"063323"</f>
        <v>063323</v>
      </c>
      <c r="C8340" t="str">
        <f>"72730"</f>
        <v>72730</v>
      </c>
      <c r="D8340" t="s">
        <v>1400</v>
      </c>
      <c r="E8340" s="3">
        <v>41.2</v>
      </c>
      <c r="F8340">
        <v>20160427</v>
      </c>
      <c r="G8340" t="s">
        <v>6585</v>
      </c>
      <c r="H8340" t="s">
        <v>6728</v>
      </c>
      <c r="I8340">
        <v>0</v>
      </c>
      <c r="J8340" t="s">
        <v>6578</v>
      </c>
      <c r="K8340" t="s">
        <v>1643</v>
      </c>
      <c r="L8340" t="s">
        <v>285</v>
      </c>
      <c r="M8340" t="str">
        <f t="shared" si="620"/>
        <v>04</v>
      </c>
      <c r="N8340" t="s">
        <v>12</v>
      </c>
    </row>
    <row r="8341" spans="1:14" x14ac:dyDescent="0.25">
      <c r="A8341">
        <v>20160506</v>
      </c>
      <c r="B8341" t="str">
        <f>"063338"</f>
        <v>063338</v>
      </c>
      <c r="C8341" t="str">
        <f>"00303"</f>
        <v>00303</v>
      </c>
      <c r="D8341" t="s">
        <v>5416</v>
      </c>
      <c r="E8341" s="3">
        <v>31.48</v>
      </c>
      <c r="F8341">
        <v>20160504</v>
      </c>
      <c r="G8341" t="s">
        <v>6602</v>
      </c>
      <c r="H8341" t="s">
        <v>1376</v>
      </c>
      <c r="I8341">
        <v>0</v>
      </c>
      <c r="J8341" t="s">
        <v>6578</v>
      </c>
      <c r="K8341" t="s">
        <v>2194</v>
      </c>
      <c r="L8341" t="s">
        <v>285</v>
      </c>
      <c r="M8341" t="str">
        <f t="shared" ref="M8341:M8373" si="621">"05"</f>
        <v>05</v>
      </c>
      <c r="N8341" t="s">
        <v>12</v>
      </c>
    </row>
    <row r="8342" spans="1:14" x14ac:dyDescent="0.25">
      <c r="A8342">
        <v>20160506</v>
      </c>
      <c r="B8342" t="str">
        <f>"063339"</f>
        <v>063339</v>
      </c>
      <c r="C8342" t="str">
        <f>"29779"</f>
        <v>29779</v>
      </c>
      <c r="D8342" t="s">
        <v>1806</v>
      </c>
      <c r="E8342" s="3">
        <v>1120</v>
      </c>
      <c r="F8342">
        <v>20160504</v>
      </c>
      <c r="G8342" t="s">
        <v>6587</v>
      </c>
      <c r="H8342" t="s">
        <v>6729</v>
      </c>
      <c r="I8342">
        <v>0</v>
      </c>
      <c r="J8342" t="s">
        <v>6578</v>
      </c>
      <c r="K8342" t="s">
        <v>2194</v>
      </c>
      <c r="L8342" t="s">
        <v>285</v>
      </c>
      <c r="M8342" t="str">
        <f t="shared" si="621"/>
        <v>05</v>
      </c>
      <c r="N8342" t="s">
        <v>12</v>
      </c>
    </row>
    <row r="8343" spans="1:14" x14ac:dyDescent="0.25">
      <c r="A8343">
        <v>20160506</v>
      </c>
      <c r="B8343" t="str">
        <f>"063339"</f>
        <v>063339</v>
      </c>
      <c r="C8343" t="str">
        <f>"29779"</f>
        <v>29779</v>
      </c>
      <c r="D8343" t="s">
        <v>1806</v>
      </c>
      <c r="E8343" s="3">
        <v>862.48</v>
      </c>
      <c r="F8343">
        <v>20160504</v>
      </c>
      <c r="G8343" t="s">
        <v>6587</v>
      </c>
      <c r="H8343" t="s">
        <v>2051</v>
      </c>
      <c r="I8343">
        <v>0</v>
      </c>
      <c r="J8343" t="s">
        <v>6578</v>
      </c>
      <c r="K8343" t="s">
        <v>2194</v>
      </c>
      <c r="L8343" t="s">
        <v>285</v>
      </c>
      <c r="M8343" t="str">
        <f t="shared" si="621"/>
        <v>05</v>
      </c>
      <c r="N8343" t="s">
        <v>12</v>
      </c>
    </row>
    <row r="8344" spans="1:14" x14ac:dyDescent="0.25">
      <c r="A8344">
        <v>20160506</v>
      </c>
      <c r="B8344" t="str">
        <f>"063339"</f>
        <v>063339</v>
      </c>
      <c r="C8344" t="str">
        <f>"29779"</f>
        <v>29779</v>
      </c>
      <c r="D8344" t="s">
        <v>1806</v>
      </c>
      <c r="E8344" s="3">
        <v>568.74</v>
      </c>
      <c r="F8344">
        <v>20160504</v>
      </c>
      <c r="G8344" t="s">
        <v>6587</v>
      </c>
      <c r="H8344" t="s">
        <v>2051</v>
      </c>
      <c r="I8344">
        <v>0</v>
      </c>
      <c r="J8344" t="s">
        <v>6578</v>
      </c>
      <c r="K8344" t="s">
        <v>2194</v>
      </c>
      <c r="L8344" t="s">
        <v>285</v>
      </c>
      <c r="M8344" t="str">
        <f t="shared" si="621"/>
        <v>05</v>
      </c>
      <c r="N8344" t="s">
        <v>12</v>
      </c>
    </row>
    <row r="8345" spans="1:14" x14ac:dyDescent="0.25">
      <c r="A8345">
        <v>20160506</v>
      </c>
      <c r="B8345" t="str">
        <f>"063357"</f>
        <v>063357</v>
      </c>
      <c r="C8345" t="str">
        <f>"21132"</f>
        <v>21132</v>
      </c>
      <c r="D8345" t="s">
        <v>5498</v>
      </c>
      <c r="E8345" s="3">
        <v>17.09</v>
      </c>
      <c r="F8345">
        <v>20160504</v>
      </c>
      <c r="G8345" t="s">
        <v>6602</v>
      </c>
      <c r="H8345" t="s">
        <v>1376</v>
      </c>
      <c r="I8345">
        <v>0</v>
      </c>
      <c r="J8345" t="s">
        <v>6578</v>
      </c>
      <c r="K8345" t="s">
        <v>2194</v>
      </c>
      <c r="L8345" t="s">
        <v>285</v>
      </c>
      <c r="M8345" t="str">
        <f t="shared" si="621"/>
        <v>05</v>
      </c>
      <c r="N8345" t="s">
        <v>12</v>
      </c>
    </row>
    <row r="8346" spans="1:14" x14ac:dyDescent="0.25">
      <c r="A8346">
        <v>20160506</v>
      </c>
      <c r="B8346" t="str">
        <f>"063364"</f>
        <v>063364</v>
      </c>
      <c r="C8346" t="str">
        <f>"27900"</f>
        <v>27900</v>
      </c>
      <c r="D8346" t="s">
        <v>1596</v>
      </c>
      <c r="E8346" s="3">
        <v>30</v>
      </c>
      <c r="F8346">
        <v>20160504</v>
      </c>
      <c r="G8346" t="s">
        <v>6608</v>
      </c>
      <c r="H8346" t="s">
        <v>6730</v>
      </c>
      <c r="I8346">
        <v>0</v>
      </c>
      <c r="J8346" t="s">
        <v>6578</v>
      </c>
      <c r="K8346" t="s">
        <v>33</v>
      </c>
      <c r="L8346" t="s">
        <v>285</v>
      </c>
      <c r="M8346" t="str">
        <f t="shared" si="621"/>
        <v>05</v>
      </c>
      <c r="N8346" t="s">
        <v>12</v>
      </c>
    </row>
    <row r="8347" spans="1:14" x14ac:dyDescent="0.25">
      <c r="A8347">
        <v>20160506</v>
      </c>
      <c r="B8347" t="str">
        <f>"063364"</f>
        <v>063364</v>
      </c>
      <c r="C8347" t="str">
        <f>"27900"</f>
        <v>27900</v>
      </c>
      <c r="D8347" t="s">
        <v>1596</v>
      </c>
      <c r="E8347" s="3">
        <v>30</v>
      </c>
      <c r="F8347">
        <v>20160504</v>
      </c>
      <c r="G8347" t="s">
        <v>6608</v>
      </c>
      <c r="H8347" t="s">
        <v>6730</v>
      </c>
      <c r="I8347">
        <v>0</v>
      </c>
      <c r="J8347" t="s">
        <v>6578</v>
      </c>
      <c r="K8347" t="s">
        <v>33</v>
      </c>
      <c r="L8347" t="s">
        <v>285</v>
      </c>
      <c r="M8347" t="str">
        <f t="shared" si="621"/>
        <v>05</v>
      </c>
      <c r="N8347" t="s">
        <v>12</v>
      </c>
    </row>
    <row r="8348" spans="1:14" x14ac:dyDescent="0.25">
      <c r="A8348">
        <v>20160506</v>
      </c>
      <c r="B8348" t="str">
        <f>"063375"</f>
        <v>063375</v>
      </c>
      <c r="C8348" t="str">
        <f>"37500"</f>
        <v>37500</v>
      </c>
      <c r="D8348" t="s">
        <v>1652</v>
      </c>
      <c r="E8348" s="3">
        <v>38.159999999999997</v>
      </c>
      <c r="F8348">
        <v>20160505</v>
      </c>
      <c r="G8348" t="s">
        <v>6592</v>
      </c>
      <c r="H8348" t="s">
        <v>2169</v>
      </c>
      <c r="I8348">
        <v>0</v>
      </c>
      <c r="J8348" t="s">
        <v>6578</v>
      </c>
      <c r="K8348" t="s">
        <v>290</v>
      </c>
      <c r="L8348" t="s">
        <v>285</v>
      </c>
      <c r="M8348" t="str">
        <f t="shared" si="621"/>
        <v>05</v>
      </c>
      <c r="N8348" t="s">
        <v>12</v>
      </c>
    </row>
    <row r="8349" spans="1:14" x14ac:dyDescent="0.25">
      <c r="A8349">
        <v>20160506</v>
      </c>
      <c r="B8349" t="str">
        <f>"063387"</f>
        <v>063387</v>
      </c>
      <c r="C8349" t="str">
        <f>"48958"</f>
        <v>48958</v>
      </c>
      <c r="D8349" t="s">
        <v>3849</v>
      </c>
      <c r="E8349" s="3">
        <v>220.56</v>
      </c>
      <c r="F8349">
        <v>20160506</v>
      </c>
      <c r="G8349" t="s">
        <v>6602</v>
      </c>
      <c r="H8349" t="s">
        <v>1376</v>
      </c>
      <c r="I8349">
        <v>0</v>
      </c>
      <c r="J8349" t="s">
        <v>6578</v>
      </c>
      <c r="K8349" t="s">
        <v>2194</v>
      </c>
      <c r="L8349" t="s">
        <v>285</v>
      </c>
      <c r="M8349" t="str">
        <f t="shared" si="621"/>
        <v>05</v>
      </c>
      <c r="N8349" t="s">
        <v>12</v>
      </c>
    </row>
    <row r="8350" spans="1:14" x14ac:dyDescent="0.25">
      <c r="A8350">
        <v>20160506</v>
      </c>
      <c r="B8350" t="str">
        <f>"063395"</f>
        <v>063395</v>
      </c>
      <c r="C8350" t="str">
        <f>"53099"</f>
        <v>53099</v>
      </c>
      <c r="D8350" t="s">
        <v>6694</v>
      </c>
      <c r="E8350" s="3">
        <v>520</v>
      </c>
      <c r="F8350">
        <v>20160504</v>
      </c>
      <c r="G8350" t="s">
        <v>6587</v>
      </c>
      <c r="H8350" t="s">
        <v>6731</v>
      </c>
      <c r="I8350">
        <v>0</v>
      </c>
      <c r="J8350" t="s">
        <v>6578</v>
      </c>
      <c r="K8350" t="s">
        <v>2194</v>
      </c>
      <c r="L8350" t="s">
        <v>285</v>
      </c>
      <c r="M8350" t="str">
        <f t="shared" si="621"/>
        <v>05</v>
      </c>
      <c r="N8350" t="s">
        <v>12</v>
      </c>
    </row>
    <row r="8351" spans="1:14" x14ac:dyDescent="0.25">
      <c r="A8351">
        <v>20160506</v>
      </c>
      <c r="B8351" t="str">
        <f>"063395"</f>
        <v>063395</v>
      </c>
      <c r="C8351" t="str">
        <f>"53099"</f>
        <v>53099</v>
      </c>
      <c r="D8351" t="s">
        <v>6694</v>
      </c>
      <c r="E8351" s="3">
        <v>520</v>
      </c>
      <c r="F8351">
        <v>20160505</v>
      </c>
      <c r="G8351" t="s">
        <v>6587</v>
      </c>
      <c r="H8351" t="s">
        <v>6732</v>
      </c>
      <c r="I8351">
        <v>0</v>
      </c>
      <c r="J8351" t="s">
        <v>6578</v>
      </c>
      <c r="K8351" t="s">
        <v>2194</v>
      </c>
      <c r="L8351" t="s">
        <v>285</v>
      </c>
      <c r="M8351" t="str">
        <f t="shared" si="621"/>
        <v>05</v>
      </c>
      <c r="N8351" t="s">
        <v>12</v>
      </c>
    </row>
    <row r="8352" spans="1:14" x14ac:dyDescent="0.25">
      <c r="A8352">
        <v>20160506</v>
      </c>
      <c r="B8352" t="str">
        <f>"063398"</f>
        <v>063398</v>
      </c>
      <c r="C8352" t="str">
        <f>"54218"</f>
        <v>54218</v>
      </c>
      <c r="D8352" t="s">
        <v>6624</v>
      </c>
      <c r="E8352" s="3">
        <v>240</v>
      </c>
      <c r="F8352">
        <v>20160504</v>
      </c>
      <c r="G8352" t="s">
        <v>6599</v>
      </c>
      <c r="H8352" t="s">
        <v>6733</v>
      </c>
      <c r="I8352">
        <v>0</v>
      </c>
      <c r="J8352" t="s">
        <v>6578</v>
      </c>
      <c r="K8352" t="s">
        <v>95</v>
      </c>
      <c r="L8352" t="s">
        <v>285</v>
      </c>
      <c r="M8352" t="str">
        <f t="shared" si="621"/>
        <v>05</v>
      </c>
      <c r="N8352" t="s">
        <v>12</v>
      </c>
    </row>
    <row r="8353" spans="1:14" x14ac:dyDescent="0.25">
      <c r="A8353">
        <v>20160513</v>
      </c>
      <c r="B8353" t="str">
        <f>"063431"</f>
        <v>063431</v>
      </c>
      <c r="C8353" t="str">
        <f>"00341"</f>
        <v>00341</v>
      </c>
      <c r="D8353" t="s">
        <v>6734</v>
      </c>
      <c r="E8353" s="3">
        <v>186.16</v>
      </c>
      <c r="F8353">
        <v>20160511</v>
      </c>
      <c r="G8353" t="s">
        <v>6583</v>
      </c>
      <c r="H8353" t="s">
        <v>6735</v>
      </c>
      <c r="I8353">
        <v>0</v>
      </c>
      <c r="J8353" t="s">
        <v>6578</v>
      </c>
      <c r="K8353" t="s">
        <v>95</v>
      </c>
      <c r="L8353" t="s">
        <v>285</v>
      </c>
      <c r="M8353" t="str">
        <f t="shared" si="621"/>
        <v>05</v>
      </c>
      <c r="N8353" t="s">
        <v>12</v>
      </c>
    </row>
    <row r="8354" spans="1:14" x14ac:dyDescent="0.25">
      <c r="A8354">
        <v>20160513</v>
      </c>
      <c r="B8354" t="str">
        <f>"063431"</f>
        <v>063431</v>
      </c>
      <c r="C8354" t="str">
        <f>"00341"</f>
        <v>00341</v>
      </c>
      <c r="D8354" t="s">
        <v>6734</v>
      </c>
      <c r="E8354" s="3">
        <v>186.16</v>
      </c>
      <c r="F8354">
        <v>20160511</v>
      </c>
      <c r="G8354" t="s">
        <v>6585</v>
      </c>
      <c r="H8354" t="s">
        <v>6735</v>
      </c>
      <c r="I8354">
        <v>0</v>
      </c>
      <c r="J8354" t="s">
        <v>6578</v>
      </c>
      <c r="K8354" t="s">
        <v>1643</v>
      </c>
      <c r="L8354" t="s">
        <v>285</v>
      </c>
      <c r="M8354" t="str">
        <f t="shared" si="621"/>
        <v>05</v>
      </c>
      <c r="N8354" t="s">
        <v>12</v>
      </c>
    </row>
    <row r="8355" spans="1:14" x14ac:dyDescent="0.25">
      <c r="A8355">
        <v>20160513</v>
      </c>
      <c r="B8355" t="str">
        <f>"063433"</f>
        <v>063433</v>
      </c>
      <c r="C8355" t="str">
        <f>"29779"</f>
        <v>29779</v>
      </c>
      <c r="D8355" t="s">
        <v>1806</v>
      </c>
      <c r="E8355" s="3">
        <v>1120</v>
      </c>
      <c r="F8355">
        <v>20160511</v>
      </c>
      <c r="G8355" t="s">
        <v>6587</v>
      </c>
      <c r="H8355" t="s">
        <v>6736</v>
      </c>
      <c r="I8355">
        <v>0</v>
      </c>
      <c r="J8355" t="s">
        <v>6578</v>
      </c>
      <c r="K8355" t="s">
        <v>2194</v>
      </c>
      <c r="L8355" t="s">
        <v>285</v>
      </c>
      <c r="M8355" t="str">
        <f t="shared" si="621"/>
        <v>05</v>
      </c>
      <c r="N8355" t="s">
        <v>12</v>
      </c>
    </row>
    <row r="8356" spans="1:14" x14ac:dyDescent="0.25">
      <c r="A8356">
        <v>20160513</v>
      </c>
      <c r="B8356" t="str">
        <f>"063433"</f>
        <v>063433</v>
      </c>
      <c r="C8356" t="str">
        <f>"29779"</f>
        <v>29779</v>
      </c>
      <c r="D8356" t="s">
        <v>1806</v>
      </c>
      <c r="E8356" s="3">
        <v>1120</v>
      </c>
      <c r="F8356">
        <v>20160511</v>
      </c>
      <c r="G8356" t="s">
        <v>6587</v>
      </c>
      <c r="H8356" t="s">
        <v>6737</v>
      </c>
      <c r="I8356">
        <v>0</v>
      </c>
      <c r="J8356" t="s">
        <v>6578</v>
      </c>
      <c r="K8356" t="s">
        <v>2194</v>
      </c>
      <c r="L8356" t="s">
        <v>285</v>
      </c>
      <c r="M8356" t="str">
        <f t="shared" si="621"/>
        <v>05</v>
      </c>
      <c r="N8356" t="s">
        <v>12</v>
      </c>
    </row>
    <row r="8357" spans="1:14" x14ac:dyDescent="0.25">
      <c r="A8357">
        <v>20160520</v>
      </c>
      <c r="B8357" t="str">
        <f>"063521"</f>
        <v>063521</v>
      </c>
      <c r="C8357" t="str">
        <f>"74150"</f>
        <v>74150</v>
      </c>
      <c r="D8357" t="s">
        <v>3047</v>
      </c>
      <c r="E8357" s="3">
        <v>166.21</v>
      </c>
      <c r="F8357">
        <v>20160518</v>
      </c>
      <c r="G8357" t="s">
        <v>6587</v>
      </c>
      <c r="H8357" t="s">
        <v>5255</v>
      </c>
      <c r="I8357">
        <v>0</v>
      </c>
      <c r="J8357" t="s">
        <v>6578</v>
      </c>
      <c r="K8357" t="s">
        <v>2194</v>
      </c>
      <c r="L8357" t="s">
        <v>285</v>
      </c>
      <c r="M8357" t="str">
        <f t="shared" si="621"/>
        <v>05</v>
      </c>
      <c r="N8357" t="s">
        <v>12</v>
      </c>
    </row>
    <row r="8358" spans="1:14" x14ac:dyDescent="0.25">
      <c r="A8358">
        <v>20160520</v>
      </c>
      <c r="B8358" t="str">
        <f>"063555"</f>
        <v>063555</v>
      </c>
      <c r="C8358" t="str">
        <f>"54218"</f>
        <v>54218</v>
      </c>
      <c r="D8358" t="s">
        <v>6624</v>
      </c>
      <c r="E8358" s="3">
        <v>370</v>
      </c>
      <c r="F8358">
        <v>20160519</v>
      </c>
      <c r="G8358" t="s">
        <v>6623</v>
      </c>
      <c r="H8358" t="s">
        <v>6733</v>
      </c>
      <c r="I8358">
        <v>0</v>
      </c>
      <c r="J8358" t="s">
        <v>6578</v>
      </c>
      <c r="K8358" t="s">
        <v>2194</v>
      </c>
      <c r="L8358" t="s">
        <v>285</v>
      </c>
      <c r="M8358" t="str">
        <f t="shared" si="621"/>
        <v>05</v>
      </c>
      <c r="N8358" t="s">
        <v>12</v>
      </c>
    </row>
    <row r="8359" spans="1:14" x14ac:dyDescent="0.25">
      <c r="A8359">
        <v>20160520</v>
      </c>
      <c r="B8359" t="str">
        <f>"063568"</f>
        <v>063568</v>
      </c>
      <c r="C8359" t="str">
        <f>"65819"</f>
        <v>65819</v>
      </c>
      <c r="D8359" t="s">
        <v>6738</v>
      </c>
      <c r="E8359" s="3">
        <v>359.19</v>
      </c>
      <c r="F8359">
        <v>20160519</v>
      </c>
      <c r="G8359" t="s">
        <v>6592</v>
      </c>
      <c r="H8359" t="s">
        <v>6739</v>
      </c>
      <c r="I8359">
        <v>0</v>
      </c>
      <c r="J8359" t="s">
        <v>6578</v>
      </c>
      <c r="K8359" t="s">
        <v>290</v>
      </c>
      <c r="L8359" t="s">
        <v>285</v>
      </c>
      <c r="M8359" t="str">
        <f t="shared" si="621"/>
        <v>05</v>
      </c>
      <c r="N8359" t="s">
        <v>12</v>
      </c>
    </row>
    <row r="8360" spans="1:14" x14ac:dyDescent="0.25">
      <c r="A8360">
        <v>20160527</v>
      </c>
      <c r="B8360" t="str">
        <f>"063587"</f>
        <v>063587</v>
      </c>
      <c r="C8360" t="str">
        <f>"29779"</f>
        <v>29779</v>
      </c>
      <c r="D8360" t="s">
        <v>1806</v>
      </c>
      <c r="E8360" s="3">
        <v>487.48</v>
      </c>
      <c r="F8360">
        <v>20160526</v>
      </c>
      <c r="G8360" t="s">
        <v>6587</v>
      </c>
      <c r="H8360" t="s">
        <v>2051</v>
      </c>
      <c r="I8360">
        <v>0</v>
      </c>
      <c r="J8360" t="s">
        <v>6578</v>
      </c>
      <c r="K8360" t="s">
        <v>2194</v>
      </c>
      <c r="L8360" t="s">
        <v>285</v>
      </c>
      <c r="M8360" t="str">
        <f t="shared" si="621"/>
        <v>05</v>
      </c>
      <c r="N8360" t="s">
        <v>12</v>
      </c>
    </row>
    <row r="8361" spans="1:14" x14ac:dyDescent="0.25">
      <c r="A8361">
        <v>20160527</v>
      </c>
      <c r="B8361" t="str">
        <f>"063587"</f>
        <v>063587</v>
      </c>
      <c r="C8361" t="str">
        <f>"29779"</f>
        <v>29779</v>
      </c>
      <c r="D8361" t="s">
        <v>1806</v>
      </c>
      <c r="E8361" s="3">
        <v>587.48</v>
      </c>
      <c r="F8361">
        <v>20160526</v>
      </c>
      <c r="G8361" t="s">
        <v>6587</v>
      </c>
      <c r="H8361" t="s">
        <v>2051</v>
      </c>
      <c r="I8361">
        <v>0</v>
      </c>
      <c r="J8361" t="s">
        <v>6578</v>
      </c>
      <c r="K8361" t="s">
        <v>2194</v>
      </c>
      <c r="L8361" t="s">
        <v>285</v>
      </c>
      <c r="M8361" t="str">
        <f t="shared" si="621"/>
        <v>05</v>
      </c>
      <c r="N8361" t="s">
        <v>12</v>
      </c>
    </row>
    <row r="8362" spans="1:14" x14ac:dyDescent="0.25">
      <c r="A8362">
        <v>20160527</v>
      </c>
      <c r="B8362" t="str">
        <f>"063607"</f>
        <v>063607</v>
      </c>
      <c r="C8362" t="str">
        <f>"22336"</f>
        <v>22336</v>
      </c>
      <c r="D8362" t="s">
        <v>6740</v>
      </c>
      <c r="E8362" s="3">
        <v>290.82</v>
      </c>
      <c r="F8362">
        <v>20160526</v>
      </c>
      <c r="G8362" t="s">
        <v>6595</v>
      </c>
      <c r="H8362" t="s">
        <v>5368</v>
      </c>
      <c r="I8362">
        <v>0</v>
      </c>
      <c r="J8362" t="s">
        <v>6578</v>
      </c>
      <c r="K8362" t="s">
        <v>290</v>
      </c>
      <c r="L8362" t="s">
        <v>285</v>
      </c>
      <c r="M8362" t="str">
        <f t="shared" si="621"/>
        <v>05</v>
      </c>
      <c r="N8362" t="s">
        <v>12</v>
      </c>
    </row>
    <row r="8363" spans="1:14" x14ac:dyDescent="0.25">
      <c r="A8363">
        <v>20160527</v>
      </c>
      <c r="B8363" t="str">
        <f>"063614"</f>
        <v>063614</v>
      </c>
      <c r="C8363" t="str">
        <f>"27900"</f>
        <v>27900</v>
      </c>
      <c r="D8363" t="s">
        <v>1596</v>
      </c>
      <c r="E8363" s="3">
        <v>200</v>
      </c>
      <c r="F8363">
        <v>20160526</v>
      </c>
      <c r="G8363" t="s">
        <v>6595</v>
      </c>
      <c r="H8363" t="s">
        <v>6741</v>
      </c>
      <c r="I8363">
        <v>0</v>
      </c>
      <c r="J8363" t="s">
        <v>6578</v>
      </c>
      <c r="K8363" t="s">
        <v>290</v>
      </c>
      <c r="L8363" t="s">
        <v>285</v>
      </c>
      <c r="M8363" t="str">
        <f t="shared" si="621"/>
        <v>05</v>
      </c>
      <c r="N8363" t="s">
        <v>12</v>
      </c>
    </row>
    <row r="8364" spans="1:14" x14ac:dyDescent="0.25">
      <c r="A8364">
        <v>20160527</v>
      </c>
      <c r="B8364" t="str">
        <f>"063636"</f>
        <v>063636</v>
      </c>
      <c r="C8364" t="str">
        <f>"39895"</f>
        <v>39895</v>
      </c>
      <c r="D8364" t="s">
        <v>6742</v>
      </c>
      <c r="E8364" s="3">
        <v>276.3</v>
      </c>
      <c r="F8364">
        <v>20160526</v>
      </c>
      <c r="G8364" t="s">
        <v>6595</v>
      </c>
      <c r="H8364" t="s">
        <v>6743</v>
      </c>
      <c r="I8364">
        <v>0</v>
      </c>
      <c r="J8364" t="s">
        <v>6578</v>
      </c>
      <c r="K8364" t="s">
        <v>290</v>
      </c>
      <c r="L8364" t="s">
        <v>285</v>
      </c>
      <c r="M8364" t="str">
        <f t="shared" si="621"/>
        <v>05</v>
      </c>
      <c r="N8364" t="s">
        <v>12</v>
      </c>
    </row>
    <row r="8365" spans="1:14" x14ac:dyDescent="0.25">
      <c r="A8365">
        <v>20160527</v>
      </c>
      <c r="B8365" t="str">
        <f>"063639"</f>
        <v>063639</v>
      </c>
      <c r="C8365" t="str">
        <f>"63511"</f>
        <v>63511</v>
      </c>
      <c r="D8365" t="s">
        <v>2322</v>
      </c>
      <c r="E8365" s="3">
        <v>87.55</v>
      </c>
      <c r="F8365">
        <v>20160526</v>
      </c>
      <c r="G8365" t="s">
        <v>6589</v>
      </c>
      <c r="H8365" t="s">
        <v>6744</v>
      </c>
      <c r="I8365">
        <v>0</v>
      </c>
      <c r="J8365" t="s">
        <v>6578</v>
      </c>
      <c r="K8365" t="s">
        <v>2194</v>
      </c>
      <c r="L8365" t="s">
        <v>285</v>
      </c>
      <c r="M8365" t="str">
        <f t="shared" si="621"/>
        <v>05</v>
      </c>
      <c r="N8365" t="s">
        <v>12</v>
      </c>
    </row>
    <row r="8366" spans="1:14" x14ac:dyDescent="0.25">
      <c r="A8366">
        <v>20160527</v>
      </c>
      <c r="B8366" t="str">
        <f>"063655"</f>
        <v>063655</v>
      </c>
      <c r="C8366" t="str">
        <f>"58210"</f>
        <v>58210</v>
      </c>
      <c r="D8366" t="s">
        <v>2546</v>
      </c>
      <c r="E8366" s="3">
        <v>12.99</v>
      </c>
      <c r="F8366">
        <v>20160526</v>
      </c>
      <c r="G8366" t="s">
        <v>6586</v>
      </c>
      <c r="H8366" t="s">
        <v>6745</v>
      </c>
      <c r="I8366">
        <v>0</v>
      </c>
      <c r="J8366" t="s">
        <v>6578</v>
      </c>
      <c r="K8366" t="s">
        <v>33</v>
      </c>
      <c r="L8366" t="s">
        <v>285</v>
      </c>
      <c r="M8366" t="str">
        <f t="shared" si="621"/>
        <v>05</v>
      </c>
      <c r="N8366" t="s">
        <v>12</v>
      </c>
    </row>
    <row r="8367" spans="1:14" x14ac:dyDescent="0.25">
      <c r="A8367">
        <v>20160527</v>
      </c>
      <c r="B8367" t="str">
        <f>"063668"</f>
        <v>063668</v>
      </c>
      <c r="C8367" t="str">
        <f>"69087"</f>
        <v>69087</v>
      </c>
      <c r="D8367" t="s">
        <v>5367</v>
      </c>
      <c r="E8367" s="3">
        <v>262</v>
      </c>
      <c r="F8367">
        <v>20160526</v>
      </c>
      <c r="G8367" t="s">
        <v>6601</v>
      </c>
      <c r="H8367" t="s">
        <v>5368</v>
      </c>
      <c r="I8367">
        <v>0</v>
      </c>
      <c r="J8367" t="s">
        <v>6578</v>
      </c>
      <c r="K8367" t="s">
        <v>1643</v>
      </c>
      <c r="L8367" t="s">
        <v>285</v>
      </c>
      <c r="M8367" t="str">
        <f t="shared" si="621"/>
        <v>05</v>
      </c>
      <c r="N8367" t="s">
        <v>12</v>
      </c>
    </row>
    <row r="8368" spans="1:14" x14ac:dyDescent="0.25">
      <c r="A8368">
        <v>20160527</v>
      </c>
      <c r="B8368" t="str">
        <f>"063689"</f>
        <v>063689</v>
      </c>
      <c r="C8368" t="str">
        <f>"83022"</f>
        <v>83022</v>
      </c>
      <c r="D8368" t="s">
        <v>394</v>
      </c>
      <c r="E8368" s="3">
        <v>62.87</v>
      </c>
      <c r="F8368">
        <v>20160526</v>
      </c>
      <c r="G8368" t="s">
        <v>6583</v>
      </c>
      <c r="H8368" t="s">
        <v>5398</v>
      </c>
      <c r="I8368">
        <v>0</v>
      </c>
      <c r="J8368" t="s">
        <v>6578</v>
      </c>
      <c r="K8368" t="s">
        <v>95</v>
      </c>
      <c r="L8368" t="s">
        <v>285</v>
      </c>
      <c r="M8368" t="str">
        <f t="shared" si="621"/>
        <v>05</v>
      </c>
      <c r="N8368" t="s">
        <v>12</v>
      </c>
    </row>
    <row r="8369" spans="1:14" x14ac:dyDescent="0.25">
      <c r="A8369">
        <v>20160527</v>
      </c>
      <c r="B8369" t="str">
        <f>"063689"</f>
        <v>063689</v>
      </c>
      <c r="C8369" t="str">
        <f>"83022"</f>
        <v>83022</v>
      </c>
      <c r="D8369" t="s">
        <v>394</v>
      </c>
      <c r="E8369" s="3">
        <v>16.239999999999998</v>
      </c>
      <c r="F8369">
        <v>20160526</v>
      </c>
      <c r="G8369" t="s">
        <v>6586</v>
      </c>
      <c r="H8369" t="s">
        <v>2170</v>
      </c>
      <c r="I8369">
        <v>0</v>
      </c>
      <c r="J8369" t="s">
        <v>6578</v>
      </c>
      <c r="K8369" t="s">
        <v>33</v>
      </c>
      <c r="L8369" t="s">
        <v>285</v>
      </c>
      <c r="M8369" t="str">
        <f t="shared" si="621"/>
        <v>05</v>
      </c>
      <c r="N8369" t="s">
        <v>12</v>
      </c>
    </row>
    <row r="8370" spans="1:14" x14ac:dyDescent="0.25">
      <c r="A8370">
        <v>20160527</v>
      </c>
      <c r="B8370" t="str">
        <f>"063689"</f>
        <v>063689</v>
      </c>
      <c r="C8370" t="str">
        <f>"83022"</f>
        <v>83022</v>
      </c>
      <c r="D8370" t="s">
        <v>394</v>
      </c>
      <c r="E8370" s="3">
        <v>64.7</v>
      </c>
      <c r="F8370">
        <v>20160526</v>
      </c>
      <c r="G8370" t="s">
        <v>6586</v>
      </c>
      <c r="H8370" t="s">
        <v>6746</v>
      </c>
      <c r="I8370">
        <v>0</v>
      </c>
      <c r="J8370" t="s">
        <v>6578</v>
      </c>
      <c r="K8370" t="s">
        <v>33</v>
      </c>
      <c r="L8370" t="s">
        <v>285</v>
      </c>
      <c r="M8370" t="str">
        <f t="shared" si="621"/>
        <v>05</v>
      </c>
      <c r="N8370" t="s">
        <v>12</v>
      </c>
    </row>
    <row r="8371" spans="1:14" x14ac:dyDescent="0.25">
      <c r="A8371">
        <v>20160527</v>
      </c>
      <c r="B8371" t="str">
        <f>"063689"</f>
        <v>063689</v>
      </c>
      <c r="C8371" t="str">
        <f>"83022"</f>
        <v>83022</v>
      </c>
      <c r="D8371" t="s">
        <v>394</v>
      </c>
      <c r="E8371" s="3">
        <v>45.76</v>
      </c>
      <c r="F8371">
        <v>20160526</v>
      </c>
      <c r="G8371" t="s">
        <v>6589</v>
      </c>
      <c r="H8371" t="s">
        <v>6747</v>
      </c>
      <c r="I8371">
        <v>0</v>
      </c>
      <c r="J8371" t="s">
        <v>6578</v>
      </c>
      <c r="K8371" t="s">
        <v>2194</v>
      </c>
      <c r="L8371" t="s">
        <v>285</v>
      </c>
      <c r="M8371" t="str">
        <f t="shared" si="621"/>
        <v>05</v>
      </c>
      <c r="N8371" t="s">
        <v>12</v>
      </c>
    </row>
    <row r="8372" spans="1:14" x14ac:dyDescent="0.25">
      <c r="A8372">
        <v>20160527</v>
      </c>
      <c r="B8372" t="str">
        <f>"063690"</f>
        <v>063690</v>
      </c>
      <c r="C8372" t="str">
        <f>"74149"</f>
        <v>74149</v>
      </c>
      <c r="D8372" t="s">
        <v>5411</v>
      </c>
      <c r="E8372" s="3">
        <v>464.67</v>
      </c>
      <c r="F8372">
        <v>20160526</v>
      </c>
      <c r="G8372" t="s">
        <v>6623</v>
      </c>
      <c r="H8372" t="s">
        <v>5412</v>
      </c>
      <c r="I8372">
        <v>0</v>
      </c>
      <c r="J8372" t="s">
        <v>6578</v>
      </c>
      <c r="K8372" t="s">
        <v>2194</v>
      </c>
      <c r="L8372" t="s">
        <v>285</v>
      </c>
      <c r="M8372" t="str">
        <f t="shared" si="621"/>
        <v>05</v>
      </c>
      <c r="N8372" t="s">
        <v>12</v>
      </c>
    </row>
    <row r="8373" spans="1:14" x14ac:dyDescent="0.25">
      <c r="A8373">
        <v>20160527</v>
      </c>
      <c r="B8373" t="str">
        <f>"063691"</f>
        <v>063691</v>
      </c>
      <c r="C8373" t="str">
        <f>"74149"</f>
        <v>74149</v>
      </c>
      <c r="D8373" t="s">
        <v>5411</v>
      </c>
      <c r="E8373" s="3">
        <v>294.3</v>
      </c>
      <c r="F8373">
        <v>20160526</v>
      </c>
      <c r="G8373" t="s">
        <v>6599</v>
      </c>
      <c r="H8373" t="s">
        <v>6733</v>
      </c>
      <c r="I8373">
        <v>0</v>
      </c>
      <c r="J8373" t="s">
        <v>6578</v>
      </c>
      <c r="K8373" t="s">
        <v>95</v>
      </c>
      <c r="L8373" t="s">
        <v>285</v>
      </c>
      <c r="M8373" t="str">
        <f t="shared" si="621"/>
        <v>05</v>
      </c>
      <c r="N8373" t="s">
        <v>12</v>
      </c>
    </row>
    <row r="8374" spans="1:14" x14ac:dyDescent="0.25">
      <c r="A8374">
        <v>20160610</v>
      </c>
      <c r="B8374" t="str">
        <f t="shared" ref="B8374:B8379" si="622">"063699"</f>
        <v>063699</v>
      </c>
      <c r="C8374" t="str">
        <f t="shared" ref="C8374:C8379" si="623">"29779"</f>
        <v>29779</v>
      </c>
      <c r="D8374" t="s">
        <v>1806</v>
      </c>
      <c r="E8374" s="3">
        <v>560</v>
      </c>
      <c r="F8374">
        <v>20160607</v>
      </c>
      <c r="G8374" t="s">
        <v>6587</v>
      </c>
      <c r="H8374" t="s">
        <v>6748</v>
      </c>
      <c r="I8374">
        <v>0</v>
      </c>
      <c r="J8374" t="s">
        <v>6578</v>
      </c>
      <c r="K8374" t="s">
        <v>2194</v>
      </c>
      <c r="L8374" t="s">
        <v>285</v>
      </c>
      <c r="M8374" t="str">
        <f t="shared" ref="M8374:M8405" si="624">"06"</f>
        <v>06</v>
      </c>
      <c r="N8374" t="s">
        <v>12</v>
      </c>
    </row>
    <row r="8375" spans="1:14" x14ac:dyDescent="0.25">
      <c r="A8375">
        <v>20160610</v>
      </c>
      <c r="B8375" t="str">
        <f t="shared" si="622"/>
        <v>063699</v>
      </c>
      <c r="C8375" t="str">
        <f t="shared" si="623"/>
        <v>29779</v>
      </c>
      <c r="D8375" t="s">
        <v>1806</v>
      </c>
      <c r="E8375" s="3">
        <v>1225</v>
      </c>
      <c r="F8375">
        <v>20160607</v>
      </c>
      <c r="G8375" t="s">
        <v>6587</v>
      </c>
      <c r="H8375" t="s">
        <v>6749</v>
      </c>
      <c r="I8375">
        <v>0</v>
      </c>
      <c r="J8375" t="s">
        <v>6578</v>
      </c>
      <c r="K8375" t="s">
        <v>2194</v>
      </c>
      <c r="L8375" t="s">
        <v>285</v>
      </c>
      <c r="M8375" t="str">
        <f t="shared" si="624"/>
        <v>06</v>
      </c>
      <c r="N8375" t="s">
        <v>12</v>
      </c>
    </row>
    <row r="8376" spans="1:14" x14ac:dyDescent="0.25">
      <c r="A8376">
        <v>20160610</v>
      </c>
      <c r="B8376" t="str">
        <f t="shared" si="622"/>
        <v>063699</v>
      </c>
      <c r="C8376" t="str">
        <f t="shared" si="623"/>
        <v>29779</v>
      </c>
      <c r="D8376" t="s">
        <v>1806</v>
      </c>
      <c r="E8376" s="3">
        <v>468.74</v>
      </c>
      <c r="F8376">
        <v>20160607</v>
      </c>
      <c r="G8376" t="s">
        <v>6587</v>
      </c>
      <c r="H8376" t="s">
        <v>2051</v>
      </c>
      <c r="I8376">
        <v>0</v>
      </c>
      <c r="J8376" t="s">
        <v>6578</v>
      </c>
      <c r="K8376" t="s">
        <v>2194</v>
      </c>
      <c r="L8376" t="s">
        <v>285</v>
      </c>
      <c r="M8376" t="str">
        <f t="shared" si="624"/>
        <v>06</v>
      </c>
      <c r="N8376" t="s">
        <v>12</v>
      </c>
    </row>
    <row r="8377" spans="1:14" x14ac:dyDescent="0.25">
      <c r="A8377">
        <v>20160610</v>
      </c>
      <c r="B8377" t="str">
        <f t="shared" si="622"/>
        <v>063699</v>
      </c>
      <c r="C8377" t="str">
        <f t="shared" si="623"/>
        <v>29779</v>
      </c>
      <c r="D8377" t="s">
        <v>1806</v>
      </c>
      <c r="E8377" s="3">
        <v>468.74</v>
      </c>
      <c r="F8377">
        <v>20160607</v>
      </c>
      <c r="G8377" t="s">
        <v>6587</v>
      </c>
      <c r="H8377" t="s">
        <v>2051</v>
      </c>
      <c r="I8377">
        <v>0</v>
      </c>
      <c r="J8377" t="s">
        <v>6578</v>
      </c>
      <c r="K8377" t="s">
        <v>2194</v>
      </c>
      <c r="L8377" t="s">
        <v>285</v>
      </c>
      <c r="M8377" t="str">
        <f t="shared" si="624"/>
        <v>06</v>
      </c>
      <c r="N8377" t="s">
        <v>12</v>
      </c>
    </row>
    <row r="8378" spans="1:14" x14ac:dyDescent="0.25">
      <c r="A8378">
        <v>20160610</v>
      </c>
      <c r="B8378" t="str">
        <f t="shared" si="622"/>
        <v>063699</v>
      </c>
      <c r="C8378" t="str">
        <f t="shared" si="623"/>
        <v>29779</v>
      </c>
      <c r="D8378" t="s">
        <v>1806</v>
      </c>
      <c r="E8378" s="3">
        <v>1120</v>
      </c>
      <c r="F8378">
        <v>20160607</v>
      </c>
      <c r="G8378" t="s">
        <v>6587</v>
      </c>
      <c r="H8378" t="s">
        <v>6750</v>
      </c>
      <c r="I8378">
        <v>0</v>
      </c>
      <c r="J8378" t="s">
        <v>6578</v>
      </c>
      <c r="K8378" t="s">
        <v>2194</v>
      </c>
      <c r="L8378" t="s">
        <v>285</v>
      </c>
      <c r="M8378" t="str">
        <f t="shared" si="624"/>
        <v>06</v>
      </c>
      <c r="N8378" t="s">
        <v>12</v>
      </c>
    </row>
    <row r="8379" spans="1:14" x14ac:dyDescent="0.25">
      <c r="A8379">
        <v>20160610</v>
      </c>
      <c r="B8379" t="str">
        <f t="shared" si="622"/>
        <v>063699</v>
      </c>
      <c r="C8379" t="str">
        <f t="shared" si="623"/>
        <v>29779</v>
      </c>
      <c r="D8379" t="s">
        <v>1806</v>
      </c>
      <c r="E8379" s="3">
        <v>468.74</v>
      </c>
      <c r="F8379">
        <v>20160607</v>
      </c>
      <c r="G8379" t="s">
        <v>6587</v>
      </c>
      <c r="H8379" t="s">
        <v>2051</v>
      </c>
      <c r="I8379">
        <v>0</v>
      </c>
      <c r="J8379" t="s">
        <v>6578</v>
      </c>
      <c r="K8379" t="s">
        <v>2194</v>
      </c>
      <c r="L8379" t="s">
        <v>285</v>
      </c>
      <c r="M8379" t="str">
        <f t="shared" si="624"/>
        <v>06</v>
      </c>
      <c r="N8379" t="s">
        <v>12</v>
      </c>
    </row>
    <row r="8380" spans="1:14" x14ac:dyDescent="0.25">
      <c r="A8380">
        <v>20160610</v>
      </c>
      <c r="B8380" t="str">
        <f>"063711"</f>
        <v>063711</v>
      </c>
      <c r="C8380" t="str">
        <f>"09170"</f>
        <v>09170</v>
      </c>
      <c r="D8380" t="s">
        <v>596</v>
      </c>
      <c r="E8380" s="3">
        <v>250</v>
      </c>
      <c r="F8380">
        <v>20160607</v>
      </c>
      <c r="G8380" t="s">
        <v>6595</v>
      </c>
      <c r="H8380" t="s">
        <v>6751</v>
      </c>
      <c r="I8380">
        <v>0</v>
      </c>
      <c r="J8380" t="s">
        <v>6578</v>
      </c>
      <c r="K8380" t="s">
        <v>290</v>
      </c>
      <c r="L8380" t="s">
        <v>285</v>
      </c>
      <c r="M8380" t="str">
        <f t="shared" si="624"/>
        <v>06</v>
      </c>
      <c r="N8380" t="s">
        <v>12</v>
      </c>
    </row>
    <row r="8381" spans="1:14" x14ac:dyDescent="0.25">
      <c r="A8381">
        <v>20160610</v>
      </c>
      <c r="B8381" t="str">
        <f>"063711"</f>
        <v>063711</v>
      </c>
      <c r="C8381" t="str">
        <f>"09170"</f>
        <v>09170</v>
      </c>
      <c r="D8381" t="s">
        <v>596</v>
      </c>
      <c r="E8381" s="3">
        <v>130</v>
      </c>
      <c r="F8381">
        <v>20160607</v>
      </c>
      <c r="G8381" t="s">
        <v>6608</v>
      </c>
      <c r="H8381" t="s">
        <v>6726</v>
      </c>
      <c r="I8381">
        <v>0</v>
      </c>
      <c r="J8381" t="s">
        <v>6578</v>
      </c>
      <c r="K8381" t="s">
        <v>33</v>
      </c>
      <c r="L8381" t="s">
        <v>285</v>
      </c>
      <c r="M8381" t="str">
        <f t="shared" si="624"/>
        <v>06</v>
      </c>
      <c r="N8381" t="s">
        <v>12</v>
      </c>
    </row>
    <row r="8382" spans="1:14" x14ac:dyDescent="0.25">
      <c r="A8382">
        <v>20160610</v>
      </c>
      <c r="B8382" t="str">
        <f>"063719"</f>
        <v>063719</v>
      </c>
      <c r="C8382" t="str">
        <f>"11776"</f>
        <v>11776</v>
      </c>
      <c r="D8382" t="s">
        <v>4734</v>
      </c>
      <c r="E8382" s="3">
        <v>3300</v>
      </c>
      <c r="F8382">
        <v>20160607</v>
      </c>
      <c r="G8382" t="s">
        <v>6587</v>
      </c>
      <c r="H8382" t="s">
        <v>5459</v>
      </c>
      <c r="I8382">
        <v>0</v>
      </c>
      <c r="J8382" t="s">
        <v>6578</v>
      </c>
      <c r="K8382" t="s">
        <v>2194</v>
      </c>
      <c r="L8382" t="s">
        <v>285</v>
      </c>
      <c r="M8382" t="str">
        <f t="shared" si="624"/>
        <v>06</v>
      </c>
      <c r="N8382" t="s">
        <v>12</v>
      </c>
    </row>
    <row r="8383" spans="1:14" x14ac:dyDescent="0.25">
      <c r="A8383">
        <v>20160610</v>
      </c>
      <c r="B8383" t="str">
        <f>"063741"</f>
        <v>063741</v>
      </c>
      <c r="C8383" t="str">
        <f>"21769"</f>
        <v>21769</v>
      </c>
      <c r="D8383" t="s">
        <v>1836</v>
      </c>
      <c r="E8383" s="3">
        <v>3291.5</v>
      </c>
      <c r="F8383">
        <v>20160607</v>
      </c>
      <c r="G8383" t="s">
        <v>6587</v>
      </c>
      <c r="H8383" t="s">
        <v>6752</v>
      </c>
      <c r="I8383">
        <v>0</v>
      </c>
      <c r="J8383" t="s">
        <v>6578</v>
      </c>
      <c r="K8383" t="s">
        <v>2194</v>
      </c>
      <c r="L8383" t="s">
        <v>285</v>
      </c>
      <c r="M8383" t="str">
        <f t="shared" si="624"/>
        <v>06</v>
      </c>
      <c r="N8383" t="s">
        <v>12</v>
      </c>
    </row>
    <row r="8384" spans="1:14" x14ac:dyDescent="0.25">
      <c r="A8384">
        <v>20160610</v>
      </c>
      <c r="B8384" t="str">
        <f>"063746"</f>
        <v>063746</v>
      </c>
      <c r="C8384" t="str">
        <f>"25165"</f>
        <v>25165</v>
      </c>
      <c r="D8384" t="s">
        <v>1563</v>
      </c>
      <c r="E8384" s="3">
        <v>1108.58</v>
      </c>
      <c r="F8384">
        <v>20160607</v>
      </c>
      <c r="G8384" t="s">
        <v>6753</v>
      </c>
      <c r="H8384" t="s">
        <v>1682</v>
      </c>
      <c r="I8384">
        <v>0</v>
      </c>
      <c r="J8384" t="s">
        <v>6578</v>
      </c>
      <c r="K8384" t="s">
        <v>2194</v>
      </c>
      <c r="L8384" t="s">
        <v>285</v>
      </c>
      <c r="M8384" t="str">
        <f t="shared" si="624"/>
        <v>06</v>
      </c>
      <c r="N8384" t="s">
        <v>12</v>
      </c>
    </row>
    <row r="8385" spans="1:14" x14ac:dyDescent="0.25">
      <c r="A8385">
        <v>20160610</v>
      </c>
      <c r="B8385" t="str">
        <f>"063784"</f>
        <v>063784</v>
      </c>
      <c r="C8385" t="str">
        <f>"46850"</f>
        <v>46850</v>
      </c>
      <c r="D8385" t="s">
        <v>2677</v>
      </c>
      <c r="E8385" s="3">
        <v>143.31</v>
      </c>
      <c r="F8385">
        <v>20160607</v>
      </c>
      <c r="G8385" t="s">
        <v>6585</v>
      </c>
      <c r="H8385" t="s">
        <v>2169</v>
      </c>
      <c r="I8385">
        <v>0</v>
      </c>
      <c r="J8385" t="s">
        <v>6578</v>
      </c>
      <c r="K8385" t="s">
        <v>1643</v>
      </c>
      <c r="L8385" t="s">
        <v>285</v>
      </c>
      <c r="M8385" t="str">
        <f t="shared" si="624"/>
        <v>06</v>
      </c>
      <c r="N8385" t="s">
        <v>12</v>
      </c>
    </row>
    <row r="8386" spans="1:14" x14ac:dyDescent="0.25">
      <c r="A8386">
        <v>20160610</v>
      </c>
      <c r="B8386" t="str">
        <f>"063815"</f>
        <v>063815</v>
      </c>
      <c r="C8386" t="str">
        <f>"60178"</f>
        <v>60178</v>
      </c>
      <c r="D8386" t="s">
        <v>2136</v>
      </c>
      <c r="E8386" s="3">
        <v>658.9</v>
      </c>
      <c r="F8386">
        <v>20160608</v>
      </c>
      <c r="G8386" t="s">
        <v>6585</v>
      </c>
      <c r="H8386" t="s">
        <v>6754</v>
      </c>
      <c r="I8386">
        <v>0</v>
      </c>
      <c r="J8386" t="s">
        <v>6578</v>
      </c>
      <c r="K8386" t="s">
        <v>1643</v>
      </c>
      <c r="L8386" t="s">
        <v>285</v>
      </c>
      <c r="M8386" t="str">
        <f t="shared" si="624"/>
        <v>06</v>
      </c>
      <c r="N8386" t="s">
        <v>12</v>
      </c>
    </row>
    <row r="8387" spans="1:14" x14ac:dyDescent="0.25">
      <c r="A8387">
        <v>20160617</v>
      </c>
      <c r="B8387" t="str">
        <f>"063874"</f>
        <v>063874</v>
      </c>
      <c r="C8387" t="str">
        <f>"27900"</f>
        <v>27900</v>
      </c>
      <c r="D8387" t="s">
        <v>1596</v>
      </c>
      <c r="E8387" s="3">
        <v>25</v>
      </c>
      <c r="F8387">
        <v>20160615</v>
      </c>
      <c r="G8387" t="s">
        <v>6599</v>
      </c>
      <c r="H8387" t="s">
        <v>6755</v>
      </c>
      <c r="I8387">
        <v>0</v>
      </c>
      <c r="J8387" t="s">
        <v>6578</v>
      </c>
      <c r="K8387" t="s">
        <v>95</v>
      </c>
      <c r="L8387" t="s">
        <v>285</v>
      </c>
      <c r="M8387" t="str">
        <f t="shared" si="624"/>
        <v>06</v>
      </c>
      <c r="N8387" t="s">
        <v>12</v>
      </c>
    </row>
    <row r="8388" spans="1:14" x14ac:dyDescent="0.25">
      <c r="A8388">
        <v>20160623</v>
      </c>
      <c r="B8388" t="str">
        <f>"063934"</f>
        <v>063934</v>
      </c>
      <c r="C8388" t="str">
        <f>"29779"</f>
        <v>29779</v>
      </c>
      <c r="D8388" t="s">
        <v>1806</v>
      </c>
      <c r="E8388" s="3">
        <v>450</v>
      </c>
      <c r="F8388">
        <v>20160622</v>
      </c>
      <c r="G8388" t="s">
        <v>6587</v>
      </c>
      <c r="H8388" t="s">
        <v>6756</v>
      </c>
      <c r="I8388">
        <v>0</v>
      </c>
      <c r="J8388" t="s">
        <v>6578</v>
      </c>
      <c r="K8388" t="s">
        <v>2194</v>
      </c>
      <c r="L8388" t="s">
        <v>285</v>
      </c>
      <c r="M8388" t="str">
        <f t="shared" si="624"/>
        <v>06</v>
      </c>
      <c r="N8388" t="s">
        <v>12</v>
      </c>
    </row>
    <row r="8389" spans="1:14" x14ac:dyDescent="0.25">
      <c r="A8389">
        <v>20160623</v>
      </c>
      <c r="B8389" t="str">
        <f>"063934"</f>
        <v>063934</v>
      </c>
      <c r="C8389" t="str">
        <f>"29779"</f>
        <v>29779</v>
      </c>
      <c r="D8389" t="s">
        <v>1806</v>
      </c>
      <c r="E8389" s="3">
        <v>568.74</v>
      </c>
      <c r="F8389">
        <v>20160622</v>
      </c>
      <c r="G8389" t="s">
        <v>6587</v>
      </c>
      <c r="H8389" t="s">
        <v>2051</v>
      </c>
      <c r="I8389">
        <v>0</v>
      </c>
      <c r="J8389" t="s">
        <v>6578</v>
      </c>
      <c r="K8389" t="s">
        <v>2194</v>
      </c>
      <c r="L8389" t="s">
        <v>285</v>
      </c>
      <c r="M8389" t="str">
        <f t="shared" si="624"/>
        <v>06</v>
      </c>
      <c r="N8389" t="s">
        <v>12</v>
      </c>
    </row>
    <row r="8390" spans="1:14" x14ac:dyDescent="0.25">
      <c r="A8390">
        <v>20160623</v>
      </c>
      <c r="B8390" t="str">
        <f>"063934"</f>
        <v>063934</v>
      </c>
      <c r="C8390" t="str">
        <f>"29779"</f>
        <v>29779</v>
      </c>
      <c r="D8390" t="s">
        <v>1806</v>
      </c>
      <c r="E8390" s="3">
        <v>1155</v>
      </c>
      <c r="F8390">
        <v>20160622</v>
      </c>
      <c r="G8390" t="s">
        <v>6587</v>
      </c>
      <c r="H8390" t="s">
        <v>6757</v>
      </c>
      <c r="I8390">
        <v>0</v>
      </c>
      <c r="J8390" t="s">
        <v>6578</v>
      </c>
      <c r="K8390" t="s">
        <v>2194</v>
      </c>
      <c r="L8390" t="s">
        <v>285</v>
      </c>
      <c r="M8390" t="str">
        <f t="shared" si="624"/>
        <v>06</v>
      </c>
      <c r="N8390" t="s">
        <v>12</v>
      </c>
    </row>
    <row r="8391" spans="1:14" x14ac:dyDescent="0.25">
      <c r="A8391">
        <v>20160623</v>
      </c>
      <c r="B8391" t="str">
        <f>"063937"</f>
        <v>063937</v>
      </c>
      <c r="C8391" t="str">
        <f>"09170"</f>
        <v>09170</v>
      </c>
      <c r="D8391" t="s">
        <v>596</v>
      </c>
      <c r="E8391" s="3">
        <v>1199</v>
      </c>
      <c r="F8391">
        <v>20160622</v>
      </c>
      <c r="G8391" t="s">
        <v>6623</v>
      </c>
      <c r="H8391" t="s">
        <v>6758</v>
      </c>
      <c r="I8391">
        <v>0</v>
      </c>
      <c r="J8391" t="s">
        <v>6578</v>
      </c>
      <c r="K8391" t="s">
        <v>2194</v>
      </c>
      <c r="L8391" t="s">
        <v>285</v>
      </c>
      <c r="M8391" t="str">
        <f t="shared" si="624"/>
        <v>06</v>
      </c>
      <c r="N8391" t="s">
        <v>12</v>
      </c>
    </row>
    <row r="8392" spans="1:14" x14ac:dyDescent="0.25">
      <c r="A8392">
        <v>20160623</v>
      </c>
      <c r="B8392" t="str">
        <f>"063944"</f>
        <v>063944</v>
      </c>
      <c r="C8392" t="str">
        <f>"74150"</f>
        <v>74150</v>
      </c>
      <c r="D8392" t="s">
        <v>3047</v>
      </c>
      <c r="E8392" s="3">
        <v>3543.57</v>
      </c>
      <c r="F8392">
        <v>20160622</v>
      </c>
      <c r="G8392" t="s">
        <v>6587</v>
      </c>
      <c r="H8392" t="s">
        <v>6759</v>
      </c>
      <c r="I8392">
        <v>0</v>
      </c>
      <c r="J8392" t="s">
        <v>6578</v>
      </c>
      <c r="K8392" t="s">
        <v>2194</v>
      </c>
      <c r="L8392" t="s">
        <v>285</v>
      </c>
      <c r="M8392" t="str">
        <f t="shared" si="624"/>
        <v>06</v>
      </c>
      <c r="N8392" t="s">
        <v>12</v>
      </c>
    </row>
    <row r="8393" spans="1:14" x14ac:dyDescent="0.25">
      <c r="A8393">
        <v>20160623</v>
      </c>
      <c r="B8393" t="str">
        <f>"063949"</f>
        <v>063949</v>
      </c>
      <c r="C8393" t="str">
        <f>"21098"</f>
        <v>21098</v>
      </c>
      <c r="D8393" t="s">
        <v>2261</v>
      </c>
      <c r="E8393" s="3">
        <v>56.47</v>
      </c>
      <c r="F8393">
        <v>20160622</v>
      </c>
      <c r="G8393" t="s">
        <v>6688</v>
      </c>
      <c r="H8393" t="s">
        <v>595</v>
      </c>
      <c r="I8393">
        <v>0</v>
      </c>
      <c r="J8393" t="s">
        <v>6578</v>
      </c>
      <c r="K8393" t="s">
        <v>2194</v>
      </c>
      <c r="L8393" t="s">
        <v>285</v>
      </c>
      <c r="M8393" t="str">
        <f t="shared" si="624"/>
        <v>06</v>
      </c>
      <c r="N8393" t="s">
        <v>12</v>
      </c>
    </row>
    <row r="8394" spans="1:14" x14ac:dyDescent="0.25">
      <c r="A8394">
        <v>20160623</v>
      </c>
      <c r="B8394" t="str">
        <f>"063949"</f>
        <v>063949</v>
      </c>
      <c r="C8394" t="str">
        <f>"21098"</f>
        <v>21098</v>
      </c>
      <c r="D8394" t="s">
        <v>2261</v>
      </c>
      <c r="E8394" s="3">
        <v>9.18</v>
      </c>
      <c r="F8394">
        <v>20160622</v>
      </c>
      <c r="G8394" t="s">
        <v>6688</v>
      </c>
      <c r="H8394" t="s">
        <v>595</v>
      </c>
      <c r="I8394">
        <v>0</v>
      </c>
      <c r="J8394" t="s">
        <v>6578</v>
      </c>
      <c r="K8394" t="s">
        <v>2194</v>
      </c>
      <c r="L8394" t="s">
        <v>285</v>
      </c>
      <c r="M8394" t="str">
        <f t="shared" si="624"/>
        <v>06</v>
      </c>
      <c r="N8394" t="s">
        <v>12</v>
      </c>
    </row>
    <row r="8395" spans="1:14" x14ac:dyDescent="0.25">
      <c r="A8395">
        <v>20160623</v>
      </c>
      <c r="B8395" t="str">
        <f>"063949"</f>
        <v>063949</v>
      </c>
      <c r="C8395" t="str">
        <f>"21098"</f>
        <v>21098</v>
      </c>
      <c r="D8395" t="s">
        <v>2261</v>
      </c>
      <c r="E8395" s="3">
        <v>364.21</v>
      </c>
      <c r="F8395">
        <v>20160622</v>
      </c>
      <c r="G8395" t="s">
        <v>6688</v>
      </c>
      <c r="H8395" t="s">
        <v>595</v>
      </c>
      <c r="I8395">
        <v>0</v>
      </c>
      <c r="J8395" t="s">
        <v>6578</v>
      </c>
      <c r="K8395" t="s">
        <v>2194</v>
      </c>
      <c r="L8395" t="s">
        <v>285</v>
      </c>
      <c r="M8395" t="str">
        <f t="shared" si="624"/>
        <v>06</v>
      </c>
      <c r="N8395" t="s">
        <v>12</v>
      </c>
    </row>
    <row r="8396" spans="1:14" x14ac:dyDescent="0.25">
      <c r="A8396">
        <v>20160623</v>
      </c>
      <c r="B8396" t="str">
        <f>"063949"</f>
        <v>063949</v>
      </c>
      <c r="C8396" t="str">
        <f>"21098"</f>
        <v>21098</v>
      </c>
      <c r="D8396" t="s">
        <v>2261</v>
      </c>
      <c r="E8396" s="3">
        <v>217.86</v>
      </c>
      <c r="F8396">
        <v>20160622</v>
      </c>
      <c r="G8396" t="s">
        <v>6688</v>
      </c>
      <c r="H8396" t="s">
        <v>595</v>
      </c>
      <c r="I8396">
        <v>0</v>
      </c>
      <c r="J8396" t="s">
        <v>6578</v>
      </c>
      <c r="K8396" t="s">
        <v>2194</v>
      </c>
      <c r="L8396" t="s">
        <v>285</v>
      </c>
      <c r="M8396" t="str">
        <f t="shared" si="624"/>
        <v>06</v>
      </c>
      <c r="N8396" t="s">
        <v>12</v>
      </c>
    </row>
    <row r="8397" spans="1:14" x14ac:dyDescent="0.25">
      <c r="A8397">
        <v>20160623</v>
      </c>
      <c r="B8397" t="str">
        <f>"063949"</f>
        <v>063949</v>
      </c>
      <c r="C8397" t="str">
        <f>"21098"</f>
        <v>21098</v>
      </c>
      <c r="D8397" t="s">
        <v>2261</v>
      </c>
      <c r="E8397" s="3">
        <v>-267.75</v>
      </c>
      <c r="F8397">
        <v>20160614</v>
      </c>
      <c r="G8397" t="s">
        <v>6688</v>
      </c>
      <c r="H8397" t="s">
        <v>1414</v>
      </c>
      <c r="I8397">
        <v>0</v>
      </c>
      <c r="J8397" t="s">
        <v>6578</v>
      </c>
      <c r="K8397" t="s">
        <v>2194</v>
      </c>
      <c r="L8397" t="s">
        <v>1385</v>
      </c>
      <c r="M8397" t="str">
        <f t="shared" si="624"/>
        <v>06</v>
      </c>
      <c r="N8397" t="s">
        <v>12</v>
      </c>
    </row>
    <row r="8398" spans="1:14" x14ac:dyDescent="0.25">
      <c r="A8398">
        <v>20160623</v>
      </c>
      <c r="B8398" t="str">
        <f>"063956"</f>
        <v>063956</v>
      </c>
      <c r="C8398" t="str">
        <f>"27920"</f>
        <v>27920</v>
      </c>
      <c r="D8398" t="s">
        <v>1596</v>
      </c>
      <c r="E8398" s="3">
        <v>100</v>
      </c>
      <c r="F8398">
        <v>20160622</v>
      </c>
      <c r="G8398" t="s">
        <v>6595</v>
      </c>
      <c r="H8398" t="s">
        <v>5368</v>
      </c>
      <c r="I8398">
        <v>0</v>
      </c>
      <c r="J8398" t="s">
        <v>6578</v>
      </c>
      <c r="K8398" t="s">
        <v>290</v>
      </c>
      <c r="L8398" t="s">
        <v>285</v>
      </c>
      <c r="M8398" t="str">
        <f t="shared" si="624"/>
        <v>06</v>
      </c>
      <c r="N8398" t="s">
        <v>12</v>
      </c>
    </row>
    <row r="8399" spans="1:14" x14ac:dyDescent="0.25">
      <c r="A8399">
        <v>20160623</v>
      </c>
      <c r="B8399" t="str">
        <f>"063956"</f>
        <v>063956</v>
      </c>
      <c r="C8399" t="str">
        <f>"27920"</f>
        <v>27920</v>
      </c>
      <c r="D8399" t="s">
        <v>1596</v>
      </c>
      <c r="E8399" s="3">
        <v>100</v>
      </c>
      <c r="F8399">
        <v>20160622</v>
      </c>
      <c r="G8399" t="s">
        <v>6601</v>
      </c>
      <c r="H8399" t="s">
        <v>5368</v>
      </c>
      <c r="I8399">
        <v>0</v>
      </c>
      <c r="J8399" t="s">
        <v>6578</v>
      </c>
      <c r="K8399" t="s">
        <v>1643</v>
      </c>
      <c r="L8399" t="s">
        <v>285</v>
      </c>
      <c r="M8399" t="str">
        <f t="shared" si="624"/>
        <v>06</v>
      </c>
      <c r="N8399" t="s">
        <v>12</v>
      </c>
    </row>
    <row r="8400" spans="1:14" x14ac:dyDescent="0.25">
      <c r="A8400">
        <v>20160623</v>
      </c>
      <c r="B8400" t="str">
        <f>"063968"</f>
        <v>063968</v>
      </c>
      <c r="C8400" t="str">
        <f>"39135"</f>
        <v>39135</v>
      </c>
      <c r="D8400" t="s">
        <v>5649</v>
      </c>
      <c r="E8400" s="3">
        <v>132</v>
      </c>
      <c r="F8400">
        <v>20160622</v>
      </c>
      <c r="G8400" t="s">
        <v>6589</v>
      </c>
      <c r="H8400" t="s">
        <v>5398</v>
      </c>
      <c r="I8400">
        <v>0</v>
      </c>
      <c r="J8400" t="s">
        <v>6578</v>
      </c>
      <c r="K8400" t="s">
        <v>2194</v>
      </c>
      <c r="L8400" t="s">
        <v>285</v>
      </c>
      <c r="M8400" t="str">
        <f t="shared" si="624"/>
        <v>06</v>
      </c>
      <c r="N8400" t="s">
        <v>12</v>
      </c>
    </row>
    <row r="8401" spans="1:14" x14ac:dyDescent="0.25">
      <c r="A8401">
        <v>20160623</v>
      </c>
      <c r="B8401" t="str">
        <f>"063973"</f>
        <v>063973</v>
      </c>
      <c r="C8401" t="str">
        <f>"45855"</f>
        <v>45855</v>
      </c>
      <c r="D8401" t="s">
        <v>2546</v>
      </c>
      <c r="E8401" s="3">
        <v>322.73</v>
      </c>
      <c r="F8401">
        <v>20160622</v>
      </c>
      <c r="G8401" t="s">
        <v>6623</v>
      </c>
      <c r="H8401" t="s">
        <v>6733</v>
      </c>
      <c r="I8401">
        <v>0</v>
      </c>
      <c r="J8401" t="s">
        <v>6578</v>
      </c>
      <c r="K8401" t="s">
        <v>2194</v>
      </c>
      <c r="L8401" t="s">
        <v>285</v>
      </c>
      <c r="M8401" t="str">
        <f t="shared" si="624"/>
        <v>06</v>
      </c>
      <c r="N8401" t="s">
        <v>12</v>
      </c>
    </row>
    <row r="8402" spans="1:14" x14ac:dyDescent="0.25">
      <c r="A8402">
        <v>20160623</v>
      </c>
      <c r="B8402" t="str">
        <f>"063987"</f>
        <v>063987</v>
      </c>
      <c r="C8402" t="str">
        <f>"56462"</f>
        <v>56462</v>
      </c>
      <c r="D8402" t="s">
        <v>6760</v>
      </c>
      <c r="E8402" s="3">
        <v>531.6</v>
      </c>
      <c r="F8402">
        <v>20160622</v>
      </c>
      <c r="G8402" t="s">
        <v>6623</v>
      </c>
      <c r="H8402" t="s">
        <v>6758</v>
      </c>
      <c r="I8402">
        <v>0</v>
      </c>
      <c r="J8402" t="s">
        <v>6578</v>
      </c>
      <c r="K8402" t="s">
        <v>2194</v>
      </c>
      <c r="L8402" t="s">
        <v>285</v>
      </c>
      <c r="M8402" t="str">
        <f t="shared" si="624"/>
        <v>06</v>
      </c>
      <c r="N8402" t="s">
        <v>12</v>
      </c>
    </row>
    <row r="8403" spans="1:14" x14ac:dyDescent="0.25">
      <c r="A8403">
        <v>20160623</v>
      </c>
      <c r="B8403" t="str">
        <f>"064010"</f>
        <v>064010</v>
      </c>
      <c r="C8403" t="str">
        <f>"83022"</f>
        <v>83022</v>
      </c>
      <c r="D8403" t="s">
        <v>394</v>
      </c>
      <c r="E8403" s="3">
        <v>25.56</v>
      </c>
      <c r="F8403">
        <v>20160623</v>
      </c>
      <c r="G8403" t="s">
        <v>6585</v>
      </c>
      <c r="H8403" t="s">
        <v>5398</v>
      </c>
      <c r="I8403">
        <v>0</v>
      </c>
      <c r="J8403" t="s">
        <v>6578</v>
      </c>
      <c r="K8403" t="s">
        <v>1643</v>
      </c>
      <c r="L8403" t="s">
        <v>285</v>
      </c>
      <c r="M8403" t="str">
        <f t="shared" si="624"/>
        <v>06</v>
      </c>
      <c r="N8403" t="s">
        <v>12</v>
      </c>
    </row>
    <row r="8404" spans="1:14" x14ac:dyDescent="0.25">
      <c r="A8404">
        <v>20160623</v>
      </c>
      <c r="B8404" t="str">
        <f>"064013"</f>
        <v>064013</v>
      </c>
      <c r="C8404" t="str">
        <f>"85628"</f>
        <v>85628</v>
      </c>
      <c r="D8404" t="s">
        <v>5952</v>
      </c>
      <c r="E8404" s="3">
        <v>307.89</v>
      </c>
      <c r="F8404">
        <v>20160622</v>
      </c>
      <c r="G8404" t="s">
        <v>6599</v>
      </c>
      <c r="H8404" t="s">
        <v>6761</v>
      </c>
      <c r="I8404">
        <v>0</v>
      </c>
      <c r="J8404" t="s">
        <v>6578</v>
      </c>
      <c r="K8404" t="s">
        <v>95</v>
      </c>
      <c r="L8404" t="s">
        <v>285</v>
      </c>
      <c r="M8404" t="str">
        <f t="shared" si="624"/>
        <v>06</v>
      </c>
      <c r="N8404" t="s">
        <v>12</v>
      </c>
    </row>
    <row r="8405" spans="1:14" x14ac:dyDescent="0.25">
      <c r="A8405">
        <v>20160623</v>
      </c>
      <c r="B8405" t="str">
        <f>"064013"</f>
        <v>064013</v>
      </c>
      <c r="C8405" t="str">
        <f>"85628"</f>
        <v>85628</v>
      </c>
      <c r="D8405" t="s">
        <v>5952</v>
      </c>
      <c r="E8405" s="3">
        <v>307.89</v>
      </c>
      <c r="F8405">
        <v>20160622</v>
      </c>
      <c r="G8405" t="s">
        <v>6602</v>
      </c>
      <c r="H8405" t="s">
        <v>6761</v>
      </c>
      <c r="I8405">
        <v>0</v>
      </c>
      <c r="J8405" t="s">
        <v>6578</v>
      </c>
      <c r="K8405" t="s">
        <v>2194</v>
      </c>
      <c r="L8405" t="s">
        <v>285</v>
      </c>
      <c r="M8405" t="str">
        <f t="shared" si="624"/>
        <v>06</v>
      </c>
      <c r="N8405" t="s">
        <v>12</v>
      </c>
    </row>
    <row r="8406" spans="1:14" x14ac:dyDescent="0.25">
      <c r="A8406">
        <v>20160715</v>
      </c>
      <c r="B8406" t="str">
        <f>"064017"</f>
        <v>064017</v>
      </c>
      <c r="C8406" t="str">
        <f>"00303"</f>
        <v>00303</v>
      </c>
      <c r="D8406" t="s">
        <v>5416</v>
      </c>
      <c r="E8406" s="3">
        <v>252.99</v>
      </c>
      <c r="F8406">
        <v>20160714</v>
      </c>
      <c r="G8406" t="s">
        <v>6602</v>
      </c>
      <c r="H8406" t="s">
        <v>6733</v>
      </c>
      <c r="I8406">
        <v>0</v>
      </c>
      <c r="J8406" t="s">
        <v>6578</v>
      </c>
      <c r="K8406" t="s">
        <v>2194</v>
      </c>
      <c r="L8406" t="s">
        <v>285</v>
      </c>
      <c r="M8406" t="str">
        <f t="shared" ref="M8406:M8411" si="625">"07"</f>
        <v>07</v>
      </c>
      <c r="N8406" t="s">
        <v>12</v>
      </c>
    </row>
    <row r="8407" spans="1:14" x14ac:dyDescent="0.25">
      <c r="A8407">
        <v>20160715</v>
      </c>
      <c r="B8407" t="str">
        <f>"064044"</f>
        <v>064044</v>
      </c>
      <c r="C8407" t="str">
        <f>"27900"</f>
        <v>27900</v>
      </c>
      <c r="D8407" t="s">
        <v>1596</v>
      </c>
      <c r="E8407" s="3">
        <v>2950</v>
      </c>
      <c r="F8407">
        <v>20160713</v>
      </c>
      <c r="G8407" t="s">
        <v>6587</v>
      </c>
      <c r="H8407" t="s">
        <v>6762</v>
      </c>
      <c r="I8407">
        <v>0</v>
      </c>
      <c r="J8407" t="s">
        <v>6578</v>
      </c>
      <c r="K8407" t="s">
        <v>2194</v>
      </c>
      <c r="L8407" t="s">
        <v>285</v>
      </c>
      <c r="M8407" t="str">
        <f t="shared" si="625"/>
        <v>07</v>
      </c>
      <c r="N8407" t="s">
        <v>12</v>
      </c>
    </row>
    <row r="8408" spans="1:14" x14ac:dyDescent="0.25">
      <c r="A8408">
        <v>20160715</v>
      </c>
      <c r="B8408" t="str">
        <f>"064056"</f>
        <v>064056</v>
      </c>
      <c r="C8408" t="str">
        <f>"63511"</f>
        <v>63511</v>
      </c>
      <c r="D8408" t="s">
        <v>2322</v>
      </c>
      <c r="E8408" s="3">
        <v>2175.17</v>
      </c>
      <c r="F8408">
        <v>20160713</v>
      </c>
      <c r="G8408" t="s">
        <v>6589</v>
      </c>
      <c r="H8408" t="s">
        <v>6763</v>
      </c>
      <c r="I8408">
        <v>0</v>
      </c>
      <c r="J8408" t="s">
        <v>6578</v>
      </c>
      <c r="K8408" t="s">
        <v>2194</v>
      </c>
      <c r="L8408" t="s">
        <v>285</v>
      </c>
      <c r="M8408" t="str">
        <f t="shared" si="625"/>
        <v>07</v>
      </c>
      <c r="N8408" t="s">
        <v>12</v>
      </c>
    </row>
    <row r="8409" spans="1:14" x14ac:dyDescent="0.25">
      <c r="A8409">
        <v>20160715</v>
      </c>
      <c r="B8409" t="str">
        <f>"064077"</f>
        <v>064077</v>
      </c>
      <c r="C8409" t="str">
        <f>"54050"</f>
        <v>54050</v>
      </c>
      <c r="D8409" t="s">
        <v>4076</v>
      </c>
      <c r="E8409" s="3">
        <v>264</v>
      </c>
      <c r="F8409">
        <v>20160713</v>
      </c>
      <c r="G8409" t="s">
        <v>6589</v>
      </c>
      <c r="H8409" t="s">
        <v>6764</v>
      </c>
      <c r="I8409">
        <v>0</v>
      </c>
      <c r="J8409" t="s">
        <v>6578</v>
      </c>
      <c r="K8409" t="s">
        <v>2194</v>
      </c>
      <c r="L8409" t="s">
        <v>285</v>
      </c>
      <c r="M8409" t="str">
        <f t="shared" si="625"/>
        <v>07</v>
      </c>
      <c r="N8409" t="s">
        <v>12</v>
      </c>
    </row>
    <row r="8410" spans="1:14" x14ac:dyDescent="0.25">
      <c r="A8410">
        <v>20160715</v>
      </c>
      <c r="B8410" t="str">
        <f>"064079"</f>
        <v>064079</v>
      </c>
      <c r="C8410" t="str">
        <f>"54495"</f>
        <v>54495</v>
      </c>
      <c r="D8410" t="s">
        <v>2756</v>
      </c>
      <c r="E8410" s="3">
        <v>819</v>
      </c>
      <c r="F8410">
        <v>20160713</v>
      </c>
      <c r="G8410" t="s">
        <v>6589</v>
      </c>
      <c r="H8410" t="s">
        <v>6765</v>
      </c>
      <c r="I8410">
        <v>0</v>
      </c>
      <c r="J8410" t="s">
        <v>6578</v>
      </c>
      <c r="K8410" t="s">
        <v>2194</v>
      </c>
      <c r="L8410" t="s">
        <v>285</v>
      </c>
      <c r="M8410" t="str">
        <f t="shared" si="625"/>
        <v>07</v>
      </c>
      <c r="N8410" t="s">
        <v>12</v>
      </c>
    </row>
    <row r="8411" spans="1:14" x14ac:dyDescent="0.25">
      <c r="A8411">
        <v>20160722</v>
      </c>
      <c r="B8411" t="str">
        <f>"064133"</f>
        <v>064133</v>
      </c>
      <c r="C8411" t="str">
        <f>"29554"</f>
        <v>29554</v>
      </c>
      <c r="D8411" t="s">
        <v>1865</v>
      </c>
      <c r="E8411" s="3">
        <v>523.99</v>
      </c>
      <c r="F8411">
        <v>20160720</v>
      </c>
      <c r="G8411" t="s">
        <v>6595</v>
      </c>
      <c r="H8411" t="s">
        <v>5368</v>
      </c>
      <c r="I8411">
        <v>0</v>
      </c>
      <c r="J8411" t="s">
        <v>6578</v>
      </c>
      <c r="K8411" t="s">
        <v>290</v>
      </c>
      <c r="L8411" t="s">
        <v>285</v>
      </c>
      <c r="M8411" t="str">
        <f t="shared" si="625"/>
        <v>07</v>
      </c>
      <c r="N8411" t="s">
        <v>12</v>
      </c>
    </row>
    <row r="8412" spans="1:14" x14ac:dyDescent="0.25">
      <c r="A8412">
        <v>20160805</v>
      </c>
      <c r="B8412" t="str">
        <f>"064272"</f>
        <v>064272</v>
      </c>
      <c r="C8412" t="str">
        <f>"25165"</f>
        <v>25165</v>
      </c>
      <c r="D8412" t="s">
        <v>1563</v>
      </c>
      <c r="E8412" s="3">
        <v>196.64</v>
      </c>
      <c r="F8412">
        <v>20160804</v>
      </c>
      <c r="G8412" t="s">
        <v>6753</v>
      </c>
      <c r="H8412" t="s">
        <v>6766</v>
      </c>
      <c r="I8412">
        <v>0</v>
      </c>
      <c r="J8412" t="s">
        <v>6578</v>
      </c>
      <c r="K8412" t="s">
        <v>2194</v>
      </c>
      <c r="L8412" t="s">
        <v>285</v>
      </c>
      <c r="M8412" t="str">
        <f t="shared" ref="M8412:M8430" si="626">"08"</f>
        <v>08</v>
      </c>
      <c r="N8412" t="s">
        <v>12</v>
      </c>
    </row>
    <row r="8413" spans="1:14" x14ac:dyDescent="0.25">
      <c r="A8413">
        <v>20160805</v>
      </c>
      <c r="B8413" t="str">
        <f>"064272"</f>
        <v>064272</v>
      </c>
      <c r="C8413" t="str">
        <f>"25165"</f>
        <v>25165</v>
      </c>
      <c r="D8413" t="s">
        <v>1563</v>
      </c>
      <c r="E8413" s="3">
        <v>1023.76</v>
      </c>
      <c r="F8413">
        <v>20160804</v>
      </c>
      <c r="G8413" t="s">
        <v>6753</v>
      </c>
      <c r="H8413" t="s">
        <v>6767</v>
      </c>
      <c r="I8413">
        <v>0</v>
      </c>
      <c r="J8413" t="s">
        <v>6578</v>
      </c>
      <c r="K8413" t="s">
        <v>2194</v>
      </c>
      <c r="L8413" t="s">
        <v>285</v>
      </c>
      <c r="M8413" t="str">
        <f t="shared" si="626"/>
        <v>08</v>
      </c>
      <c r="N8413" t="s">
        <v>12</v>
      </c>
    </row>
    <row r="8414" spans="1:14" x14ac:dyDescent="0.25">
      <c r="A8414">
        <v>20160812</v>
      </c>
      <c r="B8414" t="str">
        <f>"064351"</f>
        <v>064351</v>
      </c>
      <c r="C8414" t="str">
        <f>"27900"</f>
        <v>27900</v>
      </c>
      <c r="D8414" t="s">
        <v>1596</v>
      </c>
      <c r="E8414" s="3">
        <v>150</v>
      </c>
      <c r="F8414">
        <v>20160810</v>
      </c>
      <c r="G8414" t="s">
        <v>6599</v>
      </c>
      <c r="H8414" t="s">
        <v>6768</v>
      </c>
      <c r="I8414">
        <v>0</v>
      </c>
      <c r="J8414" t="s">
        <v>6578</v>
      </c>
      <c r="K8414" t="s">
        <v>95</v>
      </c>
      <c r="L8414" t="s">
        <v>285</v>
      </c>
      <c r="M8414" t="str">
        <f t="shared" si="626"/>
        <v>08</v>
      </c>
      <c r="N8414" t="s">
        <v>12</v>
      </c>
    </row>
    <row r="8415" spans="1:14" x14ac:dyDescent="0.25">
      <c r="A8415">
        <v>20160812</v>
      </c>
      <c r="B8415" t="str">
        <f>"064351"</f>
        <v>064351</v>
      </c>
      <c r="C8415" t="str">
        <f>"27900"</f>
        <v>27900</v>
      </c>
      <c r="D8415" t="s">
        <v>1596</v>
      </c>
      <c r="E8415" s="3">
        <v>600</v>
      </c>
      <c r="F8415">
        <v>20160810</v>
      </c>
      <c r="G8415" t="s">
        <v>6601</v>
      </c>
      <c r="H8415" t="s">
        <v>6768</v>
      </c>
      <c r="I8415">
        <v>0</v>
      </c>
      <c r="J8415" t="s">
        <v>6578</v>
      </c>
      <c r="K8415" t="s">
        <v>1643</v>
      </c>
      <c r="L8415" t="s">
        <v>285</v>
      </c>
      <c r="M8415" t="str">
        <f t="shared" si="626"/>
        <v>08</v>
      </c>
      <c r="N8415" t="s">
        <v>12</v>
      </c>
    </row>
    <row r="8416" spans="1:14" x14ac:dyDescent="0.25">
      <c r="A8416">
        <v>20160812</v>
      </c>
      <c r="B8416" t="str">
        <f>"064351"</f>
        <v>064351</v>
      </c>
      <c r="C8416" t="str">
        <f>"27900"</f>
        <v>27900</v>
      </c>
      <c r="D8416" t="s">
        <v>1596</v>
      </c>
      <c r="E8416" s="3">
        <v>600</v>
      </c>
      <c r="F8416">
        <v>20160810</v>
      </c>
      <c r="G8416" t="s">
        <v>6587</v>
      </c>
      <c r="H8416" t="s">
        <v>6769</v>
      </c>
      <c r="I8416">
        <v>0</v>
      </c>
      <c r="J8416" t="s">
        <v>6578</v>
      </c>
      <c r="K8416" t="s">
        <v>2194</v>
      </c>
      <c r="L8416" t="s">
        <v>285</v>
      </c>
      <c r="M8416" t="str">
        <f t="shared" si="626"/>
        <v>08</v>
      </c>
      <c r="N8416" t="s">
        <v>12</v>
      </c>
    </row>
    <row r="8417" spans="1:14" x14ac:dyDescent="0.25">
      <c r="A8417">
        <v>20160812</v>
      </c>
      <c r="B8417" t="str">
        <f>"064351"</f>
        <v>064351</v>
      </c>
      <c r="C8417" t="str">
        <f>"27900"</f>
        <v>27900</v>
      </c>
      <c r="D8417" t="s">
        <v>1596</v>
      </c>
      <c r="E8417" s="3">
        <v>150</v>
      </c>
      <c r="F8417">
        <v>20160810</v>
      </c>
      <c r="G8417" t="s">
        <v>6602</v>
      </c>
      <c r="H8417" t="s">
        <v>6768</v>
      </c>
      <c r="I8417">
        <v>0</v>
      </c>
      <c r="J8417" t="s">
        <v>6578</v>
      </c>
      <c r="K8417" t="s">
        <v>2194</v>
      </c>
      <c r="L8417" t="s">
        <v>285</v>
      </c>
      <c r="M8417" t="str">
        <f t="shared" si="626"/>
        <v>08</v>
      </c>
      <c r="N8417" t="s">
        <v>12</v>
      </c>
    </row>
    <row r="8418" spans="1:14" x14ac:dyDescent="0.25">
      <c r="A8418">
        <v>20160812</v>
      </c>
      <c r="B8418" t="str">
        <f>"064369"</f>
        <v>064369</v>
      </c>
      <c r="C8418" t="str">
        <f>"45855"</f>
        <v>45855</v>
      </c>
      <c r="D8418" t="s">
        <v>2546</v>
      </c>
      <c r="E8418" s="3">
        <v>392.08</v>
      </c>
      <c r="F8418">
        <v>20160811</v>
      </c>
      <c r="G8418" t="s">
        <v>6623</v>
      </c>
      <c r="H8418" t="s">
        <v>6770</v>
      </c>
      <c r="I8418">
        <v>0</v>
      </c>
      <c r="J8418" t="s">
        <v>6578</v>
      </c>
      <c r="K8418" t="s">
        <v>2194</v>
      </c>
      <c r="L8418" t="s">
        <v>285</v>
      </c>
      <c r="M8418" t="str">
        <f t="shared" si="626"/>
        <v>08</v>
      </c>
      <c r="N8418" t="s">
        <v>12</v>
      </c>
    </row>
    <row r="8419" spans="1:14" x14ac:dyDescent="0.25">
      <c r="A8419">
        <v>20160812</v>
      </c>
      <c r="B8419" t="str">
        <f>"064379"</f>
        <v>064379</v>
      </c>
      <c r="C8419" t="str">
        <f>"54495"</f>
        <v>54495</v>
      </c>
      <c r="D8419" t="s">
        <v>2756</v>
      </c>
      <c r="E8419" s="3">
        <v>397.5</v>
      </c>
      <c r="F8419">
        <v>20160811</v>
      </c>
      <c r="G8419" t="s">
        <v>6589</v>
      </c>
      <c r="H8419" t="s">
        <v>5398</v>
      </c>
      <c r="I8419">
        <v>0</v>
      </c>
      <c r="J8419" t="s">
        <v>6578</v>
      </c>
      <c r="K8419" t="s">
        <v>2194</v>
      </c>
      <c r="L8419" t="s">
        <v>285</v>
      </c>
      <c r="M8419" t="str">
        <f t="shared" si="626"/>
        <v>08</v>
      </c>
      <c r="N8419" t="s">
        <v>12</v>
      </c>
    </row>
    <row r="8420" spans="1:14" x14ac:dyDescent="0.25">
      <c r="A8420">
        <v>20160819</v>
      </c>
      <c r="B8420" t="str">
        <f>"064419"</f>
        <v>064419</v>
      </c>
      <c r="C8420" t="str">
        <f>"27900"</f>
        <v>27900</v>
      </c>
      <c r="D8420" t="s">
        <v>1596</v>
      </c>
      <c r="E8420" s="3">
        <v>100</v>
      </c>
      <c r="F8420">
        <v>20160818</v>
      </c>
      <c r="G8420" t="s">
        <v>6602</v>
      </c>
      <c r="H8420" t="s">
        <v>6771</v>
      </c>
      <c r="I8420">
        <v>0</v>
      </c>
      <c r="J8420" t="s">
        <v>6578</v>
      </c>
      <c r="K8420" t="s">
        <v>2194</v>
      </c>
      <c r="L8420" t="s">
        <v>285</v>
      </c>
      <c r="M8420" t="str">
        <f t="shared" si="626"/>
        <v>08</v>
      </c>
      <c r="N8420" t="s">
        <v>12</v>
      </c>
    </row>
    <row r="8421" spans="1:14" x14ac:dyDescent="0.25">
      <c r="A8421">
        <v>20160819</v>
      </c>
      <c r="B8421" t="str">
        <f>"064446"</f>
        <v>064446</v>
      </c>
      <c r="C8421" t="str">
        <f>"54495"</f>
        <v>54495</v>
      </c>
      <c r="D8421" t="s">
        <v>2756</v>
      </c>
      <c r="E8421" s="3">
        <v>1494</v>
      </c>
      <c r="F8421">
        <v>20160817</v>
      </c>
      <c r="G8421" t="s">
        <v>6589</v>
      </c>
      <c r="H8421" t="s">
        <v>6772</v>
      </c>
      <c r="I8421">
        <v>0</v>
      </c>
      <c r="J8421" t="s">
        <v>6578</v>
      </c>
      <c r="K8421" t="s">
        <v>2194</v>
      </c>
      <c r="L8421" t="s">
        <v>285</v>
      </c>
      <c r="M8421" t="str">
        <f t="shared" si="626"/>
        <v>08</v>
      </c>
      <c r="N8421" t="s">
        <v>12</v>
      </c>
    </row>
    <row r="8422" spans="1:14" x14ac:dyDescent="0.25">
      <c r="A8422">
        <v>20160826</v>
      </c>
      <c r="B8422" t="str">
        <f>"064482"</f>
        <v>064482</v>
      </c>
      <c r="C8422" t="str">
        <f>"01820"</f>
        <v>01820</v>
      </c>
      <c r="D8422" t="s">
        <v>6773</v>
      </c>
      <c r="E8422" s="3">
        <v>192.69</v>
      </c>
      <c r="F8422">
        <v>20160824</v>
      </c>
      <c r="G8422" t="s">
        <v>6601</v>
      </c>
      <c r="H8422" t="s">
        <v>6774</v>
      </c>
      <c r="I8422">
        <v>0</v>
      </c>
      <c r="J8422" t="s">
        <v>6578</v>
      </c>
      <c r="K8422" t="s">
        <v>1643</v>
      </c>
      <c r="L8422" t="s">
        <v>285</v>
      </c>
      <c r="M8422" t="str">
        <f t="shared" si="626"/>
        <v>08</v>
      </c>
      <c r="N8422" t="s">
        <v>12</v>
      </c>
    </row>
    <row r="8423" spans="1:14" x14ac:dyDescent="0.25">
      <c r="A8423">
        <v>20160826</v>
      </c>
      <c r="B8423" t="str">
        <f>"064495"</f>
        <v>064495</v>
      </c>
      <c r="C8423" t="str">
        <f>"12969"</f>
        <v>12969</v>
      </c>
      <c r="D8423" t="s">
        <v>6775</v>
      </c>
      <c r="E8423" s="3">
        <v>80.81</v>
      </c>
      <c r="F8423">
        <v>20160825</v>
      </c>
      <c r="G8423" t="s">
        <v>6608</v>
      </c>
      <c r="H8423" t="s">
        <v>6774</v>
      </c>
      <c r="I8423">
        <v>0</v>
      </c>
      <c r="J8423" t="s">
        <v>6578</v>
      </c>
      <c r="K8423" t="s">
        <v>33</v>
      </c>
      <c r="L8423" t="s">
        <v>285</v>
      </c>
      <c r="M8423" t="str">
        <f t="shared" si="626"/>
        <v>08</v>
      </c>
      <c r="N8423" t="s">
        <v>12</v>
      </c>
    </row>
    <row r="8424" spans="1:14" x14ac:dyDescent="0.25">
      <c r="A8424">
        <v>20160826</v>
      </c>
      <c r="B8424" t="str">
        <f>"064508"</f>
        <v>064508</v>
      </c>
      <c r="C8424" t="str">
        <f>"21132"</f>
        <v>21132</v>
      </c>
      <c r="D8424" t="s">
        <v>5498</v>
      </c>
      <c r="E8424" s="3">
        <v>212.03</v>
      </c>
      <c r="F8424">
        <v>20160825</v>
      </c>
      <c r="G8424" t="s">
        <v>6602</v>
      </c>
      <c r="H8424" t="s">
        <v>6776</v>
      </c>
      <c r="I8424">
        <v>0</v>
      </c>
      <c r="J8424" t="s">
        <v>6578</v>
      </c>
      <c r="K8424" t="s">
        <v>2194</v>
      </c>
      <c r="L8424" t="s">
        <v>285</v>
      </c>
      <c r="M8424" t="str">
        <f t="shared" si="626"/>
        <v>08</v>
      </c>
      <c r="N8424" t="s">
        <v>12</v>
      </c>
    </row>
    <row r="8425" spans="1:14" x14ac:dyDescent="0.25">
      <c r="A8425">
        <v>20160826</v>
      </c>
      <c r="B8425" t="str">
        <f>"064546"</f>
        <v>064546</v>
      </c>
      <c r="C8425" t="str">
        <f>"63707"</f>
        <v>63707</v>
      </c>
      <c r="D8425" t="s">
        <v>3855</v>
      </c>
      <c r="E8425" s="3">
        <v>48.84</v>
      </c>
      <c r="F8425">
        <v>20160825</v>
      </c>
      <c r="G8425" t="s">
        <v>6608</v>
      </c>
      <c r="H8425" t="s">
        <v>6777</v>
      </c>
      <c r="I8425">
        <v>0</v>
      </c>
      <c r="J8425" t="s">
        <v>6578</v>
      </c>
      <c r="K8425" t="s">
        <v>33</v>
      </c>
      <c r="L8425" t="s">
        <v>285</v>
      </c>
      <c r="M8425" t="str">
        <f t="shared" si="626"/>
        <v>08</v>
      </c>
      <c r="N8425" t="s">
        <v>12</v>
      </c>
    </row>
    <row r="8426" spans="1:14" x14ac:dyDescent="0.25">
      <c r="A8426">
        <v>20160826</v>
      </c>
      <c r="B8426" t="str">
        <f>"064555"</f>
        <v>064555</v>
      </c>
      <c r="C8426" t="str">
        <f>"54495"</f>
        <v>54495</v>
      </c>
      <c r="D8426" t="s">
        <v>2756</v>
      </c>
      <c r="E8426" s="3">
        <v>398.56</v>
      </c>
      <c r="F8426">
        <v>20160825</v>
      </c>
      <c r="G8426" t="s">
        <v>6655</v>
      </c>
      <c r="H8426" t="s">
        <v>6778</v>
      </c>
      <c r="I8426">
        <v>0</v>
      </c>
      <c r="J8426" t="s">
        <v>6578</v>
      </c>
      <c r="K8426" t="s">
        <v>1643</v>
      </c>
      <c r="L8426" t="s">
        <v>285</v>
      </c>
      <c r="M8426" t="str">
        <f t="shared" si="626"/>
        <v>08</v>
      </c>
      <c r="N8426" t="s">
        <v>12</v>
      </c>
    </row>
    <row r="8427" spans="1:14" x14ac:dyDescent="0.25">
      <c r="A8427">
        <v>20160826</v>
      </c>
      <c r="B8427" t="str">
        <f>"064563"</f>
        <v>064563</v>
      </c>
      <c r="C8427" t="str">
        <f>"60178"</f>
        <v>60178</v>
      </c>
      <c r="D8427" t="s">
        <v>2136</v>
      </c>
      <c r="E8427" s="3">
        <v>182.6</v>
      </c>
      <c r="F8427">
        <v>20160825</v>
      </c>
      <c r="G8427" t="s">
        <v>6655</v>
      </c>
      <c r="H8427" t="s">
        <v>5398</v>
      </c>
      <c r="I8427">
        <v>0</v>
      </c>
      <c r="J8427" t="s">
        <v>6578</v>
      </c>
      <c r="K8427" t="s">
        <v>1643</v>
      </c>
      <c r="L8427" t="s">
        <v>285</v>
      </c>
      <c r="M8427" t="str">
        <f t="shared" si="626"/>
        <v>08</v>
      </c>
      <c r="N8427" t="s">
        <v>12</v>
      </c>
    </row>
    <row r="8428" spans="1:14" x14ac:dyDescent="0.25">
      <c r="A8428">
        <v>20160826</v>
      </c>
      <c r="B8428" t="str">
        <f>"064571"</f>
        <v>064571</v>
      </c>
      <c r="C8428" t="str">
        <f>"65198"</f>
        <v>65198</v>
      </c>
      <c r="D8428" t="s">
        <v>6779</v>
      </c>
      <c r="E8428" s="3">
        <v>50.47</v>
      </c>
      <c r="F8428">
        <v>20160825</v>
      </c>
      <c r="G8428" t="s">
        <v>6608</v>
      </c>
      <c r="H8428" t="s">
        <v>6774</v>
      </c>
      <c r="I8428">
        <v>0</v>
      </c>
      <c r="J8428" t="s">
        <v>6578</v>
      </c>
      <c r="K8428" t="s">
        <v>33</v>
      </c>
      <c r="L8428" t="s">
        <v>285</v>
      </c>
      <c r="M8428" t="str">
        <f t="shared" si="626"/>
        <v>08</v>
      </c>
      <c r="N8428" t="s">
        <v>12</v>
      </c>
    </row>
    <row r="8429" spans="1:14" x14ac:dyDescent="0.25">
      <c r="A8429">
        <v>20160826</v>
      </c>
      <c r="B8429" t="str">
        <f>"064574"</f>
        <v>064574</v>
      </c>
      <c r="C8429" t="str">
        <f>"67615"</f>
        <v>67615</v>
      </c>
      <c r="D8429" t="s">
        <v>5576</v>
      </c>
      <c r="E8429" s="3">
        <v>61.91</v>
      </c>
      <c r="F8429">
        <v>20160825</v>
      </c>
      <c r="G8429" t="s">
        <v>6608</v>
      </c>
      <c r="H8429" t="s">
        <v>6774</v>
      </c>
      <c r="I8429">
        <v>0</v>
      </c>
      <c r="J8429" t="s">
        <v>6578</v>
      </c>
      <c r="K8429" t="s">
        <v>33</v>
      </c>
      <c r="L8429" t="s">
        <v>285</v>
      </c>
      <c r="M8429" t="str">
        <f t="shared" si="626"/>
        <v>08</v>
      </c>
      <c r="N8429" t="s">
        <v>12</v>
      </c>
    </row>
    <row r="8430" spans="1:14" x14ac:dyDescent="0.25">
      <c r="A8430">
        <v>20160826</v>
      </c>
      <c r="B8430" t="str">
        <f>"064577"</f>
        <v>064577</v>
      </c>
      <c r="C8430" t="str">
        <f>"74117"</f>
        <v>74117</v>
      </c>
      <c r="D8430" t="s">
        <v>3615</v>
      </c>
      <c r="E8430" s="3">
        <v>75.900000000000006</v>
      </c>
      <c r="F8430">
        <v>20160825</v>
      </c>
      <c r="G8430" t="s">
        <v>6655</v>
      </c>
      <c r="H8430" t="s">
        <v>5398</v>
      </c>
      <c r="I8430">
        <v>0</v>
      </c>
      <c r="J8430" t="s">
        <v>6578</v>
      </c>
      <c r="K8430" t="s">
        <v>1643</v>
      </c>
      <c r="L8430" t="s">
        <v>285</v>
      </c>
      <c r="M8430" t="str">
        <f t="shared" si="626"/>
        <v>08</v>
      </c>
      <c r="N8430" t="s">
        <v>12</v>
      </c>
    </row>
    <row r="8431" spans="1:14" x14ac:dyDescent="0.25">
      <c r="A8431">
        <v>20150918</v>
      </c>
      <c r="B8431" t="str">
        <f>"060307"</f>
        <v>060307</v>
      </c>
      <c r="C8431" t="str">
        <f>"74150"</f>
        <v>74150</v>
      </c>
      <c r="D8431" t="s">
        <v>3047</v>
      </c>
      <c r="E8431" s="3">
        <v>614.25</v>
      </c>
      <c r="F8431">
        <v>20150917</v>
      </c>
      <c r="G8431" t="s">
        <v>6780</v>
      </c>
      <c r="H8431" t="s">
        <v>6580</v>
      </c>
      <c r="I8431">
        <v>0</v>
      </c>
      <c r="J8431" t="s">
        <v>6781</v>
      </c>
      <c r="K8431" t="s">
        <v>235</v>
      </c>
      <c r="L8431" t="s">
        <v>285</v>
      </c>
      <c r="M8431" t="str">
        <f>"09"</f>
        <v>09</v>
      </c>
      <c r="N8431" t="s">
        <v>12</v>
      </c>
    </row>
    <row r="8432" spans="1:14" x14ac:dyDescent="0.25">
      <c r="A8432">
        <v>20151211</v>
      </c>
      <c r="B8432" t="str">
        <f>"061449"</f>
        <v>061449</v>
      </c>
      <c r="C8432" t="str">
        <f>"58965"</f>
        <v>58965</v>
      </c>
      <c r="D8432" t="s">
        <v>3868</v>
      </c>
      <c r="E8432" s="3">
        <v>420.03</v>
      </c>
      <c r="F8432">
        <v>20151210</v>
      </c>
      <c r="G8432" t="s">
        <v>6782</v>
      </c>
      <c r="H8432" t="s">
        <v>6783</v>
      </c>
      <c r="I8432">
        <v>0</v>
      </c>
      <c r="J8432" t="s">
        <v>6781</v>
      </c>
      <c r="K8432" t="s">
        <v>33</v>
      </c>
      <c r="L8432" t="s">
        <v>285</v>
      </c>
      <c r="M8432" t="str">
        <f>"12"</f>
        <v>12</v>
      </c>
      <c r="N8432" t="s">
        <v>12</v>
      </c>
    </row>
    <row r="8433" spans="1:14" x14ac:dyDescent="0.25">
      <c r="A8433">
        <v>20151218</v>
      </c>
      <c r="B8433" t="str">
        <f>"061587"</f>
        <v>061587</v>
      </c>
      <c r="C8433" t="str">
        <f>"47657"</f>
        <v>47657</v>
      </c>
      <c r="D8433" t="s">
        <v>6784</v>
      </c>
      <c r="E8433" s="3">
        <v>34.19</v>
      </c>
      <c r="F8433">
        <v>20151216</v>
      </c>
      <c r="G8433" t="s">
        <v>6782</v>
      </c>
      <c r="H8433" t="s">
        <v>6785</v>
      </c>
      <c r="I8433">
        <v>0</v>
      </c>
      <c r="J8433" t="s">
        <v>6781</v>
      </c>
      <c r="K8433" t="s">
        <v>33</v>
      </c>
      <c r="L8433" t="s">
        <v>285</v>
      </c>
      <c r="M8433" t="str">
        <f>"12"</f>
        <v>12</v>
      </c>
      <c r="N8433" t="s">
        <v>12</v>
      </c>
    </row>
    <row r="8434" spans="1:14" x14ac:dyDescent="0.25">
      <c r="A8434">
        <v>20151218</v>
      </c>
      <c r="B8434" t="str">
        <f>"061621"</f>
        <v>061621</v>
      </c>
      <c r="C8434" t="str">
        <f>"61912"</f>
        <v>61912</v>
      </c>
      <c r="D8434" t="s">
        <v>2374</v>
      </c>
      <c r="E8434" s="3">
        <v>66.48</v>
      </c>
      <c r="F8434">
        <v>20151216</v>
      </c>
      <c r="G8434" t="s">
        <v>6782</v>
      </c>
      <c r="H8434" t="s">
        <v>2679</v>
      </c>
      <c r="I8434">
        <v>0</v>
      </c>
      <c r="J8434" t="s">
        <v>6781</v>
      </c>
      <c r="K8434" t="s">
        <v>33</v>
      </c>
      <c r="L8434" t="s">
        <v>285</v>
      </c>
      <c r="M8434" t="str">
        <f>"12"</f>
        <v>12</v>
      </c>
      <c r="N8434" t="s">
        <v>12</v>
      </c>
    </row>
    <row r="8435" spans="1:14" x14ac:dyDescent="0.25">
      <c r="A8435">
        <v>20160111</v>
      </c>
      <c r="B8435" t="str">
        <f>"061728"</f>
        <v>061728</v>
      </c>
      <c r="C8435" t="str">
        <f>"65826"</f>
        <v>65826</v>
      </c>
      <c r="D8435" t="s">
        <v>2386</v>
      </c>
      <c r="E8435" s="3">
        <v>71.2</v>
      </c>
      <c r="F8435">
        <v>20160108</v>
      </c>
      <c r="G8435" t="s">
        <v>6782</v>
      </c>
      <c r="H8435" t="s">
        <v>6786</v>
      </c>
      <c r="I8435">
        <v>0</v>
      </c>
      <c r="J8435" t="s">
        <v>6781</v>
      </c>
      <c r="K8435" t="s">
        <v>33</v>
      </c>
      <c r="L8435" t="s">
        <v>285</v>
      </c>
      <c r="M8435" t="str">
        <f>"01"</f>
        <v>01</v>
      </c>
      <c r="N8435" t="s">
        <v>12</v>
      </c>
    </row>
    <row r="8436" spans="1:14" x14ac:dyDescent="0.25">
      <c r="A8436">
        <v>20160111</v>
      </c>
      <c r="B8436" t="str">
        <f>"061734"</f>
        <v>061734</v>
      </c>
      <c r="C8436" t="str">
        <f>"72730"</f>
        <v>72730</v>
      </c>
      <c r="D8436" t="s">
        <v>1926</v>
      </c>
      <c r="E8436" s="3">
        <v>60</v>
      </c>
      <c r="F8436">
        <v>20160108</v>
      </c>
      <c r="G8436" t="s">
        <v>6782</v>
      </c>
      <c r="H8436" t="s">
        <v>6786</v>
      </c>
      <c r="I8436">
        <v>0</v>
      </c>
      <c r="J8436" t="s">
        <v>6781</v>
      </c>
      <c r="K8436" t="s">
        <v>33</v>
      </c>
      <c r="L8436" t="s">
        <v>285</v>
      </c>
      <c r="M8436" t="str">
        <f>"01"</f>
        <v>01</v>
      </c>
      <c r="N8436" t="s">
        <v>12</v>
      </c>
    </row>
    <row r="8437" spans="1:14" x14ac:dyDescent="0.25">
      <c r="A8437">
        <v>20160111</v>
      </c>
      <c r="B8437" t="str">
        <f>"061746"</f>
        <v>061746</v>
      </c>
      <c r="C8437" t="str">
        <f>"83022"</f>
        <v>83022</v>
      </c>
      <c r="D8437" t="s">
        <v>394</v>
      </c>
      <c r="E8437" s="3">
        <v>19.98</v>
      </c>
      <c r="F8437">
        <v>20160108</v>
      </c>
      <c r="G8437" t="s">
        <v>6782</v>
      </c>
      <c r="H8437" t="s">
        <v>6786</v>
      </c>
      <c r="I8437">
        <v>0</v>
      </c>
      <c r="J8437" t="s">
        <v>6781</v>
      </c>
      <c r="K8437" t="s">
        <v>33</v>
      </c>
      <c r="L8437" t="s">
        <v>285</v>
      </c>
      <c r="M8437" t="str">
        <f>"01"</f>
        <v>01</v>
      </c>
      <c r="N8437" t="s">
        <v>12</v>
      </c>
    </row>
    <row r="8438" spans="1:14" x14ac:dyDescent="0.25">
      <c r="A8438">
        <v>20160324</v>
      </c>
      <c r="B8438" t="str">
        <f>"062887"</f>
        <v>062887</v>
      </c>
      <c r="C8438" t="str">
        <f>"83022"</f>
        <v>83022</v>
      </c>
      <c r="D8438" t="s">
        <v>394</v>
      </c>
      <c r="E8438" s="3">
        <v>17.96</v>
      </c>
      <c r="F8438">
        <v>20160323</v>
      </c>
      <c r="G8438" t="s">
        <v>6782</v>
      </c>
      <c r="H8438" t="s">
        <v>6787</v>
      </c>
      <c r="I8438">
        <v>0</v>
      </c>
      <c r="J8438" t="s">
        <v>6781</v>
      </c>
      <c r="K8438" t="s">
        <v>33</v>
      </c>
      <c r="L8438" t="s">
        <v>285</v>
      </c>
      <c r="M8438" t="str">
        <f>"03"</f>
        <v>03</v>
      </c>
      <c r="N8438" t="s">
        <v>12</v>
      </c>
    </row>
    <row r="8439" spans="1:14" x14ac:dyDescent="0.25">
      <c r="A8439">
        <v>20160324</v>
      </c>
      <c r="B8439" t="str">
        <f>"062887"</f>
        <v>062887</v>
      </c>
      <c r="C8439" t="str">
        <f>"83022"</f>
        <v>83022</v>
      </c>
      <c r="D8439" t="s">
        <v>394</v>
      </c>
      <c r="E8439" s="3">
        <v>40.57</v>
      </c>
      <c r="F8439">
        <v>20160323</v>
      </c>
      <c r="G8439" t="s">
        <v>6782</v>
      </c>
      <c r="H8439" t="s">
        <v>6787</v>
      </c>
      <c r="I8439">
        <v>0</v>
      </c>
      <c r="J8439" t="s">
        <v>6781</v>
      </c>
      <c r="K8439" t="s">
        <v>33</v>
      </c>
      <c r="L8439" t="s">
        <v>285</v>
      </c>
      <c r="M8439" t="str">
        <f>"03"</f>
        <v>03</v>
      </c>
      <c r="N8439" t="s">
        <v>12</v>
      </c>
    </row>
    <row r="8440" spans="1:14" x14ac:dyDescent="0.25">
      <c r="A8440">
        <v>20160420</v>
      </c>
      <c r="B8440" t="str">
        <f>"063249"</f>
        <v>063249</v>
      </c>
      <c r="C8440" t="str">
        <f>"60189"</f>
        <v>60189</v>
      </c>
      <c r="D8440" t="s">
        <v>6788</v>
      </c>
      <c r="E8440" s="3">
        <v>1416</v>
      </c>
      <c r="F8440">
        <v>20160419</v>
      </c>
      <c r="G8440" t="s">
        <v>6782</v>
      </c>
      <c r="H8440" t="s">
        <v>6789</v>
      </c>
      <c r="I8440">
        <v>0</v>
      </c>
      <c r="J8440" t="s">
        <v>6781</v>
      </c>
      <c r="K8440" t="s">
        <v>33</v>
      </c>
      <c r="L8440" t="s">
        <v>285</v>
      </c>
      <c r="M8440" t="str">
        <f>"04"</f>
        <v>04</v>
      </c>
      <c r="N8440" t="s">
        <v>12</v>
      </c>
    </row>
    <row r="8441" spans="1:14" x14ac:dyDescent="0.25">
      <c r="A8441">
        <v>20160527</v>
      </c>
      <c r="B8441" t="str">
        <f>"063689"</f>
        <v>063689</v>
      </c>
      <c r="C8441" t="str">
        <f>"83022"</f>
        <v>83022</v>
      </c>
      <c r="D8441" t="s">
        <v>394</v>
      </c>
      <c r="E8441" s="3">
        <v>9.6999999999999993</v>
      </c>
      <c r="F8441">
        <v>20160526</v>
      </c>
      <c r="G8441" t="s">
        <v>6782</v>
      </c>
      <c r="H8441" t="s">
        <v>2169</v>
      </c>
      <c r="I8441">
        <v>0</v>
      </c>
      <c r="J8441" t="s">
        <v>6781</v>
      </c>
      <c r="K8441" t="s">
        <v>33</v>
      </c>
      <c r="L8441" t="s">
        <v>285</v>
      </c>
      <c r="M8441" t="str">
        <f>"05"</f>
        <v>05</v>
      </c>
      <c r="N8441" t="s">
        <v>12</v>
      </c>
    </row>
    <row r="8442" spans="1:14" x14ac:dyDescent="0.25">
      <c r="A8442">
        <v>20150903</v>
      </c>
      <c r="B8442" t="str">
        <f>"060171"</f>
        <v>060171</v>
      </c>
      <c r="C8442" t="str">
        <f>"00369"</f>
        <v>00369</v>
      </c>
      <c r="D8442" t="s">
        <v>6790</v>
      </c>
      <c r="E8442" s="3">
        <v>55702.5</v>
      </c>
      <c r="F8442">
        <v>20150903</v>
      </c>
      <c r="G8442" t="s">
        <v>6791</v>
      </c>
      <c r="H8442" t="s">
        <v>6792</v>
      </c>
      <c r="I8442">
        <v>0</v>
      </c>
      <c r="J8442" t="s">
        <v>6793</v>
      </c>
      <c r="K8442" t="s">
        <v>235</v>
      </c>
      <c r="L8442" t="s">
        <v>285</v>
      </c>
      <c r="M8442" t="str">
        <f t="shared" ref="M8442:M8460" si="627">"09"</f>
        <v>09</v>
      </c>
      <c r="N8442" t="s">
        <v>12</v>
      </c>
    </row>
    <row r="8443" spans="1:14" x14ac:dyDescent="0.25">
      <c r="A8443">
        <v>20150903</v>
      </c>
      <c r="B8443" t="str">
        <f>"060171"</f>
        <v>060171</v>
      </c>
      <c r="C8443" t="str">
        <f>"00369"</f>
        <v>00369</v>
      </c>
      <c r="D8443" t="s">
        <v>6790</v>
      </c>
      <c r="E8443" s="3">
        <v>113041.87</v>
      </c>
      <c r="F8443">
        <v>20150903</v>
      </c>
      <c r="G8443" t="s">
        <v>6791</v>
      </c>
      <c r="H8443" t="s">
        <v>6794</v>
      </c>
      <c r="I8443">
        <v>0</v>
      </c>
      <c r="J8443" t="s">
        <v>6793</v>
      </c>
      <c r="K8443" t="s">
        <v>235</v>
      </c>
      <c r="L8443" t="s">
        <v>285</v>
      </c>
      <c r="M8443" t="str">
        <f t="shared" si="627"/>
        <v>09</v>
      </c>
      <c r="N8443" t="s">
        <v>12</v>
      </c>
    </row>
    <row r="8444" spans="1:14" x14ac:dyDescent="0.25">
      <c r="A8444">
        <v>20150903</v>
      </c>
      <c r="B8444" t="str">
        <f>"060171"</f>
        <v>060171</v>
      </c>
      <c r="C8444" t="str">
        <f>"00369"</f>
        <v>00369</v>
      </c>
      <c r="D8444" t="s">
        <v>6790</v>
      </c>
      <c r="E8444" s="3">
        <v>67823.08</v>
      </c>
      <c r="F8444">
        <v>20150903</v>
      </c>
      <c r="G8444" t="s">
        <v>6791</v>
      </c>
      <c r="H8444" t="s">
        <v>6795</v>
      </c>
      <c r="I8444">
        <v>0</v>
      </c>
      <c r="J8444" t="s">
        <v>6793</v>
      </c>
      <c r="K8444" t="s">
        <v>235</v>
      </c>
      <c r="L8444" t="s">
        <v>285</v>
      </c>
      <c r="M8444" t="str">
        <f t="shared" si="627"/>
        <v>09</v>
      </c>
      <c r="N8444" t="s">
        <v>12</v>
      </c>
    </row>
    <row r="8445" spans="1:14" x14ac:dyDescent="0.25">
      <c r="A8445">
        <v>20150903</v>
      </c>
      <c r="B8445" t="str">
        <f>"060171"</f>
        <v>060171</v>
      </c>
      <c r="C8445" t="str">
        <f>"00369"</f>
        <v>00369</v>
      </c>
      <c r="D8445" t="s">
        <v>6790</v>
      </c>
      <c r="E8445" s="3">
        <v>4163.6000000000004</v>
      </c>
      <c r="F8445">
        <v>20150903</v>
      </c>
      <c r="G8445" t="s">
        <v>6791</v>
      </c>
      <c r="H8445" t="s">
        <v>6796</v>
      </c>
      <c r="I8445">
        <v>0</v>
      </c>
      <c r="J8445" t="s">
        <v>6793</v>
      </c>
      <c r="K8445" t="s">
        <v>235</v>
      </c>
      <c r="L8445" t="s">
        <v>285</v>
      </c>
      <c r="M8445" t="str">
        <f t="shared" si="627"/>
        <v>09</v>
      </c>
      <c r="N8445" t="s">
        <v>12</v>
      </c>
    </row>
    <row r="8446" spans="1:14" x14ac:dyDescent="0.25">
      <c r="A8446">
        <v>20150903</v>
      </c>
      <c r="B8446" t="str">
        <f>"060171"</f>
        <v>060171</v>
      </c>
      <c r="C8446" t="str">
        <f>"00369"</f>
        <v>00369</v>
      </c>
      <c r="D8446" t="s">
        <v>6790</v>
      </c>
      <c r="E8446" s="3">
        <v>-1103.43</v>
      </c>
      <c r="F8446">
        <v>20150828</v>
      </c>
      <c r="G8446" t="s">
        <v>6791</v>
      </c>
      <c r="H8446" t="s">
        <v>6797</v>
      </c>
      <c r="I8446">
        <v>0</v>
      </c>
      <c r="J8446" t="s">
        <v>6793</v>
      </c>
      <c r="K8446" t="s">
        <v>235</v>
      </c>
      <c r="L8446" t="s">
        <v>1385</v>
      </c>
      <c r="M8446" t="str">
        <f t="shared" si="627"/>
        <v>09</v>
      </c>
      <c r="N8446" t="s">
        <v>12</v>
      </c>
    </row>
    <row r="8447" spans="1:14" x14ac:dyDescent="0.25">
      <c r="A8447">
        <v>20150903</v>
      </c>
      <c r="B8447" t="str">
        <f>"060174"</f>
        <v>060174</v>
      </c>
      <c r="C8447" t="str">
        <f>"11218"</f>
        <v>11218</v>
      </c>
      <c r="D8447" t="s">
        <v>6798</v>
      </c>
      <c r="E8447" s="3">
        <v>483</v>
      </c>
      <c r="F8447">
        <v>20150903</v>
      </c>
      <c r="G8447" t="s">
        <v>6799</v>
      </c>
      <c r="H8447" t="s">
        <v>6800</v>
      </c>
      <c r="I8447">
        <v>0</v>
      </c>
      <c r="J8447" t="s">
        <v>6793</v>
      </c>
      <c r="K8447" t="s">
        <v>290</v>
      </c>
      <c r="L8447" t="s">
        <v>285</v>
      </c>
      <c r="M8447" t="str">
        <f t="shared" si="627"/>
        <v>09</v>
      </c>
      <c r="N8447" t="s">
        <v>12</v>
      </c>
    </row>
    <row r="8448" spans="1:14" x14ac:dyDescent="0.25">
      <c r="A8448">
        <v>20150903</v>
      </c>
      <c r="B8448" t="str">
        <f>"060174"</f>
        <v>060174</v>
      </c>
      <c r="C8448" t="str">
        <f>"11218"</f>
        <v>11218</v>
      </c>
      <c r="D8448" t="s">
        <v>6798</v>
      </c>
      <c r="E8448" s="3">
        <v>567</v>
      </c>
      <c r="F8448">
        <v>20150903</v>
      </c>
      <c r="G8448" t="s">
        <v>6801</v>
      </c>
      <c r="H8448" t="s">
        <v>6802</v>
      </c>
      <c r="I8448">
        <v>0</v>
      </c>
      <c r="J8448" t="s">
        <v>6793</v>
      </c>
      <c r="K8448" t="s">
        <v>95</v>
      </c>
      <c r="L8448" t="s">
        <v>285</v>
      </c>
      <c r="M8448" t="str">
        <f t="shared" si="627"/>
        <v>09</v>
      </c>
      <c r="N8448" t="s">
        <v>12</v>
      </c>
    </row>
    <row r="8449" spans="1:14" x14ac:dyDescent="0.25">
      <c r="A8449">
        <v>20150903</v>
      </c>
      <c r="B8449" t="str">
        <f>"060174"</f>
        <v>060174</v>
      </c>
      <c r="C8449" t="str">
        <f>"11218"</f>
        <v>11218</v>
      </c>
      <c r="D8449" t="s">
        <v>6798</v>
      </c>
      <c r="E8449" s="3">
        <v>173</v>
      </c>
      <c r="F8449">
        <v>20150903</v>
      </c>
      <c r="G8449" t="s">
        <v>6803</v>
      </c>
      <c r="H8449" t="s">
        <v>6804</v>
      </c>
      <c r="I8449">
        <v>0</v>
      </c>
      <c r="J8449" t="s">
        <v>6793</v>
      </c>
      <c r="K8449" t="s">
        <v>1643</v>
      </c>
      <c r="L8449" t="s">
        <v>285</v>
      </c>
      <c r="M8449" t="str">
        <f t="shared" si="627"/>
        <v>09</v>
      </c>
      <c r="N8449" t="s">
        <v>12</v>
      </c>
    </row>
    <row r="8450" spans="1:14" x14ac:dyDescent="0.25">
      <c r="A8450">
        <v>20150903</v>
      </c>
      <c r="B8450" t="str">
        <f>"060174"</f>
        <v>060174</v>
      </c>
      <c r="C8450" t="str">
        <f>"11218"</f>
        <v>11218</v>
      </c>
      <c r="D8450" t="s">
        <v>6798</v>
      </c>
      <c r="E8450" s="3">
        <v>248</v>
      </c>
      <c r="F8450">
        <v>20150903</v>
      </c>
      <c r="G8450" t="s">
        <v>6805</v>
      </c>
      <c r="H8450" t="s">
        <v>6806</v>
      </c>
      <c r="I8450">
        <v>0</v>
      </c>
      <c r="J8450" t="s">
        <v>6793</v>
      </c>
      <c r="K8450" t="s">
        <v>33</v>
      </c>
      <c r="L8450" t="s">
        <v>285</v>
      </c>
      <c r="M8450" t="str">
        <f t="shared" si="627"/>
        <v>09</v>
      </c>
      <c r="N8450" t="s">
        <v>12</v>
      </c>
    </row>
    <row r="8451" spans="1:14" x14ac:dyDescent="0.25">
      <c r="A8451">
        <v>20150911</v>
      </c>
      <c r="B8451" t="str">
        <f t="shared" ref="B8451:B8460" si="628">"060289"</f>
        <v>060289</v>
      </c>
      <c r="C8451" t="str">
        <f t="shared" ref="C8451:C8460" si="629">"77068"</f>
        <v>77068</v>
      </c>
      <c r="D8451" t="s">
        <v>1929</v>
      </c>
      <c r="E8451" s="3">
        <v>863.46</v>
      </c>
      <c r="F8451">
        <v>20150909</v>
      </c>
      <c r="G8451" t="s">
        <v>6791</v>
      </c>
      <c r="H8451" t="s">
        <v>6807</v>
      </c>
      <c r="I8451">
        <v>0</v>
      </c>
      <c r="J8451" t="s">
        <v>6793</v>
      </c>
      <c r="K8451" t="s">
        <v>235</v>
      </c>
      <c r="L8451" t="s">
        <v>285</v>
      </c>
      <c r="M8451" t="str">
        <f t="shared" si="627"/>
        <v>09</v>
      </c>
      <c r="N8451" t="s">
        <v>12</v>
      </c>
    </row>
    <row r="8452" spans="1:14" x14ac:dyDescent="0.25">
      <c r="A8452">
        <v>20150911</v>
      </c>
      <c r="B8452" t="str">
        <f t="shared" si="628"/>
        <v>060289</v>
      </c>
      <c r="C8452" t="str">
        <f t="shared" si="629"/>
        <v>77068</v>
      </c>
      <c r="D8452" t="s">
        <v>1929</v>
      </c>
      <c r="E8452" s="3">
        <v>1182.9100000000001</v>
      </c>
      <c r="F8452">
        <v>20150909</v>
      </c>
      <c r="G8452" t="s">
        <v>6791</v>
      </c>
      <c r="H8452" t="s">
        <v>6808</v>
      </c>
      <c r="I8452">
        <v>0</v>
      </c>
      <c r="J8452" t="s">
        <v>6793</v>
      </c>
      <c r="K8452" t="s">
        <v>235</v>
      </c>
      <c r="L8452" t="s">
        <v>285</v>
      </c>
      <c r="M8452" t="str">
        <f t="shared" si="627"/>
        <v>09</v>
      </c>
      <c r="N8452" t="s">
        <v>12</v>
      </c>
    </row>
    <row r="8453" spans="1:14" x14ac:dyDescent="0.25">
      <c r="A8453">
        <v>20150911</v>
      </c>
      <c r="B8453" t="str">
        <f t="shared" si="628"/>
        <v>060289</v>
      </c>
      <c r="C8453" t="str">
        <f t="shared" si="629"/>
        <v>77068</v>
      </c>
      <c r="D8453" t="s">
        <v>1929</v>
      </c>
      <c r="E8453" s="3">
        <v>1226.55</v>
      </c>
      <c r="F8453">
        <v>20150909</v>
      </c>
      <c r="G8453" t="s">
        <v>6791</v>
      </c>
      <c r="H8453" t="s">
        <v>6809</v>
      </c>
      <c r="I8453">
        <v>0</v>
      </c>
      <c r="J8453" t="s">
        <v>6793</v>
      </c>
      <c r="K8453" t="s">
        <v>235</v>
      </c>
      <c r="L8453" t="s">
        <v>285</v>
      </c>
      <c r="M8453" t="str">
        <f t="shared" si="627"/>
        <v>09</v>
      </c>
      <c r="N8453" t="s">
        <v>12</v>
      </c>
    </row>
    <row r="8454" spans="1:14" x14ac:dyDescent="0.25">
      <c r="A8454">
        <v>20150911</v>
      </c>
      <c r="B8454" t="str">
        <f t="shared" si="628"/>
        <v>060289</v>
      </c>
      <c r="C8454" t="str">
        <f t="shared" si="629"/>
        <v>77068</v>
      </c>
      <c r="D8454" t="s">
        <v>1929</v>
      </c>
      <c r="E8454" s="3">
        <v>1171.8800000000001</v>
      </c>
      <c r="F8454">
        <v>20150909</v>
      </c>
      <c r="G8454" t="s">
        <v>6791</v>
      </c>
      <c r="H8454" t="s">
        <v>6810</v>
      </c>
      <c r="I8454">
        <v>0</v>
      </c>
      <c r="J8454" t="s">
        <v>6793</v>
      </c>
      <c r="K8454" t="s">
        <v>235</v>
      </c>
      <c r="L8454" t="s">
        <v>285</v>
      </c>
      <c r="M8454" t="str">
        <f t="shared" si="627"/>
        <v>09</v>
      </c>
      <c r="N8454" t="s">
        <v>12</v>
      </c>
    </row>
    <row r="8455" spans="1:14" x14ac:dyDescent="0.25">
      <c r="A8455">
        <v>20150911</v>
      </c>
      <c r="B8455" t="str">
        <f t="shared" si="628"/>
        <v>060289</v>
      </c>
      <c r="C8455" t="str">
        <f t="shared" si="629"/>
        <v>77068</v>
      </c>
      <c r="D8455" t="s">
        <v>1929</v>
      </c>
      <c r="E8455" s="3">
        <v>540.88</v>
      </c>
      <c r="F8455">
        <v>20150909</v>
      </c>
      <c r="G8455" t="s">
        <v>6791</v>
      </c>
      <c r="H8455" t="s">
        <v>6811</v>
      </c>
      <c r="I8455">
        <v>0</v>
      </c>
      <c r="J8455" t="s">
        <v>6793</v>
      </c>
      <c r="K8455" t="s">
        <v>235</v>
      </c>
      <c r="L8455" t="s">
        <v>285</v>
      </c>
      <c r="M8455" t="str">
        <f t="shared" si="627"/>
        <v>09</v>
      </c>
      <c r="N8455" t="s">
        <v>12</v>
      </c>
    </row>
    <row r="8456" spans="1:14" x14ac:dyDescent="0.25">
      <c r="A8456">
        <v>20150911</v>
      </c>
      <c r="B8456" t="str">
        <f t="shared" si="628"/>
        <v>060289</v>
      </c>
      <c r="C8456" t="str">
        <f t="shared" si="629"/>
        <v>77068</v>
      </c>
      <c r="D8456" t="s">
        <v>1929</v>
      </c>
      <c r="E8456" s="3">
        <v>317.5</v>
      </c>
      <c r="F8456">
        <v>20150910</v>
      </c>
      <c r="G8456" t="s">
        <v>6791</v>
      </c>
      <c r="H8456" t="s">
        <v>6812</v>
      </c>
      <c r="I8456">
        <v>0</v>
      </c>
      <c r="J8456" t="s">
        <v>6793</v>
      </c>
      <c r="K8456" t="s">
        <v>235</v>
      </c>
      <c r="L8456" t="s">
        <v>285</v>
      </c>
      <c r="M8456" t="str">
        <f t="shared" si="627"/>
        <v>09</v>
      </c>
      <c r="N8456" t="s">
        <v>12</v>
      </c>
    </row>
    <row r="8457" spans="1:14" x14ac:dyDescent="0.25">
      <c r="A8457">
        <v>20150911</v>
      </c>
      <c r="B8457" t="str">
        <f t="shared" si="628"/>
        <v>060289</v>
      </c>
      <c r="C8457" t="str">
        <f t="shared" si="629"/>
        <v>77068</v>
      </c>
      <c r="D8457" t="s">
        <v>1929</v>
      </c>
      <c r="E8457" s="3">
        <v>899.62</v>
      </c>
      <c r="F8457">
        <v>20150910</v>
      </c>
      <c r="G8457" t="s">
        <v>6791</v>
      </c>
      <c r="H8457" t="s">
        <v>6813</v>
      </c>
      <c r="I8457">
        <v>0</v>
      </c>
      <c r="J8457" t="s">
        <v>6793</v>
      </c>
      <c r="K8457" t="s">
        <v>235</v>
      </c>
      <c r="L8457" t="s">
        <v>285</v>
      </c>
      <c r="M8457" t="str">
        <f t="shared" si="627"/>
        <v>09</v>
      </c>
      <c r="N8457" t="s">
        <v>12</v>
      </c>
    </row>
    <row r="8458" spans="1:14" x14ac:dyDescent="0.25">
      <c r="A8458">
        <v>20150911</v>
      </c>
      <c r="B8458" t="str">
        <f t="shared" si="628"/>
        <v>060289</v>
      </c>
      <c r="C8458" t="str">
        <f t="shared" si="629"/>
        <v>77068</v>
      </c>
      <c r="D8458" t="s">
        <v>1929</v>
      </c>
      <c r="E8458" s="3">
        <v>660</v>
      </c>
      <c r="F8458">
        <v>20150910</v>
      </c>
      <c r="G8458" t="s">
        <v>6791</v>
      </c>
      <c r="H8458" t="s">
        <v>6814</v>
      </c>
      <c r="I8458">
        <v>0</v>
      </c>
      <c r="J8458" t="s">
        <v>6793</v>
      </c>
      <c r="K8458" t="s">
        <v>235</v>
      </c>
      <c r="L8458" t="s">
        <v>285</v>
      </c>
      <c r="M8458" t="str">
        <f t="shared" si="627"/>
        <v>09</v>
      </c>
      <c r="N8458" t="s">
        <v>12</v>
      </c>
    </row>
    <row r="8459" spans="1:14" x14ac:dyDescent="0.25">
      <c r="A8459">
        <v>20150911</v>
      </c>
      <c r="B8459" t="str">
        <f t="shared" si="628"/>
        <v>060289</v>
      </c>
      <c r="C8459" t="str">
        <f t="shared" si="629"/>
        <v>77068</v>
      </c>
      <c r="D8459" t="s">
        <v>1929</v>
      </c>
      <c r="E8459" s="3">
        <v>4866.9399999999996</v>
      </c>
      <c r="F8459">
        <v>20150910</v>
      </c>
      <c r="G8459" t="s">
        <v>6791</v>
      </c>
      <c r="H8459" t="s">
        <v>6815</v>
      </c>
      <c r="I8459">
        <v>0</v>
      </c>
      <c r="J8459" t="s">
        <v>6793</v>
      </c>
      <c r="K8459" t="s">
        <v>235</v>
      </c>
      <c r="L8459" t="s">
        <v>285</v>
      </c>
      <c r="M8459" t="str">
        <f t="shared" si="627"/>
        <v>09</v>
      </c>
      <c r="N8459" t="s">
        <v>12</v>
      </c>
    </row>
    <row r="8460" spans="1:14" x14ac:dyDescent="0.25">
      <c r="A8460">
        <v>20150911</v>
      </c>
      <c r="B8460" t="str">
        <f t="shared" si="628"/>
        <v>060289</v>
      </c>
      <c r="C8460" t="str">
        <f t="shared" si="629"/>
        <v>77068</v>
      </c>
      <c r="D8460" t="s">
        <v>1929</v>
      </c>
      <c r="E8460" s="3">
        <v>1146.8</v>
      </c>
      <c r="F8460">
        <v>20150910</v>
      </c>
      <c r="G8460" t="s">
        <v>6791</v>
      </c>
      <c r="H8460" t="s">
        <v>6816</v>
      </c>
      <c r="I8460">
        <v>0</v>
      </c>
      <c r="J8460" t="s">
        <v>6793</v>
      </c>
      <c r="K8460" t="s">
        <v>235</v>
      </c>
      <c r="L8460" t="s">
        <v>285</v>
      </c>
      <c r="M8460" t="str">
        <f t="shared" si="627"/>
        <v>09</v>
      </c>
      <c r="N8460" t="s">
        <v>12</v>
      </c>
    </row>
    <row r="8461" spans="1:14" x14ac:dyDescent="0.25">
      <c r="A8461">
        <v>20151009</v>
      </c>
      <c r="B8461" t="str">
        <f>"060547"</f>
        <v>060547</v>
      </c>
      <c r="C8461" t="str">
        <f>"25165"</f>
        <v>25165</v>
      </c>
      <c r="D8461" t="s">
        <v>1563</v>
      </c>
      <c r="E8461" s="3">
        <v>12876.68</v>
      </c>
      <c r="F8461">
        <v>20151008</v>
      </c>
      <c r="G8461" t="s">
        <v>6817</v>
      </c>
      <c r="H8461" t="s">
        <v>6818</v>
      </c>
      <c r="I8461">
        <v>0</v>
      </c>
      <c r="J8461" t="s">
        <v>6793</v>
      </c>
      <c r="K8461" t="s">
        <v>6819</v>
      </c>
      <c r="L8461" t="s">
        <v>285</v>
      </c>
      <c r="M8461" t="str">
        <f t="shared" ref="M8461:M8473" si="630">"10"</f>
        <v>10</v>
      </c>
      <c r="N8461" t="s">
        <v>12</v>
      </c>
    </row>
    <row r="8462" spans="1:14" x14ac:dyDescent="0.25">
      <c r="A8462">
        <v>20151016</v>
      </c>
      <c r="B8462" t="str">
        <f>"060678"</f>
        <v>060678</v>
      </c>
      <c r="C8462" t="str">
        <f>"00369"</f>
        <v>00369</v>
      </c>
      <c r="D8462" t="s">
        <v>6790</v>
      </c>
      <c r="E8462" s="3">
        <v>-4987.84</v>
      </c>
      <c r="F8462">
        <v>20151002</v>
      </c>
      <c r="G8462" t="s">
        <v>6820</v>
      </c>
      <c r="H8462" t="s">
        <v>6821</v>
      </c>
      <c r="I8462">
        <v>0</v>
      </c>
      <c r="J8462" t="s">
        <v>6793</v>
      </c>
      <c r="K8462" t="s">
        <v>235</v>
      </c>
      <c r="L8462" t="s">
        <v>1385</v>
      </c>
      <c r="M8462" t="str">
        <f t="shared" si="630"/>
        <v>10</v>
      </c>
      <c r="N8462" t="s">
        <v>12</v>
      </c>
    </row>
    <row r="8463" spans="1:14" x14ac:dyDescent="0.25">
      <c r="A8463">
        <v>20151016</v>
      </c>
      <c r="B8463" t="str">
        <f>"060678"</f>
        <v>060678</v>
      </c>
      <c r="C8463" t="str">
        <f>"00369"</f>
        <v>00369</v>
      </c>
      <c r="D8463" t="s">
        <v>6790</v>
      </c>
      <c r="E8463" s="3">
        <v>57797.5</v>
      </c>
      <c r="F8463">
        <v>20151015</v>
      </c>
      <c r="G8463" t="s">
        <v>6822</v>
      </c>
      <c r="H8463" t="s">
        <v>6823</v>
      </c>
      <c r="I8463">
        <v>0</v>
      </c>
      <c r="J8463" t="s">
        <v>6793</v>
      </c>
      <c r="K8463" t="s">
        <v>6819</v>
      </c>
      <c r="L8463" t="s">
        <v>285</v>
      </c>
      <c r="M8463" t="str">
        <f t="shared" si="630"/>
        <v>10</v>
      </c>
      <c r="N8463" t="s">
        <v>12</v>
      </c>
    </row>
    <row r="8464" spans="1:14" x14ac:dyDescent="0.25">
      <c r="A8464">
        <v>20151016</v>
      </c>
      <c r="B8464" t="str">
        <f>"060678"</f>
        <v>060678</v>
      </c>
      <c r="C8464" t="str">
        <f>"00369"</f>
        <v>00369</v>
      </c>
      <c r="D8464" t="s">
        <v>6790</v>
      </c>
      <c r="E8464" s="3">
        <v>110489.07</v>
      </c>
      <c r="F8464">
        <v>20151015</v>
      </c>
      <c r="G8464" t="s">
        <v>6824</v>
      </c>
      <c r="H8464" t="s">
        <v>6825</v>
      </c>
      <c r="I8464">
        <v>0</v>
      </c>
      <c r="J8464" t="s">
        <v>6793</v>
      </c>
      <c r="K8464" t="s">
        <v>6819</v>
      </c>
      <c r="L8464" t="s">
        <v>285</v>
      </c>
      <c r="M8464" t="str">
        <f t="shared" si="630"/>
        <v>10</v>
      </c>
      <c r="N8464" t="s">
        <v>12</v>
      </c>
    </row>
    <row r="8465" spans="1:14" x14ac:dyDescent="0.25">
      <c r="A8465">
        <v>20151016</v>
      </c>
      <c r="B8465" t="str">
        <f>"060678"</f>
        <v>060678</v>
      </c>
      <c r="C8465" t="str">
        <f>"00369"</f>
        <v>00369</v>
      </c>
      <c r="D8465" t="s">
        <v>6790</v>
      </c>
      <c r="E8465" s="3">
        <v>64677.85</v>
      </c>
      <c r="F8465">
        <v>20151015</v>
      </c>
      <c r="G8465" t="s">
        <v>6826</v>
      </c>
      <c r="H8465" t="s">
        <v>6827</v>
      </c>
      <c r="I8465">
        <v>0</v>
      </c>
      <c r="J8465" t="s">
        <v>6793</v>
      </c>
      <c r="K8465" t="s">
        <v>6819</v>
      </c>
      <c r="L8465" t="s">
        <v>285</v>
      </c>
      <c r="M8465" t="str">
        <f t="shared" si="630"/>
        <v>10</v>
      </c>
      <c r="N8465" t="s">
        <v>12</v>
      </c>
    </row>
    <row r="8466" spans="1:14" x14ac:dyDescent="0.25">
      <c r="A8466">
        <v>20151016</v>
      </c>
      <c r="B8466" t="str">
        <f>"060678"</f>
        <v>060678</v>
      </c>
      <c r="C8466" t="str">
        <f>"00369"</f>
        <v>00369</v>
      </c>
      <c r="D8466" t="s">
        <v>6790</v>
      </c>
      <c r="E8466" s="3">
        <v>4255.3</v>
      </c>
      <c r="F8466">
        <v>20151015</v>
      </c>
      <c r="G8466" t="s">
        <v>6828</v>
      </c>
      <c r="H8466" t="s">
        <v>6829</v>
      </c>
      <c r="I8466">
        <v>0</v>
      </c>
      <c r="J8466" t="s">
        <v>6793</v>
      </c>
      <c r="K8466" t="s">
        <v>6819</v>
      </c>
      <c r="L8466" t="s">
        <v>285</v>
      </c>
      <c r="M8466" t="str">
        <f t="shared" si="630"/>
        <v>10</v>
      </c>
      <c r="N8466" t="s">
        <v>12</v>
      </c>
    </row>
    <row r="8467" spans="1:14" x14ac:dyDescent="0.25">
      <c r="A8467">
        <v>20151016</v>
      </c>
      <c r="B8467" t="str">
        <f>"060709"</f>
        <v>060709</v>
      </c>
      <c r="C8467" t="str">
        <f>"24130"</f>
        <v>24130</v>
      </c>
      <c r="D8467" t="s">
        <v>2278</v>
      </c>
      <c r="E8467" s="3">
        <v>284.76</v>
      </c>
      <c r="F8467">
        <v>20151015</v>
      </c>
      <c r="G8467" t="s">
        <v>6830</v>
      </c>
      <c r="H8467" t="s">
        <v>6831</v>
      </c>
      <c r="I8467">
        <v>0</v>
      </c>
      <c r="J8467" t="s">
        <v>6793</v>
      </c>
      <c r="K8467" t="s">
        <v>95</v>
      </c>
      <c r="L8467" t="s">
        <v>285</v>
      </c>
      <c r="M8467" t="str">
        <f t="shared" si="630"/>
        <v>10</v>
      </c>
      <c r="N8467" t="s">
        <v>12</v>
      </c>
    </row>
    <row r="8468" spans="1:14" x14ac:dyDescent="0.25">
      <c r="A8468">
        <v>20151016</v>
      </c>
      <c r="B8468" t="str">
        <f>"060792"</f>
        <v>060792</v>
      </c>
      <c r="C8468" t="str">
        <f>"73874"</f>
        <v>73874</v>
      </c>
      <c r="D8468" t="s">
        <v>3136</v>
      </c>
      <c r="E8468" s="3">
        <v>750</v>
      </c>
      <c r="F8468">
        <v>20151016</v>
      </c>
      <c r="G8468" t="s">
        <v>6832</v>
      </c>
      <c r="H8468" t="s">
        <v>6833</v>
      </c>
      <c r="I8468">
        <v>0</v>
      </c>
      <c r="J8468" t="s">
        <v>6793</v>
      </c>
      <c r="K8468" t="s">
        <v>290</v>
      </c>
      <c r="L8468" t="s">
        <v>285</v>
      </c>
      <c r="M8468" t="str">
        <f t="shared" si="630"/>
        <v>10</v>
      </c>
      <c r="N8468" t="s">
        <v>12</v>
      </c>
    </row>
    <row r="8469" spans="1:14" x14ac:dyDescent="0.25">
      <c r="A8469">
        <v>20151016</v>
      </c>
      <c r="B8469" t="str">
        <f>"060792"</f>
        <v>060792</v>
      </c>
      <c r="C8469" t="str">
        <f>"73874"</f>
        <v>73874</v>
      </c>
      <c r="D8469" t="s">
        <v>3136</v>
      </c>
      <c r="E8469" s="3">
        <v>750</v>
      </c>
      <c r="F8469">
        <v>20151016</v>
      </c>
      <c r="G8469" t="s">
        <v>6834</v>
      </c>
      <c r="H8469" t="s">
        <v>6833</v>
      </c>
      <c r="I8469">
        <v>0</v>
      </c>
      <c r="J8469" t="s">
        <v>6793</v>
      </c>
      <c r="K8469" t="s">
        <v>95</v>
      </c>
      <c r="L8469" t="s">
        <v>285</v>
      </c>
      <c r="M8469" t="str">
        <f t="shared" si="630"/>
        <v>10</v>
      </c>
      <c r="N8469" t="s">
        <v>12</v>
      </c>
    </row>
    <row r="8470" spans="1:14" x14ac:dyDescent="0.25">
      <c r="A8470">
        <v>20151016</v>
      </c>
      <c r="B8470" t="str">
        <f>"060792"</f>
        <v>060792</v>
      </c>
      <c r="C8470" t="str">
        <f>"73874"</f>
        <v>73874</v>
      </c>
      <c r="D8470" t="s">
        <v>3136</v>
      </c>
      <c r="E8470" s="3">
        <v>900</v>
      </c>
      <c r="F8470">
        <v>20151016</v>
      </c>
      <c r="G8470" t="s">
        <v>6835</v>
      </c>
      <c r="H8470" t="s">
        <v>6833</v>
      </c>
      <c r="I8470">
        <v>0</v>
      </c>
      <c r="J8470" t="s">
        <v>6793</v>
      </c>
      <c r="K8470" t="s">
        <v>1643</v>
      </c>
      <c r="L8470" t="s">
        <v>285</v>
      </c>
      <c r="M8470" t="str">
        <f t="shared" si="630"/>
        <v>10</v>
      </c>
      <c r="N8470" t="s">
        <v>12</v>
      </c>
    </row>
    <row r="8471" spans="1:14" x14ac:dyDescent="0.25">
      <c r="A8471">
        <v>20151016</v>
      </c>
      <c r="B8471" t="str">
        <f>"060792"</f>
        <v>060792</v>
      </c>
      <c r="C8471" t="str">
        <f>"73874"</f>
        <v>73874</v>
      </c>
      <c r="D8471" t="s">
        <v>3136</v>
      </c>
      <c r="E8471" s="3">
        <v>750</v>
      </c>
      <c r="F8471">
        <v>20151016</v>
      </c>
      <c r="G8471" t="s">
        <v>6836</v>
      </c>
      <c r="H8471" t="s">
        <v>6833</v>
      </c>
      <c r="I8471">
        <v>0</v>
      </c>
      <c r="J8471" t="s">
        <v>6793</v>
      </c>
      <c r="K8471" t="s">
        <v>33</v>
      </c>
      <c r="L8471" t="s">
        <v>285</v>
      </c>
      <c r="M8471" t="str">
        <f t="shared" si="630"/>
        <v>10</v>
      </c>
      <c r="N8471" t="s">
        <v>12</v>
      </c>
    </row>
    <row r="8472" spans="1:14" x14ac:dyDescent="0.25">
      <c r="A8472">
        <v>20151016</v>
      </c>
      <c r="B8472" t="str">
        <f>"060797"</f>
        <v>060797</v>
      </c>
      <c r="C8472" t="str">
        <f>"77068"</f>
        <v>77068</v>
      </c>
      <c r="D8472" t="s">
        <v>1929</v>
      </c>
      <c r="E8472" s="3">
        <v>181</v>
      </c>
      <c r="F8472">
        <v>20151016</v>
      </c>
      <c r="G8472" t="s">
        <v>6837</v>
      </c>
      <c r="H8472" t="s">
        <v>6838</v>
      </c>
      <c r="I8472">
        <v>0</v>
      </c>
      <c r="J8472" t="s">
        <v>6793</v>
      </c>
      <c r="K8472" t="s">
        <v>290</v>
      </c>
      <c r="L8472" t="s">
        <v>285</v>
      </c>
      <c r="M8472" t="str">
        <f t="shared" si="630"/>
        <v>10</v>
      </c>
      <c r="N8472" t="s">
        <v>12</v>
      </c>
    </row>
    <row r="8473" spans="1:14" x14ac:dyDescent="0.25">
      <c r="A8473">
        <v>20151016</v>
      </c>
      <c r="B8473" t="str">
        <f>"060797"</f>
        <v>060797</v>
      </c>
      <c r="C8473" t="str">
        <f>"77068"</f>
        <v>77068</v>
      </c>
      <c r="D8473" t="s">
        <v>1929</v>
      </c>
      <c r="E8473" s="3">
        <v>1247.04</v>
      </c>
      <c r="F8473">
        <v>20151016</v>
      </c>
      <c r="G8473" t="s">
        <v>6839</v>
      </c>
      <c r="H8473" t="s">
        <v>6840</v>
      </c>
      <c r="I8473">
        <v>0</v>
      </c>
      <c r="J8473" t="s">
        <v>6793</v>
      </c>
      <c r="K8473" t="s">
        <v>33</v>
      </c>
      <c r="L8473" t="s">
        <v>285</v>
      </c>
      <c r="M8473" t="str">
        <f t="shared" si="630"/>
        <v>10</v>
      </c>
      <c r="N8473" t="s">
        <v>12</v>
      </c>
    </row>
    <row r="8474" spans="1:14" x14ac:dyDescent="0.25">
      <c r="A8474">
        <v>20151113</v>
      </c>
      <c r="B8474" t="str">
        <f>"061074"</f>
        <v>061074</v>
      </c>
      <c r="C8474" t="str">
        <f>"00369"</f>
        <v>00369</v>
      </c>
      <c r="D8474" t="s">
        <v>6790</v>
      </c>
      <c r="E8474" s="3">
        <v>-7039.71</v>
      </c>
      <c r="F8474">
        <v>20151030</v>
      </c>
      <c r="G8474" t="s">
        <v>6820</v>
      </c>
      <c r="H8474" t="s">
        <v>6841</v>
      </c>
      <c r="I8474">
        <v>0</v>
      </c>
      <c r="J8474" t="s">
        <v>6793</v>
      </c>
      <c r="K8474" t="s">
        <v>235</v>
      </c>
      <c r="L8474" t="s">
        <v>1385</v>
      </c>
      <c r="M8474" t="str">
        <f t="shared" ref="M8474:M8480" si="631">"11"</f>
        <v>11</v>
      </c>
      <c r="N8474" t="s">
        <v>12</v>
      </c>
    </row>
    <row r="8475" spans="1:14" x14ac:dyDescent="0.25">
      <c r="A8475">
        <v>20151113</v>
      </c>
      <c r="B8475" t="str">
        <f>"061074"</f>
        <v>061074</v>
      </c>
      <c r="C8475" t="str">
        <f>"00369"</f>
        <v>00369</v>
      </c>
      <c r="D8475" t="s">
        <v>6790</v>
      </c>
      <c r="E8475" s="3">
        <v>47283.75</v>
      </c>
      <c r="F8475">
        <v>20151112</v>
      </c>
      <c r="G8475" t="s">
        <v>6822</v>
      </c>
      <c r="H8475" t="s">
        <v>6842</v>
      </c>
      <c r="I8475">
        <v>0</v>
      </c>
      <c r="J8475" t="s">
        <v>6793</v>
      </c>
      <c r="K8475" t="s">
        <v>6819</v>
      </c>
      <c r="L8475" t="s">
        <v>285</v>
      </c>
      <c r="M8475" t="str">
        <f t="shared" si="631"/>
        <v>11</v>
      </c>
      <c r="N8475" t="s">
        <v>12</v>
      </c>
    </row>
    <row r="8476" spans="1:14" x14ac:dyDescent="0.25">
      <c r="A8476">
        <v>20151113</v>
      </c>
      <c r="B8476" t="str">
        <f>"061074"</f>
        <v>061074</v>
      </c>
      <c r="C8476" t="str">
        <f>"00369"</f>
        <v>00369</v>
      </c>
      <c r="D8476" t="s">
        <v>6790</v>
      </c>
      <c r="E8476" s="3">
        <v>96860.73</v>
      </c>
      <c r="F8476">
        <v>20151112</v>
      </c>
      <c r="G8476" t="s">
        <v>6824</v>
      </c>
      <c r="H8476" t="s">
        <v>6843</v>
      </c>
      <c r="I8476">
        <v>0</v>
      </c>
      <c r="J8476" t="s">
        <v>6793</v>
      </c>
      <c r="K8476" t="s">
        <v>6819</v>
      </c>
      <c r="L8476" t="s">
        <v>285</v>
      </c>
      <c r="M8476" t="str">
        <f t="shared" si="631"/>
        <v>11</v>
      </c>
      <c r="N8476" t="s">
        <v>12</v>
      </c>
    </row>
    <row r="8477" spans="1:14" x14ac:dyDescent="0.25">
      <c r="A8477">
        <v>20151113</v>
      </c>
      <c r="B8477" t="str">
        <f>"061074"</f>
        <v>061074</v>
      </c>
      <c r="C8477" t="str">
        <f>"00369"</f>
        <v>00369</v>
      </c>
      <c r="D8477" t="s">
        <v>6790</v>
      </c>
      <c r="E8477" s="3">
        <v>58014.92</v>
      </c>
      <c r="F8477">
        <v>20151112</v>
      </c>
      <c r="G8477" t="s">
        <v>6826</v>
      </c>
      <c r="H8477" t="s">
        <v>6844</v>
      </c>
      <c r="I8477">
        <v>0</v>
      </c>
      <c r="J8477" t="s">
        <v>6793</v>
      </c>
      <c r="K8477" t="s">
        <v>6819</v>
      </c>
      <c r="L8477" t="s">
        <v>285</v>
      </c>
      <c r="M8477" t="str">
        <f t="shared" si="631"/>
        <v>11</v>
      </c>
      <c r="N8477" t="s">
        <v>12</v>
      </c>
    </row>
    <row r="8478" spans="1:14" x14ac:dyDescent="0.25">
      <c r="A8478">
        <v>20151113</v>
      </c>
      <c r="B8478" t="str">
        <f>"061074"</f>
        <v>061074</v>
      </c>
      <c r="C8478" t="str">
        <f>"00369"</f>
        <v>00369</v>
      </c>
      <c r="D8478" t="s">
        <v>6790</v>
      </c>
      <c r="E8478" s="3">
        <v>2990.4</v>
      </c>
      <c r="F8478">
        <v>20151112</v>
      </c>
      <c r="G8478" t="s">
        <v>6828</v>
      </c>
      <c r="H8478" t="s">
        <v>6845</v>
      </c>
      <c r="I8478">
        <v>0</v>
      </c>
      <c r="J8478" t="s">
        <v>6793</v>
      </c>
      <c r="K8478" t="s">
        <v>6819</v>
      </c>
      <c r="L8478" t="s">
        <v>285</v>
      </c>
      <c r="M8478" t="str">
        <f t="shared" si="631"/>
        <v>11</v>
      </c>
      <c r="N8478" t="s">
        <v>12</v>
      </c>
    </row>
    <row r="8479" spans="1:14" x14ac:dyDescent="0.25">
      <c r="A8479">
        <v>20151113</v>
      </c>
      <c r="B8479" t="str">
        <f>"061076"</f>
        <v>061076</v>
      </c>
      <c r="C8479" t="str">
        <f>"16807"</f>
        <v>16807</v>
      </c>
      <c r="D8479" t="s">
        <v>1560</v>
      </c>
      <c r="E8479" s="3">
        <v>2283.44</v>
      </c>
      <c r="F8479">
        <v>20151112</v>
      </c>
      <c r="G8479" t="s">
        <v>6817</v>
      </c>
      <c r="H8479" t="s">
        <v>6846</v>
      </c>
      <c r="I8479">
        <v>0</v>
      </c>
      <c r="J8479" t="s">
        <v>6793</v>
      </c>
      <c r="K8479" t="s">
        <v>6819</v>
      </c>
      <c r="L8479" t="s">
        <v>285</v>
      </c>
      <c r="M8479" t="str">
        <f t="shared" si="631"/>
        <v>11</v>
      </c>
      <c r="N8479" t="s">
        <v>12</v>
      </c>
    </row>
    <row r="8480" spans="1:14" x14ac:dyDescent="0.25">
      <c r="A8480">
        <v>20151120</v>
      </c>
      <c r="B8480" t="str">
        <f>"061176"</f>
        <v>061176</v>
      </c>
      <c r="C8480" t="str">
        <f>"39260"</f>
        <v>39260</v>
      </c>
      <c r="D8480" t="s">
        <v>6847</v>
      </c>
      <c r="E8480" s="3">
        <v>2208</v>
      </c>
      <c r="F8480">
        <v>20151118</v>
      </c>
      <c r="G8480" t="s">
        <v>6848</v>
      </c>
      <c r="H8480" t="s">
        <v>6849</v>
      </c>
      <c r="I8480">
        <v>0</v>
      </c>
      <c r="J8480" t="s">
        <v>6793</v>
      </c>
      <c r="K8480" t="s">
        <v>6819</v>
      </c>
      <c r="L8480" t="s">
        <v>285</v>
      </c>
      <c r="M8480" t="str">
        <f t="shared" si="631"/>
        <v>11</v>
      </c>
      <c r="N8480" t="s">
        <v>12</v>
      </c>
    </row>
    <row r="8481" spans="1:14" x14ac:dyDescent="0.25">
      <c r="A8481">
        <v>20151204</v>
      </c>
      <c r="B8481" t="str">
        <f>"061261"</f>
        <v>061261</v>
      </c>
      <c r="C8481" t="str">
        <f>"00369"</f>
        <v>00369</v>
      </c>
      <c r="D8481" t="s">
        <v>6790</v>
      </c>
      <c r="E8481" s="3">
        <v>-10779.92</v>
      </c>
      <c r="F8481">
        <v>20151124</v>
      </c>
      <c r="G8481" t="s">
        <v>6820</v>
      </c>
      <c r="H8481" t="s">
        <v>6841</v>
      </c>
      <c r="I8481">
        <v>0</v>
      </c>
      <c r="J8481" t="s">
        <v>6793</v>
      </c>
      <c r="K8481" t="s">
        <v>235</v>
      </c>
      <c r="L8481" t="s">
        <v>1385</v>
      </c>
      <c r="M8481" t="str">
        <f t="shared" ref="M8481:M8489" si="632">"12"</f>
        <v>12</v>
      </c>
      <c r="N8481" t="s">
        <v>12</v>
      </c>
    </row>
    <row r="8482" spans="1:14" x14ac:dyDescent="0.25">
      <c r="A8482">
        <v>20151204</v>
      </c>
      <c r="B8482" t="str">
        <f>"061261"</f>
        <v>061261</v>
      </c>
      <c r="C8482" t="str">
        <f>"00369"</f>
        <v>00369</v>
      </c>
      <c r="D8482" t="s">
        <v>6790</v>
      </c>
      <c r="E8482" s="3">
        <v>38895</v>
      </c>
      <c r="F8482">
        <v>20151203</v>
      </c>
      <c r="G8482" t="s">
        <v>6822</v>
      </c>
      <c r="H8482" t="s">
        <v>6850</v>
      </c>
      <c r="I8482">
        <v>0</v>
      </c>
      <c r="J8482" t="s">
        <v>6793</v>
      </c>
      <c r="K8482" t="s">
        <v>6819</v>
      </c>
      <c r="L8482" t="s">
        <v>285</v>
      </c>
      <c r="M8482" t="str">
        <f t="shared" si="632"/>
        <v>12</v>
      </c>
      <c r="N8482" t="s">
        <v>12</v>
      </c>
    </row>
    <row r="8483" spans="1:14" x14ac:dyDescent="0.25">
      <c r="A8483">
        <v>20151204</v>
      </c>
      <c r="B8483" t="str">
        <f>"061261"</f>
        <v>061261</v>
      </c>
      <c r="C8483" t="str">
        <f>"00369"</f>
        <v>00369</v>
      </c>
      <c r="D8483" t="s">
        <v>6790</v>
      </c>
      <c r="E8483" s="3">
        <v>78940.87</v>
      </c>
      <c r="F8483">
        <v>20151203</v>
      </c>
      <c r="G8483" t="s">
        <v>6824</v>
      </c>
      <c r="H8483" t="s">
        <v>6851</v>
      </c>
      <c r="I8483">
        <v>0</v>
      </c>
      <c r="J8483" t="s">
        <v>6793</v>
      </c>
      <c r="K8483" t="s">
        <v>6819</v>
      </c>
      <c r="L8483" t="s">
        <v>285</v>
      </c>
      <c r="M8483" t="str">
        <f t="shared" si="632"/>
        <v>12</v>
      </c>
      <c r="N8483" t="s">
        <v>12</v>
      </c>
    </row>
    <row r="8484" spans="1:14" x14ac:dyDescent="0.25">
      <c r="A8484">
        <v>20151204</v>
      </c>
      <c r="B8484" t="str">
        <f>"061261"</f>
        <v>061261</v>
      </c>
      <c r="C8484" t="str">
        <f>"00369"</f>
        <v>00369</v>
      </c>
      <c r="D8484" t="s">
        <v>6790</v>
      </c>
      <c r="E8484" s="3">
        <v>50327.68</v>
      </c>
      <c r="F8484">
        <v>20151203</v>
      </c>
      <c r="G8484" t="s">
        <v>6826</v>
      </c>
      <c r="H8484" t="s">
        <v>6852</v>
      </c>
      <c r="I8484">
        <v>0</v>
      </c>
      <c r="J8484" t="s">
        <v>6793</v>
      </c>
      <c r="K8484" t="s">
        <v>6819</v>
      </c>
      <c r="L8484" t="s">
        <v>285</v>
      </c>
      <c r="M8484" t="str">
        <f t="shared" si="632"/>
        <v>12</v>
      </c>
      <c r="N8484" t="s">
        <v>12</v>
      </c>
    </row>
    <row r="8485" spans="1:14" x14ac:dyDescent="0.25">
      <c r="A8485">
        <v>20151204</v>
      </c>
      <c r="B8485" t="str">
        <f>"061261"</f>
        <v>061261</v>
      </c>
      <c r="C8485" t="str">
        <f>"00369"</f>
        <v>00369</v>
      </c>
      <c r="D8485" t="s">
        <v>6790</v>
      </c>
      <c r="E8485" s="3">
        <v>2878.4</v>
      </c>
      <c r="F8485">
        <v>20151203</v>
      </c>
      <c r="G8485" t="s">
        <v>6828</v>
      </c>
      <c r="H8485" t="s">
        <v>6853</v>
      </c>
      <c r="I8485">
        <v>0</v>
      </c>
      <c r="J8485" t="s">
        <v>6793</v>
      </c>
      <c r="K8485" t="s">
        <v>6819</v>
      </c>
      <c r="L8485" t="s">
        <v>285</v>
      </c>
      <c r="M8485" t="str">
        <f t="shared" si="632"/>
        <v>12</v>
      </c>
      <c r="N8485" t="s">
        <v>12</v>
      </c>
    </row>
    <row r="8486" spans="1:14" x14ac:dyDescent="0.25">
      <c r="A8486">
        <v>20151204</v>
      </c>
      <c r="B8486" t="str">
        <f>"061353"</f>
        <v>061353</v>
      </c>
      <c r="C8486" t="str">
        <f>"77068"</f>
        <v>77068</v>
      </c>
      <c r="D8486" t="s">
        <v>1929</v>
      </c>
      <c r="E8486" s="3">
        <v>710.75</v>
      </c>
      <c r="F8486">
        <v>20151204</v>
      </c>
      <c r="G8486" t="s">
        <v>6830</v>
      </c>
      <c r="H8486" t="s">
        <v>6854</v>
      </c>
      <c r="I8486">
        <v>0</v>
      </c>
      <c r="J8486" t="s">
        <v>6793</v>
      </c>
      <c r="K8486" t="s">
        <v>95</v>
      </c>
      <c r="L8486" t="s">
        <v>285</v>
      </c>
      <c r="M8486" t="str">
        <f t="shared" si="632"/>
        <v>12</v>
      </c>
      <c r="N8486" t="s">
        <v>12</v>
      </c>
    </row>
    <row r="8487" spans="1:14" x14ac:dyDescent="0.25">
      <c r="A8487">
        <v>20151204</v>
      </c>
      <c r="B8487" t="str">
        <f>"061353"</f>
        <v>061353</v>
      </c>
      <c r="C8487" t="str">
        <f>"77068"</f>
        <v>77068</v>
      </c>
      <c r="D8487" t="s">
        <v>1929</v>
      </c>
      <c r="E8487" s="3">
        <v>1826.2</v>
      </c>
      <c r="F8487">
        <v>20151204</v>
      </c>
      <c r="G8487" t="s">
        <v>6830</v>
      </c>
      <c r="H8487" t="s">
        <v>6855</v>
      </c>
      <c r="I8487">
        <v>0</v>
      </c>
      <c r="J8487" t="s">
        <v>6793</v>
      </c>
      <c r="K8487" t="s">
        <v>95</v>
      </c>
      <c r="L8487" t="s">
        <v>285</v>
      </c>
      <c r="M8487" t="str">
        <f t="shared" si="632"/>
        <v>12</v>
      </c>
      <c r="N8487" t="s">
        <v>12</v>
      </c>
    </row>
    <row r="8488" spans="1:14" x14ac:dyDescent="0.25">
      <c r="A8488">
        <v>20151204</v>
      </c>
      <c r="B8488" t="str">
        <f>"061353"</f>
        <v>061353</v>
      </c>
      <c r="C8488" t="str">
        <f>"77068"</f>
        <v>77068</v>
      </c>
      <c r="D8488" t="s">
        <v>1929</v>
      </c>
      <c r="E8488" s="3">
        <v>1412.16</v>
      </c>
      <c r="F8488">
        <v>20151204</v>
      </c>
      <c r="G8488" t="s">
        <v>6856</v>
      </c>
      <c r="H8488" t="s">
        <v>6857</v>
      </c>
      <c r="I8488">
        <v>0</v>
      </c>
      <c r="J8488" t="s">
        <v>6793</v>
      </c>
      <c r="K8488" t="s">
        <v>1643</v>
      </c>
      <c r="L8488" t="s">
        <v>285</v>
      </c>
      <c r="M8488" t="str">
        <f t="shared" si="632"/>
        <v>12</v>
      </c>
      <c r="N8488" t="s">
        <v>12</v>
      </c>
    </row>
    <row r="8489" spans="1:14" x14ac:dyDescent="0.25">
      <c r="A8489">
        <v>20151218</v>
      </c>
      <c r="B8489" t="str">
        <f>"061529"</f>
        <v>061529</v>
      </c>
      <c r="C8489" t="str">
        <f>"16807"</f>
        <v>16807</v>
      </c>
      <c r="D8489" t="s">
        <v>1560</v>
      </c>
      <c r="E8489" s="3">
        <v>570.86</v>
      </c>
      <c r="F8489">
        <v>20151216</v>
      </c>
      <c r="G8489" t="s">
        <v>6817</v>
      </c>
      <c r="H8489" t="s">
        <v>6858</v>
      </c>
      <c r="I8489">
        <v>0</v>
      </c>
      <c r="J8489" t="s">
        <v>6793</v>
      </c>
      <c r="K8489" t="s">
        <v>6819</v>
      </c>
      <c r="L8489" t="s">
        <v>285</v>
      </c>
      <c r="M8489" t="str">
        <f t="shared" si="632"/>
        <v>12</v>
      </c>
      <c r="N8489" t="s">
        <v>12</v>
      </c>
    </row>
    <row r="8490" spans="1:14" x14ac:dyDescent="0.25">
      <c r="A8490">
        <v>20160111</v>
      </c>
      <c r="B8490" t="str">
        <f>"061736"</f>
        <v>061736</v>
      </c>
      <c r="C8490" t="str">
        <f>"73874"</f>
        <v>73874</v>
      </c>
      <c r="D8490" t="s">
        <v>3136</v>
      </c>
      <c r="E8490" s="3">
        <v>750</v>
      </c>
      <c r="F8490">
        <v>20160108</v>
      </c>
      <c r="G8490" t="s">
        <v>6832</v>
      </c>
      <c r="H8490" t="s">
        <v>6859</v>
      </c>
      <c r="I8490">
        <v>0</v>
      </c>
      <c r="J8490" t="s">
        <v>6793</v>
      </c>
      <c r="K8490" t="s">
        <v>290</v>
      </c>
      <c r="L8490" t="s">
        <v>285</v>
      </c>
      <c r="M8490" t="str">
        <f t="shared" ref="M8490:M8503" si="633">"01"</f>
        <v>01</v>
      </c>
      <c r="N8490" t="s">
        <v>12</v>
      </c>
    </row>
    <row r="8491" spans="1:14" x14ac:dyDescent="0.25">
      <c r="A8491">
        <v>20160111</v>
      </c>
      <c r="B8491" t="str">
        <f>"061736"</f>
        <v>061736</v>
      </c>
      <c r="C8491" t="str">
        <f>"73874"</f>
        <v>73874</v>
      </c>
      <c r="D8491" t="s">
        <v>3136</v>
      </c>
      <c r="E8491" s="3">
        <v>750</v>
      </c>
      <c r="F8491">
        <v>20160108</v>
      </c>
      <c r="G8491" t="s">
        <v>6834</v>
      </c>
      <c r="H8491" t="s">
        <v>6859</v>
      </c>
      <c r="I8491">
        <v>0</v>
      </c>
      <c r="J8491" t="s">
        <v>6793</v>
      </c>
      <c r="K8491" t="s">
        <v>95</v>
      </c>
      <c r="L8491" t="s">
        <v>285</v>
      </c>
      <c r="M8491" t="str">
        <f t="shared" si="633"/>
        <v>01</v>
      </c>
      <c r="N8491" t="s">
        <v>12</v>
      </c>
    </row>
    <row r="8492" spans="1:14" x14ac:dyDescent="0.25">
      <c r="A8492">
        <v>20160111</v>
      </c>
      <c r="B8492" t="str">
        <f>"061736"</f>
        <v>061736</v>
      </c>
      <c r="C8492" t="str">
        <f>"73874"</f>
        <v>73874</v>
      </c>
      <c r="D8492" t="s">
        <v>3136</v>
      </c>
      <c r="E8492" s="3">
        <v>900</v>
      </c>
      <c r="F8492">
        <v>20160108</v>
      </c>
      <c r="G8492" t="s">
        <v>6835</v>
      </c>
      <c r="H8492" t="s">
        <v>6859</v>
      </c>
      <c r="I8492">
        <v>0</v>
      </c>
      <c r="J8492" t="s">
        <v>6793</v>
      </c>
      <c r="K8492" t="s">
        <v>1643</v>
      </c>
      <c r="L8492" t="s">
        <v>285</v>
      </c>
      <c r="M8492" t="str">
        <f t="shared" si="633"/>
        <v>01</v>
      </c>
      <c r="N8492" t="s">
        <v>12</v>
      </c>
    </row>
    <row r="8493" spans="1:14" x14ac:dyDescent="0.25">
      <c r="A8493">
        <v>20160111</v>
      </c>
      <c r="B8493" t="str">
        <f>"061736"</f>
        <v>061736</v>
      </c>
      <c r="C8493" t="str">
        <f>"73874"</f>
        <v>73874</v>
      </c>
      <c r="D8493" t="s">
        <v>3136</v>
      </c>
      <c r="E8493" s="3">
        <v>750</v>
      </c>
      <c r="F8493">
        <v>20160108</v>
      </c>
      <c r="G8493" t="s">
        <v>6836</v>
      </c>
      <c r="H8493" t="s">
        <v>6859</v>
      </c>
      <c r="I8493">
        <v>0</v>
      </c>
      <c r="J8493" t="s">
        <v>6793</v>
      </c>
      <c r="K8493" t="s">
        <v>33</v>
      </c>
      <c r="L8493" t="s">
        <v>285</v>
      </c>
      <c r="M8493" t="str">
        <f t="shared" si="633"/>
        <v>01</v>
      </c>
      <c r="N8493" t="s">
        <v>12</v>
      </c>
    </row>
    <row r="8494" spans="1:14" x14ac:dyDescent="0.25">
      <c r="A8494">
        <v>20160122</v>
      </c>
      <c r="B8494" t="str">
        <f>"061790"</f>
        <v>061790</v>
      </c>
      <c r="C8494" t="str">
        <f>"00369"</f>
        <v>00369</v>
      </c>
      <c r="D8494" t="s">
        <v>6790</v>
      </c>
      <c r="E8494" s="3">
        <v>-17911.52</v>
      </c>
      <c r="F8494">
        <v>20151230</v>
      </c>
      <c r="G8494" t="s">
        <v>6820</v>
      </c>
      <c r="H8494" t="s">
        <v>6841</v>
      </c>
      <c r="I8494">
        <v>0</v>
      </c>
      <c r="J8494" t="s">
        <v>6793</v>
      </c>
      <c r="K8494" t="s">
        <v>235</v>
      </c>
      <c r="L8494" t="s">
        <v>1385</v>
      </c>
      <c r="M8494" t="str">
        <f t="shared" si="633"/>
        <v>01</v>
      </c>
      <c r="N8494" t="s">
        <v>12</v>
      </c>
    </row>
    <row r="8495" spans="1:14" x14ac:dyDescent="0.25">
      <c r="A8495">
        <v>20160122</v>
      </c>
      <c r="B8495" t="str">
        <f>"061790"</f>
        <v>061790</v>
      </c>
      <c r="C8495" t="str">
        <f>"00369"</f>
        <v>00369</v>
      </c>
      <c r="D8495" t="s">
        <v>6790</v>
      </c>
      <c r="E8495" s="3">
        <v>29208.75</v>
      </c>
      <c r="F8495">
        <v>20160121</v>
      </c>
      <c r="G8495" t="s">
        <v>6822</v>
      </c>
      <c r="H8495" t="s">
        <v>6860</v>
      </c>
      <c r="I8495">
        <v>0</v>
      </c>
      <c r="J8495" t="s">
        <v>6793</v>
      </c>
      <c r="K8495" t="s">
        <v>6819</v>
      </c>
      <c r="L8495" t="s">
        <v>285</v>
      </c>
      <c r="M8495" t="str">
        <f t="shared" si="633"/>
        <v>01</v>
      </c>
      <c r="N8495" t="s">
        <v>12</v>
      </c>
    </row>
    <row r="8496" spans="1:14" x14ac:dyDescent="0.25">
      <c r="A8496">
        <v>20160122</v>
      </c>
      <c r="B8496" t="str">
        <f>"061790"</f>
        <v>061790</v>
      </c>
      <c r="C8496" t="str">
        <f>"00369"</f>
        <v>00369</v>
      </c>
      <c r="D8496" t="s">
        <v>6790</v>
      </c>
      <c r="E8496" s="3">
        <v>62259.72</v>
      </c>
      <c r="F8496">
        <v>20160121</v>
      </c>
      <c r="G8496" t="s">
        <v>6824</v>
      </c>
      <c r="H8496" t="s">
        <v>6861</v>
      </c>
      <c r="I8496">
        <v>0</v>
      </c>
      <c r="J8496" t="s">
        <v>6793</v>
      </c>
      <c r="K8496" t="s">
        <v>6819</v>
      </c>
      <c r="L8496" t="s">
        <v>285</v>
      </c>
      <c r="M8496" t="str">
        <f t="shared" si="633"/>
        <v>01</v>
      </c>
      <c r="N8496" t="s">
        <v>12</v>
      </c>
    </row>
    <row r="8497" spans="1:14" x14ac:dyDescent="0.25">
      <c r="A8497">
        <v>20160122</v>
      </c>
      <c r="B8497" t="str">
        <f>"061790"</f>
        <v>061790</v>
      </c>
      <c r="C8497" t="str">
        <f>"00369"</f>
        <v>00369</v>
      </c>
      <c r="D8497" t="s">
        <v>6790</v>
      </c>
      <c r="E8497" s="3">
        <v>33650.06</v>
      </c>
      <c r="F8497">
        <v>20160121</v>
      </c>
      <c r="G8497" t="s">
        <v>6826</v>
      </c>
      <c r="H8497" t="s">
        <v>6862</v>
      </c>
      <c r="I8497">
        <v>0</v>
      </c>
      <c r="J8497" t="s">
        <v>6793</v>
      </c>
      <c r="K8497" t="s">
        <v>6819</v>
      </c>
      <c r="L8497" t="s">
        <v>285</v>
      </c>
      <c r="M8497" t="str">
        <f t="shared" si="633"/>
        <v>01</v>
      </c>
      <c r="N8497" t="s">
        <v>12</v>
      </c>
    </row>
    <row r="8498" spans="1:14" x14ac:dyDescent="0.25">
      <c r="A8498">
        <v>20160122</v>
      </c>
      <c r="B8498" t="str">
        <f>"061790"</f>
        <v>061790</v>
      </c>
      <c r="C8498" t="str">
        <f>"00369"</f>
        <v>00369</v>
      </c>
      <c r="D8498" t="s">
        <v>6790</v>
      </c>
      <c r="E8498" s="3">
        <v>1865.5</v>
      </c>
      <c r="F8498">
        <v>20160121</v>
      </c>
      <c r="G8498" t="s">
        <v>6828</v>
      </c>
      <c r="H8498" t="s">
        <v>6863</v>
      </c>
      <c r="I8498">
        <v>0</v>
      </c>
      <c r="J8498" t="s">
        <v>6793</v>
      </c>
      <c r="K8498" t="s">
        <v>6819</v>
      </c>
      <c r="L8498" t="s">
        <v>285</v>
      </c>
      <c r="M8498" t="str">
        <f t="shared" si="633"/>
        <v>01</v>
      </c>
      <c r="N8498" t="s">
        <v>12</v>
      </c>
    </row>
    <row r="8499" spans="1:14" x14ac:dyDescent="0.25">
      <c r="A8499">
        <v>20160129</v>
      </c>
      <c r="B8499" t="str">
        <f>"061959"</f>
        <v>061959</v>
      </c>
      <c r="C8499" t="str">
        <f>"39397"</f>
        <v>39397</v>
      </c>
      <c r="D8499" t="s">
        <v>2746</v>
      </c>
      <c r="E8499" s="3">
        <v>77.52</v>
      </c>
      <c r="F8499">
        <v>20160127</v>
      </c>
      <c r="G8499" t="s">
        <v>6864</v>
      </c>
      <c r="H8499" t="s">
        <v>6865</v>
      </c>
      <c r="I8499">
        <v>0</v>
      </c>
      <c r="J8499" t="s">
        <v>6793</v>
      </c>
      <c r="K8499" t="s">
        <v>95</v>
      </c>
      <c r="L8499" t="s">
        <v>285</v>
      </c>
      <c r="M8499" t="str">
        <f t="shared" si="633"/>
        <v>01</v>
      </c>
      <c r="N8499" t="s">
        <v>12</v>
      </c>
    </row>
    <row r="8500" spans="1:14" x14ac:dyDescent="0.25">
      <c r="A8500">
        <v>20160129</v>
      </c>
      <c r="B8500" t="str">
        <f>"061969"</f>
        <v>061969</v>
      </c>
      <c r="C8500" t="str">
        <f>"46369"</f>
        <v>46369</v>
      </c>
      <c r="D8500" t="s">
        <v>1991</v>
      </c>
      <c r="E8500" s="3">
        <v>310</v>
      </c>
      <c r="F8500">
        <v>20160128</v>
      </c>
      <c r="G8500" t="s">
        <v>6832</v>
      </c>
      <c r="H8500" t="s">
        <v>6866</v>
      </c>
      <c r="I8500">
        <v>0</v>
      </c>
      <c r="J8500" t="s">
        <v>6793</v>
      </c>
      <c r="K8500" t="s">
        <v>290</v>
      </c>
      <c r="L8500" t="s">
        <v>285</v>
      </c>
      <c r="M8500" t="str">
        <f t="shared" si="633"/>
        <v>01</v>
      </c>
      <c r="N8500" t="s">
        <v>12</v>
      </c>
    </row>
    <row r="8501" spans="1:14" x14ac:dyDescent="0.25">
      <c r="A8501">
        <v>20160129</v>
      </c>
      <c r="B8501" t="str">
        <f>"061969"</f>
        <v>061969</v>
      </c>
      <c r="C8501" t="str">
        <f>"46369"</f>
        <v>46369</v>
      </c>
      <c r="D8501" t="s">
        <v>1991</v>
      </c>
      <c r="E8501" s="3">
        <v>230</v>
      </c>
      <c r="F8501">
        <v>20160128</v>
      </c>
      <c r="G8501" t="s">
        <v>6834</v>
      </c>
      <c r="H8501" t="s">
        <v>6866</v>
      </c>
      <c r="I8501">
        <v>0</v>
      </c>
      <c r="J8501" t="s">
        <v>6793</v>
      </c>
      <c r="K8501" t="s">
        <v>95</v>
      </c>
      <c r="L8501" t="s">
        <v>285</v>
      </c>
      <c r="M8501" t="str">
        <f t="shared" si="633"/>
        <v>01</v>
      </c>
      <c r="N8501" t="s">
        <v>12</v>
      </c>
    </row>
    <row r="8502" spans="1:14" x14ac:dyDescent="0.25">
      <c r="A8502">
        <v>20160129</v>
      </c>
      <c r="B8502" t="str">
        <f>"061969"</f>
        <v>061969</v>
      </c>
      <c r="C8502" t="str">
        <f>"46369"</f>
        <v>46369</v>
      </c>
      <c r="D8502" t="s">
        <v>1991</v>
      </c>
      <c r="E8502" s="3">
        <v>240</v>
      </c>
      <c r="F8502">
        <v>20160128</v>
      </c>
      <c r="G8502" t="s">
        <v>6835</v>
      </c>
      <c r="H8502" t="s">
        <v>6866</v>
      </c>
      <c r="I8502">
        <v>0</v>
      </c>
      <c r="J8502" t="s">
        <v>6793</v>
      </c>
      <c r="K8502" t="s">
        <v>1643</v>
      </c>
      <c r="L8502" t="s">
        <v>285</v>
      </c>
      <c r="M8502" t="str">
        <f t="shared" si="633"/>
        <v>01</v>
      </c>
      <c r="N8502" t="s">
        <v>12</v>
      </c>
    </row>
    <row r="8503" spans="1:14" x14ac:dyDescent="0.25">
      <c r="A8503">
        <v>20160129</v>
      </c>
      <c r="B8503" t="str">
        <f>"061969"</f>
        <v>061969</v>
      </c>
      <c r="C8503" t="str">
        <f>"46369"</f>
        <v>46369</v>
      </c>
      <c r="D8503" t="s">
        <v>1991</v>
      </c>
      <c r="E8503" s="3">
        <v>230</v>
      </c>
      <c r="F8503">
        <v>20160128</v>
      </c>
      <c r="G8503" t="s">
        <v>6836</v>
      </c>
      <c r="H8503" t="s">
        <v>6866</v>
      </c>
      <c r="I8503">
        <v>0</v>
      </c>
      <c r="J8503" t="s">
        <v>6793</v>
      </c>
      <c r="K8503" t="s">
        <v>33</v>
      </c>
      <c r="L8503" t="s">
        <v>285</v>
      </c>
      <c r="M8503" t="str">
        <f t="shared" si="633"/>
        <v>01</v>
      </c>
      <c r="N8503" t="s">
        <v>12</v>
      </c>
    </row>
    <row r="8504" spans="1:14" x14ac:dyDescent="0.25">
      <c r="A8504">
        <v>20160205</v>
      </c>
      <c r="B8504" t="str">
        <f>"062187"</f>
        <v>062187</v>
      </c>
      <c r="C8504" t="str">
        <f>"19076"</f>
        <v>19076</v>
      </c>
      <c r="D8504" t="s">
        <v>6867</v>
      </c>
      <c r="E8504" s="3">
        <v>375</v>
      </c>
      <c r="F8504">
        <v>20160203</v>
      </c>
      <c r="G8504" t="s">
        <v>6832</v>
      </c>
      <c r="H8504" t="s">
        <v>6868</v>
      </c>
      <c r="I8504">
        <v>0</v>
      </c>
      <c r="J8504" t="s">
        <v>6793</v>
      </c>
      <c r="K8504" t="s">
        <v>290</v>
      </c>
      <c r="L8504" t="s">
        <v>285</v>
      </c>
      <c r="M8504" t="str">
        <f t="shared" ref="M8504:M8520" si="634">"02"</f>
        <v>02</v>
      </c>
      <c r="N8504" t="s">
        <v>12</v>
      </c>
    </row>
    <row r="8505" spans="1:14" x14ac:dyDescent="0.25">
      <c r="A8505">
        <v>20160205</v>
      </c>
      <c r="B8505" t="str">
        <f>"062187"</f>
        <v>062187</v>
      </c>
      <c r="C8505" t="str">
        <f>"19076"</f>
        <v>19076</v>
      </c>
      <c r="D8505" t="s">
        <v>6867</v>
      </c>
      <c r="E8505" s="3">
        <v>375</v>
      </c>
      <c r="F8505">
        <v>20160203</v>
      </c>
      <c r="G8505" t="s">
        <v>6834</v>
      </c>
      <c r="H8505" t="s">
        <v>6868</v>
      </c>
      <c r="I8505">
        <v>0</v>
      </c>
      <c r="J8505" t="s">
        <v>6793</v>
      </c>
      <c r="K8505" t="s">
        <v>95</v>
      </c>
      <c r="L8505" t="s">
        <v>285</v>
      </c>
      <c r="M8505" t="str">
        <f t="shared" si="634"/>
        <v>02</v>
      </c>
      <c r="N8505" t="s">
        <v>12</v>
      </c>
    </row>
    <row r="8506" spans="1:14" x14ac:dyDescent="0.25">
      <c r="A8506">
        <v>20160205</v>
      </c>
      <c r="B8506" t="str">
        <f>"062187"</f>
        <v>062187</v>
      </c>
      <c r="C8506" t="str">
        <f>"19076"</f>
        <v>19076</v>
      </c>
      <c r="D8506" t="s">
        <v>6867</v>
      </c>
      <c r="E8506" s="3">
        <v>375</v>
      </c>
      <c r="F8506">
        <v>20160203</v>
      </c>
      <c r="G8506" t="s">
        <v>6835</v>
      </c>
      <c r="H8506" t="s">
        <v>6868</v>
      </c>
      <c r="I8506">
        <v>0</v>
      </c>
      <c r="J8506" t="s">
        <v>6793</v>
      </c>
      <c r="K8506" t="s">
        <v>1643</v>
      </c>
      <c r="L8506" t="s">
        <v>285</v>
      </c>
      <c r="M8506" t="str">
        <f t="shared" si="634"/>
        <v>02</v>
      </c>
      <c r="N8506" t="s">
        <v>12</v>
      </c>
    </row>
    <row r="8507" spans="1:14" x14ac:dyDescent="0.25">
      <c r="A8507">
        <v>20160205</v>
      </c>
      <c r="B8507" t="str">
        <f>"062187"</f>
        <v>062187</v>
      </c>
      <c r="C8507" t="str">
        <f>"19076"</f>
        <v>19076</v>
      </c>
      <c r="D8507" t="s">
        <v>6867</v>
      </c>
      <c r="E8507" s="3">
        <v>375</v>
      </c>
      <c r="F8507">
        <v>20160203</v>
      </c>
      <c r="G8507" t="s">
        <v>6836</v>
      </c>
      <c r="H8507" t="s">
        <v>6868</v>
      </c>
      <c r="I8507">
        <v>0</v>
      </c>
      <c r="J8507" t="s">
        <v>6793</v>
      </c>
      <c r="K8507" t="s">
        <v>33</v>
      </c>
      <c r="L8507" t="s">
        <v>285</v>
      </c>
      <c r="M8507" t="str">
        <f t="shared" si="634"/>
        <v>02</v>
      </c>
      <c r="N8507" t="s">
        <v>12</v>
      </c>
    </row>
    <row r="8508" spans="1:14" x14ac:dyDescent="0.25">
      <c r="A8508">
        <v>20160205</v>
      </c>
      <c r="B8508" t="str">
        <f>"062246"</f>
        <v>062246</v>
      </c>
      <c r="C8508" t="str">
        <f>"77068"</f>
        <v>77068</v>
      </c>
      <c r="D8508" t="s">
        <v>1929</v>
      </c>
      <c r="E8508" s="3">
        <v>1528.92</v>
      </c>
      <c r="F8508">
        <v>20160204</v>
      </c>
      <c r="G8508" t="s">
        <v>6856</v>
      </c>
      <c r="H8508" t="s">
        <v>6869</v>
      </c>
      <c r="I8508">
        <v>0</v>
      </c>
      <c r="J8508" t="s">
        <v>6793</v>
      </c>
      <c r="K8508" t="s">
        <v>1643</v>
      </c>
      <c r="L8508" t="s">
        <v>285</v>
      </c>
      <c r="M8508" t="str">
        <f t="shared" si="634"/>
        <v>02</v>
      </c>
      <c r="N8508" t="s">
        <v>12</v>
      </c>
    </row>
    <row r="8509" spans="1:14" x14ac:dyDescent="0.25">
      <c r="A8509">
        <v>20160205</v>
      </c>
      <c r="B8509" t="str">
        <f>"062246"</f>
        <v>062246</v>
      </c>
      <c r="C8509" t="str">
        <f>"77068"</f>
        <v>77068</v>
      </c>
      <c r="D8509" t="s">
        <v>1929</v>
      </c>
      <c r="E8509" s="3">
        <v>386.5</v>
      </c>
      <c r="F8509">
        <v>20160204</v>
      </c>
      <c r="G8509" t="s">
        <v>6856</v>
      </c>
      <c r="H8509" t="s">
        <v>6870</v>
      </c>
      <c r="I8509">
        <v>0</v>
      </c>
      <c r="J8509" t="s">
        <v>6793</v>
      </c>
      <c r="K8509" t="s">
        <v>1643</v>
      </c>
      <c r="L8509" t="s">
        <v>285</v>
      </c>
      <c r="M8509" t="str">
        <f t="shared" si="634"/>
        <v>02</v>
      </c>
      <c r="N8509" t="s">
        <v>12</v>
      </c>
    </row>
    <row r="8510" spans="1:14" x14ac:dyDescent="0.25">
      <c r="A8510">
        <v>20160205</v>
      </c>
      <c r="B8510" t="str">
        <f>"062246"</f>
        <v>062246</v>
      </c>
      <c r="C8510" t="str">
        <f>"77068"</f>
        <v>77068</v>
      </c>
      <c r="D8510" t="s">
        <v>1929</v>
      </c>
      <c r="E8510" s="3">
        <v>710</v>
      </c>
      <c r="F8510">
        <v>20160204</v>
      </c>
      <c r="G8510" t="s">
        <v>6856</v>
      </c>
      <c r="H8510" t="s">
        <v>6871</v>
      </c>
      <c r="I8510">
        <v>0</v>
      </c>
      <c r="J8510" t="s">
        <v>6793</v>
      </c>
      <c r="K8510" t="s">
        <v>1643</v>
      </c>
      <c r="L8510" t="s">
        <v>285</v>
      </c>
      <c r="M8510" t="str">
        <f t="shared" si="634"/>
        <v>02</v>
      </c>
      <c r="N8510" t="s">
        <v>12</v>
      </c>
    </row>
    <row r="8511" spans="1:14" x14ac:dyDescent="0.25">
      <c r="A8511">
        <v>20160205</v>
      </c>
      <c r="B8511" t="str">
        <f>"062246"</f>
        <v>062246</v>
      </c>
      <c r="C8511" t="str">
        <f>"77068"</f>
        <v>77068</v>
      </c>
      <c r="D8511" t="s">
        <v>1929</v>
      </c>
      <c r="E8511" s="3">
        <v>754</v>
      </c>
      <c r="F8511">
        <v>20160204</v>
      </c>
      <c r="G8511" t="s">
        <v>6839</v>
      </c>
      <c r="H8511" t="s">
        <v>6872</v>
      </c>
      <c r="I8511">
        <v>0</v>
      </c>
      <c r="J8511" t="s">
        <v>6793</v>
      </c>
      <c r="K8511" t="s">
        <v>33</v>
      </c>
      <c r="L8511" t="s">
        <v>285</v>
      </c>
      <c r="M8511" t="str">
        <f t="shared" si="634"/>
        <v>02</v>
      </c>
      <c r="N8511" t="s">
        <v>12</v>
      </c>
    </row>
    <row r="8512" spans="1:14" x14ac:dyDescent="0.25">
      <c r="A8512">
        <v>20160205</v>
      </c>
      <c r="B8512" t="str">
        <f>"062246"</f>
        <v>062246</v>
      </c>
      <c r="C8512" t="str">
        <f>"77068"</f>
        <v>77068</v>
      </c>
      <c r="D8512" t="s">
        <v>1929</v>
      </c>
      <c r="E8512" s="3">
        <v>710</v>
      </c>
      <c r="F8512">
        <v>20160204</v>
      </c>
      <c r="G8512" t="s">
        <v>6839</v>
      </c>
      <c r="H8512" t="s">
        <v>6871</v>
      </c>
      <c r="I8512">
        <v>0</v>
      </c>
      <c r="J8512" t="s">
        <v>6793</v>
      </c>
      <c r="K8512" t="s">
        <v>33</v>
      </c>
      <c r="L8512" t="s">
        <v>285</v>
      </c>
      <c r="M8512" t="str">
        <f t="shared" si="634"/>
        <v>02</v>
      </c>
      <c r="N8512" t="s">
        <v>12</v>
      </c>
    </row>
    <row r="8513" spans="1:14" x14ac:dyDescent="0.25">
      <c r="A8513">
        <v>20160212</v>
      </c>
      <c r="B8513" t="str">
        <f>"062262"</f>
        <v>062262</v>
      </c>
      <c r="C8513" t="str">
        <f>"00369"</f>
        <v>00369</v>
      </c>
      <c r="D8513" t="s">
        <v>6790</v>
      </c>
      <c r="E8513" s="3">
        <v>-8333.6200000000008</v>
      </c>
      <c r="F8513">
        <v>20160127</v>
      </c>
      <c r="G8513" t="s">
        <v>6820</v>
      </c>
      <c r="H8513" t="s">
        <v>6873</v>
      </c>
      <c r="I8513">
        <v>0</v>
      </c>
      <c r="J8513" t="s">
        <v>6793</v>
      </c>
      <c r="K8513" t="s">
        <v>235</v>
      </c>
      <c r="L8513" t="s">
        <v>1385</v>
      </c>
      <c r="M8513" t="str">
        <f t="shared" si="634"/>
        <v>02</v>
      </c>
      <c r="N8513" t="s">
        <v>12</v>
      </c>
    </row>
    <row r="8514" spans="1:14" x14ac:dyDescent="0.25">
      <c r="A8514">
        <v>20160212</v>
      </c>
      <c r="B8514" t="str">
        <f>"062262"</f>
        <v>062262</v>
      </c>
      <c r="C8514" t="str">
        <f>"00369"</f>
        <v>00369</v>
      </c>
      <c r="D8514" t="s">
        <v>6790</v>
      </c>
      <c r="E8514" s="3">
        <v>34633.75</v>
      </c>
      <c r="F8514">
        <v>20160211</v>
      </c>
      <c r="G8514" t="s">
        <v>6822</v>
      </c>
      <c r="H8514" t="s">
        <v>6874</v>
      </c>
      <c r="I8514">
        <v>0</v>
      </c>
      <c r="J8514" t="s">
        <v>6793</v>
      </c>
      <c r="K8514" t="s">
        <v>6819</v>
      </c>
      <c r="L8514" t="s">
        <v>285</v>
      </c>
      <c r="M8514" t="str">
        <f t="shared" si="634"/>
        <v>02</v>
      </c>
      <c r="N8514" t="s">
        <v>12</v>
      </c>
    </row>
    <row r="8515" spans="1:14" x14ac:dyDescent="0.25">
      <c r="A8515">
        <v>20160212</v>
      </c>
      <c r="B8515" t="str">
        <f>"062262"</f>
        <v>062262</v>
      </c>
      <c r="C8515" t="str">
        <f>"00369"</f>
        <v>00369</v>
      </c>
      <c r="D8515" t="s">
        <v>6790</v>
      </c>
      <c r="E8515" s="3">
        <v>66061.279999999999</v>
      </c>
      <c r="F8515">
        <v>20160211</v>
      </c>
      <c r="G8515" t="s">
        <v>6824</v>
      </c>
      <c r="H8515" t="s">
        <v>6875</v>
      </c>
      <c r="I8515">
        <v>0</v>
      </c>
      <c r="J8515" t="s">
        <v>6793</v>
      </c>
      <c r="K8515" t="s">
        <v>6819</v>
      </c>
      <c r="L8515" t="s">
        <v>285</v>
      </c>
      <c r="M8515" t="str">
        <f t="shared" si="634"/>
        <v>02</v>
      </c>
      <c r="N8515" t="s">
        <v>12</v>
      </c>
    </row>
    <row r="8516" spans="1:14" x14ac:dyDescent="0.25">
      <c r="A8516">
        <v>20160212</v>
      </c>
      <c r="B8516" t="str">
        <f>"062262"</f>
        <v>062262</v>
      </c>
      <c r="C8516" t="str">
        <f>"00369"</f>
        <v>00369</v>
      </c>
      <c r="D8516" t="s">
        <v>6790</v>
      </c>
      <c r="E8516" s="3">
        <v>37770.36</v>
      </c>
      <c r="F8516">
        <v>20160211</v>
      </c>
      <c r="G8516" t="s">
        <v>6826</v>
      </c>
      <c r="H8516" t="s">
        <v>6876</v>
      </c>
      <c r="I8516">
        <v>0</v>
      </c>
      <c r="J8516" t="s">
        <v>6793</v>
      </c>
      <c r="K8516" t="s">
        <v>6819</v>
      </c>
      <c r="L8516" t="s">
        <v>285</v>
      </c>
      <c r="M8516" t="str">
        <f t="shared" si="634"/>
        <v>02</v>
      </c>
      <c r="N8516" t="s">
        <v>12</v>
      </c>
    </row>
    <row r="8517" spans="1:14" x14ac:dyDescent="0.25">
      <c r="A8517">
        <v>20160212</v>
      </c>
      <c r="B8517" t="str">
        <f>"062262"</f>
        <v>062262</v>
      </c>
      <c r="C8517" t="str">
        <f>"00369"</f>
        <v>00369</v>
      </c>
      <c r="D8517" t="s">
        <v>6790</v>
      </c>
      <c r="E8517" s="3">
        <v>2180.5</v>
      </c>
      <c r="F8517">
        <v>20160211</v>
      </c>
      <c r="G8517" t="s">
        <v>6828</v>
      </c>
      <c r="H8517" t="s">
        <v>6877</v>
      </c>
      <c r="I8517">
        <v>0</v>
      </c>
      <c r="J8517" t="s">
        <v>6793</v>
      </c>
      <c r="K8517" t="s">
        <v>6819</v>
      </c>
      <c r="L8517" t="s">
        <v>285</v>
      </c>
      <c r="M8517" t="str">
        <f t="shared" si="634"/>
        <v>02</v>
      </c>
      <c r="N8517" t="s">
        <v>12</v>
      </c>
    </row>
    <row r="8518" spans="1:14" x14ac:dyDescent="0.25">
      <c r="A8518">
        <v>20160212</v>
      </c>
      <c r="B8518" t="str">
        <f>"062305"</f>
        <v>062305</v>
      </c>
      <c r="C8518" t="str">
        <f>"39260"</f>
        <v>39260</v>
      </c>
      <c r="D8518" t="s">
        <v>6847</v>
      </c>
      <c r="E8518" s="3">
        <v>310</v>
      </c>
      <c r="F8518">
        <v>20160211</v>
      </c>
      <c r="G8518" t="s">
        <v>6817</v>
      </c>
      <c r="H8518" t="s">
        <v>6878</v>
      </c>
      <c r="I8518">
        <v>0</v>
      </c>
      <c r="J8518" t="s">
        <v>6793</v>
      </c>
      <c r="K8518" t="s">
        <v>6819</v>
      </c>
      <c r="L8518" t="s">
        <v>285</v>
      </c>
      <c r="M8518" t="str">
        <f t="shared" si="634"/>
        <v>02</v>
      </c>
      <c r="N8518" t="s">
        <v>12</v>
      </c>
    </row>
    <row r="8519" spans="1:14" x14ac:dyDescent="0.25">
      <c r="A8519">
        <v>20160212</v>
      </c>
      <c r="B8519" t="str">
        <f>"062308"</f>
        <v>062308</v>
      </c>
      <c r="C8519" t="str">
        <f>"39397"</f>
        <v>39397</v>
      </c>
      <c r="D8519" t="s">
        <v>2746</v>
      </c>
      <c r="E8519" s="3">
        <v>692</v>
      </c>
      <c r="F8519">
        <v>20160211</v>
      </c>
      <c r="G8519" t="s">
        <v>6864</v>
      </c>
      <c r="H8519" t="s">
        <v>6879</v>
      </c>
      <c r="I8519">
        <v>0</v>
      </c>
      <c r="J8519" t="s">
        <v>6793</v>
      </c>
      <c r="K8519" t="s">
        <v>95</v>
      </c>
      <c r="L8519" t="s">
        <v>285</v>
      </c>
      <c r="M8519" t="str">
        <f t="shared" si="634"/>
        <v>02</v>
      </c>
      <c r="N8519" t="s">
        <v>12</v>
      </c>
    </row>
    <row r="8520" spans="1:14" x14ac:dyDescent="0.25">
      <c r="A8520">
        <v>20160212</v>
      </c>
      <c r="B8520" t="str">
        <f>"062325"</f>
        <v>062325</v>
      </c>
      <c r="C8520" t="str">
        <f>"49898"</f>
        <v>49898</v>
      </c>
      <c r="D8520" t="s">
        <v>2342</v>
      </c>
      <c r="E8520" s="3">
        <v>303.68</v>
      </c>
      <c r="F8520">
        <v>20160212</v>
      </c>
      <c r="G8520" t="s">
        <v>6880</v>
      </c>
      <c r="H8520" t="s">
        <v>6881</v>
      </c>
      <c r="I8520">
        <v>0</v>
      </c>
      <c r="J8520" t="s">
        <v>6793</v>
      </c>
      <c r="K8520" t="s">
        <v>290</v>
      </c>
      <c r="L8520" t="s">
        <v>285</v>
      </c>
      <c r="M8520" t="str">
        <f t="shared" si="634"/>
        <v>02</v>
      </c>
      <c r="N8520" t="s">
        <v>12</v>
      </c>
    </row>
    <row r="8521" spans="1:14" x14ac:dyDescent="0.25">
      <c r="A8521">
        <v>20160304</v>
      </c>
      <c r="B8521" t="str">
        <f>"062546"</f>
        <v>062546</v>
      </c>
      <c r="C8521" t="str">
        <f>"24130"</f>
        <v>24130</v>
      </c>
      <c r="D8521" t="s">
        <v>2278</v>
      </c>
      <c r="E8521" s="3">
        <v>538</v>
      </c>
      <c r="F8521">
        <v>20160303</v>
      </c>
      <c r="G8521" t="s">
        <v>6835</v>
      </c>
      <c r="H8521" t="s">
        <v>6882</v>
      </c>
      <c r="I8521">
        <v>0</v>
      </c>
      <c r="J8521" t="s">
        <v>6793</v>
      </c>
      <c r="K8521" t="s">
        <v>1643</v>
      </c>
      <c r="L8521" t="s">
        <v>285</v>
      </c>
      <c r="M8521" t="str">
        <f t="shared" ref="M8521:M8534" si="635">"03"</f>
        <v>03</v>
      </c>
      <c r="N8521" t="s">
        <v>12</v>
      </c>
    </row>
    <row r="8522" spans="1:14" x14ac:dyDescent="0.25">
      <c r="A8522">
        <v>20160311</v>
      </c>
      <c r="B8522" t="str">
        <f>"062708"</f>
        <v>062708</v>
      </c>
      <c r="C8522" t="str">
        <f>"77068"</f>
        <v>77068</v>
      </c>
      <c r="D8522" t="s">
        <v>1929</v>
      </c>
      <c r="E8522" s="3">
        <v>317.5</v>
      </c>
      <c r="F8522">
        <v>20160311</v>
      </c>
      <c r="G8522" t="s">
        <v>6837</v>
      </c>
      <c r="H8522" t="s">
        <v>6883</v>
      </c>
      <c r="I8522">
        <v>0</v>
      </c>
      <c r="J8522" t="s">
        <v>6793</v>
      </c>
      <c r="K8522" t="s">
        <v>290</v>
      </c>
      <c r="L8522" t="s">
        <v>285</v>
      </c>
      <c r="M8522" t="str">
        <f t="shared" si="635"/>
        <v>03</v>
      </c>
      <c r="N8522" t="s">
        <v>12</v>
      </c>
    </row>
    <row r="8523" spans="1:14" x14ac:dyDescent="0.25">
      <c r="A8523">
        <v>20160311</v>
      </c>
      <c r="B8523" t="str">
        <f>"062708"</f>
        <v>062708</v>
      </c>
      <c r="C8523" t="str">
        <f>"77068"</f>
        <v>77068</v>
      </c>
      <c r="D8523" t="s">
        <v>1929</v>
      </c>
      <c r="E8523" s="3">
        <v>439.27</v>
      </c>
      <c r="F8523">
        <v>20160311</v>
      </c>
      <c r="G8523" t="s">
        <v>6830</v>
      </c>
      <c r="H8523" t="s">
        <v>6884</v>
      </c>
      <c r="I8523">
        <v>0</v>
      </c>
      <c r="J8523" t="s">
        <v>6793</v>
      </c>
      <c r="K8523" t="s">
        <v>95</v>
      </c>
      <c r="L8523" t="s">
        <v>285</v>
      </c>
      <c r="M8523" t="str">
        <f t="shared" si="635"/>
        <v>03</v>
      </c>
      <c r="N8523" t="s">
        <v>12</v>
      </c>
    </row>
    <row r="8524" spans="1:14" x14ac:dyDescent="0.25">
      <c r="A8524">
        <v>20160311</v>
      </c>
      <c r="B8524" t="str">
        <f>"062708"</f>
        <v>062708</v>
      </c>
      <c r="C8524" t="str">
        <f>"77068"</f>
        <v>77068</v>
      </c>
      <c r="D8524" t="s">
        <v>1929</v>
      </c>
      <c r="E8524" s="3">
        <v>3903.5</v>
      </c>
      <c r="F8524">
        <v>20160311</v>
      </c>
      <c r="G8524" t="s">
        <v>6856</v>
      </c>
      <c r="H8524" t="s">
        <v>6885</v>
      </c>
      <c r="I8524">
        <v>0</v>
      </c>
      <c r="J8524" t="s">
        <v>6793</v>
      </c>
      <c r="K8524" t="s">
        <v>1643</v>
      </c>
      <c r="L8524" t="s">
        <v>285</v>
      </c>
      <c r="M8524" t="str">
        <f t="shared" si="635"/>
        <v>03</v>
      </c>
      <c r="N8524" t="s">
        <v>12</v>
      </c>
    </row>
    <row r="8525" spans="1:14" x14ac:dyDescent="0.25">
      <c r="A8525">
        <v>20160311</v>
      </c>
      <c r="B8525" t="str">
        <f>"062708"</f>
        <v>062708</v>
      </c>
      <c r="C8525" t="str">
        <f>"77068"</f>
        <v>77068</v>
      </c>
      <c r="D8525" t="s">
        <v>1929</v>
      </c>
      <c r="E8525" s="3">
        <v>298</v>
      </c>
      <c r="F8525">
        <v>20160311</v>
      </c>
      <c r="G8525" t="s">
        <v>6839</v>
      </c>
      <c r="H8525" t="s">
        <v>6886</v>
      </c>
      <c r="I8525">
        <v>0</v>
      </c>
      <c r="J8525" t="s">
        <v>6793</v>
      </c>
      <c r="K8525" t="s">
        <v>33</v>
      </c>
      <c r="L8525" t="s">
        <v>285</v>
      </c>
      <c r="M8525" t="str">
        <f t="shared" si="635"/>
        <v>03</v>
      </c>
      <c r="N8525" t="s">
        <v>12</v>
      </c>
    </row>
    <row r="8526" spans="1:14" x14ac:dyDescent="0.25">
      <c r="A8526">
        <v>20160318</v>
      </c>
      <c r="B8526" t="str">
        <f>"062727"</f>
        <v>062727</v>
      </c>
      <c r="C8526" t="str">
        <f>"00369"</f>
        <v>00369</v>
      </c>
      <c r="D8526" t="s">
        <v>6790</v>
      </c>
      <c r="E8526" s="3">
        <v>-9595.89</v>
      </c>
      <c r="F8526">
        <v>20160224</v>
      </c>
      <c r="G8526" t="s">
        <v>6820</v>
      </c>
      <c r="H8526" t="s">
        <v>6873</v>
      </c>
      <c r="I8526">
        <v>0</v>
      </c>
      <c r="J8526" t="s">
        <v>6793</v>
      </c>
      <c r="K8526" t="s">
        <v>235</v>
      </c>
      <c r="L8526" t="s">
        <v>1385</v>
      </c>
      <c r="M8526" t="str">
        <f t="shared" si="635"/>
        <v>03</v>
      </c>
      <c r="N8526" t="s">
        <v>12</v>
      </c>
    </row>
    <row r="8527" spans="1:14" x14ac:dyDescent="0.25">
      <c r="A8527">
        <v>20160318</v>
      </c>
      <c r="B8527" t="str">
        <f>"062727"</f>
        <v>062727</v>
      </c>
      <c r="C8527" t="str">
        <f>"00369"</f>
        <v>00369</v>
      </c>
      <c r="D8527" t="s">
        <v>6790</v>
      </c>
      <c r="E8527" s="3">
        <v>45097.5</v>
      </c>
      <c r="F8527">
        <v>20160316</v>
      </c>
      <c r="G8527" t="s">
        <v>6822</v>
      </c>
      <c r="H8527" t="s">
        <v>6887</v>
      </c>
      <c r="I8527">
        <v>0</v>
      </c>
      <c r="J8527" t="s">
        <v>6793</v>
      </c>
      <c r="K8527" t="s">
        <v>6819</v>
      </c>
      <c r="L8527" t="s">
        <v>285</v>
      </c>
      <c r="M8527" t="str">
        <f t="shared" si="635"/>
        <v>03</v>
      </c>
      <c r="N8527" t="s">
        <v>12</v>
      </c>
    </row>
    <row r="8528" spans="1:14" x14ac:dyDescent="0.25">
      <c r="A8528">
        <v>20160318</v>
      </c>
      <c r="B8528" t="str">
        <f>"062727"</f>
        <v>062727</v>
      </c>
      <c r="C8528" t="str">
        <f>"00369"</f>
        <v>00369</v>
      </c>
      <c r="D8528" t="s">
        <v>6790</v>
      </c>
      <c r="E8528" s="3">
        <v>93983.8</v>
      </c>
      <c r="F8528">
        <v>20160316</v>
      </c>
      <c r="G8528" t="s">
        <v>6824</v>
      </c>
      <c r="H8528" t="s">
        <v>6888</v>
      </c>
      <c r="I8528">
        <v>0</v>
      </c>
      <c r="J8528" t="s">
        <v>6793</v>
      </c>
      <c r="K8528" t="s">
        <v>6819</v>
      </c>
      <c r="L8528" t="s">
        <v>285</v>
      </c>
      <c r="M8528" t="str">
        <f t="shared" si="635"/>
        <v>03</v>
      </c>
      <c r="N8528" t="s">
        <v>12</v>
      </c>
    </row>
    <row r="8529" spans="1:14" x14ac:dyDescent="0.25">
      <c r="A8529">
        <v>20160318</v>
      </c>
      <c r="B8529" t="str">
        <f>"062727"</f>
        <v>062727</v>
      </c>
      <c r="C8529" t="str">
        <f>"00369"</f>
        <v>00369</v>
      </c>
      <c r="D8529" t="s">
        <v>6790</v>
      </c>
      <c r="E8529" s="3">
        <v>54862.49</v>
      </c>
      <c r="F8529">
        <v>20160316</v>
      </c>
      <c r="G8529" t="s">
        <v>6826</v>
      </c>
      <c r="H8529" t="s">
        <v>6889</v>
      </c>
      <c r="I8529">
        <v>0</v>
      </c>
      <c r="J8529" t="s">
        <v>6793</v>
      </c>
      <c r="K8529" t="s">
        <v>6819</v>
      </c>
      <c r="L8529" t="s">
        <v>285</v>
      </c>
      <c r="M8529" t="str">
        <f t="shared" si="635"/>
        <v>03</v>
      </c>
      <c r="N8529" t="s">
        <v>12</v>
      </c>
    </row>
    <row r="8530" spans="1:14" x14ac:dyDescent="0.25">
      <c r="A8530">
        <v>20160318</v>
      </c>
      <c r="B8530" t="str">
        <f>"062727"</f>
        <v>062727</v>
      </c>
      <c r="C8530" t="str">
        <f>"00369"</f>
        <v>00369</v>
      </c>
      <c r="D8530" t="s">
        <v>6790</v>
      </c>
      <c r="E8530" s="3">
        <v>3041.5</v>
      </c>
      <c r="F8530">
        <v>20160316</v>
      </c>
      <c r="G8530" t="s">
        <v>6828</v>
      </c>
      <c r="H8530" t="s">
        <v>6890</v>
      </c>
      <c r="I8530">
        <v>0</v>
      </c>
      <c r="J8530" t="s">
        <v>6793</v>
      </c>
      <c r="K8530" t="s">
        <v>6819</v>
      </c>
      <c r="L8530" t="s">
        <v>285</v>
      </c>
      <c r="M8530" t="str">
        <f t="shared" si="635"/>
        <v>03</v>
      </c>
      <c r="N8530" t="s">
        <v>12</v>
      </c>
    </row>
    <row r="8531" spans="1:14" x14ac:dyDescent="0.25">
      <c r="A8531">
        <v>20160331</v>
      </c>
      <c r="B8531" t="str">
        <f>"062972"</f>
        <v>062972</v>
      </c>
      <c r="C8531" t="str">
        <f>"73874"</f>
        <v>73874</v>
      </c>
      <c r="D8531" t="s">
        <v>3136</v>
      </c>
      <c r="E8531" s="3">
        <v>750</v>
      </c>
      <c r="F8531">
        <v>20160330</v>
      </c>
      <c r="G8531" t="s">
        <v>6832</v>
      </c>
      <c r="H8531" t="s">
        <v>6891</v>
      </c>
      <c r="I8531">
        <v>0</v>
      </c>
      <c r="J8531" t="s">
        <v>6793</v>
      </c>
      <c r="K8531" t="s">
        <v>290</v>
      </c>
      <c r="L8531" t="s">
        <v>285</v>
      </c>
      <c r="M8531" t="str">
        <f t="shared" si="635"/>
        <v>03</v>
      </c>
      <c r="N8531" t="s">
        <v>12</v>
      </c>
    </row>
    <row r="8532" spans="1:14" x14ac:dyDescent="0.25">
      <c r="A8532">
        <v>20160331</v>
      </c>
      <c r="B8532" t="str">
        <f>"062972"</f>
        <v>062972</v>
      </c>
      <c r="C8532" t="str">
        <f>"73874"</f>
        <v>73874</v>
      </c>
      <c r="D8532" t="s">
        <v>3136</v>
      </c>
      <c r="E8532" s="3">
        <v>750</v>
      </c>
      <c r="F8532">
        <v>20160330</v>
      </c>
      <c r="G8532" t="s">
        <v>6834</v>
      </c>
      <c r="H8532" t="s">
        <v>6891</v>
      </c>
      <c r="I8532">
        <v>0</v>
      </c>
      <c r="J8532" t="s">
        <v>6793</v>
      </c>
      <c r="K8532" t="s">
        <v>95</v>
      </c>
      <c r="L8532" t="s">
        <v>285</v>
      </c>
      <c r="M8532" t="str">
        <f t="shared" si="635"/>
        <v>03</v>
      </c>
      <c r="N8532" t="s">
        <v>12</v>
      </c>
    </row>
    <row r="8533" spans="1:14" x14ac:dyDescent="0.25">
      <c r="A8533">
        <v>20160331</v>
      </c>
      <c r="B8533" t="str">
        <f>"062972"</f>
        <v>062972</v>
      </c>
      <c r="C8533" t="str">
        <f>"73874"</f>
        <v>73874</v>
      </c>
      <c r="D8533" t="s">
        <v>3136</v>
      </c>
      <c r="E8533" s="3">
        <v>900</v>
      </c>
      <c r="F8533">
        <v>20160330</v>
      </c>
      <c r="G8533" t="s">
        <v>6835</v>
      </c>
      <c r="H8533" t="s">
        <v>6891</v>
      </c>
      <c r="I8533">
        <v>0</v>
      </c>
      <c r="J8533" t="s">
        <v>6793</v>
      </c>
      <c r="K8533" t="s">
        <v>1643</v>
      </c>
      <c r="L8533" t="s">
        <v>285</v>
      </c>
      <c r="M8533" t="str">
        <f t="shared" si="635"/>
        <v>03</v>
      </c>
      <c r="N8533" t="s">
        <v>12</v>
      </c>
    </row>
    <row r="8534" spans="1:14" x14ac:dyDescent="0.25">
      <c r="A8534">
        <v>20160331</v>
      </c>
      <c r="B8534" t="str">
        <f>"062972"</f>
        <v>062972</v>
      </c>
      <c r="C8534" t="str">
        <f>"73874"</f>
        <v>73874</v>
      </c>
      <c r="D8534" t="s">
        <v>3136</v>
      </c>
      <c r="E8534" s="3">
        <v>750</v>
      </c>
      <c r="F8534">
        <v>20160330</v>
      </c>
      <c r="G8534" t="s">
        <v>6836</v>
      </c>
      <c r="H8534" t="s">
        <v>6891</v>
      </c>
      <c r="I8534">
        <v>0</v>
      </c>
      <c r="J8534" t="s">
        <v>6793</v>
      </c>
      <c r="K8534" t="s">
        <v>33</v>
      </c>
      <c r="L8534" t="s">
        <v>285</v>
      </c>
      <c r="M8534" t="str">
        <f t="shared" si="635"/>
        <v>03</v>
      </c>
      <c r="N8534" t="s">
        <v>12</v>
      </c>
    </row>
    <row r="8535" spans="1:14" x14ac:dyDescent="0.25">
      <c r="A8535">
        <v>20160415</v>
      </c>
      <c r="B8535" t="str">
        <f>"063036"</f>
        <v>063036</v>
      </c>
      <c r="C8535" t="str">
        <f>"00369"</f>
        <v>00369</v>
      </c>
      <c r="D8535" t="s">
        <v>6790</v>
      </c>
      <c r="E8535" s="3">
        <v>-28712.17</v>
      </c>
      <c r="F8535">
        <v>20160330</v>
      </c>
      <c r="G8535" t="s">
        <v>6820</v>
      </c>
      <c r="H8535" t="s">
        <v>6873</v>
      </c>
      <c r="I8535">
        <v>0</v>
      </c>
      <c r="J8535" t="s">
        <v>6793</v>
      </c>
      <c r="K8535" t="s">
        <v>235</v>
      </c>
      <c r="L8535" t="s">
        <v>1385</v>
      </c>
      <c r="M8535" t="str">
        <f t="shared" ref="M8535:M8550" si="636">"04"</f>
        <v>04</v>
      </c>
      <c r="N8535" t="s">
        <v>12</v>
      </c>
    </row>
    <row r="8536" spans="1:14" x14ac:dyDescent="0.25">
      <c r="A8536">
        <v>20160415</v>
      </c>
      <c r="B8536" t="str">
        <f>"063036"</f>
        <v>063036</v>
      </c>
      <c r="C8536" t="str">
        <f>"00369"</f>
        <v>00369</v>
      </c>
      <c r="D8536" t="s">
        <v>6790</v>
      </c>
      <c r="E8536" s="3">
        <v>58728.75</v>
      </c>
      <c r="F8536">
        <v>20160412</v>
      </c>
      <c r="G8536" t="s">
        <v>6822</v>
      </c>
      <c r="H8536" t="s">
        <v>6892</v>
      </c>
      <c r="I8536">
        <v>0</v>
      </c>
      <c r="J8536" t="s">
        <v>6793</v>
      </c>
      <c r="K8536" t="s">
        <v>6819</v>
      </c>
      <c r="L8536" t="s">
        <v>285</v>
      </c>
      <c r="M8536" t="str">
        <f t="shared" si="636"/>
        <v>04</v>
      </c>
      <c r="N8536" t="s">
        <v>12</v>
      </c>
    </row>
    <row r="8537" spans="1:14" x14ac:dyDescent="0.25">
      <c r="A8537">
        <v>20160415</v>
      </c>
      <c r="B8537" t="str">
        <f>"063036"</f>
        <v>063036</v>
      </c>
      <c r="C8537" t="str">
        <f>"00369"</f>
        <v>00369</v>
      </c>
      <c r="D8537" t="s">
        <v>6790</v>
      </c>
      <c r="E8537" s="3">
        <v>119386.19</v>
      </c>
      <c r="F8537">
        <v>20160412</v>
      </c>
      <c r="G8537" t="s">
        <v>6824</v>
      </c>
      <c r="H8537" t="s">
        <v>6893</v>
      </c>
      <c r="I8537">
        <v>0</v>
      </c>
      <c r="J8537" t="s">
        <v>6793</v>
      </c>
      <c r="K8537" t="s">
        <v>6819</v>
      </c>
      <c r="L8537" t="s">
        <v>285</v>
      </c>
      <c r="M8537" t="str">
        <f t="shared" si="636"/>
        <v>04</v>
      </c>
      <c r="N8537" t="s">
        <v>12</v>
      </c>
    </row>
    <row r="8538" spans="1:14" x14ac:dyDescent="0.25">
      <c r="A8538">
        <v>20160415</v>
      </c>
      <c r="B8538" t="str">
        <f>"063036"</f>
        <v>063036</v>
      </c>
      <c r="C8538" t="str">
        <f>"00369"</f>
        <v>00369</v>
      </c>
      <c r="D8538" t="s">
        <v>6790</v>
      </c>
      <c r="E8538" s="3">
        <v>67677.42</v>
      </c>
      <c r="F8538">
        <v>20160412</v>
      </c>
      <c r="G8538" t="s">
        <v>6826</v>
      </c>
      <c r="H8538" t="s">
        <v>6894</v>
      </c>
      <c r="I8538">
        <v>0</v>
      </c>
      <c r="J8538" t="s">
        <v>6793</v>
      </c>
      <c r="K8538" t="s">
        <v>6819</v>
      </c>
      <c r="L8538" t="s">
        <v>285</v>
      </c>
      <c r="M8538" t="str">
        <f t="shared" si="636"/>
        <v>04</v>
      </c>
      <c r="N8538" t="s">
        <v>12</v>
      </c>
    </row>
    <row r="8539" spans="1:14" x14ac:dyDescent="0.25">
      <c r="A8539">
        <v>20160415</v>
      </c>
      <c r="B8539" t="str">
        <f>"063036"</f>
        <v>063036</v>
      </c>
      <c r="C8539" t="str">
        <f>"00369"</f>
        <v>00369</v>
      </c>
      <c r="D8539" t="s">
        <v>6790</v>
      </c>
      <c r="E8539" s="3">
        <v>4164.3</v>
      </c>
      <c r="F8539">
        <v>20160412</v>
      </c>
      <c r="G8539" t="s">
        <v>6828</v>
      </c>
      <c r="H8539" t="s">
        <v>6895</v>
      </c>
      <c r="I8539">
        <v>0</v>
      </c>
      <c r="J8539" t="s">
        <v>6793</v>
      </c>
      <c r="K8539" t="s">
        <v>6819</v>
      </c>
      <c r="L8539" t="s">
        <v>285</v>
      </c>
      <c r="M8539" t="str">
        <f t="shared" si="636"/>
        <v>04</v>
      </c>
      <c r="N8539" t="s">
        <v>12</v>
      </c>
    </row>
    <row r="8540" spans="1:14" x14ac:dyDescent="0.25">
      <c r="A8540">
        <v>20160415</v>
      </c>
      <c r="B8540" t="str">
        <f>"063102"</f>
        <v>063102</v>
      </c>
      <c r="C8540" t="str">
        <f>"45492"</f>
        <v>45492</v>
      </c>
      <c r="D8540" t="s">
        <v>3241</v>
      </c>
      <c r="E8540" s="3">
        <v>107.55</v>
      </c>
      <c r="F8540">
        <v>20160413</v>
      </c>
      <c r="G8540" t="s">
        <v>6896</v>
      </c>
      <c r="H8540" t="s">
        <v>6897</v>
      </c>
      <c r="I8540">
        <v>0</v>
      </c>
      <c r="J8540" t="s">
        <v>6793</v>
      </c>
      <c r="K8540" t="s">
        <v>1643</v>
      </c>
      <c r="L8540" t="s">
        <v>285</v>
      </c>
      <c r="M8540" t="str">
        <f t="shared" si="636"/>
        <v>04</v>
      </c>
      <c r="N8540" t="s">
        <v>12</v>
      </c>
    </row>
    <row r="8541" spans="1:14" x14ac:dyDescent="0.25">
      <c r="A8541">
        <v>20160429</v>
      </c>
      <c r="B8541" t="str">
        <f t="shared" ref="B8541:B8550" si="637">"063324"</f>
        <v>063324</v>
      </c>
      <c r="C8541" t="str">
        <f t="shared" ref="C8541:C8550" si="638">"77068"</f>
        <v>77068</v>
      </c>
      <c r="D8541" t="s">
        <v>1929</v>
      </c>
      <c r="E8541" s="3">
        <v>1217.48</v>
      </c>
      <c r="F8541">
        <v>20160427</v>
      </c>
      <c r="G8541" t="s">
        <v>6837</v>
      </c>
      <c r="H8541" t="s">
        <v>6898</v>
      </c>
      <c r="I8541">
        <v>0</v>
      </c>
      <c r="J8541" t="s">
        <v>6793</v>
      </c>
      <c r="K8541" t="s">
        <v>290</v>
      </c>
      <c r="L8541" t="s">
        <v>285</v>
      </c>
      <c r="M8541" t="str">
        <f t="shared" si="636"/>
        <v>04</v>
      </c>
      <c r="N8541" t="s">
        <v>12</v>
      </c>
    </row>
    <row r="8542" spans="1:14" x14ac:dyDescent="0.25">
      <c r="A8542">
        <v>20160429</v>
      </c>
      <c r="B8542" t="str">
        <f t="shared" si="637"/>
        <v>063324</v>
      </c>
      <c r="C8542" t="str">
        <f t="shared" si="638"/>
        <v>77068</v>
      </c>
      <c r="D8542" t="s">
        <v>1929</v>
      </c>
      <c r="E8542" s="3">
        <v>415</v>
      </c>
      <c r="F8542">
        <v>20160427</v>
      </c>
      <c r="G8542" t="s">
        <v>6830</v>
      </c>
      <c r="H8542" t="s">
        <v>6899</v>
      </c>
      <c r="I8542">
        <v>0</v>
      </c>
      <c r="J8542" t="s">
        <v>6793</v>
      </c>
      <c r="K8542" t="s">
        <v>95</v>
      </c>
      <c r="L8542" t="s">
        <v>285</v>
      </c>
      <c r="M8542" t="str">
        <f t="shared" si="636"/>
        <v>04</v>
      </c>
      <c r="N8542" t="s">
        <v>12</v>
      </c>
    </row>
    <row r="8543" spans="1:14" x14ac:dyDescent="0.25">
      <c r="A8543">
        <v>20160429</v>
      </c>
      <c r="B8543" t="str">
        <f t="shared" si="637"/>
        <v>063324</v>
      </c>
      <c r="C8543" t="str">
        <f t="shared" si="638"/>
        <v>77068</v>
      </c>
      <c r="D8543" t="s">
        <v>1929</v>
      </c>
      <c r="E8543" s="3">
        <v>337</v>
      </c>
      <c r="F8543">
        <v>20160427</v>
      </c>
      <c r="G8543" t="s">
        <v>6856</v>
      </c>
      <c r="H8543" t="s">
        <v>6900</v>
      </c>
      <c r="I8543">
        <v>0</v>
      </c>
      <c r="J8543" t="s">
        <v>6793</v>
      </c>
      <c r="K8543" t="s">
        <v>1643</v>
      </c>
      <c r="L8543" t="s">
        <v>285</v>
      </c>
      <c r="M8543" t="str">
        <f t="shared" si="636"/>
        <v>04</v>
      </c>
      <c r="N8543" t="s">
        <v>12</v>
      </c>
    </row>
    <row r="8544" spans="1:14" x14ac:dyDescent="0.25">
      <c r="A8544">
        <v>20160429</v>
      </c>
      <c r="B8544" t="str">
        <f t="shared" si="637"/>
        <v>063324</v>
      </c>
      <c r="C8544" t="str">
        <f t="shared" si="638"/>
        <v>77068</v>
      </c>
      <c r="D8544" t="s">
        <v>1929</v>
      </c>
      <c r="E8544" s="3">
        <v>415</v>
      </c>
      <c r="F8544">
        <v>20160427</v>
      </c>
      <c r="G8544" t="s">
        <v>6856</v>
      </c>
      <c r="H8544" t="s">
        <v>6901</v>
      </c>
      <c r="I8544">
        <v>0</v>
      </c>
      <c r="J8544" t="s">
        <v>6793</v>
      </c>
      <c r="K8544" t="s">
        <v>1643</v>
      </c>
      <c r="L8544" t="s">
        <v>285</v>
      </c>
      <c r="M8544" t="str">
        <f t="shared" si="636"/>
        <v>04</v>
      </c>
      <c r="N8544" t="s">
        <v>12</v>
      </c>
    </row>
    <row r="8545" spans="1:14" x14ac:dyDescent="0.25">
      <c r="A8545">
        <v>20160429</v>
      </c>
      <c r="B8545" t="str">
        <f t="shared" si="637"/>
        <v>063324</v>
      </c>
      <c r="C8545" t="str">
        <f t="shared" si="638"/>
        <v>77068</v>
      </c>
      <c r="D8545" t="s">
        <v>1929</v>
      </c>
      <c r="E8545" s="3">
        <v>1186.6600000000001</v>
      </c>
      <c r="F8545">
        <v>20160427</v>
      </c>
      <c r="G8545" t="s">
        <v>6856</v>
      </c>
      <c r="H8545" t="s">
        <v>6902</v>
      </c>
      <c r="I8545">
        <v>0</v>
      </c>
      <c r="J8545" t="s">
        <v>6793</v>
      </c>
      <c r="K8545" t="s">
        <v>1643</v>
      </c>
      <c r="L8545" t="s">
        <v>285</v>
      </c>
      <c r="M8545" t="str">
        <f t="shared" si="636"/>
        <v>04</v>
      </c>
      <c r="N8545" t="s">
        <v>12</v>
      </c>
    </row>
    <row r="8546" spans="1:14" x14ac:dyDescent="0.25">
      <c r="A8546">
        <v>20160429</v>
      </c>
      <c r="B8546" t="str">
        <f t="shared" si="637"/>
        <v>063324</v>
      </c>
      <c r="C8546" t="str">
        <f t="shared" si="638"/>
        <v>77068</v>
      </c>
      <c r="D8546" t="s">
        <v>1929</v>
      </c>
      <c r="E8546" s="3">
        <v>730.84</v>
      </c>
      <c r="F8546">
        <v>20160427</v>
      </c>
      <c r="G8546" t="s">
        <v>6856</v>
      </c>
      <c r="H8546" t="s">
        <v>6903</v>
      </c>
      <c r="I8546">
        <v>0</v>
      </c>
      <c r="J8546" t="s">
        <v>6793</v>
      </c>
      <c r="K8546" t="s">
        <v>1643</v>
      </c>
      <c r="L8546" t="s">
        <v>285</v>
      </c>
      <c r="M8546" t="str">
        <f t="shared" si="636"/>
        <v>04</v>
      </c>
      <c r="N8546" t="s">
        <v>12</v>
      </c>
    </row>
    <row r="8547" spans="1:14" x14ac:dyDescent="0.25">
      <c r="A8547">
        <v>20160429</v>
      </c>
      <c r="B8547" t="str">
        <f t="shared" si="637"/>
        <v>063324</v>
      </c>
      <c r="C8547" t="str">
        <f t="shared" si="638"/>
        <v>77068</v>
      </c>
      <c r="D8547" t="s">
        <v>1929</v>
      </c>
      <c r="E8547" s="3">
        <v>317.94</v>
      </c>
      <c r="F8547">
        <v>20160427</v>
      </c>
      <c r="G8547" t="s">
        <v>6856</v>
      </c>
      <c r="H8547" t="s">
        <v>6904</v>
      </c>
      <c r="I8547">
        <v>0</v>
      </c>
      <c r="J8547" t="s">
        <v>6793</v>
      </c>
      <c r="K8547" t="s">
        <v>1643</v>
      </c>
      <c r="L8547" t="s">
        <v>285</v>
      </c>
      <c r="M8547" t="str">
        <f t="shared" si="636"/>
        <v>04</v>
      </c>
      <c r="N8547" t="s">
        <v>12</v>
      </c>
    </row>
    <row r="8548" spans="1:14" x14ac:dyDescent="0.25">
      <c r="A8548">
        <v>20160429</v>
      </c>
      <c r="B8548" t="str">
        <f t="shared" si="637"/>
        <v>063324</v>
      </c>
      <c r="C8548" t="str">
        <f t="shared" si="638"/>
        <v>77068</v>
      </c>
      <c r="D8548" t="s">
        <v>1929</v>
      </c>
      <c r="E8548" s="3">
        <v>1277.1500000000001</v>
      </c>
      <c r="F8548">
        <v>20160427</v>
      </c>
      <c r="G8548" t="s">
        <v>6839</v>
      </c>
      <c r="H8548" t="s">
        <v>6905</v>
      </c>
      <c r="I8548">
        <v>0</v>
      </c>
      <c r="J8548" t="s">
        <v>6793</v>
      </c>
      <c r="K8548" t="s">
        <v>33</v>
      </c>
      <c r="L8548" t="s">
        <v>285</v>
      </c>
      <c r="M8548" t="str">
        <f t="shared" si="636"/>
        <v>04</v>
      </c>
      <c r="N8548" t="s">
        <v>12</v>
      </c>
    </row>
    <row r="8549" spans="1:14" x14ac:dyDescent="0.25">
      <c r="A8549">
        <v>20160429</v>
      </c>
      <c r="B8549" t="str">
        <f t="shared" si="637"/>
        <v>063324</v>
      </c>
      <c r="C8549" t="str">
        <f t="shared" si="638"/>
        <v>77068</v>
      </c>
      <c r="D8549" t="s">
        <v>1929</v>
      </c>
      <c r="E8549" s="3">
        <v>556.03</v>
      </c>
      <c r="F8549">
        <v>20160427</v>
      </c>
      <c r="G8549" t="s">
        <v>6839</v>
      </c>
      <c r="H8549" t="s">
        <v>6906</v>
      </c>
      <c r="I8549">
        <v>0</v>
      </c>
      <c r="J8549" t="s">
        <v>6793</v>
      </c>
      <c r="K8549" t="s">
        <v>33</v>
      </c>
      <c r="L8549" t="s">
        <v>285</v>
      </c>
      <c r="M8549" t="str">
        <f t="shared" si="636"/>
        <v>04</v>
      </c>
      <c r="N8549" t="s">
        <v>12</v>
      </c>
    </row>
    <row r="8550" spans="1:14" x14ac:dyDescent="0.25">
      <c r="A8550">
        <v>20160429</v>
      </c>
      <c r="B8550" t="str">
        <f t="shared" si="637"/>
        <v>063324</v>
      </c>
      <c r="C8550" t="str">
        <f t="shared" si="638"/>
        <v>77068</v>
      </c>
      <c r="D8550" t="s">
        <v>1929</v>
      </c>
      <c r="E8550" s="3">
        <v>317.5</v>
      </c>
      <c r="F8550">
        <v>20160427</v>
      </c>
      <c r="G8550" t="s">
        <v>6839</v>
      </c>
      <c r="H8550" t="s">
        <v>6907</v>
      </c>
      <c r="I8550">
        <v>0</v>
      </c>
      <c r="J8550" t="s">
        <v>6793</v>
      </c>
      <c r="K8550" t="s">
        <v>33</v>
      </c>
      <c r="L8550" t="s">
        <v>285</v>
      </c>
      <c r="M8550" t="str">
        <f t="shared" si="636"/>
        <v>04</v>
      </c>
      <c r="N8550" t="s">
        <v>12</v>
      </c>
    </row>
    <row r="8551" spans="1:14" x14ac:dyDescent="0.25">
      <c r="A8551">
        <v>20160520</v>
      </c>
      <c r="B8551" t="str">
        <f>"063514"</f>
        <v>063514</v>
      </c>
      <c r="C8551" t="str">
        <f t="shared" ref="C8551:C8560" si="639">"00369"</f>
        <v>00369</v>
      </c>
      <c r="D8551" t="s">
        <v>6790</v>
      </c>
      <c r="E8551" s="3">
        <v>-17734.8</v>
      </c>
      <c r="F8551">
        <v>20160427</v>
      </c>
      <c r="G8551" t="s">
        <v>6820</v>
      </c>
      <c r="H8551" t="s">
        <v>6873</v>
      </c>
      <c r="I8551">
        <v>0</v>
      </c>
      <c r="J8551" t="s">
        <v>6793</v>
      </c>
      <c r="K8551" t="s">
        <v>235</v>
      </c>
      <c r="L8551" t="s">
        <v>1385</v>
      </c>
      <c r="M8551" t="str">
        <f>"05"</f>
        <v>05</v>
      </c>
      <c r="N8551" t="s">
        <v>12</v>
      </c>
    </row>
    <row r="8552" spans="1:14" x14ac:dyDescent="0.25">
      <c r="A8552">
        <v>20160520</v>
      </c>
      <c r="B8552" t="str">
        <f>"063514"</f>
        <v>063514</v>
      </c>
      <c r="C8552" t="str">
        <f t="shared" si="639"/>
        <v>00369</v>
      </c>
      <c r="D8552" t="s">
        <v>6790</v>
      </c>
      <c r="E8552" s="3">
        <v>41242.5</v>
      </c>
      <c r="F8552">
        <v>20160518</v>
      </c>
      <c r="G8552" t="s">
        <v>6822</v>
      </c>
      <c r="H8552" t="s">
        <v>6908</v>
      </c>
      <c r="I8552">
        <v>0</v>
      </c>
      <c r="J8552" t="s">
        <v>6793</v>
      </c>
      <c r="K8552" t="s">
        <v>6819</v>
      </c>
      <c r="L8552" t="s">
        <v>285</v>
      </c>
      <c r="M8552" t="str">
        <f>"05"</f>
        <v>05</v>
      </c>
      <c r="N8552" t="s">
        <v>12</v>
      </c>
    </row>
    <row r="8553" spans="1:14" x14ac:dyDescent="0.25">
      <c r="A8553">
        <v>20160520</v>
      </c>
      <c r="B8553" t="str">
        <f>"063514"</f>
        <v>063514</v>
      </c>
      <c r="C8553" t="str">
        <f t="shared" si="639"/>
        <v>00369</v>
      </c>
      <c r="D8553" t="s">
        <v>6790</v>
      </c>
      <c r="E8553" s="3">
        <v>83197.210000000006</v>
      </c>
      <c r="F8553">
        <v>20160518</v>
      </c>
      <c r="G8553" t="s">
        <v>6824</v>
      </c>
      <c r="H8553" t="s">
        <v>6909</v>
      </c>
      <c r="I8553">
        <v>0</v>
      </c>
      <c r="J8553" t="s">
        <v>6793</v>
      </c>
      <c r="K8553" t="s">
        <v>6819</v>
      </c>
      <c r="L8553" t="s">
        <v>285</v>
      </c>
      <c r="M8553" t="str">
        <f>"05"</f>
        <v>05</v>
      </c>
      <c r="N8553" t="s">
        <v>12</v>
      </c>
    </row>
    <row r="8554" spans="1:14" x14ac:dyDescent="0.25">
      <c r="A8554">
        <v>20160520</v>
      </c>
      <c r="B8554" t="str">
        <f>"063514"</f>
        <v>063514</v>
      </c>
      <c r="C8554" t="str">
        <f t="shared" si="639"/>
        <v>00369</v>
      </c>
      <c r="D8554" t="s">
        <v>6790</v>
      </c>
      <c r="E8554" s="3">
        <v>46829.58</v>
      </c>
      <c r="F8554">
        <v>20160518</v>
      </c>
      <c r="G8554" t="s">
        <v>6826</v>
      </c>
      <c r="H8554" t="s">
        <v>6910</v>
      </c>
      <c r="I8554">
        <v>0</v>
      </c>
      <c r="J8554" t="s">
        <v>6793</v>
      </c>
      <c r="K8554" t="s">
        <v>6819</v>
      </c>
      <c r="L8554" t="s">
        <v>285</v>
      </c>
      <c r="M8554" t="str">
        <f>"05"</f>
        <v>05</v>
      </c>
      <c r="N8554" t="s">
        <v>12</v>
      </c>
    </row>
    <row r="8555" spans="1:14" x14ac:dyDescent="0.25">
      <c r="A8555">
        <v>20160520</v>
      </c>
      <c r="B8555" t="str">
        <f>"063514"</f>
        <v>063514</v>
      </c>
      <c r="C8555" t="str">
        <f t="shared" si="639"/>
        <v>00369</v>
      </c>
      <c r="D8555" t="s">
        <v>6790</v>
      </c>
      <c r="E8555" s="3">
        <v>2907.8</v>
      </c>
      <c r="F8555">
        <v>20160518</v>
      </c>
      <c r="G8555" t="s">
        <v>6828</v>
      </c>
      <c r="H8555" t="s">
        <v>6911</v>
      </c>
      <c r="I8555">
        <v>0</v>
      </c>
      <c r="J8555" t="s">
        <v>6793</v>
      </c>
      <c r="K8555" t="s">
        <v>6819</v>
      </c>
      <c r="L8555" t="s">
        <v>285</v>
      </c>
      <c r="M8555" t="str">
        <f>"05"</f>
        <v>05</v>
      </c>
      <c r="N8555" t="s">
        <v>12</v>
      </c>
    </row>
    <row r="8556" spans="1:14" x14ac:dyDescent="0.25">
      <c r="A8556">
        <v>20160610</v>
      </c>
      <c r="B8556" t="str">
        <f>"063705"</f>
        <v>063705</v>
      </c>
      <c r="C8556" t="str">
        <f t="shared" si="639"/>
        <v>00369</v>
      </c>
      <c r="D8556" t="s">
        <v>6790</v>
      </c>
      <c r="E8556" s="3">
        <v>-22731.05</v>
      </c>
      <c r="F8556">
        <v>20160525</v>
      </c>
      <c r="G8556" t="s">
        <v>6820</v>
      </c>
      <c r="H8556" t="s">
        <v>6873</v>
      </c>
      <c r="I8556">
        <v>0</v>
      </c>
      <c r="J8556" t="s">
        <v>6793</v>
      </c>
      <c r="K8556" t="s">
        <v>235</v>
      </c>
      <c r="L8556" t="s">
        <v>1385</v>
      </c>
      <c r="M8556" t="str">
        <f t="shared" ref="M8556:M8565" si="640">"06"</f>
        <v>06</v>
      </c>
      <c r="N8556" t="s">
        <v>12</v>
      </c>
    </row>
    <row r="8557" spans="1:14" x14ac:dyDescent="0.25">
      <c r="A8557">
        <v>20160610</v>
      </c>
      <c r="B8557" t="str">
        <f>"063705"</f>
        <v>063705</v>
      </c>
      <c r="C8557" t="str">
        <f t="shared" si="639"/>
        <v>00369</v>
      </c>
      <c r="D8557" t="s">
        <v>6790</v>
      </c>
      <c r="E8557" s="3">
        <v>43796.25</v>
      </c>
      <c r="F8557">
        <v>20160607</v>
      </c>
      <c r="G8557" t="s">
        <v>6822</v>
      </c>
      <c r="H8557" t="s">
        <v>6912</v>
      </c>
      <c r="I8557">
        <v>0</v>
      </c>
      <c r="J8557" t="s">
        <v>6793</v>
      </c>
      <c r="K8557" t="s">
        <v>6819</v>
      </c>
      <c r="L8557" t="s">
        <v>285</v>
      </c>
      <c r="M8557" t="str">
        <f t="shared" si="640"/>
        <v>06</v>
      </c>
      <c r="N8557" t="s">
        <v>12</v>
      </c>
    </row>
    <row r="8558" spans="1:14" x14ac:dyDescent="0.25">
      <c r="A8558">
        <v>20160610</v>
      </c>
      <c r="B8558" t="str">
        <f>"063705"</f>
        <v>063705</v>
      </c>
      <c r="C8558" t="str">
        <f t="shared" si="639"/>
        <v>00369</v>
      </c>
      <c r="D8558" t="s">
        <v>6790</v>
      </c>
      <c r="E8558" s="3">
        <v>86890.73</v>
      </c>
      <c r="F8558">
        <v>20160607</v>
      </c>
      <c r="G8558" t="s">
        <v>6824</v>
      </c>
      <c r="H8558" t="s">
        <v>6913</v>
      </c>
      <c r="I8558">
        <v>0</v>
      </c>
      <c r="J8558" t="s">
        <v>6793</v>
      </c>
      <c r="K8558" t="s">
        <v>6819</v>
      </c>
      <c r="L8558" t="s">
        <v>285</v>
      </c>
      <c r="M8558" t="str">
        <f t="shared" si="640"/>
        <v>06</v>
      </c>
      <c r="N8558" t="s">
        <v>12</v>
      </c>
    </row>
    <row r="8559" spans="1:14" x14ac:dyDescent="0.25">
      <c r="A8559">
        <v>20160610</v>
      </c>
      <c r="B8559" t="str">
        <f>"063705"</f>
        <v>063705</v>
      </c>
      <c r="C8559" t="str">
        <f t="shared" si="639"/>
        <v>00369</v>
      </c>
      <c r="D8559" t="s">
        <v>6790</v>
      </c>
      <c r="E8559" s="3">
        <v>53307.59</v>
      </c>
      <c r="F8559">
        <v>20160607</v>
      </c>
      <c r="G8559" t="s">
        <v>6826</v>
      </c>
      <c r="H8559" t="s">
        <v>6914</v>
      </c>
      <c r="I8559">
        <v>0</v>
      </c>
      <c r="J8559" t="s">
        <v>6793</v>
      </c>
      <c r="K8559" t="s">
        <v>6819</v>
      </c>
      <c r="L8559" t="s">
        <v>285</v>
      </c>
      <c r="M8559" t="str">
        <f t="shared" si="640"/>
        <v>06</v>
      </c>
      <c r="N8559" t="s">
        <v>12</v>
      </c>
    </row>
    <row r="8560" spans="1:14" x14ac:dyDescent="0.25">
      <c r="A8560">
        <v>20160610</v>
      </c>
      <c r="B8560" t="str">
        <f>"063705"</f>
        <v>063705</v>
      </c>
      <c r="C8560" t="str">
        <f t="shared" si="639"/>
        <v>00369</v>
      </c>
      <c r="D8560" t="s">
        <v>6790</v>
      </c>
      <c r="E8560" s="3">
        <v>2736.3</v>
      </c>
      <c r="F8560">
        <v>20160607</v>
      </c>
      <c r="G8560" t="s">
        <v>6828</v>
      </c>
      <c r="H8560" t="s">
        <v>6915</v>
      </c>
      <c r="I8560">
        <v>0</v>
      </c>
      <c r="J8560" t="s">
        <v>6793</v>
      </c>
      <c r="K8560" t="s">
        <v>6819</v>
      </c>
      <c r="L8560" t="s">
        <v>285</v>
      </c>
      <c r="M8560" t="str">
        <f t="shared" si="640"/>
        <v>06</v>
      </c>
      <c r="N8560" t="s">
        <v>12</v>
      </c>
    </row>
    <row r="8561" spans="1:14" x14ac:dyDescent="0.25">
      <c r="A8561">
        <v>20160610</v>
      </c>
      <c r="B8561" t="str">
        <f>"063777"</f>
        <v>063777</v>
      </c>
      <c r="C8561" t="str">
        <f>"43880"</f>
        <v>43880</v>
      </c>
      <c r="D8561" t="s">
        <v>6916</v>
      </c>
      <c r="E8561" s="3">
        <v>26769.19</v>
      </c>
      <c r="F8561">
        <v>20160607</v>
      </c>
      <c r="G8561" t="s">
        <v>6917</v>
      </c>
      <c r="H8561" t="s">
        <v>6918</v>
      </c>
      <c r="I8561">
        <v>0</v>
      </c>
      <c r="J8561" t="s">
        <v>6793</v>
      </c>
      <c r="K8561" t="s">
        <v>33</v>
      </c>
      <c r="L8561" t="s">
        <v>285</v>
      </c>
      <c r="M8561" t="str">
        <f t="shared" si="640"/>
        <v>06</v>
      </c>
      <c r="N8561" t="s">
        <v>12</v>
      </c>
    </row>
    <row r="8562" spans="1:14" x14ac:dyDescent="0.25">
      <c r="A8562">
        <v>20160610</v>
      </c>
      <c r="B8562" t="str">
        <f>"063777"</f>
        <v>063777</v>
      </c>
      <c r="C8562" t="str">
        <f>"43880"</f>
        <v>43880</v>
      </c>
      <c r="D8562" t="s">
        <v>6916</v>
      </c>
      <c r="E8562" s="3">
        <v>3373.14</v>
      </c>
      <c r="F8562">
        <v>20160607</v>
      </c>
      <c r="G8562" t="s">
        <v>6919</v>
      </c>
      <c r="H8562" t="s">
        <v>6918</v>
      </c>
      <c r="I8562">
        <v>0</v>
      </c>
      <c r="J8562" t="s">
        <v>6793</v>
      </c>
      <c r="K8562" t="s">
        <v>33</v>
      </c>
      <c r="L8562" t="s">
        <v>285</v>
      </c>
      <c r="M8562" t="str">
        <f t="shared" si="640"/>
        <v>06</v>
      </c>
      <c r="N8562" t="s">
        <v>12</v>
      </c>
    </row>
    <row r="8563" spans="1:14" x14ac:dyDescent="0.25">
      <c r="A8563">
        <v>20160623</v>
      </c>
      <c r="B8563" t="str">
        <f>"064003"</f>
        <v>064003</v>
      </c>
      <c r="C8563" t="str">
        <f>"77068"</f>
        <v>77068</v>
      </c>
      <c r="D8563" t="s">
        <v>1929</v>
      </c>
      <c r="E8563" s="3">
        <v>278.5</v>
      </c>
      <c r="F8563">
        <v>20160623</v>
      </c>
      <c r="G8563" t="s">
        <v>6856</v>
      </c>
      <c r="H8563" t="s">
        <v>6920</v>
      </c>
      <c r="I8563">
        <v>0</v>
      </c>
      <c r="J8563" t="s">
        <v>6793</v>
      </c>
      <c r="K8563" t="s">
        <v>1643</v>
      </c>
      <c r="L8563" t="s">
        <v>285</v>
      </c>
      <c r="M8563" t="str">
        <f t="shared" si="640"/>
        <v>06</v>
      </c>
      <c r="N8563" t="s">
        <v>12</v>
      </c>
    </row>
    <row r="8564" spans="1:14" x14ac:dyDescent="0.25">
      <c r="A8564">
        <v>20160623</v>
      </c>
      <c r="B8564" t="str">
        <f>"064003"</f>
        <v>064003</v>
      </c>
      <c r="C8564" t="str">
        <f>"77068"</f>
        <v>77068</v>
      </c>
      <c r="D8564" t="s">
        <v>1929</v>
      </c>
      <c r="E8564" s="3">
        <v>500</v>
      </c>
      <c r="F8564">
        <v>20160623</v>
      </c>
      <c r="G8564" t="s">
        <v>6839</v>
      </c>
      <c r="H8564" t="s">
        <v>6921</v>
      </c>
      <c r="I8564">
        <v>0</v>
      </c>
      <c r="J8564" t="s">
        <v>6793</v>
      </c>
      <c r="K8564" t="s">
        <v>33</v>
      </c>
      <c r="L8564" t="s">
        <v>285</v>
      </c>
      <c r="M8564" t="str">
        <f t="shared" si="640"/>
        <v>06</v>
      </c>
      <c r="N8564" t="s">
        <v>12</v>
      </c>
    </row>
    <row r="8565" spans="1:14" x14ac:dyDescent="0.25">
      <c r="A8565">
        <v>20160623</v>
      </c>
      <c r="B8565" t="str">
        <f>"064003"</f>
        <v>064003</v>
      </c>
      <c r="C8565" t="str">
        <f>"77068"</f>
        <v>77068</v>
      </c>
      <c r="D8565" t="s">
        <v>1929</v>
      </c>
      <c r="E8565" s="3">
        <v>266.57</v>
      </c>
      <c r="F8565">
        <v>20160623</v>
      </c>
      <c r="G8565" t="s">
        <v>6839</v>
      </c>
      <c r="H8565" t="s">
        <v>6921</v>
      </c>
      <c r="I8565">
        <v>0</v>
      </c>
      <c r="J8565" t="s">
        <v>6793</v>
      </c>
      <c r="K8565" t="s">
        <v>33</v>
      </c>
      <c r="L8565" t="s">
        <v>285</v>
      </c>
      <c r="M8565" t="str">
        <f t="shared" si="640"/>
        <v>06</v>
      </c>
      <c r="N8565" t="s">
        <v>12</v>
      </c>
    </row>
    <row r="8566" spans="1:14" x14ac:dyDescent="0.25">
      <c r="A8566">
        <v>20160715</v>
      </c>
      <c r="B8566" t="str">
        <f>"064068"</f>
        <v>064068</v>
      </c>
      <c r="C8566" t="str">
        <f>"46369"</f>
        <v>46369</v>
      </c>
      <c r="D8566" t="s">
        <v>1991</v>
      </c>
      <c r="E8566" s="3">
        <v>195</v>
      </c>
      <c r="F8566">
        <v>20160713</v>
      </c>
      <c r="G8566" t="s">
        <v>6832</v>
      </c>
      <c r="H8566" t="s">
        <v>6922</v>
      </c>
      <c r="I8566">
        <v>0</v>
      </c>
      <c r="J8566" t="s">
        <v>6793</v>
      </c>
      <c r="K8566" t="s">
        <v>290</v>
      </c>
      <c r="L8566" t="s">
        <v>285</v>
      </c>
      <c r="M8566" t="str">
        <f t="shared" ref="M8566:M8582" si="641">"07"</f>
        <v>07</v>
      </c>
      <c r="N8566" t="s">
        <v>12</v>
      </c>
    </row>
    <row r="8567" spans="1:14" x14ac:dyDescent="0.25">
      <c r="A8567">
        <v>20160715</v>
      </c>
      <c r="B8567" t="str">
        <f>"064068"</f>
        <v>064068</v>
      </c>
      <c r="C8567" t="str">
        <f>"46369"</f>
        <v>46369</v>
      </c>
      <c r="D8567" t="s">
        <v>1991</v>
      </c>
      <c r="E8567" s="3">
        <v>195</v>
      </c>
      <c r="F8567">
        <v>20160713</v>
      </c>
      <c r="G8567" t="s">
        <v>6834</v>
      </c>
      <c r="H8567" t="s">
        <v>6922</v>
      </c>
      <c r="I8567">
        <v>0</v>
      </c>
      <c r="J8567" t="s">
        <v>6793</v>
      </c>
      <c r="K8567" t="s">
        <v>95</v>
      </c>
      <c r="L8567" t="s">
        <v>285</v>
      </c>
      <c r="M8567" t="str">
        <f t="shared" si="641"/>
        <v>07</v>
      </c>
      <c r="N8567" t="s">
        <v>12</v>
      </c>
    </row>
    <row r="8568" spans="1:14" x14ac:dyDescent="0.25">
      <c r="A8568">
        <v>20160715</v>
      </c>
      <c r="B8568" t="str">
        <f>"064068"</f>
        <v>064068</v>
      </c>
      <c r="C8568" t="str">
        <f>"46369"</f>
        <v>46369</v>
      </c>
      <c r="D8568" t="s">
        <v>1991</v>
      </c>
      <c r="E8568" s="3">
        <v>195</v>
      </c>
      <c r="F8568">
        <v>20160713</v>
      </c>
      <c r="G8568" t="s">
        <v>6835</v>
      </c>
      <c r="H8568" t="s">
        <v>6922</v>
      </c>
      <c r="I8568">
        <v>0</v>
      </c>
      <c r="J8568" t="s">
        <v>6793</v>
      </c>
      <c r="K8568" t="s">
        <v>1643</v>
      </c>
      <c r="L8568" t="s">
        <v>285</v>
      </c>
      <c r="M8568" t="str">
        <f t="shared" si="641"/>
        <v>07</v>
      </c>
      <c r="N8568" t="s">
        <v>12</v>
      </c>
    </row>
    <row r="8569" spans="1:14" x14ac:dyDescent="0.25">
      <c r="A8569">
        <v>20160715</v>
      </c>
      <c r="B8569" t="str">
        <f>"064068"</f>
        <v>064068</v>
      </c>
      <c r="C8569" t="str">
        <f>"46369"</f>
        <v>46369</v>
      </c>
      <c r="D8569" t="s">
        <v>1991</v>
      </c>
      <c r="E8569" s="3">
        <v>195</v>
      </c>
      <c r="F8569">
        <v>20160713</v>
      </c>
      <c r="G8569" t="s">
        <v>6836</v>
      </c>
      <c r="H8569" t="s">
        <v>6922</v>
      </c>
      <c r="I8569">
        <v>0</v>
      </c>
      <c r="J8569" t="s">
        <v>6793</v>
      </c>
      <c r="K8569" t="s">
        <v>33</v>
      </c>
      <c r="L8569" t="s">
        <v>285</v>
      </c>
      <c r="M8569" t="str">
        <f t="shared" si="641"/>
        <v>07</v>
      </c>
      <c r="N8569" t="s">
        <v>12</v>
      </c>
    </row>
    <row r="8570" spans="1:14" x14ac:dyDescent="0.25">
      <c r="A8570">
        <v>20160715</v>
      </c>
      <c r="B8570" t="str">
        <f>"064098"</f>
        <v>064098</v>
      </c>
      <c r="C8570" t="str">
        <f>"73874"</f>
        <v>73874</v>
      </c>
      <c r="D8570" t="s">
        <v>3136</v>
      </c>
      <c r="E8570" s="3">
        <v>750</v>
      </c>
      <c r="F8570">
        <v>20160714</v>
      </c>
      <c r="G8570" t="s">
        <v>6832</v>
      </c>
      <c r="H8570" t="s">
        <v>6923</v>
      </c>
      <c r="I8570">
        <v>0</v>
      </c>
      <c r="J8570" t="s">
        <v>6793</v>
      </c>
      <c r="K8570" t="s">
        <v>290</v>
      </c>
      <c r="L8570" t="s">
        <v>285</v>
      </c>
      <c r="M8570" t="str">
        <f t="shared" si="641"/>
        <v>07</v>
      </c>
      <c r="N8570" t="s">
        <v>12</v>
      </c>
    </row>
    <row r="8571" spans="1:14" x14ac:dyDescent="0.25">
      <c r="A8571">
        <v>20160715</v>
      </c>
      <c r="B8571" t="str">
        <f>"064098"</f>
        <v>064098</v>
      </c>
      <c r="C8571" t="str">
        <f>"73874"</f>
        <v>73874</v>
      </c>
      <c r="D8571" t="s">
        <v>3136</v>
      </c>
      <c r="E8571" s="3">
        <v>750</v>
      </c>
      <c r="F8571">
        <v>20160714</v>
      </c>
      <c r="G8571" t="s">
        <v>6834</v>
      </c>
      <c r="H8571" t="s">
        <v>6923</v>
      </c>
      <c r="I8571">
        <v>0</v>
      </c>
      <c r="J8571" t="s">
        <v>6793</v>
      </c>
      <c r="K8571" t="s">
        <v>95</v>
      </c>
      <c r="L8571" t="s">
        <v>285</v>
      </c>
      <c r="M8571" t="str">
        <f t="shared" si="641"/>
        <v>07</v>
      </c>
      <c r="N8571" t="s">
        <v>12</v>
      </c>
    </row>
    <row r="8572" spans="1:14" x14ac:dyDescent="0.25">
      <c r="A8572">
        <v>20160715</v>
      </c>
      <c r="B8572" t="str">
        <f>"064098"</f>
        <v>064098</v>
      </c>
      <c r="C8572" t="str">
        <f>"73874"</f>
        <v>73874</v>
      </c>
      <c r="D8572" t="s">
        <v>3136</v>
      </c>
      <c r="E8572" s="3">
        <v>900</v>
      </c>
      <c r="F8572">
        <v>20160714</v>
      </c>
      <c r="G8572" t="s">
        <v>6835</v>
      </c>
      <c r="H8572" t="s">
        <v>6923</v>
      </c>
      <c r="I8572">
        <v>0</v>
      </c>
      <c r="J8572" t="s">
        <v>6793</v>
      </c>
      <c r="K8572" t="s">
        <v>1643</v>
      </c>
      <c r="L8572" t="s">
        <v>285</v>
      </c>
      <c r="M8572" t="str">
        <f t="shared" si="641"/>
        <v>07</v>
      </c>
      <c r="N8572" t="s">
        <v>12</v>
      </c>
    </row>
    <row r="8573" spans="1:14" x14ac:dyDescent="0.25">
      <c r="A8573">
        <v>20160715</v>
      </c>
      <c r="B8573" t="str">
        <f>"064098"</f>
        <v>064098</v>
      </c>
      <c r="C8573" t="str">
        <f>"73874"</f>
        <v>73874</v>
      </c>
      <c r="D8573" t="s">
        <v>3136</v>
      </c>
      <c r="E8573" s="3">
        <v>750</v>
      </c>
      <c r="F8573">
        <v>20160714</v>
      </c>
      <c r="G8573" t="s">
        <v>6836</v>
      </c>
      <c r="H8573" t="s">
        <v>6923</v>
      </c>
      <c r="I8573">
        <v>0</v>
      </c>
      <c r="J8573" t="s">
        <v>6793</v>
      </c>
      <c r="K8573" t="s">
        <v>33</v>
      </c>
      <c r="L8573" t="s">
        <v>285</v>
      </c>
      <c r="M8573" t="str">
        <f t="shared" si="641"/>
        <v>07</v>
      </c>
      <c r="N8573" t="s">
        <v>12</v>
      </c>
    </row>
    <row r="8574" spans="1:14" x14ac:dyDescent="0.25">
      <c r="A8574">
        <v>20160722</v>
      </c>
      <c r="B8574" t="str">
        <f>"064109"</f>
        <v>064109</v>
      </c>
      <c r="C8574" t="str">
        <f>"00369"</f>
        <v>00369</v>
      </c>
      <c r="D8574" t="s">
        <v>6790</v>
      </c>
      <c r="E8574" s="3">
        <v>-82.97</v>
      </c>
      <c r="F8574">
        <v>20160629</v>
      </c>
      <c r="G8574" t="s">
        <v>6820</v>
      </c>
      <c r="H8574" t="s">
        <v>6873</v>
      </c>
      <c r="I8574">
        <v>0</v>
      </c>
      <c r="J8574" t="s">
        <v>6793</v>
      </c>
      <c r="K8574" t="s">
        <v>235</v>
      </c>
      <c r="L8574" t="s">
        <v>1385</v>
      </c>
      <c r="M8574" t="str">
        <f t="shared" si="641"/>
        <v>07</v>
      </c>
      <c r="N8574" t="s">
        <v>12</v>
      </c>
    </row>
    <row r="8575" spans="1:14" x14ac:dyDescent="0.25">
      <c r="A8575">
        <v>20160722</v>
      </c>
      <c r="B8575" t="str">
        <f>"064109"</f>
        <v>064109</v>
      </c>
      <c r="C8575" t="str">
        <f>"00369"</f>
        <v>00369</v>
      </c>
      <c r="D8575" t="s">
        <v>6790</v>
      </c>
      <c r="E8575" s="3">
        <v>435</v>
      </c>
      <c r="F8575">
        <v>20160720</v>
      </c>
      <c r="G8575" t="s">
        <v>6822</v>
      </c>
      <c r="H8575" t="s">
        <v>6924</v>
      </c>
      <c r="I8575">
        <v>0</v>
      </c>
      <c r="J8575" t="s">
        <v>6793</v>
      </c>
      <c r="K8575" t="s">
        <v>6819</v>
      </c>
      <c r="L8575" t="s">
        <v>285</v>
      </c>
      <c r="M8575" t="str">
        <f t="shared" si="641"/>
        <v>07</v>
      </c>
      <c r="N8575" t="s">
        <v>12</v>
      </c>
    </row>
    <row r="8576" spans="1:14" x14ac:dyDescent="0.25">
      <c r="A8576">
        <v>20160722</v>
      </c>
      <c r="B8576" t="str">
        <f>"064109"</f>
        <v>064109</v>
      </c>
      <c r="C8576" t="str">
        <f>"00369"</f>
        <v>00369</v>
      </c>
      <c r="D8576" t="s">
        <v>6790</v>
      </c>
      <c r="E8576" s="3">
        <v>1829.17</v>
      </c>
      <c r="F8576">
        <v>20160720</v>
      </c>
      <c r="G8576" t="s">
        <v>6824</v>
      </c>
      <c r="H8576" t="s">
        <v>6925</v>
      </c>
      <c r="I8576">
        <v>0</v>
      </c>
      <c r="J8576" t="s">
        <v>6793</v>
      </c>
      <c r="K8576" t="s">
        <v>6819</v>
      </c>
      <c r="L8576" t="s">
        <v>285</v>
      </c>
      <c r="M8576" t="str">
        <f t="shared" si="641"/>
        <v>07</v>
      </c>
      <c r="N8576" t="s">
        <v>12</v>
      </c>
    </row>
    <row r="8577" spans="1:14" x14ac:dyDescent="0.25">
      <c r="A8577">
        <v>20160722</v>
      </c>
      <c r="B8577" t="str">
        <f>"064109"</f>
        <v>064109</v>
      </c>
      <c r="C8577" t="str">
        <f>"00369"</f>
        <v>00369</v>
      </c>
      <c r="D8577" t="s">
        <v>6790</v>
      </c>
      <c r="E8577" s="3">
        <v>833.01</v>
      </c>
      <c r="F8577">
        <v>20160720</v>
      </c>
      <c r="G8577" t="s">
        <v>6826</v>
      </c>
      <c r="H8577" t="s">
        <v>6926</v>
      </c>
      <c r="I8577">
        <v>0</v>
      </c>
      <c r="J8577" t="s">
        <v>6793</v>
      </c>
      <c r="K8577" t="s">
        <v>6819</v>
      </c>
      <c r="L8577" t="s">
        <v>285</v>
      </c>
      <c r="M8577" t="str">
        <f t="shared" si="641"/>
        <v>07</v>
      </c>
      <c r="N8577" t="s">
        <v>12</v>
      </c>
    </row>
    <row r="8578" spans="1:14" x14ac:dyDescent="0.25">
      <c r="A8578">
        <v>20160722</v>
      </c>
      <c r="B8578" t="str">
        <f>"064109"</f>
        <v>064109</v>
      </c>
      <c r="C8578" t="str">
        <f>"00369"</f>
        <v>00369</v>
      </c>
      <c r="D8578" t="s">
        <v>6790</v>
      </c>
      <c r="E8578" s="3">
        <v>179.9</v>
      </c>
      <c r="F8578">
        <v>20160720</v>
      </c>
      <c r="G8578" t="s">
        <v>6828</v>
      </c>
      <c r="H8578" t="s">
        <v>6927</v>
      </c>
      <c r="I8578">
        <v>0</v>
      </c>
      <c r="J8578" t="s">
        <v>6793</v>
      </c>
      <c r="K8578" t="s">
        <v>6819</v>
      </c>
      <c r="L8578" t="s">
        <v>285</v>
      </c>
      <c r="M8578" t="str">
        <f t="shared" si="641"/>
        <v>07</v>
      </c>
      <c r="N8578" t="s">
        <v>12</v>
      </c>
    </row>
    <row r="8579" spans="1:14" x14ac:dyDescent="0.25">
      <c r="A8579">
        <v>20160722</v>
      </c>
      <c r="B8579" t="str">
        <f>"064120"</f>
        <v>064120</v>
      </c>
      <c r="C8579" t="str">
        <f>"19076"</f>
        <v>19076</v>
      </c>
      <c r="D8579" t="s">
        <v>6867</v>
      </c>
      <c r="E8579" s="3">
        <v>375</v>
      </c>
      <c r="F8579">
        <v>20160720</v>
      </c>
      <c r="G8579" t="s">
        <v>6837</v>
      </c>
      <c r="H8579" t="s">
        <v>6928</v>
      </c>
      <c r="I8579">
        <v>0</v>
      </c>
      <c r="J8579" t="s">
        <v>6793</v>
      </c>
      <c r="K8579" t="s">
        <v>290</v>
      </c>
      <c r="L8579" t="s">
        <v>285</v>
      </c>
      <c r="M8579" t="str">
        <f t="shared" si="641"/>
        <v>07</v>
      </c>
      <c r="N8579" t="s">
        <v>12</v>
      </c>
    </row>
    <row r="8580" spans="1:14" x14ac:dyDescent="0.25">
      <c r="A8580">
        <v>20160722</v>
      </c>
      <c r="B8580" t="str">
        <f>"064120"</f>
        <v>064120</v>
      </c>
      <c r="C8580" t="str">
        <f>"19076"</f>
        <v>19076</v>
      </c>
      <c r="D8580" t="s">
        <v>6867</v>
      </c>
      <c r="E8580" s="3">
        <v>375</v>
      </c>
      <c r="F8580">
        <v>20160720</v>
      </c>
      <c r="G8580" t="s">
        <v>6830</v>
      </c>
      <c r="H8580" t="s">
        <v>6928</v>
      </c>
      <c r="I8580">
        <v>0</v>
      </c>
      <c r="J8580" t="s">
        <v>6793</v>
      </c>
      <c r="K8580" t="s">
        <v>95</v>
      </c>
      <c r="L8580" t="s">
        <v>285</v>
      </c>
      <c r="M8580" t="str">
        <f t="shared" si="641"/>
        <v>07</v>
      </c>
      <c r="N8580" t="s">
        <v>12</v>
      </c>
    </row>
    <row r="8581" spans="1:14" x14ac:dyDescent="0.25">
      <c r="A8581">
        <v>20160722</v>
      </c>
      <c r="B8581" t="str">
        <f>"064120"</f>
        <v>064120</v>
      </c>
      <c r="C8581" t="str">
        <f>"19076"</f>
        <v>19076</v>
      </c>
      <c r="D8581" t="s">
        <v>6867</v>
      </c>
      <c r="E8581" s="3">
        <v>375</v>
      </c>
      <c r="F8581">
        <v>20160720</v>
      </c>
      <c r="G8581" t="s">
        <v>6856</v>
      </c>
      <c r="H8581" t="s">
        <v>6928</v>
      </c>
      <c r="I8581">
        <v>0</v>
      </c>
      <c r="J8581" t="s">
        <v>6793</v>
      </c>
      <c r="K8581" t="s">
        <v>1643</v>
      </c>
      <c r="L8581" t="s">
        <v>285</v>
      </c>
      <c r="M8581" t="str">
        <f t="shared" si="641"/>
        <v>07</v>
      </c>
      <c r="N8581" t="s">
        <v>12</v>
      </c>
    </row>
    <row r="8582" spans="1:14" x14ac:dyDescent="0.25">
      <c r="A8582">
        <v>20160722</v>
      </c>
      <c r="B8582" t="str">
        <f>"064120"</f>
        <v>064120</v>
      </c>
      <c r="C8582" t="str">
        <f>"19076"</f>
        <v>19076</v>
      </c>
      <c r="D8582" t="s">
        <v>6867</v>
      </c>
      <c r="E8582" s="3">
        <v>375</v>
      </c>
      <c r="F8582">
        <v>20160720</v>
      </c>
      <c r="G8582" t="s">
        <v>6839</v>
      </c>
      <c r="H8582" t="s">
        <v>6928</v>
      </c>
      <c r="I8582">
        <v>0</v>
      </c>
      <c r="J8582" t="s">
        <v>6793</v>
      </c>
      <c r="K8582" t="s">
        <v>33</v>
      </c>
      <c r="L8582" t="s">
        <v>285</v>
      </c>
      <c r="M8582" t="str">
        <f t="shared" si="641"/>
        <v>07</v>
      </c>
      <c r="N8582" t="s">
        <v>12</v>
      </c>
    </row>
    <row r="8583" spans="1:14" x14ac:dyDescent="0.25">
      <c r="A8583">
        <v>20160805</v>
      </c>
      <c r="B8583" t="str">
        <f>"064254"</f>
        <v>064254</v>
      </c>
      <c r="C8583" t="str">
        <f>"10027"</f>
        <v>10027</v>
      </c>
      <c r="D8583" t="s">
        <v>6929</v>
      </c>
      <c r="E8583" s="3">
        <v>1563.29</v>
      </c>
      <c r="F8583">
        <v>20160804</v>
      </c>
      <c r="G8583" t="s">
        <v>6930</v>
      </c>
      <c r="H8583" t="s">
        <v>6931</v>
      </c>
      <c r="I8583">
        <v>0</v>
      </c>
      <c r="J8583" t="s">
        <v>6793</v>
      </c>
      <c r="K8583" t="s">
        <v>1643</v>
      </c>
      <c r="L8583" t="s">
        <v>285</v>
      </c>
      <c r="M8583" t="str">
        <f t="shared" ref="M8583:M8595" si="642">"08"</f>
        <v>08</v>
      </c>
      <c r="N8583" t="s">
        <v>12</v>
      </c>
    </row>
    <row r="8584" spans="1:14" x14ac:dyDescent="0.25">
      <c r="A8584">
        <v>20160819</v>
      </c>
      <c r="B8584" t="str">
        <f>"064401"</f>
        <v>064401</v>
      </c>
      <c r="C8584" t="str">
        <f>"00369"</f>
        <v>00369</v>
      </c>
      <c r="D8584" t="s">
        <v>6790</v>
      </c>
      <c r="E8584" s="3">
        <v>16185.6</v>
      </c>
      <c r="F8584">
        <v>20160817</v>
      </c>
      <c r="G8584" t="s">
        <v>6822</v>
      </c>
      <c r="H8584" t="s">
        <v>6932</v>
      </c>
      <c r="I8584">
        <v>0</v>
      </c>
      <c r="J8584" t="s">
        <v>6793</v>
      </c>
      <c r="K8584" t="s">
        <v>6819</v>
      </c>
      <c r="L8584" t="s">
        <v>285</v>
      </c>
      <c r="M8584" t="str">
        <f t="shared" si="642"/>
        <v>08</v>
      </c>
      <c r="N8584" t="s">
        <v>12</v>
      </c>
    </row>
    <row r="8585" spans="1:14" x14ac:dyDescent="0.25">
      <c r="A8585">
        <v>20160819</v>
      </c>
      <c r="B8585" t="str">
        <f>"064401"</f>
        <v>064401</v>
      </c>
      <c r="C8585" t="str">
        <f>"00369"</f>
        <v>00369</v>
      </c>
      <c r="D8585" t="s">
        <v>6790</v>
      </c>
      <c r="E8585" s="3">
        <v>30100.36</v>
      </c>
      <c r="F8585">
        <v>20160817</v>
      </c>
      <c r="G8585" t="s">
        <v>6824</v>
      </c>
      <c r="H8585" t="s">
        <v>6933</v>
      </c>
      <c r="I8585">
        <v>0</v>
      </c>
      <c r="J8585" t="s">
        <v>6793</v>
      </c>
      <c r="K8585" t="s">
        <v>6819</v>
      </c>
      <c r="L8585" t="s">
        <v>285</v>
      </c>
      <c r="M8585" t="str">
        <f t="shared" si="642"/>
        <v>08</v>
      </c>
      <c r="N8585" t="s">
        <v>12</v>
      </c>
    </row>
    <row r="8586" spans="1:14" x14ac:dyDescent="0.25">
      <c r="A8586">
        <v>20160819</v>
      </c>
      <c r="B8586" t="str">
        <f>"064401"</f>
        <v>064401</v>
      </c>
      <c r="C8586" t="str">
        <f>"00369"</f>
        <v>00369</v>
      </c>
      <c r="D8586" t="s">
        <v>6790</v>
      </c>
      <c r="E8586" s="3">
        <v>19786</v>
      </c>
      <c r="F8586">
        <v>20160817</v>
      </c>
      <c r="G8586" t="s">
        <v>6826</v>
      </c>
      <c r="H8586" t="s">
        <v>6934</v>
      </c>
      <c r="I8586">
        <v>0</v>
      </c>
      <c r="J8586" t="s">
        <v>6793</v>
      </c>
      <c r="K8586" t="s">
        <v>6819</v>
      </c>
      <c r="L8586" t="s">
        <v>285</v>
      </c>
      <c r="M8586" t="str">
        <f t="shared" si="642"/>
        <v>08</v>
      </c>
      <c r="N8586" t="s">
        <v>12</v>
      </c>
    </row>
    <row r="8587" spans="1:14" x14ac:dyDescent="0.25">
      <c r="A8587">
        <v>20160819</v>
      </c>
      <c r="B8587" t="str">
        <f>"064401"</f>
        <v>064401</v>
      </c>
      <c r="C8587" t="str">
        <f>"00369"</f>
        <v>00369</v>
      </c>
      <c r="D8587" t="s">
        <v>6790</v>
      </c>
      <c r="E8587" s="3">
        <v>1161.93</v>
      </c>
      <c r="F8587">
        <v>20160817</v>
      </c>
      <c r="G8587" t="s">
        <v>6828</v>
      </c>
      <c r="H8587" t="s">
        <v>6935</v>
      </c>
      <c r="I8587">
        <v>0</v>
      </c>
      <c r="J8587" t="s">
        <v>6793</v>
      </c>
      <c r="K8587" t="s">
        <v>6819</v>
      </c>
      <c r="L8587" t="s">
        <v>285</v>
      </c>
      <c r="M8587" t="str">
        <f t="shared" si="642"/>
        <v>08</v>
      </c>
      <c r="N8587" t="s">
        <v>12</v>
      </c>
    </row>
    <row r="8588" spans="1:14" x14ac:dyDescent="0.25">
      <c r="A8588">
        <v>20160819</v>
      </c>
      <c r="B8588" t="str">
        <f>"064474"</f>
        <v>064474</v>
      </c>
      <c r="C8588" t="str">
        <f>"77068"</f>
        <v>77068</v>
      </c>
      <c r="D8588" t="s">
        <v>1929</v>
      </c>
      <c r="E8588" s="3">
        <v>1340.85</v>
      </c>
      <c r="F8588">
        <v>20160817</v>
      </c>
      <c r="G8588" t="s">
        <v>6837</v>
      </c>
      <c r="H8588" t="s">
        <v>6936</v>
      </c>
      <c r="I8588">
        <v>0</v>
      </c>
      <c r="J8588" t="s">
        <v>6793</v>
      </c>
      <c r="K8588" t="s">
        <v>290</v>
      </c>
      <c r="L8588" t="s">
        <v>285</v>
      </c>
      <c r="M8588" t="str">
        <f t="shared" si="642"/>
        <v>08</v>
      </c>
      <c r="N8588" t="s">
        <v>12</v>
      </c>
    </row>
    <row r="8589" spans="1:14" x14ac:dyDescent="0.25">
      <c r="A8589">
        <v>20160830</v>
      </c>
      <c r="B8589" t="str">
        <f>"064598"</f>
        <v>064598</v>
      </c>
      <c r="C8589" t="str">
        <f>"00369"</f>
        <v>00369</v>
      </c>
      <c r="D8589" t="s">
        <v>6790</v>
      </c>
      <c r="E8589" s="3">
        <v>58024.959999999999</v>
      </c>
      <c r="F8589">
        <v>20160829</v>
      </c>
      <c r="G8589" t="s">
        <v>6822</v>
      </c>
      <c r="H8589" t="s">
        <v>6937</v>
      </c>
      <c r="I8589">
        <v>0</v>
      </c>
      <c r="J8589" t="s">
        <v>6793</v>
      </c>
      <c r="K8589" t="s">
        <v>6819</v>
      </c>
      <c r="L8589" t="s">
        <v>285</v>
      </c>
      <c r="M8589" t="str">
        <f t="shared" si="642"/>
        <v>08</v>
      </c>
      <c r="N8589" t="s">
        <v>12</v>
      </c>
    </row>
    <row r="8590" spans="1:14" x14ac:dyDescent="0.25">
      <c r="A8590">
        <v>20160830</v>
      </c>
      <c r="B8590" t="str">
        <f>"064598"</f>
        <v>064598</v>
      </c>
      <c r="C8590" t="str">
        <f>"00369"</f>
        <v>00369</v>
      </c>
      <c r="D8590" t="s">
        <v>6790</v>
      </c>
      <c r="E8590" s="3">
        <v>106229.9</v>
      </c>
      <c r="F8590">
        <v>20160829</v>
      </c>
      <c r="G8590" t="s">
        <v>6824</v>
      </c>
      <c r="H8590" t="s">
        <v>6938</v>
      </c>
      <c r="I8590">
        <v>0</v>
      </c>
      <c r="J8590" t="s">
        <v>6793</v>
      </c>
      <c r="K8590" t="s">
        <v>6819</v>
      </c>
      <c r="L8590" t="s">
        <v>285</v>
      </c>
      <c r="M8590" t="str">
        <f t="shared" si="642"/>
        <v>08</v>
      </c>
      <c r="N8590" t="s">
        <v>12</v>
      </c>
    </row>
    <row r="8591" spans="1:14" x14ac:dyDescent="0.25">
      <c r="A8591">
        <v>20160830</v>
      </c>
      <c r="B8591" t="str">
        <f>"064598"</f>
        <v>064598</v>
      </c>
      <c r="C8591" t="str">
        <f>"00369"</f>
        <v>00369</v>
      </c>
      <c r="D8591" t="s">
        <v>6790</v>
      </c>
      <c r="E8591" s="3">
        <v>62973.87</v>
      </c>
      <c r="F8591">
        <v>20160829</v>
      </c>
      <c r="G8591" t="s">
        <v>6826</v>
      </c>
      <c r="H8591" t="s">
        <v>6939</v>
      </c>
      <c r="I8591">
        <v>0</v>
      </c>
      <c r="J8591" t="s">
        <v>6793</v>
      </c>
      <c r="K8591" t="s">
        <v>6819</v>
      </c>
      <c r="L8591" t="s">
        <v>285</v>
      </c>
      <c r="M8591" t="str">
        <f t="shared" si="642"/>
        <v>08</v>
      </c>
      <c r="N8591" t="s">
        <v>12</v>
      </c>
    </row>
    <row r="8592" spans="1:14" x14ac:dyDescent="0.25">
      <c r="A8592">
        <v>20160830</v>
      </c>
      <c r="B8592" t="str">
        <f>"064598"</f>
        <v>064598</v>
      </c>
      <c r="C8592" t="str">
        <f>"00369"</f>
        <v>00369</v>
      </c>
      <c r="D8592" t="s">
        <v>6790</v>
      </c>
      <c r="E8592" s="3">
        <v>3859.25</v>
      </c>
      <c r="F8592">
        <v>20160829</v>
      </c>
      <c r="G8592" t="s">
        <v>6828</v>
      </c>
      <c r="H8592" t="s">
        <v>6940</v>
      </c>
      <c r="I8592">
        <v>0</v>
      </c>
      <c r="J8592" t="s">
        <v>6793</v>
      </c>
      <c r="K8592" t="s">
        <v>6819</v>
      </c>
      <c r="L8592" t="s">
        <v>285</v>
      </c>
      <c r="M8592" t="str">
        <f t="shared" si="642"/>
        <v>08</v>
      </c>
      <c r="N8592" t="s">
        <v>12</v>
      </c>
    </row>
    <row r="8593" spans="1:14" x14ac:dyDescent="0.25">
      <c r="A8593">
        <v>20160830</v>
      </c>
      <c r="B8593" t="str">
        <f>"064655"</f>
        <v>064655</v>
      </c>
      <c r="C8593" t="str">
        <f>"77068"</f>
        <v>77068</v>
      </c>
      <c r="D8593" t="s">
        <v>1929</v>
      </c>
      <c r="E8593" s="3">
        <v>2045.59</v>
      </c>
      <c r="F8593">
        <v>20160830</v>
      </c>
      <c r="G8593" t="s">
        <v>6837</v>
      </c>
      <c r="H8593" t="s">
        <v>6941</v>
      </c>
      <c r="I8593">
        <v>0</v>
      </c>
      <c r="J8593" t="s">
        <v>6793</v>
      </c>
      <c r="K8593" t="s">
        <v>290</v>
      </c>
      <c r="L8593" t="s">
        <v>285</v>
      </c>
      <c r="M8593" t="str">
        <f t="shared" si="642"/>
        <v>08</v>
      </c>
      <c r="N8593" t="s">
        <v>12</v>
      </c>
    </row>
    <row r="8594" spans="1:14" x14ac:dyDescent="0.25">
      <c r="A8594">
        <v>20160830</v>
      </c>
      <c r="B8594" t="str">
        <f>"064655"</f>
        <v>064655</v>
      </c>
      <c r="C8594" t="str">
        <f>"77068"</f>
        <v>77068</v>
      </c>
      <c r="D8594" t="s">
        <v>1929</v>
      </c>
      <c r="E8594" s="3">
        <v>388.5</v>
      </c>
      <c r="F8594">
        <v>20160830</v>
      </c>
      <c r="G8594" t="s">
        <v>6856</v>
      </c>
      <c r="H8594" t="s">
        <v>6942</v>
      </c>
      <c r="I8594">
        <v>0</v>
      </c>
      <c r="J8594" t="s">
        <v>6793</v>
      </c>
      <c r="K8594" t="s">
        <v>1643</v>
      </c>
      <c r="L8594" t="s">
        <v>285</v>
      </c>
      <c r="M8594" t="str">
        <f t="shared" si="642"/>
        <v>08</v>
      </c>
      <c r="N8594" t="s">
        <v>12</v>
      </c>
    </row>
    <row r="8595" spans="1:14" x14ac:dyDescent="0.25">
      <c r="A8595">
        <v>20160830</v>
      </c>
      <c r="B8595" t="str">
        <f>"064655"</f>
        <v>064655</v>
      </c>
      <c r="C8595" t="str">
        <f>"77068"</f>
        <v>77068</v>
      </c>
      <c r="D8595" t="s">
        <v>1929</v>
      </c>
      <c r="E8595" s="3">
        <v>1516</v>
      </c>
      <c r="F8595">
        <v>20160830</v>
      </c>
      <c r="G8595" t="s">
        <v>6839</v>
      </c>
      <c r="H8595" t="s">
        <v>6943</v>
      </c>
      <c r="I8595">
        <v>0</v>
      </c>
      <c r="J8595" t="s">
        <v>6793</v>
      </c>
      <c r="K8595" t="s">
        <v>33</v>
      </c>
      <c r="L8595" t="s">
        <v>285</v>
      </c>
      <c r="M8595" t="str">
        <f t="shared" si="642"/>
        <v>08</v>
      </c>
      <c r="N8595" t="s">
        <v>12</v>
      </c>
    </row>
    <row r="8596" spans="1:14" x14ac:dyDescent="0.25">
      <c r="A8596">
        <v>20151023</v>
      </c>
      <c r="B8596" t="str">
        <f>"060892"</f>
        <v>060892</v>
      </c>
      <c r="C8596" t="str">
        <f>"65819"</f>
        <v>65819</v>
      </c>
      <c r="D8596" t="s">
        <v>6738</v>
      </c>
      <c r="E8596" s="3">
        <v>475.62</v>
      </c>
      <c r="F8596">
        <v>20151022</v>
      </c>
      <c r="G8596" t="s">
        <v>6944</v>
      </c>
      <c r="H8596" t="s">
        <v>6945</v>
      </c>
      <c r="I8596">
        <v>0</v>
      </c>
      <c r="J8596" t="s">
        <v>6946</v>
      </c>
      <c r="K8596" t="s">
        <v>290</v>
      </c>
      <c r="L8596" t="s">
        <v>285</v>
      </c>
      <c r="M8596" t="str">
        <f>"10"</f>
        <v>10</v>
      </c>
      <c r="N8596" t="s">
        <v>12</v>
      </c>
    </row>
    <row r="8597" spans="1:14" x14ac:dyDescent="0.25">
      <c r="A8597">
        <v>20151113</v>
      </c>
      <c r="B8597" t="str">
        <f>"061076"</f>
        <v>061076</v>
      </c>
      <c r="C8597" t="str">
        <f>"16807"</f>
        <v>16807</v>
      </c>
      <c r="D8597" t="s">
        <v>1560</v>
      </c>
      <c r="E8597" s="3">
        <v>915.5</v>
      </c>
      <c r="F8597">
        <v>20151112</v>
      </c>
      <c r="G8597" t="s">
        <v>6944</v>
      </c>
      <c r="H8597" t="s">
        <v>6947</v>
      </c>
      <c r="I8597">
        <v>0</v>
      </c>
      <c r="J8597" t="s">
        <v>6946</v>
      </c>
      <c r="K8597" t="s">
        <v>290</v>
      </c>
      <c r="L8597" t="s">
        <v>285</v>
      </c>
      <c r="M8597" t="str">
        <f>"11"</f>
        <v>11</v>
      </c>
      <c r="N8597" t="s">
        <v>12</v>
      </c>
    </row>
    <row r="8598" spans="1:14" x14ac:dyDescent="0.25">
      <c r="A8598">
        <v>20151204</v>
      </c>
      <c r="B8598" t="str">
        <f>"061314"</f>
        <v>061314</v>
      </c>
      <c r="C8598" t="str">
        <f>"45496"</f>
        <v>45496</v>
      </c>
      <c r="D8598" t="s">
        <v>2327</v>
      </c>
      <c r="E8598" s="3">
        <v>247.79</v>
      </c>
      <c r="F8598">
        <v>20151203</v>
      </c>
      <c r="G8598" t="s">
        <v>6944</v>
      </c>
      <c r="H8598" t="s">
        <v>1423</v>
      </c>
      <c r="I8598">
        <v>0</v>
      </c>
      <c r="J8598" t="s">
        <v>6946</v>
      </c>
      <c r="K8598" t="s">
        <v>290</v>
      </c>
      <c r="L8598" t="s">
        <v>285</v>
      </c>
      <c r="M8598" t="str">
        <f>"12"</f>
        <v>12</v>
      </c>
      <c r="N8598" t="s">
        <v>12</v>
      </c>
    </row>
    <row r="8599" spans="1:14" x14ac:dyDescent="0.25">
      <c r="A8599">
        <v>20151211</v>
      </c>
      <c r="B8599" t="str">
        <f>"061471"</f>
        <v>061471</v>
      </c>
      <c r="C8599" t="str">
        <f>"71225"</f>
        <v>71225</v>
      </c>
      <c r="D8599" t="s">
        <v>1920</v>
      </c>
      <c r="E8599" s="3">
        <v>300</v>
      </c>
      <c r="F8599">
        <v>20151211</v>
      </c>
      <c r="G8599" t="s">
        <v>6944</v>
      </c>
      <c r="H8599" t="s">
        <v>6948</v>
      </c>
      <c r="I8599">
        <v>0</v>
      </c>
      <c r="J8599" t="s">
        <v>6946</v>
      </c>
      <c r="K8599" t="s">
        <v>290</v>
      </c>
      <c r="L8599" t="s">
        <v>285</v>
      </c>
      <c r="M8599" t="str">
        <f>"12"</f>
        <v>12</v>
      </c>
      <c r="N8599" t="s">
        <v>12</v>
      </c>
    </row>
    <row r="8600" spans="1:14" x14ac:dyDescent="0.25">
      <c r="A8600">
        <v>20160331</v>
      </c>
      <c r="B8600" t="str">
        <f>"062905"</f>
        <v>062905</v>
      </c>
      <c r="C8600" t="str">
        <f>"00382"</f>
        <v>00382</v>
      </c>
      <c r="D8600" t="s">
        <v>6949</v>
      </c>
      <c r="E8600" s="3">
        <v>1085.3</v>
      </c>
      <c r="F8600">
        <v>20160329</v>
      </c>
      <c r="G8600" t="s">
        <v>6944</v>
      </c>
      <c r="H8600" t="s">
        <v>6950</v>
      </c>
      <c r="I8600">
        <v>0</v>
      </c>
      <c r="J8600" t="s">
        <v>6946</v>
      </c>
      <c r="K8600" t="s">
        <v>290</v>
      </c>
      <c r="L8600" t="s">
        <v>285</v>
      </c>
      <c r="M8600" t="str">
        <f>"03"</f>
        <v>03</v>
      </c>
      <c r="N8600" t="s">
        <v>12</v>
      </c>
    </row>
    <row r="8601" spans="1:14" x14ac:dyDescent="0.25">
      <c r="A8601">
        <v>20160331</v>
      </c>
      <c r="B8601" t="str">
        <f>"062946"</f>
        <v>062946</v>
      </c>
      <c r="C8601" t="str">
        <f>"45710"</f>
        <v>45710</v>
      </c>
      <c r="D8601" t="s">
        <v>3255</v>
      </c>
      <c r="E8601" s="3">
        <v>3500</v>
      </c>
      <c r="F8601">
        <v>20160330</v>
      </c>
      <c r="G8601" t="s">
        <v>6944</v>
      </c>
      <c r="H8601" t="s">
        <v>6951</v>
      </c>
      <c r="I8601">
        <v>0</v>
      </c>
      <c r="J8601" t="s">
        <v>6946</v>
      </c>
      <c r="K8601" t="s">
        <v>290</v>
      </c>
      <c r="L8601" t="s">
        <v>285</v>
      </c>
      <c r="M8601" t="str">
        <f>"03"</f>
        <v>03</v>
      </c>
      <c r="N8601" t="s">
        <v>12</v>
      </c>
    </row>
    <row r="8602" spans="1:14" x14ac:dyDescent="0.25">
      <c r="A8602">
        <v>20160331</v>
      </c>
      <c r="B8602" t="str">
        <f>"062946"</f>
        <v>062946</v>
      </c>
      <c r="C8602" t="str">
        <f>"45710"</f>
        <v>45710</v>
      </c>
      <c r="D8602" t="s">
        <v>3255</v>
      </c>
      <c r="E8602" s="3">
        <v>3500</v>
      </c>
      <c r="F8602">
        <v>20160330</v>
      </c>
      <c r="G8602" t="s">
        <v>6944</v>
      </c>
      <c r="H8602" t="s">
        <v>6952</v>
      </c>
      <c r="I8602">
        <v>0</v>
      </c>
      <c r="J8602" t="s">
        <v>6946</v>
      </c>
      <c r="K8602" t="s">
        <v>290</v>
      </c>
      <c r="L8602" t="s">
        <v>285</v>
      </c>
      <c r="M8602" t="str">
        <f>"03"</f>
        <v>03</v>
      </c>
      <c r="N8602" t="s">
        <v>12</v>
      </c>
    </row>
    <row r="8603" spans="1:14" x14ac:dyDescent="0.25">
      <c r="A8603">
        <v>20160331</v>
      </c>
      <c r="B8603" t="str">
        <f>"062969"</f>
        <v>062969</v>
      </c>
      <c r="C8603" t="str">
        <f>"70006"</f>
        <v>70006</v>
      </c>
      <c r="D8603" t="s">
        <v>6953</v>
      </c>
      <c r="E8603" s="3">
        <v>760.64</v>
      </c>
      <c r="F8603">
        <v>20160330</v>
      </c>
      <c r="G8603" t="s">
        <v>6944</v>
      </c>
      <c r="H8603" t="s">
        <v>6954</v>
      </c>
      <c r="I8603">
        <v>0</v>
      </c>
      <c r="J8603" t="s">
        <v>6946</v>
      </c>
      <c r="K8603" t="s">
        <v>290</v>
      </c>
      <c r="L8603" t="s">
        <v>285</v>
      </c>
      <c r="M8603" t="str">
        <f>"03"</f>
        <v>03</v>
      </c>
      <c r="N8603" t="s">
        <v>12</v>
      </c>
    </row>
    <row r="8604" spans="1:14" x14ac:dyDescent="0.25">
      <c r="A8604">
        <v>20160415</v>
      </c>
      <c r="B8604" t="str">
        <f>"063105"</f>
        <v>063105</v>
      </c>
      <c r="C8604" t="str">
        <f>"45710"</f>
        <v>45710</v>
      </c>
      <c r="D8604" t="s">
        <v>3255</v>
      </c>
      <c r="E8604" s="3">
        <v>495</v>
      </c>
      <c r="F8604">
        <v>20160413</v>
      </c>
      <c r="G8604" t="s">
        <v>6944</v>
      </c>
      <c r="H8604" t="s">
        <v>6955</v>
      </c>
      <c r="I8604">
        <v>0</v>
      </c>
      <c r="J8604" t="s">
        <v>6946</v>
      </c>
      <c r="K8604" t="s">
        <v>290</v>
      </c>
      <c r="L8604" t="s">
        <v>285</v>
      </c>
      <c r="M8604" t="str">
        <f>"04"</f>
        <v>04</v>
      </c>
      <c r="N8604" t="s">
        <v>12</v>
      </c>
    </row>
    <row r="8605" spans="1:14" x14ac:dyDescent="0.25">
      <c r="A8605">
        <v>20160429</v>
      </c>
      <c r="B8605" t="str">
        <f>"063281"</f>
        <v>063281</v>
      </c>
      <c r="C8605" t="str">
        <f>"09170"</f>
        <v>09170</v>
      </c>
      <c r="D8605" t="s">
        <v>596</v>
      </c>
      <c r="E8605" s="3">
        <v>405.94</v>
      </c>
      <c r="F8605">
        <v>20160427</v>
      </c>
      <c r="G8605" t="s">
        <v>6944</v>
      </c>
      <c r="H8605" t="s">
        <v>6956</v>
      </c>
      <c r="I8605">
        <v>0</v>
      </c>
      <c r="J8605" t="s">
        <v>6946</v>
      </c>
      <c r="K8605" t="s">
        <v>290</v>
      </c>
      <c r="L8605" t="s">
        <v>285</v>
      </c>
      <c r="M8605" t="str">
        <f>"04"</f>
        <v>04</v>
      </c>
      <c r="N8605" t="s">
        <v>12</v>
      </c>
    </row>
    <row r="8606" spans="1:14" x14ac:dyDescent="0.25">
      <c r="A8606">
        <v>20160513</v>
      </c>
      <c r="B8606" t="str">
        <f>"063464"</f>
        <v>063464</v>
      </c>
      <c r="C8606" t="str">
        <f>"33696"</f>
        <v>33696</v>
      </c>
      <c r="D8606" t="s">
        <v>5178</v>
      </c>
      <c r="E8606" s="3">
        <v>148.78</v>
      </c>
      <c r="F8606">
        <v>20160511</v>
      </c>
      <c r="G8606" t="s">
        <v>6944</v>
      </c>
      <c r="H8606" t="s">
        <v>6957</v>
      </c>
      <c r="I8606">
        <v>0</v>
      </c>
      <c r="J8606" t="s">
        <v>6946</v>
      </c>
      <c r="K8606" t="s">
        <v>290</v>
      </c>
      <c r="L8606" t="s">
        <v>285</v>
      </c>
      <c r="M8606" t="str">
        <f>"05"</f>
        <v>05</v>
      </c>
      <c r="N8606" t="s">
        <v>12</v>
      </c>
    </row>
    <row r="8607" spans="1:14" x14ac:dyDescent="0.25">
      <c r="A8607">
        <v>20160527</v>
      </c>
      <c r="B8607" t="str">
        <f>"063602"</f>
        <v>063602</v>
      </c>
      <c r="C8607" t="str">
        <f>"19421"</f>
        <v>19421</v>
      </c>
      <c r="D8607" t="s">
        <v>6958</v>
      </c>
      <c r="E8607" s="3">
        <v>1370</v>
      </c>
      <c r="F8607">
        <v>20160526</v>
      </c>
      <c r="G8607" t="s">
        <v>6944</v>
      </c>
      <c r="H8607" t="s">
        <v>6959</v>
      </c>
      <c r="I8607">
        <v>0</v>
      </c>
      <c r="J8607" t="s">
        <v>6946</v>
      </c>
      <c r="K8607" t="s">
        <v>290</v>
      </c>
      <c r="L8607" t="s">
        <v>285</v>
      </c>
      <c r="M8607" t="str">
        <f>"05"</f>
        <v>05</v>
      </c>
      <c r="N8607" t="s">
        <v>12</v>
      </c>
    </row>
    <row r="8608" spans="1:14" x14ac:dyDescent="0.25">
      <c r="A8608">
        <v>20160527</v>
      </c>
      <c r="B8608" t="str">
        <f>"063611"</f>
        <v>063611</v>
      </c>
      <c r="C8608" t="str">
        <f>"25165"</f>
        <v>25165</v>
      </c>
      <c r="D8608" t="s">
        <v>1563</v>
      </c>
      <c r="E8608" s="3">
        <v>1236.5899999999999</v>
      </c>
      <c r="F8608">
        <v>20160526</v>
      </c>
      <c r="G8608" t="s">
        <v>6944</v>
      </c>
      <c r="H8608" t="s">
        <v>6960</v>
      </c>
      <c r="I8608">
        <v>0</v>
      </c>
      <c r="J8608" t="s">
        <v>6946</v>
      </c>
      <c r="K8608" t="s">
        <v>290</v>
      </c>
      <c r="L8608" t="s">
        <v>285</v>
      </c>
      <c r="M8608" t="str">
        <f>"05"</f>
        <v>05</v>
      </c>
      <c r="N8608" t="s">
        <v>12</v>
      </c>
    </row>
    <row r="8609" spans="1:14" x14ac:dyDescent="0.25">
      <c r="A8609">
        <v>20160527</v>
      </c>
      <c r="B8609" t="str">
        <f>"063656"</f>
        <v>063656</v>
      </c>
      <c r="C8609" t="str">
        <f>"58987"</f>
        <v>58987</v>
      </c>
      <c r="D8609" t="s">
        <v>2549</v>
      </c>
      <c r="E8609" s="3">
        <v>491.66</v>
      </c>
      <c r="F8609">
        <v>20160526</v>
      </c>
      <c r="G8609" t="s">
        <v>6944</v>
      </c>
      <c r="H8609" t="s">
        <v>6961</v>
      </c>
      <c r="I8609">
        <v>0</v>
      </c>
      <c r="J8609" t="s">
        <v>6946</v>
      </c>
      <c r="K8609" t="s">
        <v>290</v>
      </c>
      <c r="L8609" t="s">
        <v>285</v>
      </c>
      <c r="M8609" t="str">
        <f>"05"</f>
        <v>05</v>
      </c>
      <c r="N8609" t="s">
        <v>12</v>
      </c>
    </row>
    <row r="8610" spans="1:14" x14ac:dyDescent="0.25">
      <c r="A8610">
        <v>20160527</v>
      </c>
      <c r="B8610" t="str">
        <f>"063656"</f>
        <v>063656</v>
      </c>
      <c r="C8610" t="str">
        <f>"58987"</f>
        <v>58987</v>
      </c>
      <c r="D8610" t="s">
        <v>2549</v>
      </c>
      <c r="E8610" s="3">
        <v>276.66000000000003</v>
      </c>
      <c r="F8610">
        <v>20160526</v>
      </c>
      <c r="G8610" t="s">
        <v>6944</v>
      </c>
      <c r="H8610" t="s">
        <v>6962</v>
      </c>
      <c r="I8610">
        <v>0</v>
      </c>
      <c r="J8610" t="s">
        <v>6946</v>
      </c>
      <c r="K8610" t="s">
        <v>290</v>
      </c>
      <c r="L8610" t="s">
        <v>285</v>
      </c>
      <c r="M8610" t="str">
        <f>"05"</f>
        <v>05</v>
      </c>
      <c r="N8610" t="s">
        <v>12</v>
      </c>
    </row>
    <row r="8611" spans="1:14" x14ac:dyDescent="0.25">
      <c r="A8611">
        <v>20160610</v>
      </c>
      <c r="B8611" t="str">
        <f>"063711"</f>
        <v>063711</v>
      </c>
      <c r="C8611" t="str">
        <f>"09170"</f>
        <v>09170</v>
      </c>
      <c r="D8611" t="s">
        <v>596</v>
      </c>
      <c r="E8611" s="3">
        <v>2200</v>
      </c>
      <c r="F8611">
        <v>20160607</v>
      </c>
      <c r="G8611" t="s">
        <v>6944</v>
      </c>
      <c r="H8611" t="s">
        <v>6963</v>
      </c>
      <c r="I8611">
        <v>0</v>
      </c>
      <c r="J8611" t="s">
        <v>6946</v>
      </c>
      <c r="K8611" t="s">
        <v>290</v>
      </c>
      <c r="L8611" t="s">
        <v>285</v>
      </c>
      <c r="M8611" t="str">
        <f>"06"</f>
        <v>06</v>
      </c>
      <c r="N8611" t="s">
        <v>12</v>
      </c>
    </row>
    <row r="8612" spans="1:14" x14ac:dyDescent="0.25">
      <c r="A8612">
        <v>20160610</v>
      </c>
      <c r="B8612" t="str">
        <f>"063711"</f>
        <v>063711</v>
      </c>
      <c r="C8612" t="str">
        <f>"09170"</f>
        <v>09170</v>
      </c>
      <c r="D8612" t="s">
        <v>596</v>
      </c>
      <c r="E8612" s="3">
        <v>-30.94</v>
      </c>
      <c r="F8612">
        <v>20160418</v>
      </c>
      <c r="G8612" t="s">
        <v>6944</v>
      </c>
      <c r="H8612" t="s">
        <v>6964</v>
      </c>
      <c r="I8612">
        <v>0</v>
      </c>
      <c r="J8612" t="s">
        <v>6946</v>
      </c>
      <c r="K8612" t="s">
        <v>290</v>
      </c>
      <c r="L8612" t="s">
        <v>1385</v>
      </c>
      <c r="M8612" t="str">
        <f>"06"</f>
        <v>06</v>
      </c>
      <c r="N8612" t="s">
        <v>12</v>
      </c>
    </row>
    <row r="8613" spans="1:14" x14ac:dyDescent="0.25">
      <c r="A8613">
        <v>20160715</v>
      </c>
      <c r="B8613" t="str">
        <f>"064092"</f>
        <v>064092</v>
      </c>
      <c r="C8613" t="str">
        <f>"66975"</f>
        <v>66975</v>
      </c>
      <c r="D8613" t="s">
        <v>6965</v>
      </c>
      <c r="E8613" s="3">
        <v>8000</v>
      </c>
      <c r="F8613">
        <v>20160714</v>
      </c>
      <c r="G8613" t="s">
        <v>6966</v>
      </c>
      <c r="H8613" t="s">
        <v>6967</v>
      </c>
      <c r="I8613">
        <v>0</v>
      </c>
      <c r="J8613" t="s">
        <v>6946</v>
      </c>
      <c r="K8613" t="s">
        <v>290</v>
      </c>
      <c r="L8613" t="s">
        <v>285</v>
      </c>
      <c r="M8613" t="str">
        <f>"07"</f>
        <v>07</v>
      </c>
      <c r="N8613" t="s">
        <v>12</v>
      </c>
    </row>
    <row r="8614" spans="1:14" x14ac:dyDescent="0.25">
      <c r="A8614">
        <v>20160729</v>
      </c>
      <c r="B8614" t="str">
        <f>"064203"</f>
        <v>064203</v>
      </c>
      <c r="C8614" t="str">
        <f>"09170"</f>
        <v>09170</v>
      </c>
      <c r="D8614" t="s">
        <v>596</v>
      </c>
      <c r="E8614" s="3">
        <v>4871.34</v>
      </c>
      <c r="F8614">
        <v>20160727</v>
      </c>
      <c r="G8614" t="s">
        <v>6944</v>
      </c>
      <c r="H8614" t="s">
        <v>6968</v>
      </c>
      <c r="I8614">
        <v>0</v>
      </c>
      <c r="J8614" t="s">
        <v>6946</v>
      </c>
      <c r="K8614" t="s">
        <v>290</v>
      </c>
      <c r="L8614" t="s">
        <v>285</v>
      </c>
      <c r="M8614" t="str">
        <f>"07"</f>
        <v>07</v>
      </c>
      <c r="N8614" t="s">
        <v>12</v>
      </c>
    </row>
    <row r="8615" spans="1:14" x14ac:dyDescent="0.25">
      <c r="A8615">
        <v>20150923</v>
      </c>
      <c r="B8615" t="str">
        <f>"059122"</f>
        <v>059122</v>
      </c>
      <c r="C8615" t="str">
        <f>"22336"</f>
        <v>22336</v>
      </c>
      <c r="D8615" t="s">
        <v>6740</v>
      </c>
      <c r="E8615" s="3">
        <v>134.31</v>
      </c>
      <c r="F8615">
        <v>20150923</v>
      </c>
      <c r="G8615" t="s">
        <v>6969</v>
      </c>
      <c r="H8615" t="s">
        <v>6970</v>
      </c>
      <c r="I8615">
        <v>0</v>
      </c>
      <c r="J8615" t="s">
        <v>6971</v>
      </c>
      <c r="K8615" t="s">
        <v>95</v>
      </c>
      <c r="L8615" t="s">
        <v>17</v>
      </c>
      <c r="M8615" t="str">
        <f>"09"</f>
        <v>09</v>
      </c>
      <c r="N8615" t="s">
        <v>12</v>
      </c>
    </row>
    <row r="8616" spans="1:14" x14ac:dyDescent="0.25">
      <c r="A8616">
        <v>20151009</v>
      </c>
      <c r="B8616" t="str">
        <f>"060549"</f>
        <v>060549</v>
      </c>
      <c r="C8616" t="str">
        <f>"28419"</f>
        <v>28419</v>
      </c>
      <c r="D8616" t="s">
        <v>6972</v>
      </c>
      <c r="E8616" s="3">
        <v>19.95</v>
      </c>
      <c r="F8616">
        <v>20151008</v>
      </c>
      <c r="G8616" t="s">
        <v>6973</v>
      </c>
      <c r="H8616" t="s">
        <v>6974</v>
      </c>
      <c r="I8616">
        <v>0</v>
      </c>
      <c r="J8616" t="s">
        <v>6971</v>
      </c>
      <c r="K8616" t="s">
        <v>290</v>
      </c>
      <c r="L8616" t="s">
        <v>285</v>
      </c>
      <c r="M8616" t="str">
        <f t="shared" ref="M8616:M8632" si="643">"10"</f>
        <v>10</v>
      </c>
      <c r="N8616" t="s">
        <v>12</v>
      </c>
    </row>
    <row r="8617" spans="1:14" x14ac:dyDescent="0.25">
      <c r="A8617">
        <v>20151009</v>
      </c>
      <c r="B8617" t="str">
        <f>"060550"</f>
        <v>060550</v>
      </c>
      <c r="C8617" t="str">
        <f>"28419"</f>
        <v>28419</v>
      </c>
      <c r="D8617" t="s">
        <v>6972</v>
      </c>
      <c r="E8617" s="3">
        <v>627</v>
      </c>
      <c r="F8617">
        <v>20151008</v>
      </c>
      <c r="G8617" t="s">
        <v>6973</v>
      </c>
      <c r="H8617" t="s">
        <v>2630</v>
      </c>
      <c r="I8617">
        <v>0</v>
      </c>
      <c r="J8617" t="s">
        <v>6971</v>
      </c>
      <c r="K8617" t="s">
        <v>290</v>
      </c>
      <c r="L8617" t="s">
        <v>285</v>
      </c>
      <c r="M8617" t="str">
        <f t="shared" si="643"/>
        <v>10</v>
      </c>
      <c r="N8617" t="s">
        <v>12</v>
      </c>
    </row>
    <row r="8618" spans="1:14" x14ac:dyDescent="0.25">
      <c r="A8618">
        <v>20151009</v>
      </c>
      <c r="B8618" t="str">
        <f>"060593"</f>
        <v>060593</v>
      </c>
      <c r="C8618" t="str">
        <f>"49837"</f>
        <v>49837</v>
      </c>
      <c r="D8618" t="s">
        <v>6975</v>
      </c>
      <c r="E8618" s="3">
        <v>382.09</v>
      </c>
      <c r="F8618">
        <v>20151008</v>
      </c>
      <c r="G8618" t="s">
        <v>6973</v>
      </c>
      <c r="H8618" t="s">
        <v>2630</v>
      </c>
      <c r="I8618">
        <v>0</v>
      </c>
      <c r="J8618" t="s">
        <v>6971</v>
      </c>
      <c r="K8618" t="s">
        <v>290</v>
      </c>
      <c r="L8618" t="s">
        <v>285</v>
      </c>
      <c r="M8618" t="str">
        <f t="shared" si="643"/>
        <v>10</v>
      </c>
      <c r="N8618" t="s">
        <v>12</v>
      </c>
    </row>
    <row r="8619" spans="1:14" x14ac:dyDescent="0.25">
      <c r="A8619">
        <v>20151009</v>
      </c>
      <c r="B8619" t="str">
        <f>"060617"</f>
        <v>060617</v>
      </c>
      <c r="C8619" t="str">
        <f>"58999"</f>
        <v>58999</v>
      </c>
      <c r="D8619" t="s">
        <v>6976</v>
      </c>
      <c r="E8619" s="3">
        <v>119.43</v>
      </c>
      <c r="F8619">
        <v>20151009</v>
      </c>
      <c r="G8619" t="s">
        <v>6969</v>
      </c>
      <c r="H8619" t="s">
        <v>6970</v>
      </c>
      <c r="I8619">
        <v>0</v>
      </c>
      <c r="J8619" t="s">
        <v>6971</v>
      </c>
      <c r="K8619" t="s">
        <v>95</v>
      </c>
      <c r="L8619" t="s">
        <v>285</v>
      </c>
      <c r="M8619" t="str">
        <f t="shared" si="643"/>
        <v>10</v>
      </c>
      <c r="N8619" t="s">
        <v>12</v>
      </c>
    </row>
    <row r="8620" spans="1:14" x14ac:dyDescent="0.25">
      <c r="A8620">
        <v>20151009</v>
      </c>
      <c r="B8620" t="str">
        <f>"060617"</f>
        <v>060617</v>
      </c>
      <c r="C8620" t="str">
        <f>"58999"</f>
        <v>58999</v>
      </c>
      <c r="D8620" t="s">
        <v>6976</v>
      </c>
      <c r="E8620" s="3">
        <v>239.26</v>
      </c>
      <c r="F8620">
        <v>20151009</v>
      </c>
      <c r="G8620" t="s">
        <v>6969</v>
      </c>
      <c r="H8620" t="s">
        <v>6970</v>
      </c>
      <c r="I8620">
        <v>0</v>
      </c>
      <c r="J8620" t="s">
        <v>6971</v>
      </c>
      <c r="K8620" t="s">
        <v>95</v>
      </c>
      <c r="L8620" t="s">
        <v>285</v>
      </c>
      <c r="M8620" t="str">
        <f t="shared" si="643"/>
        <v>10</v>
      </c>
      <c r="N8620" t="s">
        <v>12</v>
      </c>
    </row>
    <row r="8621" spans="1:14" x14ac:dyDescent="0.25">
      <c r="A8621">
        <v>20151009</v>
      </c>
      <c r="B8621" t="str">
        <f t="shared" ref="B8621:B8628" si="644">"060631"</f>
        <v>060631</v>
      </c>
      <c r="C8621" t="str">
        <f t="shared" ref="C8621:C8628" si="645">"62338"</f>
        <v>62338</v>
      </c>
      <c r="D8621" t="s">
        <v>6977</v>
      </c>
      <c r="E8621" s="3">
        <v>450</v>
      </c>
      <c r="F8621">
        <v>20151009</v>
      </c>
      <c r="G8621" t="s">
        <v>6978</v>
      </c>
      <c r="H8621" t="s">
        <v>6979</v>
      </c>
      <c r="I8621">
        <v>0</v>
      </c>
      <c r="J8621" t="s">
        <v>6971</v>
      </c>
      <c r="K8621" t="s">
        <v>290</v>
      </c>
      <c r="L8621" t="s">
        <v>285</v>
      </c>
      <c r="M8621" t="str">
        <f t="shared" si="643"/>
        <v>10</v>
      </c>
      <c r="N8621" t="s">
        <v>12</v>
      </c>
    </row>
    <row r="8622" spans="1:14" x14ac:dyDescent="0.25">
      <c r="A8622">
        <v>20151009</v>
      </c>
      <c r="B8622" t="str">
        <f t="shared" si="644"/>
        <v>060631</v>
      </c>
      <c r="C8622" t="str">
        <f t="shared" si="645"/>
        <v>62338</v>
      </c>
      <c r="D8622" t="s">
        <v>6977</v>
      </c>
      <c r="E8622" s="3">
        <v>315</v>
      </c>
      <c r="F8622">
        <v>20151009</v>
      </c>
      <c r="G8622" t="s">
        <v>6978</v>
      </c>
      <c r="H8622" t="s">
        <v>6980</v>
      </c>
      <c r="I8622">
        <v>0</v>
      </c>
      <c r="J8622" t="s">
        <v>6971</v>
      </c>
      <c r="K8622" t="s">
        <v>290</v>
      </c>
      <c r="L8622" t="s">
        <v>285</v>
      </c>
      <c r="M8622" t="str">
        <f t="shared" si="643"/>
        <v>10</v>
      </c>
      <c r="N8622" t="s">
        <v>12</v>
      </c>
    </row>
    <row r="8623" spans="1:14" x14ac:dyDescent="0.25">
      <c r="A8623">
        <v>20151009</v>
      </c>
      <c r="B8623" t="str">
        <f t="shared" si="644"/>
        <v>060631</v>
      </c>
      <c r="C8623" t="str">
        <f t="shared" si="645"/>
        <v>62338</v>
      </c>
      <c r="D8623" t="s">
        <v>6977</v>
      </c>
      <c r="E8623" s="3">
        <v>450</v>
      </c>
      <c r="F8623">
        <v>20151009</v>
      </c>
      <c r="G8623" t="s">
        <v>6981</v>
      </c>
      <c r="H8623" t="s">
        <v>6979</v>
      </c>
      <c r="I8623">
        <v>0</v>
      </c>
      <c r="J8623" t="s">
        <v>6971</v>
      </c>
      <c r="K8623" t="s">
        <v>95</v>
      </c>
      <c r="L8623" t="s">
        <v>285</v>
      </c>
      <c r="M8623" t="str">
        <f t="shared" si="643"/>
        <v>10</v>
      </c>
      <c r="N8623" t="s">
        <v>12</v>
      </c>
    </row>
    <row r="8624" spans="1:14" x14ac:dyDescent="0.25">
      <c r="A8624">
        <v>20151009</v>
      </c>
      <c r="B8624" t="str">
        <f t="shared" si="644"/>
        <v>060631</v>
      </c>
      <c r="C8624" t="str">
        <f t="shared" si="645"/>
        <v>62338</v>
      </c>
      <c r="D8624" t="s">
        <v>6977</v>
      </c>
      <c r="E8624" s="3">
        <v>315</v>
      </c>
      <c r="F8624">
        <v>20151009</v>
      </c>
      <c r="G8624" t="s">
        <v>6981</v>
      </c>
      <c r="H8624" t="s">
        <v>6980</v>
      </c>
      <c r="I8624">
        <v>0</v>
      </c>
      <c r="J8624" t="s">
        <v>6971</v>
      </c>
      <c r="K8624" t="s">
        <v>95</v>
      </c>
      <c r="L8624" t="s">
        <v>285</v>
      </c>
      <c r="M8624" t="str">
        <f t="shared" si="643"/>
        <v>10</v>
      </c>
      <c r="N8624" t="s">
        <v>12</v>
      </c>
    </row>
    <row r="8625" spans="1:14" x14ac:dyDescent="0.25">
      <c r="A8625">
        <v>20151009</v>
      </c>
      <c r="B8625" t="str">
        <f t="shared" si="644"/>
        <v>060631</v>
      </c>
      <c r="C8625" t="str">
        <f t="shared" si="645"/>
        <v>62338</v>
      </c>
      <c r="D8625" t="s">
        <v>6977</v>
      </c>
      <c r="E8625" s="3">
        <v>450</v>
      </c>
      <c r="F8625">
        <v>20151009</v>
      </c>
      <c r="G8625" t="s">
        <v>6982</v>
      </c>
      <c r="H8625" t="s">
        <v>6979</v>
      </c>
      <c r="I8625">
        <v>0</v>
      </c>
      <c r="J8625" t="s">
        <v>6971</v>
      </c>
      <c r="K8625" t="s">
        <v>1643</v>
      </c>
      <c r="L8625" t="s">
        <v>285</v>
      </c>
      <c r="M8625" t="str">
        <f t="shared" si="643"/>
        <v>10</v>
      </c>
      <c r="N8625" t="s">
        <v>12</v>
      </c>
    </row>
    <row r="8626" spans="1:14" x14ac:dyDescent="0.25">
      <c r="A8626">
        <v>20151009</v>
      </c>
      <c r="B8626" t="str">
        <f t="shared" si="644"/>
        <v>060631</v>
      </c>
      <c r="C8626" t="str">
        <f t="shared" si="645"/>
        <v>62338</v>
      </c>
      <c r="D8626" t="s">
        <v>6977</v>
      </c>
      <c r="E8626" s="3">
        <v>315</v>
      </c>
      <c r="F8626">
        <v>20151009</v>
      </c>
      <c r="G8626" t="s">
        <v>6982</v>
      </c>
      <c r="H8626" t="s">
        <v>6980</v>
      </c>
      <c r="I8626">
        <v>0</v>
      </c>
      <c r="J8626" t="s">
        <v>6971</v>
      </c>
      <c r="K8626" t="s">
        <v>1643</v>
      </c>
      <c r="L8626" t="s">
        <v>285</v>
      </c>
      <c r="M8626" t="str">
        <f t="shared" si="643"/>
        <v>10</v>
      </c>
      <c r="N8626" t="s">
        <v>12</v>
      </c>
    </row>
    <row r="8627" spans="1:14" x14ac:dyDescent="0.25">
      <c r="A8627">
        <v>20151009</v>
      </c>
      <c r="B8627" t="str">
        <f t="shared" si="644"/>
        <v>060631</v>
      </c>
      <c r="C8627" t="str">
        <f t="shared" si="645"/>
        <v>62338</v>
      </c>
      <c r="D8627" t="s">
        <v>6977</v>
      </c>
      <c r="E8627" s="3">
        <v>450</v>
      </c>
      <c r="F8627">
        <v>20151009</v>
      </c>
      <c r="G8627" t="s">
        <v>6983</v>
      </c>
      <c r="H8627" t="s">
        <v>6979</v>
      </c>
      <c r="I8627">
        <v>0</v>
      </c>
      <c r="J8627" t="s">
        <v>6971</v>
      </c>
      <c r="K8627" t="s">
        <v>33</v>
      </c>
      <c r="L8627" t="s">
        <v>285</v>
      </c>
      <c r="M8627" t="str">
        <f t="shared" si="643"/>
        <v>10</v>
      </c>
      <c r="N8627" t="s">
        <v>12</v>
      </c>
    </row>
    <row r="8628" spans="1:14" x14ac:dyDescent="0.25">
      <c r="A8628">
        <v>20151009</v>
      </c>
      <c r="B8628" t="str">
        <f t="shared" si="644"/>
        <v>060631</v>
      </c>
      <c r="C8628" t="str">
        <f t="shared" si="645"/>
        <v>62338</v>
      </c>
      <c r="D8628" t="s">
        <v>6977</v>
      </c>
      <c r="E8628" s="3">
        <v>315</v>
      </c>
      <c r="F8628">
        <v>20151009</v>
      </c>
      <c r="G8628" t="s">
        <v>6983</v>
      </c>
      <c r="H8628" t="s">
        <v>6980</v>
      </c>
      <c r="I8628">
        <v>0</v>
      </c>
      <c r="J8628" t="s">
        <v>6971</v>
      </c>
      <c r="K8628" t="s">
        <v>33</v>
      </c>
      <c r="L8628" t="s">
        <v>285</v>
      </c>
      <c r="M8628" t="str">
        <f t="shared" si="643"/>
        <v>10</v>
      </c>
      <c r="N8628" t="s">
        <v>12</v>
      </c>
    </row>
    <row r="8629" spans="1:14" x14ac:dyDescent="0.25">
      <c r="A8629">
        <v>20151016</v>
      </c>
      <c r="B8629" t="str">
        <f>"060718"</f>
        <v>060718</v>
      </c>
      <c r="C8629" t="str">
        <f>"27900"</f>
        <v>27900</v>
      </c>
      <c r="D8629" t="s">
        <v>1596</v>
      </c>
      <c r="E8629" s="3">
        <v>200</v>
      </c>
      <c r="F8629">
        <v>20151015</v>
      </c>
      <c r="G8629" t="s">
        <v>6969</v>
      </c>
      <c r="H8629" t="s">
        <v>6984</v>
      </c>
      <c r="I8629">
        <v>0</v>
      </c>
      <c r="J8629" t="s">
        <v>6971</v>
      </c>
      <c r="K8629" t="s">
        <v>95</v>
      </c>
      <c r="L8629" t="s">
        <v>285</v>
      </c>
      <c r="M8629" t="str">
        <f t="shared" si="643"/>
        <v>10</v>
      </c>
      <c r="N8629" t="s">
        <v>12</v>
      </c>
    </row>
    <row r="8630" spans="1:14" x14ac:dyDescent="0.25">
      <c r="A8630">
        <v>20151016</v>
      </c>
      <c r="B8630" t="str">
        <f>"060718"</f>
        <v>060718</v>
      </c>
      <c r="C8630" t="str">
        <f>"27900"</f>
        <v>27900</v>
      </c>
      <c r="D8630" t="s">
        <v>1596</v>
      </c>
      <c r="E8630" s="3">
        <v>300</v>
      </c>
      <c r="F8630">
        <v>20151015</v>
      </c>
      <c r="G8630" t="s">
        <v>6969</v>
      </c>
      <c r="H8630" t="s">
        <v>6985</v>
      </c>
      <c r="I8630">
        <v>0</v>
      </c>
      <c r="J8630" t="s">
        <v>6971</v>
      </c>
      <c r="K8630" t="s">
        <v>95</v>
      </c>
      <c r="L8630" t="s">
        <v>285</v>
      </c>
      <c r="M8630" t="str">
        <f t="shared" si="643"/>
        <v>10</v>
      </c>
      <c r="N8630" t="s">
        <v>12</v>
      </c>
    </row>
    <row r="8631" spans="1:14" x14ac:dyDescent="0.25">
      <c r="A8631">
        <v>20151029</v>
      </c>
      <c r="B8631" t="str">
        <f>"060911"</f>
        <v>060911</v>
      </c>
      <c r="C8631" t="str">
        <f>"10063"</f>
        <v>10063</v>
      </c>
      <c r="D8631" t="s">
        <v>1816</v>
      </c>
      <c r="E8631" s="3">
        <v>79.44</v>
      </c>
      <c r="F8631">
        <v>20151027</v>
      </c>
      <c r="G8631" t="s">
        <v>6973</v>
      </c>
      <c r="H8631" t="s">
        <v>2630</v>
      </c>
      <c r="I8631">
        <v>0</v>
      </c>
      <c r="J8631" t="s">
        <v>6971</v>
      </c>
      <c r="K8631" t="s">
        <v>290</v>
      </c>
      <c r="L8631" t="s">
        <v>285</v>
      </c>
      <c r="M8631" t="str">
        <f t="shared" si="643"/>
        <v>10</v>
      </c>
      <c r="N8631" t="s">
        <v>12</v>
      </c>
    </row>
    <row r="8632" spans="1:14" x14ac:dyDescent="0.25">
      <c r="A8632">
        <v>20151029</v>
      </c>
      <c r="B8632" t="str">
        <f>"060914"</f>
        <v>060914</v>
      </c>
      <c r="C8632" t="str">
        <f>"11140"</f>
        <v>11140</v>
      </c>
      <c r="D8632" t="s">
        <v>1817</v>
      </c>
      <c r="E8632" s="3">
        <v>191.9</v>
      </c>
      <c r="F8632">
        <v>20151027</v>
      </c>
      <c r="G8632" t="s">
        <v>6973</v>
      </c>
      <c r="H8632" t="s">
        <v>2630</v>
      </c>
      <c r="I8632">
        <v>0</v>
      </c>
      <c r="J8632" t="s">
        <v>6971</v>
      </c>
      <c r="K8632" t="s">
        <v>290</v>
      </c>
      <c r="L8632" t="s">
        <v>285</v>
      </c>
      <c r="M8632" t="str">
        <f t="shared" si="643"/>
        <v>10</v>
      </c>
      <c r="N8632" t="s">
        <v>12</v>
      </c>
    </row>
    <row r="8633" spans="1:14" x14ac:dyDescent="0.25">
      <c r="A8633">
        <v>20151106</v>
      </c>
      <c r="B8633" t="str">
        <f>"061014"</f>
        <v>061014</v>
      </c>
      <c r="C8633" t="str">
        <f>"22299"</f>
        <v>22299</v>
      </c>
      <c r="D8633" t="s">
        <v>6986</v>
      </c>
      <c r="E8633" s="3">
        <v>1314.54</v>
      </c>
      <c r="F8633">
        <v>20151105</v>
      </c>
      <c r="G8633" t="s">
        <v>6987</v>
      </c>
      <c r="H8633" t="s">
        <v>4213</v>
      </c>
      <c r="I8633">
        <v>0</v>
      </c>
      <c r="J8633" t="s">
        <v>6971</v>
      </c>
      <c r="K8633" t="s">
        <v>290</v>
      </c>
      <c r="L8633" t="s">
        <v>285</v>
      </c>
      <c r="M8633" t="str">
        <f>"11"</f>
        <v>11</v>
      </c>
      <c r="N8633" t="s">
        <v>12</v>
      </c>
    </row>
    <row r="8634" spans="1:14" x14ac:dyDescent="0.25">
      <c r="A8634">
        <v>20151120</v>
      </c>
      <c r="B8634" t="str">
        <f>"061153"</f>
        <v>061153</v>
      </c>
      <c r="C8634" t="str">
        <f>"27900"</f>
        <v>27900</v>
      </c>
      <c r="D8634" t="s">
        <v>1596</v>
      </c>
      <c r="E8634" s="3">
        <v>700</v>
      </c>
      <c r="F8634">
        <v>20151119</v>
      </c>
      <c r="G8634" t="s">
        <v>6987</v>
      </c>
      <c r="H8634" t="s">
        <v>6988</v>
      </c>
      <c r="I8634">
        <v>0</v>
      </c>
      <c r="J8634" t="s">
        <v>6971</v>
      </c>
      <c r="K8634" t="s">
        <v>290</v>
      </c>
      <c r="L8634" t="s">
        <v>285</v>
      </c>
      <c r="M8634" t="str">
        <f>"11"</f>
        <v>11</v>
      </c>
      <c r="N8634" t="s">
        <v>12</v>
      </c>
    </row>
    <row r="8635" spans="1:14" x14ac:dyDescent="0.25">
      <c r="A8635">
        <v>20151120</v>
      </c>
      <c r="B8635" t="str">
        <f>"061153"</f>
        <v>061153</v>
      </c>
      <c r="C8635" t="str">
        <f>"27900"</f>
        <v>27900</v>
      </c>
      <c r="D8635" t="s">
        <v>1596</v>
      </c>
      <c r="E8635" s="3">
        <v>100</v>
      </c>
      <c r="F8635">
        <v>20151119</v>
      </c>
      <c r="G8635" t="s">
        <v>6969</v>
      </c>
      <c r="H8635" t="s">
        <v>6989</v>
      </c>
      <c r="I8635">
        <v>0</v>
      </c>
      <c r="J8635" t="s">
        <v>6971</v>
      </c>
      <c r="K8635" t="s">
        <v>95</v>
      </c>
      <c r="L8635" t="s">
        <v>285</v>
      </c>
      <c r="M8635" t="str">
        <f>"11"</f>
        <v>11</v>
      </c>
      <c r="N8635" t="s">
        <v>12</v>
      </c>
    </row>
    <row r="8636" spans="1:14" x14ac:dyDescent="0.25">
      <c r="A8636">
        <v>20151120</v>
      </c>
      <c r="B8636" t="str">
        <f>"061153"</f>
        <v>061153</v>
      </c>
      <c r="C8636" t="str">
        <f>"27900"</f>
        <v>27900</v>
      </c>
      <c r="D8636" t="s">
        <v>1596</v>
      </c>
      <c r="E8636" s="3">
        <v>125</v>
      </c>
      <c r="F8636">
        <v>20151119</v>
      </c>
      <c r="G8636" t="s">
        <v>6969</v>
      </c>
      <c r="H8636" t="s">
        <v>6990</v>
      </c>
      <c r="I8636">
        <v>0</v>
      </c>
      <c r="J8636" t="s">
        <v>6971</v>
      </c>
      <c r="K8636" t="s">
        <v>95</v>
      </c>
      <c r="L8636" t="s">
        <v>285</v>
      </c>
      <c r="M8636" t="str">
        <f>"11"</f>
        <v>11</v>
      </c>
      <c r="N8636" t="s">
        <v>12</v>
      </c>
    </row>
    <row r="8637" spans="1:14" x14ac:dyDescent="0.25">
      <c r="A8637">
        <v>20151204</v>
      </c>
      <c r="B8637" t="str">
        <f>"061259"</f>
        <v>061259</v>
      </c>
      <c r="C8637" t="str">
        <f>"00349"</f>
        <v>00349</v>
      </c>
      <c r="D8637" t="s">
        <v>3998</v>
      </c>
      <c r="E8637" s="3">
        <v>85.73</v>
      </c>
      <c r="F8637">
        <v>20151203</v>
      </c>
      <c r="G8637" t="s">
        <v>6987</v>
      </c>
      <c r="H8637" t="s">
        <v>4213</v>
      </c>
      <c r="I8637">
        <v>0</v>
      </c>
      <c r="J8637" t="s">
        <v>6971</v>
      </c>
      <c r="K8637" t="s">
        <v>290</v>
      </c>
      <c r="L8637" t="s">
        <v>285</v>
      </c>
      <c r="M8637" t="str">
        <f t="shared" ref="M8637:M8644" si="646">"12"</f>
        <v>12</v>
      </c>
      <c r="N8637" t="s">
        <v>12</v>
      </c>
    </row>
    <row r="8638" spans="1:14" x14ac:dyDescent="0.25">
      <c r="A8638">
        <v>20151204</v>
      </c>
      <c r="B8638" t="str">
        <f>"061267"</f>
        <v>061267</v>
      </c>
      <c r="C8638" t="str">
        <f>"09170"</f>
        <v>09170</v>
      </c>
      <c r="D8638" t="s">
        <v>596</v>
      </c>
      <c r="E8638" s="3">
        <v>720</v>
      </c>
      <c r="F8638">
        <v>20151203</v>
      </c>
      <c r="G8638" t="s">
        <v>6987</v>
      </c>
      <c r="H8638" t="s">
        <v>4213</v>
      </c>
      <c r="I8638">
        <v>0</v>
      </c>
      <c r="J8638" t="s">
        <v>6971</v>
      </c>
      <c r="K8638" t="s">
        <v>290</v>
      </c>
      <c r="L8638" t="s">
        <v>285</v>
      </c>
      <c r="M8638" t="str">
        <f t="shared" si="646"/>
        <v>12</v>
      </c>
      <c r="N8638" t="s">
        <v>12</v>
      </c>
    </row>
    <row r="8639" spans="1:14" x14ac:dyDescent="0.25">
      <c r="A8639">
        <v>20151204</v>
      </c>
      <c r="B8639" t="str">
        <f>"061322"</f>
        <v>061322</v>
      </c>
      <c r="C8639" t="str">
        <f>"49922"</f>
        <v>49922</v>
      </c>
      <c r="D8639" t="s">
        <v>6991</v>
      </c>
      <c r="E8639" s="3">
        <v>206.27</v>
      </c>
      <c r="F8639">
        <v>20151203</v>
      </c>
      <c r="G8639" t="s">
        <v>6987</v>
      </c>
      <c r="H8639" t="s">
        <v>4213</v>
      </c>
      <c r="I8639">
        <v>0</v>
      </c>
      <c r="J8639" t="s">
        <v>6971</v>
      </c>
      <c r="K8639" t="s">
        <v>290</v>
      </c>
      <c r="L8639" t="s">
        <v>285</v>
      </c>
      <c r="M8639" t="str">
        <f t="shared" si="646"/>
        <v>12</v>
      </c>
      <c r="N8639" t="s">
        <v>12</v>
      </c>
    </row>
    <row r="8640" spans="1:14" x14ac:dyDescent="0.25">
      <c r="A8640">
        <v>20151204</v>
      </c>
      <c r="B8640" t="str">
        <f>"061326"</f>
        <v>061326</v>
      </c>
      <c r="C8640" t="str">
        <f>"53067"</f>
        <v>53067</v>
      </c>
      <c r="D8640" t="s">
        <v>6992</v>
      </c>
      <c r="E8640" s="3">
        <v>94.04</v>
      </c>
      <c r="F8640">
        <v>20151203</v>
      </c>
      <c r="G8640" t="s">
        <v>6987</v>
      </c>
      <c r="H8640" t="s">
        <v>4213</v>
      </c>
      <c r="I8640">
        <v>0</v>
      </c>
      <c r="J8640" t="s">
        <v>6971</v>
      </c>
      <c r="K8640" t="s">
        <v>290</v>
      </c>
      <c r="L8640" t="s">
        <v>285</v>
      </c>
      <c r="M8640" t="str">
        <f t="shared" si="646"/>
        <v>12</v>
      </c>
      <c r="N8640" t="s">
        <v>12</v>
      </c>
    </row>
    <row r="8641" spans="1:14" x14ac:dyDescent="0.25">
      <c r="A8641">
        <v>20151204</v>
      </c>
      <c r="B8641" t="str">
        <f>"061363"</f>
        <v>061363</v>
      </c>
      <c r="C8641" t="str">
        <f>"82385"</f>
        <v>82385</v>
      </c>
      <c r="D8641" t="s">
        <v>3157</v>
      </c>
      <c r="E8641" s="3">
        <v>93.69</v>
      </c>
      <c r="F8641">
        <v>20151204</v>
      </c>
      <c r="G8641" t="s">
        <v>6987</v>
      </c>
      <c r="H8641" t="s">
        <v>4213</v>
      </c>
      <c r="I8641">
        <v>0</v>
      </c>
      <c r="J8641" t="s">
        <v>6971</v>
      </c>
      <c r="K8641" t="s">
        <v>290</v>
      </c>
      <c r="L8641" t="s">
        <v>285</v>
      </c>
      <c r="M8641" t="str">
        <f t="shared" si="646"/>
        <v>12</v>
      </c>
      <c r="N8641" t="s">
        <v>12</v>
      </c>
    </row>
    <row r="8642" spans="1:14" x14ac:dyDescent="0.25">
      <c r="A8642">
        <v>20151211</v>
      </c>
      <c r="B8642" t="str">
        <f>"061401"</f>
        <v>061401</v>
      </c>
      <c r="C8642" t="str">
        <f>"27900"</f>
        <v>27900</v>
      </c>
      <c r="D8642" t="s">
        <v>1596</v>
      </c>
      <c r="E8642" s="3">
        <v>1050</v>
      </c>
      <c r="F8642">
        <v>20151211</v>
      </c>
      <c r="G8642" t="s">
        <v>6981</v>
      </c>
      <c r="H8642" t="s">
        <v>6993</v>
      </c>
      <c r="I8642">
        <v>0</v>
      </c>
      <c r="J8642" t="s">
        <v>6971</v>
      </c>
      <c r="K8642" t="s">
        <v>95</v>
      </c>
      <c r="L8642" t="s">
        <v>285</v>
      </c>
      <c r="M8642" t="str">
        <f t="shared" si="646"/>
        <v>12</v>
      </c>
      <c r="N8642" t="s">
        <v>12</v>
      </c>
    </row>
    <row r="8643" spans="1:14" x14ac:dyDescent="0.25">
      <c r="A8643">
        <v>20151211</v>
      </c>
      <c r="B8643" t="str">
        <f>"061401"</f>
        <v>061401</v>
      </c>
      <c r="C8643" t="str">
        <f>"27900"</f>
        <v>27900</v>
      </c>
      <c r="D8643" t="s">
        <v>1596</v>
      </c>
      <c r="E8643" s="3">
        <v>450</v>
      </c>
      <c r="F8643">
        <v>20151210</v>
      </c>
      <c r="G8643" t="s">
        <v>6969</v>
      </c>
      <c r="H8643" t="s">
        <v>6994</v>
      </c>
      <c r="I8643">
        <v>0</v>
      </c>
      <c r="J8643" t="s">
        <v>6971</v>
      </c>
      <c r="K8643" t="s">
        <v>95</v>
      </c>
      <c r="L8643" t="s">
        <v>285</v>
      </c>
      <c r="M8643" t="str">
        <f t="shared" si="646"/>
        <v>12</v>
      </c>
      <c r="N8643" t="s">
        <v>12</v>
      </c>
    </row>
    <row r="8644" spans="1:14" x14ac:dyDescent="0.25">
      <c r="A8644">
        <v>20151218</v>
      </c>
      <c r="B8644" t="str">
        <f>"061550"</f>
        <v>061550</v>
      </c>
      <c r="C8644" t="str">
        <f>"28680"</f>
        <v>28680</v>
      </c>
      <c r="D8644" t="s">
        <v>422</v>
      </c>
      <c r="E8644" s="3">
        <v>191.33</v>
      </c>
      <c r="F8644">
        <v>20151216</v>
      </c>
      <c r="G8644" t="s">
        <v>6987</v>
      </c>
      <c r="H8644" t="s">
        <v>6995</v>
      </c>
      <c r="I8644">
        <v>0</v>
      </c>
      <c r="J8644" t="s">
        <v>6971</v>
      </c>
      <c r="K8644" t="s">
        <v>290</v>
      </c>
      <c r="L8644" t="s">
        <v>285</v>
      </c>
      <c r="M8644" t="str">
        <f t="shared" si="646"/>
        <v>12</v>
      </c>
      <c r="N8644" t="s">
        <v>12</v>
      </c>
    </row>
    <row r="8645" spans="1:14" x14ac:dyDescent="0.25">
      <c r="A8645">
        <v>20160111</v>
      </c>
      <c r="B8645" t="str">
        <f t="shared" ref="B8645:B8654" si="647">"061693"</f>
        <v>061693</v>
      </c>
      <c r="C8645" t="str">
        <f t="shared" ref="C8645:C8669" si="648">"27900"</f>
        <v>27900</v>
      </c>
      <c r="D8645" t="s">
        <v>1596</v>
      </c>
      <c r="E8645" s="3">
        <v>1237.33</v>
      </c>
      <c r="F8645">
        <v>20160108</v>
      </c>
      <c r="G8645" t="s">
        <v>6978</v>
      </c>
      <c r="H8645" t="s">
        <v>6996</v>
      </c>
      <c r="I8645">
        <v>0</v>
      </c>
      <c r="J8645" t="s">
        <v>6971</v>
      </c>
      <c r="K8645" t="s">
        <v>290</v>
      </c>
      <c r="L8645" t="s">
        <v>285</v>
      </c>
      <c r="M8645" t="str">
        <f t="shared" ref="M8645:M8654" si="649">"01"</f>
        <v>01</v>
      </c>
      <c r="N8645" t="s">
        <v>12</v>
      </c>
    </row>
    <row r="8646" spans="1:14" x14ac:dyDescent="0.25">
      <c r="A8646">
        <v>20160111</v>
      </c>
      <c r="B8646" t="str">
        <f t="shared" si="647"/>
        <v>061693</v>
      </c>
      <c r="C8646" t="str">
        <f t="shared" si="648"/>
        <v>27900</v>
      </c>
      <c r="D8646" t="s">
        <v>1596</v>
      </c>
      <c r="E8646" s="3">
        <v>1237.33</v>
      </c>
      <c r="F8646">
        <v>20160108</v>
      </c>
      <c r="G8646" t="s">
        <v>6997</v>
      </c>
      <c r="H8646" t="s">
        <v>6996</v>
      </c>
      <c r="I8646">
        <v>0</v>
      </c>
      <c r="J8646" t="s">
        <v>6971</v>
      </c>
      <c r="K8646" t="s">
        <v>1558</v>
      </c>
      <c r="L8646" t="s">
        <v>285</v>
      </c>
      <c r="M8646" t="str">
        <f t="shared" si="649"/>
        <v>01</v>
      </c>
      <c r="N8646" t="s">
        <v>12</v>
      </c>
    </row>
    <row r="8647" spans="1:14" x14ac:dyDescent="0.25">
      <c r="A8647">
        <v>20160111</v>
      </c>
      <c r="B8647" t="str">
        <f t="shared" si="647"/>
        <v>061693</v>
      </c>
      <c r="C8647" t="str">
        <f t="shared" si="648"/>
        <v>27900</v>
      </c>
      <c r="D8647" t="s">
        <v>1596</v>
      </c>
      <c r="E8647" s="3">
        <v>1237.33</v>
      </c>
      <c r="F8647">
        <v>20160108</v>
      </c>
      <c r="G8647" t="s">
        <v>6981</v>
      </c>
      <c r="H8647" t="s">
        <v>6996</v>
      </c>
      <c r="I8647">
        <v>0</v>
      </c>
      <c r="J8647" t="s">
        <v>6971</v>
      </c>
      <c r="K8647" t="s">
        <v>95</v>
      </c>
      <c r="L8647" t="s">
        <v>285</v>
      </c>
      <c r="M8647" t="str">
        <f t="shared" si="649"/>
        <v>01</v>
      </c>
      <c r="N8647" t="s">
        <v>12</v>
      </c>
    </row>
    <row r="8648" spans="1:14" x14ac:dyDescent="0.25">
      <c r="A8648">
        <v>20160111</v>
      </c>
      <c r="B8648" t="str">
        <f t="shared" si="647"/>
        <v>061693</v>
      </c>
      <c r="C8648" t="str">
        <f t="shared" si="648"/>
        <v>27900</v>
      </c>
      <c r="D8648" t="s">
        <v>1596</v>
      </c>
      <c r="E8648" s="3">
        <v>1237.33</v>
      </c>
      <c r="F8648">
        <v>20160108</v>
      </c>
      <c r="G8648" t="s">
        <v>6982</v>
      </c>
      <c r="H8648" t="s">
        <v>6996</v>
      </c>
      <c r="I8648">
        <v>0</v>
      </c>
      <c r="J8648" t="s">
        <v>6971</v>
      </c>
      <c r="K8648" t="s">
        <v>1643</v>
      </c>
      <c r="L8648" t="s">
        <v>285</v>
      </c>
      <c r="M8648" t="str">
        <f t="shared" si="649"/>
        <v>01</v>
      </c>
      <c r="N8648" t="s">
        <v>12</v>
      </c>
    </row>
    <row r="8649" spans="1:14" x14ac:dyDescent="0.25">
      <c r="A8649">
        <v>20160111</v>
      </c>
      <c r="B8649" t="str">
        <f t="shared" si="647"/>
        <v>061693</v>
      </c>
      <c r="C8649" t="str">
        <f t="shared" si="648"/>
        <v>27900</v>
      </c>
      <c r="D8649" t="s">
        <v>1596</v>
      </c>
      <c r="E8649" s="3">
        <v>1239.3399999999999</v>
      </c>
      <c r="F8649">
        <v>20160108</v>
      </c>
      <c r="G8649" t="s">
        <v>6983</v>
      </c>
      <c r="H8649" t="s">
        <v>6996</v>
      </c>
      <c r="I8649">
        <v>0</v>
      </c>
      <c r="J8649" t="s">
        <v>6971</v>
      </c>
      <c r="K8649" t="s">
        <v>33</v>
      </c>
      <c r="L8649" t="s">
        <v>285</v>
      </c>
      <c r="M8649" t="str">
        <f t="shared" si="649"/>
        <v>01</v>
      </c>
      <c r="N8649" t="s">
        <v>12</v>
      </c>
    </row>
    <row r="8650" spans="1:14" x14ac:dyDescent="0.25">
      <c r="A8650">
        <v>20160111</v>
      </c>
      <c r="B8650" t="str">
        <f t="shared" si="647"/>
        <v>061693</v>
      </c>
      <c r="C8650" t="str">
        <f t="shared" si="648"/>
        <v>27900</v>
      </c>
      <c r="D8650" t="s">
        <v>1596</v>
      </c>
      <c r="E8650" s="3">
        <v>250</v>
      </c>
      <c r="F8650">
        <v>20160108</v>
      </c>
      <c r="G8650" t="s">
        <v>6998</v>
      </c>
      <c r="H8650" t="s">
        <v>6996</v>
      </c>
      <c r="I8650">
        <v>0</v>
      </c>
      <c r="J8650" t="s">
        <v>6971</v>
      </c>
      <c r="K8650" t="s">
        <v>290</v>
      </c>
      <c r="L8650" t="s">
        <v>285</v>
      </c>
      <c r="M8650" t="str">
        <f t="shared" si="649"/>
        <v>01</v>
      </c>
      <c r="N8650" t="s">
        <v>12</v>
      </c>
    </row>
    <row r="8651" spans="1:14" x14ac:dyDescent="0.25">
      <c r="A8651">
        <v>20160111</v>
      </c>
      <c r="B8651" t="str">
        <f t="shared" si="647"/>
        <v>061693</v>
      </c>
      <c r="C8651" t="str">
        <f t="shared" si="648"/>
        <v>27900</v>
      </c>
      <c r="D8651" t="s">
        <v>1596</v>
      </c>
      <c r="E8651" s="3">
        <v>250</v>
      </c>
      <c r="F8651">
        <v>20160108</v>
      </c>
      <c r="G8651" t="s">
        <v>6999</v>
      </c>
      <c r="H8651" t="s">
        <v>6996</v>
      </c>
      <c r="I8651">
        <v>0</v>
      </c>
      <c r="J8651" t="s">
        <v>6971</v>
      </c>
      <c r="K8651" t="s">
        <v>1558</v>
      </c>
      <c r="L8651" t="s">
        <v>285</v>
      </c>
      <c r="M8651" t="str">
        <f t="shared" si="649"/>
        <v>01</v>
      </c>
      <c r="N8651" t="s">
        <v>12</v>
      </c>
    </row>
    <row r="8652" spans="1:14" x14ac:dyDescent="0.25">
      <c r="A8652">
        <v>20160111</v>
      </c>
      <c r="B8652" t="str">
        <f t="shared" si="647"/>
        <v>061693</v>
      </c>
      <c r="C8652" t="str">
        <f t="shared" si="648"/>
        <v>27900</v>
      </c>
      <c r="D8652" t="s">
        <v>1596</v>
      </c>
      <c r="E8652" s="3">
        <v>250</v>
      </c>
      <c r="F8652">
        <v>20160108</v>
      </c>
      <c r="G8652" t="s">
        <v>7000</v>
      </c>
      <c r="H8652" t="s">
        <v>6996</v>
      </c>
      <c r="I8652">
        <v>0</v>
      </c>
      <c r="J8652" t="s">
        <v>6971</v>
      </c>
      <c r="K8652" t="s">
        <v>95</v>
      </c>
      <c r="L8652" t="s">
        <v>285</v>
      </c>
      <c r="M8652" t="str">
        <f t="shared" si="649"/>
        <v>01</v>
      </c>
      <c r="N8652" t="s">
        <v>12</v>
      </c>
    </row>
    <row r="8653" spans="1:14" x14ac:dyDescent="0.25">
      <c r="A8653">
        <v>20160111</v>
      </c>
      <c r="B8653" t="str">
        <f t="shared" si="647"/>
        <v>061693</v>
      </c>
      <c r="C8653" t="str">
        <f t="shared" si="648"/>
        <v>27900</v>
      </c>
      <c r="D8653" t="s">
        <v>1596</v>
      </c>
      <c r="E8653" s="3">
        <v>250</v>
      </c>
      <c r="F8653">
        <v>20160108</v>
      </c>
      <c r="G8653" t="s">
        <v>7001</v>
      </c>
      <c r="H8653" t="s">
        <v>6996</v>
      </c>
      <c r="I8653">
        <v>0</v>
      </c>
      <c r="J8653" t="s">
        <v>6971</v>
      </c>
      <c r="K8653" t="s">
        <v>1643</v>
      </c>
      <c r="L8653" t="s">
        <v>285</v>
      </c>
      <c r="M8653" t="str">
        <f t="shared" si="649"/>
        <v>01</v>
      </c>
      <c r="N8653" t="s">
        <v>12</v>
      </c>
    </row>
    <row r="8654" spans="1:14" x14ac:dyDescent="0.25">
      <c r="A8654">
        <v>20160111</v>
      </c>
      <c r="B8654" t="str">
        <f t="shared" si="647"/>
        <v>061693</v>
      </c>
      <c r="C8654" t="str">
        <f t="shared" si="648"/>
        <v>27900</v>
      </c>
      <c r="D8654" t="s">
        <v>1596</v>
      </c>
      <c r="E8654" s="3">
        <v>250</v>
      </c>
      <c r="F8654">
        <v>20160108</v>
      </c>
      <c r="G8654" t="s">
        <v>7002</v>
      </c>
      <c r="H8654" t="s">
        <v>6996</v>
      </c>
      <c r="I8654">
        <v>0</v>
      </c>
      <c r="J8654" t="s">
        <v>6971</v>
      </c>
      <c r="K8654" t="s">
        <v>33</v>
      </c>
      <c r="L8654" t="s">
        <v>285</v>
      </c>
      <c r="M8654" t="str">
        <f t="shared" si="649"/>
        <v>01</v>
      </c>
      <c r="N8654" t="s">
        <v>12</v>
      </c>
    </row>
    <row r="8655" spans="1:14" x14ac:dyDescent="0.25">
      <c r="A8655">
        <v>20160212</v>
      </c>
      <c r="B8655" t="str">
        <f t="shared" ref="B8655:B8669" si="650">"062288"</f>
        <v>062288</v>
      </c>
      <c r="C8655" t="str">
        <f t="shared" si="648"/>
        <v>27900</v>
      </c>
      <c r="D8655" t="s">
        <v>1596</v>
      </c>
      <c r="E8655" s="3">
        <v>3616.78</v>
      </c>
      <c r="F8655">
        <v>20160211</v>
      </c>
      <c r="G8655" t="s">
        <v>6978</v>
      </c>
      <c r="H8655" t="s">
        <v>1626</v>
      </c>
      <c r="I8655">
        <v>0</v>
      </c>
      <c r="J8655" t="s">
        <v>6971</v>
      </c>
      <c r="K8655" t="s">
        <v>290</v>
      </c>
      <c r="L8655" t="s">
        <v>285</v>
      </c>
      <c r="M8655" t="str">
        <f t="shared" ref="M8655:M8669" si="651">"02"</f>
        <v>02</v>
      </c>
      <c r="N8655" t="s">
        <v>12</v>
      </c>
    </row>
    <row r="8656" spans="1:14" x14ac:dyDescent="0.25">
      <c r="A8656">
        <v>20160212</v>
      </c>
      <c r="B8656" t="str">
        <f t="shared" si="650"/>
        <v>062288</v>
      </c>
      <c r="C8656" t="str">
        <f t="shared" si="648"/>
        <v>27900</v>
      </c>
      <c r="D8656" t="s">
        <v>1596</v>
      </c>
      <c r="E8656" s="3">
        <v>2764.64</v>
      </c>
      <c r="F8656">
        <v>20160211</v>
      </c>
      <c r="G8656" t="s">
        <v>6978</v>
      </c>
      <c r="H8656" t="s">
        <v>1627</v>
      </c>
      <c r="I8656">
        <v>0</v>
      </c>
      <c r="J8656" t="s">
        <v>6971</v>
      </c>
      <c r="K8656" t="s">
        <v>290</v>
      </c>
      <c r="L8656" t="s">
        <v>285</v>
      </c>
      <c r="M8656" t="str">
        <f t="shared" si="651"/>
        <v>02</v>
      </c>
      <c r="N8656" t="s">
        <v>12</v>
      </c>
    </row>
    <row r="8657" spans="1:14" x14ac:dyDescent="0.25">
      <c r="A8657">
        <v>20160212</v>
      </c>
      <c r="B8657" t="str">
        <f t="shared" si="650"/>
        <v>062288</v>
      </c>
      <c r="C8657" t="str">
        <f t="shared" si="648"/>
        <v>27900</v>
      </c>
      <c r="D8657" t="s">
        <v>1596</v>
      </c>
      <c r="E8657" s="3">
        <v>2356.33</v>
      </c>
      <c r="F8657">
        <v>20160211</v>
      </c>
      <c r="G8657" t="s">
        <v>6978</v>
      </c>
      <c r="H8657" t="s">
        <v>1629</v>
      </c>
      <c r="I8657">
        <v>0</v>
      </c>
      <c r="J8657" t="s">
        <v>6971</v>
      </c>
      <c r="K8657" t="s">
        <v>290</v>
      </c>
      <c r="L8657" t="s">
        <v>285</v>
      </c>
      <c r="M8657" t="str">
        <f t="shared" si="651"/>
        <v>02</v>
      </c>
      <c r="N8657" t="s">
        <v>12</v>
      </c>
    </row>
    <row r="8658" spans="1:14" x14ac:dyDescent="0.25">
      <c r="A8658">
        <v>20160212</v>
      </c>
      <c r="B8658" t="str">
        <f t="shared" si="650"/>
        <v>062288</v>
      </c>
      <c r="C8658" t="str">
        <f t="shared" si="648"/>
        <v>27900</v>
      </c>
      <c r="D8658" t="s">
        <v>1596</v>
      </c>
      <c r="E8658" s="3">
        <v>2908.66</v>
      </c>
      <c r="F8658">
        <v>20160211</v>
      </c>
      <c r="G8658" t="s">
        <v>6981</v>
      </c>
      <c r="H8658" t="s">
        <v>1626</v>
      </c>
      <c r="I8658">
        <v>0</v>
      </c>
      <c r="J8658" t="s">
        <v>6971</v>
      </c>
      <c r="K8658" t="s">
        <v>95</v>
      </c>
      <c r="L8658" t="s">
        <v>285</v>
      </c>
      <c r="M8658" t="str">
        <f t="shared" si="651"/>
        <v>02</v>
      </c>
      <c r="N8658" t="s">
        <v>12</v>
      </c>
    </row>
    <row r="8659" spans="1:14" x14ac:dyDescent="0.25">
      <c r="A8659">
        <v>20160212</v>
      </c>
      <c r="B8659" t="str">
        <f t="shared" si="650"/>
        <v>062288</v>
      </c>
      <c r="C8659" t="str">
        <f t="shared" si="648"/>
        <v>27900</v>
      </c>
      <c r="D8659" t="s">
        <v>1596</v>
      </c>
      <c r="E8659" s="3">
        <v>2226.44</v>
      </c>
      <c r="F8659">
        <v>20160211</v>
      </c>
      <c r="G8659" t="s">
        <v>6981</v>
      </c>
      <c r="H8659" t="s">
        <v>1627</v>
      </c>
      <c r="I8659">
        <v>0</v>
      </c>
      <c r="J8659" t="s">
        <v>6971</v>
      </c>
      <c r="K8659" t="s">
        <v>95</v>
      </c>
      <c r="L8659" t="s">
        <v>285</v>
      </c>
      <c r="M8659" t="str">
        <f t="shared" si="651"/>
        <v>02</v>
      </c>
      <c r="N8659" t="s">
        <v>12</v>
      </c>
    </row>
    <row r="8660" spans="1:14" x14ac:dyDescent="0.25">
      <c r="A8660">
        <v>20160212</v>
      </c>
      <c r="B8660" t="str">
        <f t="shared" si="650"/>
        <v>062288</v>
      </c>
      <c r="C8660" t="str">
        <f t="shared" si="648"/>
        <v>27900</v>
      </c>
      <c r="D8660" t="s">
        <v>1596</v>
      </c>
      <c r="E8660" s="3">
        <v>1915.55</v>
      </c>
      <c r="F8660">
        <v>20160211</v>
      </c>
      <c r="G8660" t="s">
        <v>6981</v>
      </c>
      <c r="H8660" t="s">
        <v>1629</v>
      </c>
      <c r="I8660">
        <v>0</v>
      </c>
      <c r="J8660" t="s">
        <v>6971</v>
      </c>
      <c r="K8660" t="s">
        <v>95</v>
      </c>
      <c r="L8660" t="s">
        <v>285</v>
      </c>
      <c r="M8660" t="str">
        <f t="shared" si="651"/>
        <v>02</v>
      </c>
      <c r="N8660" t="s">
        <v>12</v>
      </c>
    </row>
    <row r="8661" spans="1:14" x14ac:dyDescent="0.25">
      <c r="A8661">
        <v>20160212</v>
      </c>
      <c r="B8661" t="str">
        <f t="shared" si="650"/>
        <v>062288</v>
      </c>
      <c r="C8661" t="str">
        <f t="shared" si="648"/>
        <v>27900</v>
      </c>
      <c r="D8661" t="s">
        <v>1596</v>
      </c>
      <c r="E8661" s="3">
        <v>3510.89</v>
      </c>
      <c r="F8661">
        <v>20160211</v>
      </c>
      <c r="G8661" t="s">
        <v>6982</v>
      </c>
      <c r="H8661" t="s">
        <v>1626</v>
      </c>
      <c r="I8661">
        <v>0</v>
      </c>
      <c r="J8661" t="s">
        <v>6971</v>
      </c>
      <c r="K8661" t="s">
        <v>1643</v>
      </c>
      <c r="L8661" t="s">
        <v>285</v>
      </c>
      <c r="M8661" t="str">
        <f t="shared" si="651"/>
        <v>02</v>
      </c>
      <c r="N8661" t="s">
        <v>12</v>
      </c>
    </row>
    <row r="8662" spans="1:14" x14ac:dyDescent="0.25">
      <c r="A8662">
        <v>20160212</v>
      </c>
      <c r="B8662" t="str">
        <f t="shared" si="650"/>
        <v>062288</v>
      </c>
      <c r="C8662" t="str">
        <f t="shared" si="648"/>
        <v>27900</v>
      </c>
      <c r="D8662" t="s">
        <v>1596</v>
      </c>
      <c r="E8662" s="3">
        <v>2684.16</v>
      </c>
      <c r="F8662">
        <v>20160211</v>
      </c>
      <c r="G8662" t="s">
        <v>6982</v>
      </c>
      <c r="H8662" t="s">
        <v>1627</v>
      </c>
      <c r="I8662">
        <v>0</v>
      </c>
      <c r="J8662" t="s">
        <v>6971</v>
      </c>
      <c r="K8662" t="s">
        <v>1643</v>
      </c>
      <c r="L8662" t="s">
        <v>285</v>
      </c>
      <c r="M8662" t="str">
        <f t="shared" si="651"/>
        <v>02</v>
      </c>
      <c r="N8662" t="s">
        <v>12</v>
      </c>
    </row>
    <row r="8663" spans="1:14" x14ac:dyDescent="0.25">
      <c r="A8663">
        <v>20160212</v>
      </c>
      <c r="B8663" t="str">
        <f t="shared" si="650"/>
        <v>062288</v>
      </c>
      <c r="C8663" t="str">
        <f t="shared" si="648"/>
        <v>27900</v>
      </c>
      <c r="D8663" t="s">
        <v>1596</v>
      </c>
      <c r="E8663" s="3">
        <v>2290.42</v>
      </c>
      <c r="F8663">
        <v>20160211</v>
      </c>
      <c r="G8663" t="s">
        <v>6982</v>
      </c>
      <c r="H8663" t="s">
        <v>1629</v>
      </c>
      <c r="I8663">
        <v>0</v>
      </c>
      <c r="J8663" t="s">
        <v>6971</v>
      </c>
      <c r="K8663" t="s">
        <v>1643</v>
      </c>
      <c r="L8663" t="s">
        <v>285</v>
      </c>
      <c r="M8663" t="str">
        <f t="shared" si="651"/>
        <v>02</v>
      </c>
      <c r="N8663" t="s">
        <v>12</v>
      </c>
    </row>
    <row r="8664" spans="1:14" x14ac:dyDescent="0.25">
      <c r="A8664">
        <v>20160212</v>
      </c>
      <c r="B8664" t="str">
        <f t="shared" si="650"/>
        <v>062288</v>
      </c>
      <c r="C8664" t="str">
        <f t="shared" si="648"/>
        <v>27900</v>
      </c>
      <c r="D8664" t="s">
        <v>1596</v>
      </c>
      <c r="E8664" s="3">
        <v>2038.41</v>
      </c>
      <c r="F8664">
        <v>20160211</v>
      </c>
      <c r="G8664" t="s">
        <v>6983</v>
      </c>
      <c r="H8664" t="s">
        <v>1626</v>
      </c>
      <c r="I8664">
        <v>0</v>
      </c>
      <c r="J8664" t="s">
        <v>6971</v>
      </c>
      <c r="K8664" t="s">
        <v>33</v>
      </c>
      <c r="L8664" t="s">
        <v>285</v>
      </c>
      <c r="M8664" t="str">
        <f t="shared" si="651"/>
        <v>02</v>
      </c>
      <c r="N8664" t="s">
        <v>12</v>
      </c>
    </row>
    <row r="8665" spans="1:14" x14ac:dyDescent="0.25">
      <c r="A8665">
        <v>20160212</v>
      </c>
      <c r="B8665" t="str">
        <f t="shared" si="650"/>
        <v>062288</v>
      </c>
      <c r="C8665" t="str">
        <f t="shared" si="648"/>
        <v>27900</v>
      </c>
      <c r="D8665" t="s">
        <v>1596</v>
      </c>
      <c r="E8665" s="3">
        <v>1565.01</v>
      </c>
      <c r="F8665">
        <v>20160211</v>
      </c>
      <c r="G8665" t="s">
        <v>6983</v>
      </c>
      <c r="H8665" t="s">
        <v>1627</v>
      </c>
      <c r="I8665">
        <v>0</v>
      </c>
      <c r="J8665" t="s">
        <v>6971</v>
      </c>
      <c r="K8665" t="s">
        <v>33</v>
      </c>
      <c r="L8665" t="s">
        <v>285</v>
      </c>
      <c r="M8665" t="str">
        <f t="shared" si="651"/>
        <v>02</v>
      </c>
      <c r="N8665" t="s">
        <v>12</v>
      </c>
    </row>
    <row r="8666" spans="1:14" x14ac:dyDescent="0.25">
      <c r="A8666">
        <v>20160212</v>
      </c>
      <c r="B8666" t="str">
        <f t="shared" si="650"/>
        <v>062288</v>
      </c>
      <c r="C8666" t="str">
        <f t="shared" si="648"/>
        <v>27900</v>
      </c>
      <c r="D8666" t="s">
        <v>1596</v>
      </c>
      <c r="E8666" s="3">
        <v>1373.84</v>
      </c>
      <c r="F8666">
        <v>20160211</v>
      </c>
      <c r="G8666" t="s">
        <v>6983</v>
      </c>
      <c r="H8666" t="s">
        <v>1629</v>
      </c>
      <c r="I8666">
        <v>0</v>
      </c>
      <c r="J8666" t="s">
        <v>6971</v>
      </c>
      <c r="K8666" t="s">
        <v>33</v>
      </c>
      <c r="L8666" t="s">
        <v>285</v>
      </c>
      <c r="M8666" t="str">
        <f t="shared" si="651"/>
        <v>02</v>
      </c>
      <c r="N8666" t="s">
        <v>12</v>
      </c>
    </row>
    <row r="8667" spans="1:14" x14ac:dyDescent="0.25">
      <c r="A8667">
        <v>20160212</v>
      </c>
      <c r="B8667" t="str">
        <f t="shared" si="650"/>
        <v>062288</v>
      </c>
      <c r="C8667" t="str">
        <f t="shared" si="648"/>
        <v>27900</v>
      </c>
      <c r="D8667" t="s">
        <v>1596</v>
      </c>
      <c r="E8667" s="3">
        <v>1250</v>
      </c>
      <c r="F8667">
        <v>20160211</v>
      </c>
      <c r="G8667" t="s">
        <v>6987</v>
      </c>
      <c r="H8667" t="s">
        <v>1630</v>
      </c>
      <c r="I8667">
        <v>0</v>
      </c>
      <c r="J8667" t="s">
        <v>6971</v>
      </c>
      <c r="K8667" t="s">
        <v>290</v>
      </c>
      <c r="L8667" t="s">
        <v>285</v>
      </c>
      <c r="M8667" t="str">
        <f t="shared" si="651"/>
        <v>02</v>
      </c>
      <c r="N8667" t="s">
        <v>12</v>
      </c>
    </row>
    <row r="8668" spans="1:14" x14ac:dyDescent="0.25">
      <c r="A8668">
        <v>20160212</v>
      </c>
      <c r="B8668" t="str">
        <f t="shared" si="650"/>
        <v>062288</v>
      </c>
      <c r="C8668" t="str">
        <f t="shared" si="648"/>
        <v>27900</v>
      </c>
      <c r="D8668" t="s">
        <v>1596</v>
      </c>
      <c r="E8668" s="3">
        <v>125</v>
      </c>
      <c r="F8668">
        <v>20160211</v>
      </c>
      <c r="G8668" t="s">
        <v>6969</v>
      </c>
      <c r="H8668" t="s">
        <v>7003</v>
      </c>
      <c r="I8668">
        <v>0</v>
      </c>
      <c r="J8668" t="s">
        <v>6971</v>
      </c>
      <c r="K8668" t="s">
        <v>95</v>
      </c>
      <c r="L8668" t="s">
        <v>285</v>
      </c>
      <c r="M8668" t="str">
        <f t="shared" si="651"/>
        <v>02</v>
      </c>
      <c r="N8668" t="s">
        <v>12</v>
      </c>
    </row>
    <row r="8669" spans="1:14" x14ac:dyDescent="0.25">
      <c r="A8669">
        <v>20160212</v>
      </c>
      <c r="B8669" t="str">
        <f t="shared" si="650"/>
        <v>062288</v>
      </c>
      <c r="C8669" t="str">
        <f t="shared" si="648"/>
        <v>27900</v>
      </c>
      <c r="D8669" t="s">
        <v>1596</v>
      </c>
      <c r="E8669" s="3">
        <v>125</v>
      </c>
      <c r="F8669">
        <v>20160211</v>
      </c>
      <c r="G8669" t="s">
        <v>6969</v>
      </c>
      <c r="H8669" t="s">
        <v>7003</v>
      </c>
      <c r="I8669">
        <v>0</v>
      </c>
      <c r="J8669" t="s">
        <v>6971</v>
      </c>
      <c r="K8669" t="s">
        <v>95</v>
      </c>
      <c r="L8669" t="s">
        <v>285</v>
      </c>
      <c r="M8669" t="str">
        <f t="shared" si="651"/>
        <v>02</v>
      </c>
      <c r="N8669" t="s">
        <v>12</v>
      </c>
    </row>
    <row r="8670" spans="1:14" x14ac:dyDescent="0.25">
      <c r="A8670">
        <v>20160304</v>
      </c>
      <c r="B8670" t="str">
        <f>"062531"</f>
        <v>062531</v>
      </c>
      <c r="C8670" t="str">
        <f>"09170"</f>
        <v>09170</v>
      </c>
      <c r="D8670" t="s">
        <v>596</v>
      </c>
      <c r="E8670" s="3">
        <v>925</v>
      </c>
      <c r="F8670">
        <v>20160303</v>
      </c>
      <c r="G8670" t="s">
        <v>6987</v>
      </c>
      <c r="H8670" t="s">
        <v>7004</v>
      </c>
      <c r="I8670">
        <v>0</v>
      </c>
      <c r="J8670" t="s">
        <v>6971</v>
      </c>
      <c r="K8670" t="s">
        <v>290</v>
      </c>
      <c r="L8670" t="s">
        <v>285</v>
      </c>
      <c r="M8670" t="str">
        <f t="shared" ref="M8670:M8677" si="652">"03"</f>
        <v>03</v>
      </c>
      <c r="N8670" t="s">
        <v>12</v>
      </c>
    </row>
    <row r="8671" spans="1:14" x14ac:dyDescent="0.25">
      <c r="A8671">
        <v>20160311</v>
      </c>
      <c r="B8671" t="str">
        <f t="shared" ref="B8671:B8676" si="653">"062650"</f>
        <v>062650</v>
      </c>
      <c r="C8671" t="str">
        <f t="shared" ref="C8671:C8676" si="654">"27900"</f>
        <v>27900</v>
      </c>
      <c r="D8671" t="s">
        <v>1596</v>
      </c>
      <c r="E8671" s="3">
        <v>3203.2</v>
      </c>
      <c r="F8671">
        <v>20160310</v>
      </c>
      <c r="G8671" t="s">
        <v>6978</v>
      </c>
      <c r="H8671" t="s">
        <v>1638</v>
      </c>
      <c r="I8671">
        <v>0</v>
      </c>
      <c r="J8671" t="s">
        <v>6971</v>
      </c>
      <c r="K8671" t="s">
        <v>290</v>
      </c>
      <c r="L8671" t="s">
        <v>285</v>
      </c>
      <c r="M8671" t="str">
        <f t="shared" si="652"/>
        <v>03</v>
      </c>
      <c r="N8671" t="s">
        <v>12</v>
      </c>
    </row>
    <row r="8672" spans="1:14" x14ac:dyDescent="0.25">
      <c r="A8672">
        <v>20160311</v>
      </c>
      <c r="B8672" t="str">
        <f t="shared" si="653"/>
        <v>062650</v>
      </c>
      <c r="C8672" t="str">
        <f t="shared" si="654"/>
        <v>27900</v>
      </c>
      <c r="D8672" t="s">
        <v>1596</v>
      </c>
      <c r="E8672" s="3">
        <v>2604</v>
      </c>
      <c r="F8672">
        <v>20160310</v>
      </c>
      <c r="G8672" t="s">
        <v>6981</v>
      </c>
      <c r="H8672" t="s">
        <v>1638</v>
      </c>
      <c r="I8672">
        <v>0</v>
      </c>
      <c r="J8672" t="s">
        <v>6971</v>
      </c>
      <c r="K8672" t="s">
        <v>95</v>
      </c>
      <c r="L8672" t="s">
        <v>285</v>
      </c>
      <c r="M8672" t="str">
        <f t="shared" si="652"/>
        <v>03</v>
      </c>
      <c r="N8672" t="s">
        <v>12</v>
      </c>
    </row>
    <row r="8673" spans="1:14" x14ac:dyDescent="0.25">
      <c r="A8673">
        <v>20160311</v>
      </c>
      <c r="B8673" t="str">
        <f t="shared" si="653"/>
        <v>062650</v>
      </c>
      <c r="C8673" t="str">
        <f t="shared" si="654"/>
        <v>27900</v>
      </c>
      <c r="D8673" t="s">
        <v>1596</v>
      </c>
      <c r="E8673" s="3">
        <v>3097.4</v>
      </c>
      <c r="F8673">
        <v>20160310</v>
      </c>
      <c r="G8673" t="s">
        <v>6982</v>
      </c>
      <c r="H8673" t="s">
        <v>1638</v>
      </c>
      <c r="I8673">
        <v>0</v>
      </c>
      <c r="J8673" t="s">
        <v>6971</v>
      </c>
      <c r="K8673" t="s">
        <v>1643</v>
      </c>
      <c r="L8673" t="s">
        <v>285</v>
      </c>
      <c r="M8673" t="str">
        <f t="shared" si="652"/>
        <v>03</v>
      </c>
      <c r="N8673" t="s">
        <v>12</v>
      </c>
    </row>
    <row r="8674" spans="1:14" x14ac:dyDescent="0.25">
      <c r="A8674">
        <v>20160311</v>
      </c>
      <c r="B8674" t="str">
        <f t="shared" si="653"/>
        <v>062650</v>
      </c>
      <c r="C8674" t="str">
        <f t="shared" si="654"/>
        <v>27900</v>
      </c>
      <c r="D8674" t="s">
        <v>1596</v>
      </c>
      <c r="E8674" s="3">
        <v>1867.6</v>
      </c>
      <c r="F8674">
        <v>20160310</v>
      </c>
      <c r="G8674" t="s">
        <v>6983</v>
      </c>
      <c r="H8674" t="s">
        <v>1638</v>
      </c>
      <c r="I8674">
        <v>0</v>
      </c>
      <c r="J8674" t="s">
        <v>6971</v>
      </c>
      <c r="K8674" t="s">
        <v>33</v>
      </c>
      <c r="L8674" t="s">
        <v>285</v>
      </c>
      <c r="M8674" t="str">
        <f t="shared" si="652"/>
        <v>03</v>
      </c>
      <c r="N8674" t="s">
        <v>12</v>
      </c>
    </row>
    <row r="8675" spans="1:14" x14ac:dyDescent="0.25">
      <c r="A8675">
        <v>20160311</v>
      </c>
      <c r="B8675" t="str">
        <f t="shared" si="653"/>
        <v>062650</v>
      </c>
      <c r="C8675" t="str">
        <f t="shared" si="654"/>
        <v>27900</v>
      </c>
      <c r="D8675" t="s">
        <v>1596</v>
      </c>
      <c r="E8675" s="3">
        <v>100</v>
      </c>
      <c r="F8675">
        <v>20160310</v>
      </c>
      <c r="G8675" t="s">
        <v>6987</v>
      </c>
      <c r="H8675" t="s">
        <v>7005</v>
      </c>
      <c r="I8675">
        <v>0</v>
      </c>
      <c r="J8675" t="s">
        <v>6971</v>
      </c>
      <c r="K8675" t="s">
        <v>290</v>
      </c>
      <c r="L8675" t="s">
        <v>285</v>
      </c>
      <c r="M8675" t="str">
        <f t="shared" si="652"/>
        <v>03</v>
      </c>
      <c r="N8675" t="s">
        <v>12</v>
      </c>
    </row>
    <row r="8676" spans="1:14" x14ac:dyDescent="0.25">
      <c r="A8676">
        <v>20160311</v>
      </c>
      <c r="B8676" t="str">
        <f t="shared" si="653"/>
        <v>062650</v>
      </c>
      <c r="C8676" t="str">
        <f t="shared" si="654"/>
        <v>27900</v>
      </c>
      <c r="D8676" t="s">
        <v>1596</v>
      </c>
      <c r="E8676" s="3">
        <v>100</v>
      </c>
      <c r="F8676">
        <v>20160310</v>
      </c>
      <c r="G8676" t="s">
        <v>6969</v>
      </c>
      <c r="H8676" t="s">
        <v>1640</v>
      </c>
      <c r="I8676">
        <v>0</v>
      </c>
      <c r="J8676" t="s">
        <v>6971</v>
      </c>
      <c r="K8676" t="s">
        <v>95</v>
      </c>
      <c r="L8676" t="s">
        <v>285</v>
      </c>
      <c r="M8676" t="str">
        <f t="shared" si="652"/>
        <v>03</v>
      </c>
      <c r="N8676" t="s">
        <v>12</v>
      </c>
    </row>
    <row r="8677" spans="1:14" x14ac:dyDescent="0.25">
      <c r="A8677">
        <v>20160331</v>
      </c>
      <c r="B8677" t="str">
        <f>"062911"</f>
        <v>062911</v>
      </c>
      <c r="C8677" t="str">
        <f>"09170"</f>
        <v>09170</v>
      </c>
      <c r="D8677" t="s">
        <v>596</v>
      </c>
      <c r="E8677" s="3">
        <v>675</v>
      </c>
      <c r="F8677">
        <v>20160329</v>
      </c>
      <c r="G8677" t="s">
        <v>6969</v>
      </c>
      <c r="H8677" t="s">
        <v>7006</v>
      </c>
      <c r="I8677">
        <v>0</v>
      </c>
      <c r="J8677" t="s">
        <v>6971</v>
      </c>
      <c r="K8677" t="s">
        <v>95</v>
      </c>
      <c r="L8677" t="s">
        <v>285</v>
      </c>
      <c r="M8677" t="str">
        <f t="shared" si="652"/>
        <v>03</v>
      </c>
      <c r="N8677" t="s">
        <v>12</v>
      </c>
    </row>
    <row r="8678" spans="1:14" x14ac:dyDescent="0.25">
      <c r="A8678">
        <v>20160610</v>
      </c>
      <c r="B8678" t="str">
        <f>"063803"</f>
        <v>063803</v>
      </c>
      <c r="C8678" t="str">
        <f>"56451"</f>
        <v>56451</v>
      </c>
      <c r="D8678" t="s">
        <v>1620</v>
      </c>
      <c r="E8678" s="3">
        <v>187.17</v>
      </c>
      <c r="F8678">
        <v>20160608</v>
      </c>
      <c r="G8678" t="s">
        <v>6987</v>
      </c>
      <c r="H8678" t="s">
        <v>1648</v>
      </c>
      <c r="I8678">
        <v>0</v>
      </c>
      <c r="J8678" t="s">
        <v>6971</v>
      </c>
      <c r="K8678" t="s">
        <v>290</v>
      </c>
      <c r="L8678" t="s">
        <v>285</v>
      </c>
      <c r="M8678" t="str">
        <f>"06"</f>
        <v>06</v>
      </c>
      <c r="N8678" t="s">
        <v>12</v>
      </c>
    </row>
    <row r="8679" spans="1:14" x14ac:dyDescent="0.25">
      <c r="A8679">
        <v>20160610</v>
      </c>
      <c r="B8679" t="str">
        <f>"063804"</f>
        <v>063804</v>
      </c>
      <c r="C8679" t="str">
        <f>"56451"</f>
        <v>56451</v>
      </c>
      <c r="D8679" t="s">
        <v>1620</v>
      </c>
      <c r="E8679" s="3">
        <v>187.17</v>
      </c>
      <c r="F8679">
        <v>20160608</v>
      </c>
      <c r="G8679" t="s">
        <v>6987</v>
      </c>
      <c r="H8679" t="s">
        <v>1648</v>
      </c>
      <c r="I8679">
        <v>0</v>
      </c>
      <c r="J8679" t="s">
        <v>6971</v>
      </c>
      <c r="K8679" t="s">
        <v>290</v>
      </c>
      <c r="L8679" t="s">
        <v>285</v>
      </c>
      <c r="M8679" t="str">
        <f>"06"</f>
        <v>06</v>
      </c>
      <c r="N8679" t="s">
        <v>12</v>
      </c>
    </row>
    <row r="8680" spans="1:14" x14ac:dyDescent="0.25">
      <c r="A8680">
        <v>20160617</v>
      </c>
      <c r="B8680" t="str">
        <f>"063915"</f>
        <v>063915</v>
      </c>
      <c r="C8680" t="str">
        <f>"65197"</f>
        <v>65197</v>
      </c>
      <c r="D8680" t="s">
        <v>3874</v>
      </c>
      <c r="E8680" s="3">
        <v>69.400000000000006</v>
      </c>
      <c r="F8680">
        <v>20160615</v>
      </c>
      <c r="G8680" t="s">
        <v>6987</v>
      </c>
      <c r="H8680" t="s">
        <v>5684</v>
      </c>
      <c r="I8680">
        <v>0</v>
      </c>
      <c r="J8680" t="s">
        <v>6971</v>
      </c>
      <c r="K8680" t="s">
        <v>290</v>
      </c>
      <c r="L8680" t="s">
        <v>285</v>
      </c>
      <c r="M8680" t="str">
        <f>"06"</f>
        <v>06</v>
      </c>
      <c r="N8680" t="s">
        <v>12</v>
      </c>
    </row>
    <row r="8681" spans="1:14" x14ac:dyDescent="0.25">
      <c r="A8681">
        <v>20160623</v>
      </c>
      <c r="B8681" t="str">
        <f>"063937"</f>
        <v>063937</v>
      </c>
      <c r="C8681" t="str">
        <f>"09170"</f>
        <v>09170</v>
      </c>
      <c r="D8681" t="s">
        <v>596</v>
      </c>
      <c r="E8681" s="3">
        <v>360</v>
      </c>
      <c r="F8681">
        <v>20160622</v>
      </c>
      <c r="G8681" t="s">
        <v>6987</v>
      </c>
      <c r="H8681" t="s">
        <v>1648</v>
      </c>
      <c r="I8681">
        <v>0</v>
      </c>
      <c r="J8681" t="s">
        <v>6971</v>
      </c>
      <c r="K8681" t="s">
        <v>290</v>
      </c>
      <c r="L8681" t="s">
        <v>285</v>
      </c>
      <c r="M8681" t="str">
        <f>"06"</f>
        <v>06</v>
      </c>
      <c r="N8681" t="s">
        <v>12</v>
      </c>
    </row>
    <row r="8682" spans="1:14" x14ac:dyDescent="0.25">
      <c r="A8682">
        <v>20160722</v>
      </c>
      <c r="B8682" t="str">
        <f>"064156"</f>
        <v>064156</v>
      </c>
      <c r="C8682" t="str">
        <f>"49922"</f>
        <v>49922</v>
      </c>
      <c r="D8682" t="s">
        <v>6991</v>
      </c>
      <c r="E8682" s="3">
        <v>121.97</v>
      </c>
      <c r="F8682">
        <v>20160720</v>
      </c>
      <c r="G8682" t="s">
        <v>6987</v>
      </c>
      <c r="H8682" t="s">
        <v>1648</v>
      </c>
      <c r="I8682">
        <v>0</v>
      </c>
      <c r="J8682" t="s">
        <v>6971</v>
      </c>
      <c r="K8682" t="s">
        <v>290</v>
      </c>
      <c r="L8682" t="s">
        <v>285</v>
      </c>
      <c r="M8682" t="str">
        <f>"07"</f>
        <v>07</v>
      </c>
      <c r="N8682" t="s">
        <v>12</v>
      </c>
    </row>
    <row r="8683" spans="1:14" x14ac:dyDescent="0.25">
      <c r="A8683">
        <v>20160826</v>
      </c>
      <c r="B8683" t="str">
        <f t="shared" ref="B8683:B8690" si="655">"064567"</f>
        <v>064567</v>
      </c>
      <c r="C8683" t="str">
        <f t="shared" ref="C8683:C8690" si="656">"62338"</f>
        <v>62338</v>
      </c>
      <c r="D8683" t="s">
        <v>6977</v>
      </c>
      <c r="E8683" s="3">
        <v>337.5</v>
      </c>
      <c r="F8683">
        <v>20160825</v>
      </c>
      <c r="G8683" t="s">
        <v>7007</v>
      </c>
      <c r="H8683" t="s">
        <v>7008</v>
      </c>
      <c r="I8683">
        <v>0</v>
      </c>
      <c r="J8683" t="s">
        <v>6971</v>
      </c>
      <c r="K8683" t="s">
        <v>290</v>
      </c>
      <c r="L8683" t="s">
        <v>285</v>
      </c>
      <c r="M8683" t="str">
        <f t="shared" ref="M8683:M8690" si="657">"08"</f>
        <v>08</v>
      </c>
      <c r="N8683" t="s">
        <v>12</v>
      </c>
    </row>
    <row r="8684" spans="1:14" x14ac:dyDescent="0.25">
      <c r="A8684">
        <v>20160826</v>
      </c>
      <c r="B8684" t="str">
        <f t="shared" si="655"/>
        <v>064567</v>
      </c>
      <c r="C8684" t="str">
        <f t="shared" si="656"/>
        <v>62338</v>
      </c>
      <c r="D8684" t="s">
        <v>6977</v>
      </c>
      <c r="E8684" s="3">
        <v>400</v>
      </c>
      <c r="F8684">
        <v>20160825</v>
      </c>
      <c r="G8684" t="s">
        <v>7007</v>
      </c>
      <c r="H8684" t="s">
        <v>7009</v>
      </c>
      <c r="I8684">
        <v>0</v>
      </c>
      <c r="J8684" t="s">
        <v>6971</v>
      </c>
      <c r="K8684" t="s">
        <v>290</v>
      </c>
      <c r="L8684" t="s">
        <v>285</v>
      </c>
      <c r="M8684" t="str">
        <f t="shared" si="657"/>
        <v>08</v>
      </c>
      <c r="N8684" t="s">
        <v>12</v>
      </c>
    </row>
    <row r="8685" spans="1:14" x14ac:dyDescent="0.25">
      <c r="A8685">
        <v>20160826</v>
      </c>
      <c r="B8685" t="str">
        <f t="shared" si="655"/>
        <v>064567</v>
      </c>
      <c r="C8685" t="str">
        <f t="shared" si="656"/>
        <v>62338</v>
      </c>
      <c r="D8685" t="s">
        <v>6977</v>
      </c>
      <c r="E8685" s="3">
        <v>337.5</v>
      </c>
      <c r="F8685">
        <v>20160825</v>
      </c>
      <c r="G8685" t="s">
        <v>7010</v>
      </c>
      <c r="H8685" t="s">
        <v>7008</v>
      </c>
      <c r="I8685">
        <v>0</v>
      </c>
      <c r="J8685" t="s">
        <v>6971</v>
      </c>
      <c r="K8685" t="s">
        <v>95</v>
      </c>
      <c r="L8685" t="s">
        <v>285</v>
      </c>
      <c r="M8685" t="str">
        <f t="shared" si="657"/>
        <v>08</v>
      </c>
      <c r="N8685" t="s">
        <v>12</v>
      </c>
    </row>
    <row r="8686" spans="1:14" x14ac:dyDescent="0.25">
      <c r="A8686">
        <v>20160826</v>
      </c>
      <c r="B8686" t="str">
        <f t="shared" si="655"/>
        <v>064567</v>
      </c>
      <c r="C8686" t="str">
        <f t="shared" si="656"/>
        <v>62338</v>
      </c>
      <c r="D8686" t="s">
        <v>6977</v>
      </c>
      <c r="E8686" s="3">
        <v>400</v>
      </c>
      <c r="F8686">
        <v>20160825</v>
      </c>
      <c r="G8686" t="s">
        <v>7010</v>
      </c>
      <c r="H8686" t="s">
        <v>7009</v>
      </c>
      <c r="I8686">
        <v>0</v>
      </c>
      <c r="J8686" t="s">
        <v>6971</v>
      </c>
      <c r="K8686" t="s">
        <v>95</v>
      </c>
      <c r="L8686" t="s">
        <v>285</v>
      </c>
      <c r="M8686" t="str">
        <f t="shared" si="657"/>
        <v>08</v>
      </c>
      <c r="N8686" t="s">
        <v>12</v>
      </c>
    </row>
    <row r="8687" spans="1:14" x14ac:dyDescent="0.25">
      <c r="A8687">
        <v>20160826</v>
      </c>
      <c r="B8687" t="str">
        <f t="shared" si="655"/>
        <v>064567</v>
      </c>
      <c r="C8687" t="str">
        <f t="shared" si="656"/>
        <v>62338</v>
      </c>
      <c r="D8687" t="s">
        <v>6977</v>
      </c>
      <c r="E8687" s="3">
        <v>337.5</v>
      </c>
      <c r="F8687">
        <v>20160825</v>
      </c>
      <c r="G8687" t="s">
        <v>7011</v>
      </c>
      <c r="H8687" t="s">
        <v>7008</v>
      </c>
      <c r="I8687">
        <v>0</v>
      </c>
      <c r="J8687" t="s">
        <v>6971</v>
      </c>
      <c r="K8687" t="s">
        <v>1643</v>
      </c>
      <c r="L8687" t="s">
        <v>285</v>
      </c>
      <c r="M8687" t="str">
        <f t="shared" si="657"/>
        <v>08</v>
      </c>
      <c r="N8687" t="s">
        <v>12</v>
      </c>
    </row>
    <row r="8688" spans="1:14" x14ac:dyDescent="0.25">
      <c r="A8688">
        <v>20160826</v>
      </c>
      <c r="B8688" t="str">
        <f t="shared" si="655"/>
        <v>064567</v>
      </c>
      <c r="C8688" t="str">
        <f t="shared" si="656"/>
        <v>62338</v>
      </c>
      <c r="D8688" t="s">
        <v>6977</v>
      </c>
      <c r="E8688" s="3">
        <v>400</v>
      </c>
      <c r="F8688">
        <v>20160825</v>
      </c>
      <c r="G8688" t="s">
        <v>7011</v>
      </c>
      <c r="H8688" t="s">
        <v>7009</v>
      </c>
      <c r="I8688">
        <v>0</v>
      </c>
      <c r="J8688" t="s">
        <v>6971</v>
      </c>
      <c r="K8688" t="s">
        <v>1643</v>
      </c>
      <c r="L8688" t="s">
        <v>285</v>
      </c>
      <c r="M8688" t="str">
        <f t="shared" si="657"/>
        <v>08</v>
      </c>
      <c r="N8688" t="s">
        <v>12</v>
      </c>
    </row>
    <row r="8689" spans="1:14" x14ac:dyDescent="0.25">
      <c r="A8689">
        <v>20160826</v>
      </c>
      <c r="B8689" t="str">
        <f t="shared" si="655"/>
        <v>064567</v>
      </c>
      <c r="C8689" t="str">
        <f t="shared" si="656"/>
        <v>62338</v>
      </c>
      <c r="D8689" t="s">
        <v>6977</v>
      </c>
      <c r="E8689" s="3">
        <v>337.5</v>
      </c>
      <c r="F8689">
        <v>20160825</v>
      </c>
      <c r="G8689" t="s">
        <v>7012</v>
      </c>
      <c r="H8689" t="s">
        <v>7008</v>
      </c>
      <c r="I8689">
        <v>0</v>
      </c>
      <c r="J8689" t="s">
        <v>6971</v>
      </c>
      <c r="K8689" t="s">
        <v>33</v>
      </c>
      <c r="L8689" t="s">
        <v>285</v>
      </c>
      <c r="M8689" t="str">
        <f t="shared" si="657"/>
        <v>08</v>
      </c>
      <c r="N8689" t="s">
        <v>12</v>
      </c>
    </row>
    <row r="8690" spans="1:14" x14ac:dyDescent="0.25">
      <c r="A8690">
        <v>20160826</v>
      </c>
      <c r="B8690" t="str">
        <f t="shared" si="655"/>
        <v>064567</v>
      </c>
      <c r="C8690" t="str">
        <f t="shared" si="656"/>
        <v>62338</v>
      </c>
      <c r="D8690" t="s">
        <v>6977</v>
      </c>
      <c r="E8690" s="3">
        <v>400</v>
      </c>
      <c r="F8690">
        <v>20160825</v>
      </c>
      <c r="G8690" t="s">
        <v>7012</v>
      </c>
      <c r="H8690" t="s">
        <v>7009</v>
      </c>
      <c r="I8690">
        <v>0</v>
      </c>
      <c r="J8690" t="s">
        <v>6971</v>
      </c>
      <c r="K8690" t="s">
        <v>33</v>
      </c>
      <c r="L8690" t="s">
        <v>285</v>
      </c>
      <c r="M8690" t="str">
        <f t="shared" si="657"/>
        <v>08</v>
      </c>
      <c r="N8690" t="s">
        <v>12</v>
      </c>
    </row>
    <row r="8691" spans="1:14" x14ac:dyDescent="0.25">
      <c r="A8691">
        <v>20151009</v>
      </c>
      <c r="B8691" t="str">
        <f>"060578"</f>
        <v>060578</v>
      </c>
      <c r="C8691" t="str">
        <f>"63511"</f>
        <v>63511</v>
      </c>
      <c r="D8691" t="s">
        <v>2322</v>
      </c>
      <c r="E8691" s="3">
        <v>6395</v>
      </c>
      <c r="F8691">
        <v>20151008</v>
      </c>
      <c r="G8691" t="s">
        <v>7013</v>
      </c>
      <c r="H8691" t="s">
        <v>7014</v>
      </c>
      <c r="I8691">
        <v>0</v>
      </c>
      <c r="J8691" t="s">
        <v>7015</v>
      </c>
      <c r="K8691" t="s">
        <v>235</v>
      </c>
      <c r="L8691" t="s">
        <v>285</v>
      </c>
      <c r="M8691" t="str">
        <f>"10"</f>
        <v>10</v>
      </c>
      <c r="N8691" t="s">
        <v>12</v>
      </c>
    </row>
    <row r="8692" spans="1:14" x14ac:dyDescent="0.25">
      <c r="A8692">
        <v>20151009</v>
      </c>
      <c r="B8692" t="str">
        <f>"060578"</f>
        <v>060578</v>
      </c>
      <c r="C8692" t="str">
        <f>"63511"</f>
        <v>63511</v>
      </c>
      <c r="D8692" t="s">
        <v>2322</v>
      </c>
      <c r="E8692" s="3">
        <v>107093.3</v>
      </c>
      <c r="F8692">
        <v>20151008</v>
      </c>
      <c r="G8692" t="s">
        <v>7013</v>
      </c>
      <c r="H8692" t="s">
        <v>7014</v>
      </c>
      <c r="I8692">
        <v>0</v>
      </c>
      <c r="J8692" t="s">
        <v>7015</v>
      </c>
      <c r="K8692" t="s">
        <v>235</v>
      </c>
      <c r="L8692" t="s">
        <v>285</v>
      </c>
      <c r="M8692" t="str">
        <f>"10"</f>
        <v>10</v>
      </c>
      <c r="N8692" t="s">
        <v>12</v>
      </c>
    </row>
    <row r="8693" spans="1:14" x14ac:dyDescent="0.25">
      <c r="A8693">
        <v>20151009</v>
      </c>
      <c r="B8693" t="str">
        <f>"060578"</f>
        <v>060578</v>
      </c>
      <c r="C8693" t="str">
        <f>"63511"</f>
        <v>63511</v>
      </c>
      <c r="D8693" t="s">
        <v>2322</v>
      </c>
      <c r="E8693" s="3">
        <v>13902.6</v>
      </c>
      <c r="F8693">
        <v>20151008</v>
      </c>
      <c r="G8693" t="s">
        <v>7013</v>
      </c>
      <c r="H8693" t="s">
        <v>7014</v>
      </c>
      <c r="I8693">
        <v>0</v>
      </c>
      <c r="J8693" t="s">
        <v>7015</v>
      </c>
      <c r="K8693" t="s">
        <v>235</v>
      </c>
      <c r="L8693" t="s">
        <v>285</v>
      </c>
      <c r="M8693" t="str">
        <f>"10"</f>
        <v>10</v>
      </c>
      <c r="N8693" t="s">
        <v>12</v>
      </c>
    </row>
    <row r="8694" spans="1:14" x14ac:dyDescent="0.25">
      <c r="A8694">
        <v>20151009</v>
      </c>
      <c r="B8694" t="str">
        <f>"060578"</f>
        <v>060578</v>
      </c>
      <c r="C8694" t="str">
        <f>"63511"</f>
        <v>63511</v>
      </c>
      <c r="D8694" t="s">
        <v>2322</v>
      </c>
      <c r="E8694" s="3">
        <v>42120</v>
      </c>
      <c r="F8694">
        <v>20151008</v>
      </c>
      <c r="G8694" t="s">
        <v>7013</v>
      </c>
      <c r="H8694" t="s">
        <v>7014</v>
      </c>
      <c r="I8694">
        <v>0</v>
      </c>
      <c r="J8694" t="s">
        <v>7015</v>
      </c>
      <c r="K8694" t="s">
        <v>235</v>
      </c>
      <c r="L8694" t="s">
        <v>285</v>
      </c>
      <c r="M8694" t="str">
        <f>"10"</f>
        <v>10</v>
      </c>
      <c r="N8694" t="s">
        <v>12</v>
      </c>
    </row>
    <row r="8695" spans="1:14" x14ac:dyDescent="0.25">
      <c r="A8695">
        <v>20151009</v>
      </c>
      <c r="B8695" t="str">
        <f>"060586"</f>
        <v>060586</v>
      </c>
      <c r="C8695" t="str">
        <f>"47609"</f>
        <v>47609</v>
      </c>
      <c r="D8695" t="s">
        <v>7016</v>
      </c>
      <c r="E8695" s="3">
        <v>32000</v>
      </c>
      <c r="F8695">
        <v>20151008</v>
      </c>
      <c r="G8695" t="s">
        <v>7013</v>
      </c>
      <c r="H8695" t="s">
        <v>7017</v>
      </c>
      <c r="I8695">
        <v>0</v>
      </c>
      <c r="J8695" t="s">
        <v>7015</v>
      </c>
      <c r="K8695" t="s">
        <v>235</v>
      </c>
      <c r="L8695" t="s">
        <v>285</v>
      </c>
      <c r="M8695" t="str">
        <f>"10"</f>
        <v>10</v>
      </c>
      <c r="N8695" t="s">
        <v>12</v>
      </c>
    </row>
    <row r="8696" spans="1:14" x14ac:dyDescent="0.25">
      <c r="A8696">
        <v>20160429</v>
      </c>
      <c r="B8696" t="str">
        <f>"063288"</f>
        <v>063288</v>
      </c>
      <c r="C8696" t="str">
        <f>"16807"</f>
        <v>16807</v>
      </c>
      <c r="D8696" t="s">
        <v>1560</v>
      </c>
      <c r="E8696" s="3">
        <v>11602.8</v>
      </c>
      <c r="F8696">
        <v>20160427</v>
      </c>
      <c r="G8696" t="s">
        <v>7018</v>
      </c>
      <c r="H8696" t="s">
        <v>4583</v>
      </c>
      <c r="I8696">
        <v>0</v>
      </c>
      <c r="J8696" t="s">
        <v>7015</v>
      </c>
      <c r="K8696" t="s">
        <v>33</v>
      </c>
      <c r="L8696" t="s">
        <v>285</v>
      </c>
      <c r="M8696" t="str">
        <f>"04"</f>
        <v>04</v>
      </c>
      <c r="N8696" t="s">
        <v>12</v>
      </c>
    </row>
    <row r="8697" spans="1:14" x14ac:dyDescent="0.25">
      <c r="A8697">
        <v>20160429</v>
      </c>
      <c r="B8697" t="str">
        <f>"063288"</f>
        <v>063288</v>
      </c>
      <c r="C8697" t="str">
        <f>"16807"</f>
        <v>16807</v>
      </c>
      <c r="D8697" t="s">
        <v>1560</v>
      </c>
      <c r="E8697" s="3">
        <v>4134.72</v>
      </c>
      <c r="F8697">
        <v>20160427</v>
      </c>
      <c r="G8697" t="s">
        <v>7018</v>
      </c>
      <c r="H8697" t="s">
        <v>7019</v>
      </c>
      <c r="I8697">
        <v>0</v>
      </c>
      <c r="J8697" t="s">
        <v>7015</v>
      </c>
      <c r="K8697" t="s">
        <v>33</v>
      </c>
      <c r="L8697" t="s">
        <v>285</v>
      </c>
      <c r="M8697" t="str">
        <f>"04"</f>
        <v>04</v>
      </c>
      <c r="N8697" t="s">
        <v>12</v>
      </c>
    </row>
    <row r="8698" spans="1:14" x14ac:dyDescent="0.25">
      <c r="A8698">
        <v>20160429</v>
      </c>
      <c r="B8698" t="str">
        <f>"063288"</f>
        <v>063288</v>
      </c>
      <c r="C8698" t="str">
        <f>"16807"</f>
        <v>16807</v>
      </c>
      <c r="D8698" t="s">
        <v>1560</v>
      </c>
      <c r="E8698" s="3">
        <v>32091</v>
      </c>
      <c r="F8698">
        <v>20160427</v>
      </c>
      <c r="G8698" t="s">
        <v>7018</v>
      </c>
      <c r="H8698" t="s">
        <v>7020</v>
      </c>
      <c r="I8698">
        <v>0</v>
      </c>
      <c r="J8698" t="s">
        <v>7015</v>
      </c>
      <c r="K8698" t="s">
        <v>33</v>
      </c>
      <c r="L8698" t="s">
        <v>285</v>
      </c>
      <c r="M8698" t="str">
        <f>"04"</f>
        <v>04</v>
      </c>
      <c r="N8698" t="s">
        <v>12</v>
      </c>
    </row>
    <row r="8699" spans="1:14" x14ac:dyDescent="0.25">
      <c r="A8699">
        <v>20160429</v>
      </c>
      <c r="B8699" t="str">
        <f>"063288"</f>
        <v>063288</v>
      </c>
      <c r="C8699" t="str">
        <f>"16807"</f>
        <v>16807</v>
      </c>
      <c r="D8699" t="s">
        <v>1560</v>
      </c>
      <c r="E8699" s="3">
        <v>5168.3999999999996</v>
      </c>
      <c r="F8699">
        <v>20160427</v>
      </c>
      <c r="G8699" t="s">
        <v>7018</v>
      </c>
      <c r="H8699" t="s">
        <v>7019</v>
      </c>
      <c r="I8699">
        <v>0</v>
      </c>
      <c r="J8699" t="s">
        <v>7015</v>
      </c>
      <c r="K8699" t="s">
        <v>33</v>
      </c>
      <c r="L8699" t="s">
        <v>285</v>
      </c>
      <c r="M8699" t="str">
        <f>"04"</f>
        <v>04</v>
      </c>
      <c r="N8699" t="s">
        <v>12</v>
      </c>
    </row>
    <row r="8700" spans="1:14" x14ac:dyDescent="0.25">
      <c r="A8700">
        <v>20160805</v>
      </c>
      <c r="B8700" t="str">
        <f>"064318"</f>
        <v>064318</v>
      </c>
      <c r="C8700" t="str">
        <f>"72730"</f>
        <v>72730</v>
      </c>
      <c r="D8700" t="s">
        <v>1400</v>
      </c>
      <c r="E8700" s="3">
        <v>11172</v>
      </c>
      <c r="F8700">
        <v>20160804</v>
      </c>
      <c r="G8700" t="s">
        <v>7021</v>
      </c>
      <c r="H8700" t="s">
        <v>7022</v>
      </c>
      <c r="I8700">
        <v>0</v>
      </c>
      <c r="J8700" t="s">
        <v>7015</v>
      </c>
      <c r="K8700" t="s">
        <v>290</v>
      </c>
      <c r="L8700" t="s">
        <v>285</v>
      </c>
      <c r="M8700" t="str">
        <f>"08"</f>
        <v>08</v>
      </c>
      <c r="N8700" t="s">
        <v>12</v>
      </c>
    </row>
    <row r="8701" spans="1:14" x14ac:dyDescent="0.25">
      <c r="A8701">
        <v>20160805</v>
      </c>
      <c r="B8701" t="str">
        <f>"064318"</f>
        <v>064318</v>
      </c>
      <c r="C8701" t="str">
        <f>"72730"</f>
        <v>72730</v>
      </c>
      <c r="D8701" t="s">
        <v>1400</v>
      </c>
      <c r="E8701" s="3">
        <v>8820</v>
      </c>
      <c r="F8701">
        <v>20160804</v>
      </c>
      <c r="G8701" t="s">
        <v>7021</v>
      </c>
      <c r="H8701" t="s">
        <v>7022</v>
      </c>
      <c r="I8701">
        <v>0</v>
      </c>
      <c r="J8701" t="s">
        <v>7015</v>
      </c>
      <c r="K8701" t="s">
        <v>290</v>
      </c>
      <c r="L8701" t="s">
        <v>285</v>
      </c>
      <c r="M8701" t="str">
        <f>"08"</f>
        <v>08</v>
      </c>
      <c r="N8701" t="s">
        <v>12</v>
      </c>
    </row>
    <row r="8702" spans="1:14" x14ac:dyDescent="0.25">
      <c r="A8702">
        <v>20160225</v>
      </c>
      <c r="B8702" t="str">
        <f>"022516"</f>
        <v>022516</v>
      </c>
      <c r="C8702" t="str">
        <f>"78311"</f>
        <v>78311</v>
      </c>
      <c r="D8702" t="s">
        <v>458</v>
      </c>
      <c r="E8702" s="3">
        <v>20.14</v>
      </c>
      <c r="F8702">
        <v>20160229</v>
      </c>
      <c r="G8702" t="s">
        <v>7023</v>
      </c>
      <c r="H8702" t="s">
        <v>958</v>
      </c>
      <c r="I8702">
        <v>0</v>
      </c>
      <c r="J8702" t="s">
        <v>7024</v>
      </c>
      <c r="K8702" t="s">
        <v>290</v>
      </c>
      <c r="L8702" t="s">
        <v>17</v>
      </c>
      <c r="M8702" t="str">
        <f>"02"</f>
        <v>02</v>
      </c>
      <c r="N8702" t="s">
        <v>12</v>
      </c>
    </row>
    <row r="8703" spans="1:14" x14ac:dyDescent="0.25">
      <c r="A8703">
        <v>20160225</v>
      </c>
      <c r="B8703" t="str">
        <f>"022516"</f>
        <v>022516</v>
      </c>
      <c r="C8703" t="str">
        <f>"78311"</f>
        <v>78311</v>
      </c>
      <c r="D8703" t="s">
        <v>458</v>
      </c>
      <c r="E8703" s="3">
        <v>-20.14</v>
      </c>
      <c r="F8703">
        <v>20160307</v>
      </c>
      <c r="G8703" t="s">
        <v>7023</v>
      </c>
      <c r="H8703" t="s">
        <v>214</v>
      </c>
      <c r="I8703">
        <v>0</v>
      </c>
      <c r="J8703" t="s">
        <v>7024</v>
      </c>
      <c r="K8703" t="s">
        <v>290</v>
      </c>
      <c r="L8703" t="s">
        <v>17</v>
      </c>
      <c r="M8703" t="str">
        <f>"02"</f>
        <v>02</v>
      </c>
      <c r="N8703" t="s">
        <v>12</v>
      </c>
    </row>
    <row r="8704" spans="1:14" x14ac:dyDescent="0.25">
      <c r="A8704">
        <v>20160225</v>
      </c>
      <c r="B8704" t="str">
        <f>"022516"</f>
        <v>022516</v>
      </c>
      <c r="C8704" t="str">
        <f>"78311"</f>
        <v>78311</v>
      </c>
      <c r="D8704" t="s">
        <v>458</v>
      </c>
      <c r="E8704" s="3">
        <v>20.440000000000001</v>
      </c>
      <c r="F8704">
        <v>20160307</v>
      </c>
      <c r="G8704" t="s">
        <v>7023</v>
      </c>
      <c r="H8704" t="s">
        <v>958</v>
      </c>
      <c r="I8704">
        <v>0</v>
      </c>
      <c r="J8704" t="s">
        <v>7024</v>
      </c>
      <c r="K8704" t="s">
        <v>290</v>
      </c>
      <c r="L8704" t="s">
        <v>17</v>
      </c>
      <c r="M8704" t="str">
        <f>"02"</f>
        <v>02</v>
      </c>
      <c r="N8704" t="s">
        <v>12</v>
      </c>
    </row>
    <row r="8705" spans="1:14" x14ac:dyDescent="0.25">
      <c r="A8705">
        <v>20150916</v>
      </c>
      <c r="B8705" t="str">
        <f>"059121"</f>
        <v>059121</v>
      </c>
      <c r="C8705" t="str">
        <f>"86103"</f>
        <v>86103</v>
      </c>
      <c r="D8705" t="s">
        <v>7025</v>
      </c>
      <c r="E8705" s="3">
        <v>2320</v>
      </c>
      <c r="F8705">
        <v>20150916</v>
      </c>
      <c r="G8705" t="s">
        <v>7026</v>
      </c>
      <c r="H8705" t="s">
        <v>7027</v>
      </c>
      <c r="I8705">
        <v>0</v>
      </c>
      <c r="J8705" t="s">
        <v>7024</v>
      </c>
      <c r="K8705" t="s">
        <v>1643</v>
      </c>
      <c r="L8705" t="s">
        <v>17</v>
      </c>
      <c r="M8705" t="str">
        <f t="shared" ref="M8705:M8744" si="658">"09"</f>
        <v>09</v>
      </c>
      <c r="N8705" t="s">
        <v>12</v>
      </c>
    </row>
    <row r="8706" spans="1:14" x14ac:dyDescent="0.25">
      <c r="A8706">
        <v>20150916</v>
      </c>
      <c r="B8706" t="str">
        <f>"059121"</f>
        <v>059121</v>
      </c>
      <c r="C8706" t="str">
        <f>"86103"</f>
        <v>86103</v>
      </c>
      <c r="D8706" t="s">
        <v>7025</v>
      </c>
      <c r="E8706" s="3">
        <v>-2320</v>
      </c>
      <c r="F8706">
        <v>20150923</v>
      </c>
      <c r="G8706" t="s">
        <v>7026</v>
      </c>
      <c r="H8706" t="s">
        <v>7028</v>
      </c>
      <c r="I8706">
        <v>0</v>
      </c>
      <c r="J8706" t="s">
        <v>7024</v>
      </c>
      <c r="K8706" t="s">
        <v>1643</v>
      </c>
      <c r="L8706" t="s">
        <v>17</v>
      </c>
      <c r="M8706" t="str">
        <f t="shared" si="658"/>
        <v>09</v>
      </c>
      <c r="N8706" t="s">
        <v>12</v>
      </c>
    </row>
    <row r="8707" spans="1:14" x14ac:dyDescent="0.25">
      <c r="A8707">
        <v>20150916</v>
      </c>
      <c r="B8707" t="str">
        <f>"059121"</f>
        <v>059121</v>
      </c>
      <c r="C8707" t="str">
        <f>"86104"</f>
        <v>86104</v>
      </c>
      <c r="D8707" t="s">
        <v>7029</v>
      </c>
      <c r="E8707" s="3">
        <v>2320</v>
      </c>
      <c r="F8707">
        <v>20150923</v>
      </c>
      <c r="G8707" t="s">
        <v>7026</v>
      </c>
      <c r="H8707" t="s">
        <v>7027</v>
      </c>
      <c r="I8707">
        <v>0</v>
      </c>
      <c r="J8707" t="s">
        <v>7024</v>
      </c>
      <c r="K8707" t="s">
        <v>1643</v>
      </c>
      <c r="L8707" t="s">
        <v>17</v>
      </c>
      <c r="M8707" t="str">
        <f t="shared" si="658"/>
        <v>09</v>
      </c>
      <c r="N8707" t="s">
        <v>12</v>
      </c>
    </row>
    <row r="8708" spans="1:14" x14ac:dyDescent="0.25">
      <c r="A8708">
        <v>20150911</v>
      </c>
      <c r="B8708" t="str">
        <f>"060212"</f>
        <v>060212</v>
      </c>
      <c r="C8708" t="str">
        <f>"00790"</f>
        <v>00790</v>
      </c>
      <c r="D8708" t="s">
        <v>7030</v>
      </c>
      <c r="E8708" s="3">
        <v>150.75</v>
      </c>
      <c r="F8708">
        <v>20150909</v>
      </c>
      <c r="G8708" t="s">
        <v>7026</v>
      </c>
      <c r="H8708" t="s">
        <v>7031</v>
      </c>
      <c r="I8708">
        <v>0</v>
      </c>
      <c r="J8708" t="s">
        <v>7024</v>
      </c>
      <c r="K8708" t="s">
        <v>1643</v>
      </c>
      <c r="L8708" t="s">
        <v>285</v>
      </c>
      <c r="M8708" t="str">
        <f t="shared" si="658"/>
        <v>09</v>
      </c>
      <c r="N8708" t="s">
        <v>12</v>
      </c>
    </row>
    <row r="8709" spans="1:14" x14ac:dyDescent="0.25">
      <c r="A8709">
        <v>20150911</v>
      </c>
      <c r="B8709" t="str">
        <f>"060213"</f>
        <v>060213</v>
      </c>
      <c r="C8709" t="str">
        <f>"01120"</f>
        <v>01120</v>
      </c>
      <c r="D8709" t="s">
        <v>1802</v>
      </c>
      <c r="E8709" s="3">
        <v>1500</v>
      </c>
      <c r="F8709">
        <v>20150909</v>
      </c>
      <c r="G8709" t="s">
        <v>7032</v>
      </c>
      <c r="H8709" t="s">
        <v>1803</v>
      </c>
      <c r="I8709">
        <v>0</v>
      </c>
      <c r="J8709" t="s">
        <v>7024</v>
      </c>
      <c r="K8709" t="s">
        <v>235</v>
      </c>
      <c r="L8709" t="s">
        <v>285</v>
      </c>
      <c r="M8709" t="str">
        <f t="shared" si="658"/>
        <v>09</v>
      </c>
      <c r="N8709" t="s">
        <v>12</v>
      </c>
    </row>
    <row r="8710" spans="1:14" x14ac:dyDescent="0.25">
      <c r="A8710">
        <v>20150911</v>
      </c>
      <c r="B8710" t="str">
        <f>"060219"</f>
        <v>060219</v>
      </c>
      <c r="C8710" t="str">
        <f>"06777"</f>
        <v>06777</v>
      </c>
      <c r="D8710" t="s">
        <v>5958</v>
      </c>
      <c r="E8710" s="3">
        <v>33.54</v>
      </c>
      <c r="F8710">
        <v>20150910</v>
      </c>
      <c r="G8710" t="s">
        <v>7032</v>
      </c>
      <c r="H8710" t="s">
        <v>7033</v>
      </c>
      <c r="I8710">
        <v>0</v>
      </c>
      <c r="J8710" t="s">
        <v>7024</v>
      </c>
      <c r="K8710" t="s">
        <v>235</v>
      </c>
      <c r="L8710" t="s">
        <v>285</v>
      </c>
      <c r="M8710" t="str">
        <f t="shared" si="658"/>
        <v>09</v>
      </c>
      <c r="N8710" t="s">
        <v>12</v>
      </c>
    </row>
    <row r="8711" spans="1:14" x14ac:dyDescent="0.25">
      <c r="A8711">
        <v>20150911</v>
      </c>
      <c r="B8711" t="str">
        <f>"060234"</f>
        <v>060234</v>
      </c>
      <c r="C8711" t="str">
        <f>"48954"</f>
        <v>48954</v>
      </c>
      <c r="D8711" t="s">
        <v>1025</v>
      </c>
      <c r="E8711" s="3">
        <v>24.37</v>
      </c>
      <c r="F8711">
        <v>20150910</v>
      </c>
      <c r="G8711" t="s">
        <v>7032</v>
      </c>
      <c r="H8711" t="s">
        <v>7033</v>
      </c>
      <c r="I8711">
        <v>0</v>
      </c>
      <c r="J8711" t="s">
        <v>7024</v>
      </c>
      <c r="K8711" t="s">
        <v>235</v>
      </c>
      <c r="L8711" t="s">
        <v>285</v>
      </c>
      <c r="M8711" t="str">
        <f t="shared" si="658"/>
        <v>09</v>
      </c>
      <c r="N8711" t="s">
        <v>12</v>
      </c>
    </row>
    <row r="8712" spans="1:14" x14ac:dyDescent="0.25">
      <c r="A8712">
        <v>20150911</v>
      </c>
      <c r="B8712" t="str">
        <f>"060240"</f>
        <v>060240</v>
      </c>
      <c r="C8712" t="str">
        <f>"28680"</f>
        <v>28680</v>
      </c>
      <c r="D8712" t="s">
        <v>422</v>
      </c>
      <c r="E8712" s="3">
        <v>186.83</v>
      </c>
      <c r="F8712">
        <v>20150910</v>
      </c>
      <c r="G8712" t="s">
        <v>7032</v>
      </c>
      <c r="H8712" t="s">
        <v>7034</v>
      </c>
      <c r="I8712">
        <v>0</v>
      </c>
      <c r="J8712" t="s">
        <v>7024</v>
      </c>
      <c r="K8712" t="s">
        <v>235</v>
      </c>
      <c r="L8712" t="s">
        <v>285</v>
      </c>
      <c r="M8712" t="str">
        <f t="shared" si="658"/>
        <v>09</v>
      </c>
      <c r="N8712" t="s">
        <v>12</v>
      </c>
    </row>
    <row r="8713" spans="1:14" x14ac:dyDescent="0.25">
      <c r="A8713">
        <v>20150911</v>
      </c>
      <c r="B8713" t="str">
        <f>"060240"</f>
        <v>060240</v>
      </c>
      <c r="C8713" t="str">
        <f>"28680"</f>
        <v>28680</v>
      </c>
      <c r="D8713" t="s">
        <v>422</v>
      </c>
      <c r="E8713" s="3">
        <v>186.83</v>
      </c>
      <c r="F8713">
        <v>20150910</v>
      </c>
      <c r="G8713" t="s">
        <v>7032</v>
      </c>
      <c r="H8713" t="s">
        <v>7035</v>
      </c>
      <c r="I8713">
        <v>0</v>
      </c>
      <c r="J8713" t="s">
        <v>7024</v>
      </c>
      <c r="K8713" t="s">
        <v>235</v>
      </c>
      <c r="L8713" t="s">
        <v>285</v>
      </c>
      <c r="M8713" t="str">
        <f t="shared" si="658"/>
        <v>09</v>
      </c>
      <c r="N8713" t="s">
        <v>12</v>
      </c>
    </row>
    <row r="8714" spans="1:14" x14ac:dyDescent="0.25">
      <c r="A8714">
        <v>20150911</v>
      </c>
      <c r="B8714" t="str">
        <f>"060240"</f>
        <v>060240</v>
      </c>
      <c r="C8714" t="str">
        <f>"28680"</f>
        <v>28680</v>
      </c>
      <c r="D8714" t="s">
        <v>422</v>
      </c>
      <c r="E8714" s="3">
        <v>186.83</v>
      </c>
      <c r="F8714">
        <v>20150910</v>
      </c>
      <c r="G8714" t="s">
        <v>7032</v>
      </c>
      <c r="H8714" t="s">
        <v>7036</v>
      </c>
      <c r="I8714">
        <v>0</v>
      </c>
      <c r="J8714" t="s">
        <v>7024</v>
      </c>
      <c r="K8714" t="s">
        <v>235</v>
      </c>
      <c r="L8714" t="s">
        <v>285</v>
      </c>
      <c r="M8714" t="str">
        <f t="shared" si="658"/>
        <v>09</v>
      </c>
      <c r="N8714" t="s">
        <v>12</v>
      </c>
    </row>
    <row r="8715" spans="1:14" x14ac:dyDescent="0.25">
      <c r="A8715">
        <v>20150911</v>
      </c>
      <c r="B8715" t="str">
        <f>"060250"</f>
        <v>060250</v>
      </c>
      <c r="C8715" t="str">
        <f>"81632"</f>
        <v>81632</v>
      </c>
      <c r="D8715" t="s">
        <v>1351</v>
      </c>
      <c r="E8715" s="3">
        <v>28.26</v>
      </c>
      <c r="F8715">
        <v>20150910</v>
      </c>
      <c r="G8715" t="s">
        <v>7032</v>
      </c>
      <c r="H8715" t="s">
        <v>7033</v>
      </c>
      <c r="I8715">
        <v>0</v>
      </c>
      <c r="J8715" t="s">
        <v>7024</v>
      </c>
      <c r="K8715" t="s">
        <v>235</v>
      </c>
      <c r="L8715" t="s">
        <v>285</v>
      </c>
      <c r="M8715" t="str">
        <f t="shared" si="658"/>
        <v>09</v>
      </c>
      <c r="N8715" t="s">
        <v>12</v>
      </c>
    </row>
    <row r="8716" spans="1:14" x14ac:dyDescent="0.25">
      <c r="A8716">
        <v>20150911</v>
      </c>
      <c r="B8716" t="str">
        <f>"060251"</f>
        <v>060251</v>
      </c>
      <c r="C8716" t="str">
        <f>"39422"</f>
        <v>39422</v>
      </c>
      <c r="D8716" t="s">
        <v>1141</v>
      </c>
      <c r="E8716" s="3">
        <v>570</v>
      </c>
      <c r="F8716">
        <v>20150909</v>
      </c>
      <c r="G8716" t="s">
        <v>7037</v>
      </c>
      <c r="H8716" t="s">
        <v>7038</v>
      </c>
      <c r="I8716">
        <v>0</v>
      </c>
      <c r="J8716" t="s">
        <v>7024</v>
      </c>
      <c r="K8716" t="s">
        <v>290</v>
      </c>
      <c r="L8716" t="s">
        <v>285</v>
      </c>
      <c r="M8716" t="str">
        <f t="shared" si="658"/>
        <v>09</v>
      </c>
      <c r="N8716" t="s">
        <v>12</v>
      </c>
    </row>
    <row r="8717" spans="1:14" x14ac:dyDescent="0.25">
      <c r="A8717">
        <v>20150911</v>
      </c>
      <c r="B8717" t="str">
        <f>"060276"</f>
        <v>060276</v>
      </c>
      <c r="C8717" t="str">
        <f>"62795"</f>
        <v>62795</v>
      </c>
      <c r="D8717" t="s">
        <v>545</v>
      </c>
      <c r="E8717" s="3">
        <v>1642</v>
      </c>
      <c r="F8717">
        <v>20150909</v>
      </c>
      <c r="G8717" t="s">
        <v>7032</v>
      </c>
      <c r="H8717" t="s">
        <v>7039</v>
      </c>
      <c r="I8717">
        <v>0</v>
      </c>
      <c r="J8717" t="s">
        <v>7024</v>
      </c>
      <c r="K8717" t="s">
        <v>235</v>
      </c>
      <c r="L8717" t="s">
        <v>285</v>
      </c>
      <c r="M8717" t="str">
        <f t="shared" si="658"/>
        <v>09</v>
      </c>
      <c r="N8717" t="s">
        <v>12</v>
      </c>
    </row>
    <row r="8718" spans="1:14" x14ac:dyDescent="0.25">
      <c r="A8718">
        <v>20150911</v>
      </c>
      <c r="B8718" t="str">
        <f>"060284"</f>
        <v>060284</v>
      </c>
      <c r="C8718" t="str">
        <f>"67624"</f>
        <v>67624</v>
      </c>
      <c r="D8718" t="s">
        <v>7040</v>
      </c>
      <c r="E8718" s="3">
        <v>2500</v>
      </c>
      <c r="F8718">
        <v>20150909</v>
      </c>
      <c r="G8718" t="s">
        <v>7041</v>
      </c>
      <c r="H8718" t="s">
        <v>7042</v>
      </c>
      <c r="I8718">
        <v>0</v>
      </c>
      <c r="J8718" t="s">
        <v>7024</v>
      </c>
      <c r="K8718" t="s">
        <v>290</v>
      </c>
      <c r="L8718" t="s">
        <v>285</v>
      </c>
      <c r="M8718" t="str">
        <f t="shared" si="658"/>
        <v>09</v>
      </c>
      <c r="N8718" t="s">
        <v>12</v>
      </c>
    </row>
    <row r="8719" spans="1:14" x14ac:dyDescent="0.25">
      <c r="A8719">
        <v>20150918</v>
      </c>
      <c r="B8719" t="str">
        <f>"060304"</f>
        <v>060304</v>
      </c>
      <c r="C8719" t="str">
        <f>"11219"</f>
        <v>11219</v>
      </c>
      <c r="D8719" t="s">
        <v>7043</v>
      </c>
      <c r="E8719" s="3">
        <v>221.55</v>
      </c>
      <c r="F8719">
        <v>20150917</v>
      </c>
      <c r="G8719" t="s">
        <v>7044</v>
      </c>
      <c r="H8719" t="s">
        <v>7045</v>
      </c>
      <c r="I8719">
        <v>0</v>
      </c>
      <c r="J8719" t="s">
        <v>7024</v>
      </c>
      <c r="K8719" t="s">
        <v>290</v>
      </c>
      <c r="L8719" t="s">
        <v>285</v>
      </c>
      <c r="M8719" t="str">
        <f t="shared" si="658"/>
        <v>09</v>
      </c>
      <c r="N8719" t="s">
        <v>12</v>
      </c>
    </row>
    <row r="8720" spans="1:14" x14ac:dyDescent="0.25">
      <c r="A8720">
        <v>20150918</v>
      </c>
      <c r="B8720" t="str">
        <f>"060304"</f>
        <v>060304</v>
      </c>
      <c r="C8720" t="str">
        <f>"11219"</f>
        <v>11219</v>
      </c>
      <c r="D8720" t="s">
        <v>7043</v>
      </c>
      <c r="E8720" s="3">
        <v>1400</v>
      </c>
      <c r="F8720">
        <v>20150917</v>
      </c>
      <c r="G8720" t="s">
        <v>7044</v>
      </c>
      <c r="H8720" t="s">
        <v>7045</v>
      </c>
      <c r="I8720">
        <v>0</v>
      </c>
      <c r="J8720" t="s">
        <v>7024</v>
      </c>
      <c r="K8720" t="s">
        <v>290</v>
      </c>
      <c r="L8720" t="s">
        <v>285</v>
      </c>
      <c r="M8720" t="str">
        <f t="shared" si="658"/>
        <v>09</v>
      </c>
      <c r="N8720" t="s">
        <v>12</v>
      </c>
    </row>
    <row r="8721" spans="1:14" x14ac:dyDescent="0.25">
      <c r="A8721">
        <v>20150918</v>
      </c>
      <c r="B8721" t="str">
        <f>"060357"</f>
        <v>060357</v>
      </c>
      <c r="C8721" t="str">
        <f>"24519"</f>
        <v>24519</v>
      </c>
      <c r="D8721" t="s">
        <v>7046</v>
      </c>
      <c r="E8721" s="3">
        <v>45913.87</v>
      </c>
      <c r="F8721">
        <v>20150917</v>
      </c>
      <c r="G8721" t="s">
        <v>7026</v>
      </c>
      <c r="H8721" t="s">
        <v>7047</v>
      </c>
      <c r="I8721">
        <v>0</v>
      </c>
      <c r="J8721" t="s">
        <v>7024</v>
      </c>
      <c r="K8721" t="s">
        <v>1643</v>
      </c>
      <c r="L8721" t="s">
        <v>285</v>
      </c>
      <c r="M8721" t="str">
        <f t="shared" si="658"/>
        <v>09</v>
      </c>
      <c r="N8721" t="s">
        <v>12</v>
      </c>
    </row>
    <row r="8722" spans="1:14" x14ac:dyDescent="0.25">
      <c r="A8722">
        <v>20150918</v>
      </c>
      <c r="B8722" t="str">
        <f>"060357"</f>
        <v>060357</v>
      </c>
      <c r="C8722" t="str">
        <f>"24519"</f>
        <v>24519</v>
      </c>
      <c r="D8722" t="s">
        <v>7046</v>
      </c>
      <c r="E8722" s="3">
        <v>100</v>
      </c>
      <c r="F8722">
        <v>20150917</v>
      </c>
      <c r="G8722" t="s">
        <v>7026</v>
      </c>
      <c r="H8722" t="s">
        <v>7048</v>
      </c>
      <c r="I8722">
        <v>0</v>
      </c>
      <c r="J8722" t="s">
        <v>7024</v>
      </c>
      <c r="K8722" t="s">
        <v>1643</v>
      </c>
      <c r="L8722" t="s">
        <v>285</v>
      </c>
      <c r="M8722" t="str">
        <f t="shared" si="658"/>
        <v>09</v>
      </c>
      <c r="N8722" t="s">
        <v>12</v>
      </c>
    </row>
    <row r="8723" spans="1:14" x14ac:dyDescent="0.25">
      <c r="A8723">
        <v>20150918</v>
      </c>
      <c r="B8723" t="str">
        <f>"060361"</f>
        <v>060361</v>
      </c>
      <c r="C8723" t="str">
        <f>"81155"</f>
        <v>81155</v>
      </c>
      <c r="D8723" t="s">
        <v>131</v>
      </c>
      <c r="E8723" s="3">
        <v>150</v>
      </c>
      <c r="F8723">
        <v>20150917</v>
      </c>
      <c r="G8723" t="s">
        <v>7049</v>
      </c>
      <c r="H8723" t="s">
        <v>1795</v>
      </c>
      <c r="I8723">
        <v>0</v>
      </c>
      <c r="J8723" t="s">
        <v>7024</v>
      </c>
      <c r="K8723" t="s">
        <v>33</v>
      </c>
      <c r="L8723" t="s">
        <v>285</v>
      </c>
      <c r="M8723" t="str">
        <f t="shared" si="658"/>
        <v>09</v>
      </c>
      <c r="N8723" t="s">
        <v>12</v>
      </c>
    </row>
    <row r="8724" spans="1:14" x14ac:dyDescent="0.25">
      <c r="A8724">
        <v>20150918</v>
      </c>
      <c r="B8724" t="str">
        <f t="shared" ref="B8724:B8730" si="659">"060363"</f>
        <v>060363</v>
      </c>
      <c r="C8724" t="str">
        <f t="shared" ref="C8724:C8730" si="660">"82379"</f>
        <v>82379</v>
      </c>
      <c r="D8724" t="s">
        <v>7050</v>
      </c>
      <c r="E8724" s="3">
        <v>11.78</v>
      </c>
      <c r="F8724">
        <v>20150917</v>
      </c>
      <c r="G8724" t="s">
        <v>7032</v>
      </c>
      <c r="H8724" t="s">
        <v>7033</v>
      </c>
      <c r="I8724">
        <v>0</v>
      </c>
      <c r="J8724" t="s">
        <v>7024</v>
      </c>
      <c r="K8724" t="s">
        <v>235</v>
      </c>
      <c r="L8724" t="s">
        <v>285</v>
      </c>
      <c r="M8724" t="str">
        <f t="shared" si="658"/>
        <v>09</v>
      </c>
      <c r="N8724" t="s">
        <v>12</v>
      </c>
    </row>
    <row r="8725" spans="1:14" x14ac:dyDescent="0.25">
      <c r="A8725">
        <v>20150918</v>
      </c>
      <c r="B8725" t="str">
        <f t="shared" si="659"/>
        <v>060363</v>
      </c>
      <c r="C8725" t="str">
        <f t="shared" si="660"/>
        <v>82379</v>
      </c>
      <c r="D8725" t="s">
        <v>7050</v>
      </c>
      <c r="E8725" s="3">
        <v>11.81</v>
      </c>
      <c r="F8725">
        <v>20150917</v>
      </c>
      <c r="G8725" t="s">
        <v>7032</v>
      </c>
      <c r="H8725" t="s">
        <v>7033</v>
      </c>
      <c r="I8725">
        <v>0</v>
      </c>
      <c r="J8725" t="s">
        <v>7024</v>
      </c>
      <c r="K8725" t="s">
        <v>235</v>
      </c>
      <c r="L8725" t="s">
        <v>285</v>
      </c>
      <c r="M8725" t="str">
        <f t="shared" si="658"/>
        <v>09</v>
      </c>
      <c r="N8725" t="s">
        <v>12</v>
      </c>
    </row>
    <row r="8726" spans="1:14" x14ac:dyDescent="0.25">
      <c r="A8726">
        <v>20150918</v>
      </c>
      <c r="B8726" t="str">
        <f t="shared" si="659"/>
        <v>060363</v>
      </c>
      <c r="C8726" t="str">
        <f t="shared" si="660"/>
        <v>82379</v>
      </c>
      <c r="D8726" t="s">
        <v>7050</v>
      </c>
      <c r="E8726" s="3">
        <v>13.31</v>
      </c>
      <c r="F8726">
        <v>20150917</v>
      </c>
      <c r="G8726" t="s">
        <v>7032</v>
      </c>
      <c r="H8726" t="s">
        <v>7033</v>
      </c>
      <c r="I8726">
        <v>0</v>
      </c>
      <c r="J8726" t="s">
        <v>7024</v>
      </c>
      <c r="K8726" t="s">
        <v>235</v>
      </c>
      <c r="L8726" t="s">
        <v>285</v>
      </c>
      <c r="M8726" t="str">
        <f t="shared" si="658"/>
        <v>09</v>
      </c>
      <c r="N8726" t="s">
        <v>12</v>
      </c>
    </row>
    <row r="8727" spans="1:14" x14ac:dyDescent="0.25">
      <c r="A8727">
        <v>20150918</v>
      </c>
      <c r="B8727" t="str">
        <f t="shared" si="659"/>
        <v>060363</v>
      </c>
      <c r="C8727" t="str">
        <f t="shared" si="660"/>
        <v>82379</v>
      </c>
      <c r="D8727" t="s">
        <v>7050</v>
      </c>
      <c r="E8727" s="3">
        <v>34.909999999999997</v>
      </c>
      <c r="F8727">
        <v>20150917</v>
      </c>
      <c r="G8727" t="s">
        <v>7032</v>
      </c>
      <c r="H8727" t="s">
        <v>7033</v>
      </c>
      <c r="I8727">
        <v>0</v>
      </c>
      <c r="J8727" t="s">
        <v>7024</v>
      </c>
      <c r="K8727" t="s">
        <v>235</v>
      </c>
      <c r="L8727" t="s">
        <v>285</v>
      </c>
      <c r="M8727" t="str">
        <f t="shared" si="658"/>
        <v>09</v>
      </c>
      <c r="N8727" t="s">
        <v>12</v>
      </c>
    </row>
    <row r="8728" spans="1:14" x14ac:dyDescent="0.25">
      <c r="A8728">
        <v>20150918</v>
      </c>
      <c r="B8728" t="str">
        <f t="shared" si="659"/>
        <v>060363</v>
      </c>
      <c r="C8728" t="str">
        <f t="shared" si="660"/>
        <v>82379</v>
      </c>
      <c r="D8728" t="s">
        <v>7050</v>
      </c>
      <c r="E8728" s="3">
        <v>36.9</v>
      </c>
      <c r="F8728">
        <v>20150917</v>
      </c>
      <c r="G8728" t="s">
        <v>7032</v>
      </c>
      <c r="H8728" t="s">
        <v>7033</v>
      </c>
      <c r="I8728">
        <v>0</v>
      </c>
      <c r="J8728" t="s">
        <v>7024</v>
      </c>
      <c r="K8728" t="s">
        <v>235</v>
      </c>
      <c r="L8728" t="s">
        <v>285</v>
      </c>
      <c r="M8728" t="str">
        <f t="shared" si="658"/>
        <v>09</v>
      </c>
      <c r="N8728" t="s">
        <v>12</v>
      </c>
    </row>
    <row r="8729" spans="1:14" x14ac:dyDescent="0.25">
      <c r="A8729">
        <v>20150918</v>
      </c>
      <c r="B8729" t="str">
        <f t="shared" si="659"/>
        <v>060363</v>
      </c>
      <c r="C8729" t="str">
        <f t="shared" si="660"/>
        <v>82379</v>
      </c>
      <c r="D8729" t="s">
        <v>7050</v>
      </c>
      <c r="E8729" s="3">
        <v>40</v>
      </c>
      <c r="F8729">
        <v>20150917</v>
      </c>
      <c r="G8729" t="s">
        <v>7032</v>
      </c>
      <c r="H8729" t="s">
        <v>7033</v>
      </c>
      <c r="I8729">
        <v>0</v>
      </c>
      <c r="J8729" t="s">
        <v>7024</v>
      </c>
      <c r="K8729" t="s">
        <v>235</v>
      </c>
      <c r="L8729" t="s">
        <v>285</v>
      </c>
      <c r="M8729" t="str">
        <f t="shared" si="658"/>
        <v>09</v>
      </c>
      <c r="N8729" t="s">
        <v>12</v>
      </c>
    </row>
    <row r="8730" spans="1:14" x14ac:dyDescent="0.25">
      <c r="A8730">
        <v>20150918</v>
      </c>
      <c r="B8730" t="str">
        <f t="shared" si="659"/>
        <v>060363</v>
      </c>
      <c r="C8730" t="str">
        <f t="shared" si="660"/>
        <v>82379</v>
      </c>
      <c r="D8730" t="s">
        <v>7050</v>
      </c>
      <c r="E8730" s="3">
        <v>-13.12</v>
      </c>
      <c r="F8730">
        <v>20150915</v>
      </c>
      <c r="G8730" t="s">
        <v>7032</v>
      </c>
      <c r="H8730" t="s">
        <v>7033</v>
      </c>
      <c r="I8730">
        <v>0</v>
      </c>
      <c r="J8730" t="s">
        <v>7024</v>
      </c>
      <c r="K8730" t="s">
        <v>235</v>
      </c>
      <c r="L8730" t="s">
        <v>1385</v>
      </c>
      <c r="M8730" t="str">
        <f t="shared" si="658"/>
        <v>09</v>
      </c>
      <c r="N8730" t="s">
        <v>12</v>
      </c>
    </row>
    <row r="8731" spans="1:14" x14ac:dyDescent="0.25">
      <c r="A8731">
        <v>20150925</v>
      </c>
      <c r="B8731" t="str">
        <f>"060439"</f>
        <v>060439</v>
      </c>
      <c r="C8731" t="str">
        <f>"11217"</f>
        <v>11217</v>
      </c>
      <c r="D8731" t="s">
        <v>7051</v>
      </c>
      <c r="E8731" s="3">
        <v>896</v>
      </c>
      <c r="F8731">
        <v>20150924</v>
      </c>
      <c r="G8731" t="s">
        <v>7052</v>
      </c>
      <c r="H8731" t="s">
        <v>7053</v>
      </c>
      <c r="I8731">
        <v>0</v>
      </c>
      <c r="J8731" t="s">
        <v>7024</v>
      </c>
      <c r="K8731" t="s">
        <v>95</v>
      </c>
      <c r="L8731" t="s">
        <v>285</v>
      </c>
      <c r="M8731" t="str">
        <f t="shared" si="658"/>
        <v>09</v>
      </c>
      <c r="N8731" t="s">
        <v>12</v>
      </c>
    </row>
    <row r="8732" spans="1:14" x14ac:dyDescent="0.25">
      <c r="A8732">
        <v>20150925</v>
      </c>
      <c r="B8732" t="str">
        <f>"060439"</f>
        <v>060439</v>
      </c>
      <c r="C8732" t="str">
        <f>"11217"</f>
        <v>11217</v>
      </c>
      <c r="D8732" t="s">
        <v>7051</v>
      </c>
      <c r="E8732" s="3">
        <v>1179</v>
      </c>
      <c r="F8732">
        <v>20150924</v>
      </c>
      <c r="G8732" t="s">
        <v>7052</v>
      </c>
      <c r="H8732" t="s">
        <v>7054</v>
      </c>
      <c r="I8732">
        <v>0</v>
      </c>
      <c r="J8732" t="s">
        <v>7024</v>
      </c>
      <c r="K8732" t="s">
        <v>95</v>
      </c>
      <c r="L8732" t="s">
        <v>285</v>
      </c>
      <c r="M8732" t="str">
        <f t="shared" si="658"/>
        <v>09</v>
      </c>
      <c r="N8732" t="s">
        <v>12</v>
      </c>
    </row>
    <row r="8733" spans="1:14" x14ac:dyDescent="0.25">
      <c r="A8733">
        <v>20150925</v>
      </c>
      <c r="B8733" t="str">
        <f>"060444"</f>
        <v>060444</v>
      </c>
      <c r="C8733" t="str">
        <f>"51346"</f>
        <v>51346</v>
      </c>
      <c r="D8733" t="s">
        <v>379</v>
      </c>
      <c r="E8733" s="3">
        <v>38.5</v>
      </c>
      <c r="F8733">
        <v>20150924</v>
      </c>
      <c r="G8733" t="s">
        <v>7052</v>
      </c>
      <c r="H8733" t="s">
        <v>7055</v>
      </c>
      <c r="I8733">
        <v>0</v>
      </c>
      <c r="J8733" t="s">
        <v>7024</v>
      </c>
      <c r="K8733" t="s">
        <v>95</v>
      </c>
      <c r="L8733" t="s">
        <v>285</v>
      </c>
      <c r="M8733" t="str">
        <f t="shared" si="658"/>
        <v>09</v>
      </c>
      <c r="N8733" t="s">
        <v>12</v>
      </c>
    </row>
    <row r="8734" spans="1:14" x14ac:dyDescent="0.25">
      <c r="A8734">
        <v>20150925</v>
      </c>
      <c r="B8734" t="str">
        <f>"060447"</f>
        <v>060447</v>
      </c>
      <c r="C8734" t="str">
        <f>"23754"</f>
        <v>23754</v>
      </c>
      <c r="D8734" t="s">
        <v>794</v>
      </c>
      <c r="E8734" s="3">
        <v>216</v>
      </c>
      <c r="F8734">
        <v>20150923</v>
      </c>
      <c r="G8734" t="s">
        <v>7026</v>
      </c>
      <c r="H8734" t="s">
        <v>7056</v>
      </c>
      <c r="I8734">
        <v>0</v>
      </c>
      <c r="J8734" t="s">
        <v>7024</v>
      </c>
      <c r="K8734" t="s">
        <v>1643</v>
      </c>
      <c r="L8734" t="s">
        <v>285</v>
      </c>
      <c r="M8734" t="str">
        <f t="shared" si="658"/>
        <v>09</v>
      </c>
      <c r="N8734" t="s">
        <v>12</v>
      </c>
    </row>
    <row r="8735" spans="1:14" x14ac:dyDescent="0.25">
      <c r="A8735">
        <v>20150925</v>
      </c>
      <c r="B8735" t="str">
        <f>"060453"</f>
        <v>060453</v>
      </c>
      <c r="C8735" t="str">
        <f>"27176"</f>
        <v>27176</v>
      </c>
      <c r="D8735" t="s">
        <v>7057</v>
      </c>
      <c r="E8735" s="3">
        <v>307</v>
      </c>
      <c r="F8735">
        <v>20150923</v>
      </c>
      <c r="G8735" t="s">
        <v>7052</v>
      </c>
      <c r="H8735" t="s">
        <v>7058</v>
      </c>
      <c r="I8735">
        <v>0</v>
      </c>
      <c r="J8735" t="s">
        <v>7024</v>
      </c>
      <c r="K8735" t="s">
        <v>95</v>
      </c>
      <c r="L8735" t="s">
        <v>285</v>
      </c>
      <c r="M8735" t="str">
        <f t="shared" si="658"/>
        <v>09</v>
      </c>
      <c r="N8735" t="s">
        <v>12</v>
      </c>
    </row>
    <row r="8736" spans="1:14" x14ac:dyDescent="0.25">
      <c r="A8736">
        <v>20150925</v>
      </c>
      <c r="B8736" t="str">
        <f>"060456"</f>
        <v>060456</v>
      </c>
      <c r="C8736" t="str">
        <f>"30846"</f>
        <v>30846</v>
      </c>
      <c r="D8736" t="s">
        <v>656</v>
      </c>
      <c r="E8736" s="3">
        <v>1072</v>
      </c>
      <c r="F8736">
        <v>20150923</v>
      </c>
      <c r="G8736" t="s">
        <v>7059</v>
      </c>
      <c r="H8736" t="s">
        <v>7060</v>
      </c>
      <c r="I8736">
        <v>0</v>
      </c>
      <c r="J8736" t="s">
        <v>7024</v>
      </c>
      <c r="K8736" t="s">
        <v>33</v>
      </c>
      <c r="L8736" t="s">
        <v>285</v>
      </c>
      <c r="M8736" t="str">
        <f t="shared" si="658"/>
        <v>09</v>
      </c>
      <c r="N8736" t="s">
        <v>12</v>
      </c>
    </row>
    <row r="8737" spans="1:14" x14ac:dyDescent="0.25">
      <c r="A8737">
        <v>20150925</v>
      </c>
      <c r="B8737" t="str">
        <f>"060459"</f>
        <v>060459</v>
      </c>
      <c r="C8737" t="str">
        <f>"37571"</f>
        <v>37571</v>
      </c>
      <c r="D8737" t="s">
        <v>7061</v>
      </c>
      <c r="E8737" s="3">
        <v>885.85</v>
      </c>
      <c r="F8737">
        <v>20150923</v>
      </c>
      <c r="G8737" t="s">
        <v>7037</v>
      </c>
      <c r="H8737" t="s">
        <v>7038</v>
      </c>
      <c r="I8737">
        <v>0</v>
      </c>
      <c r="J8737" t="s">
        <v>7024</v>
      </c>
      <c r="K8737" t="s">
        <v>290</v>
      </c>
      <c r="L8737" t="s">
        <v>285</v>
      </c>
      <c r="M8737" t="str">
        <f t="shared" si="658"/>
        <v>09</v>
      </c>
      <c r="N8737" t="s">
        <v>12</v>
      </c>
    </row>
    <row r="8738" spans="1:14" x14ac:dyDescent="0.25">
      <c r="A8738">
        <v>20150925</v>
      </c>
      <c r="B8738" t="str">
        <f>"060488"</f>
        <v>060488</v>
      </c>
      <c r="C8738" t="str">
        <f>"52207"</f>
        <v>52207</v>
      </c>
      <c r="D8738" t="s">
        <v>3376</v>
      </c>
      <c r="E8738" s="3">
        <v>50.07</v>
      </c>
      <c r="F8738">
        <v>20150923</v>
      </c>
      <c r="G8738" t="s">
        <v>7062</v>
      </c>
      <c r="H8738" t="s">
        <v>7063</v>
      </c>
      <c r="I8738">
        <v>0</v>
      </c>
      <c r="J8738" t="s">
        <v>7024</v>
      </c>
      <c r="K8738" t="s">
        <v>290</v>
      </c>
      <c r="L8738" t="s">
        <v>285</v>
      </c>
      <c r="M8738" t="str">
        <f t="shared" si="658"/>
        <v>09</v>
      </c>
      <c r="N8738" t="s">
        <v>12</v>
      </c>
    </row>
    <row r="8739" spans="1:14" x14ac:dyDescent="0.25">
      <c r="A8739">
        <v>20150925</v>
      </c>
      <c r="B8739" t="str">
        <f>"060497"</f>
        <v>060497</v>
      </c>
      <c r="C8739" t="str">
        <f>"83022"</f>
        <v>83022</v>
      </c>
      <c r="D8739" t="s">
        <v>394</v>
      </c>
      <c r="E8739" s="3">
        <v>581.45000000000005</v>
      </c>
      <c r="F8739">
        <v>20150924</v>
      </c>
      <c r="G8739" t="s">
        <v>7052</v>
      </c>
      <c r="H8739" t="s">
        <v>7055</v>
      </c>
      <c r="I8739">
        <v>0</v>
      </c>
      <c r="J8739" t="s">
        <v>7024</v>
      </c>
      <c r="K8739" t="s">
        <v>95</v>
      </c>
      <c r="L8739" t="s">
        <v>285</v>
      </c>
      <c r="M8739" t="str">
        <f t="shared" si="658"/>
        <v>09</v>
      </c>
      <c r="N8739" t="s">
        <v>12</v>
      </c>
    </row>
    <row r="8740" spans="1:14" x14ac:dyDescent="0.25">
      <c r="A8740">
        <v>20150925</v>
      </c>
      <c r="B8740" t="str">
        <f>"060497"</f>
        <v>060497</v>
      </c>
      <c r="C8740" t="str">
        <f>"83022"</f>
        <v>83022</v>
      </c>
      <c r="D8740" t="s">
        <v>394</v>
      </c>
      <c r="E8740" s="3">
        <v>76.3</v>
      </c>
      <c r="F8740">
        <v>20150924</v>
      </c>
      <c r="G8740" t="s">
        <v>7052</v>
      </c>
      <c r="H8740" t="s">
        <v>7055</v>
      </c>
      <c r="I8740">
        <v>0</v>
      </c>
      <c r="J8740" t="s">
        <v>7024</v>
      </c>
      <c r="K8740" t="s">
        <v>95</v>
      </c>
      <c r="L8740" t="s">
        <v>285</v>
      </c>
      <c r="M8740" t="str">
        <f t="shared" si="658"/>
        <v>09</v>
      </c>
      <c r="N8740" t="s">
        <v>12</v>
      </c>
    </row>
    <row r="8741" spans="1:14" x14ac:dyDescent="0.25">
      <c r="A8741">
        <v>20150925</v>
      </c>
      <c r="B8741" t="str">
        <f>"060497"</f>
        <v>060497</v>
      </c>
      <c r="C8741" t="str">
        <f>"83022"</f>
        <v>83022</v>
      </c>
      <c r="D8741" t="s">
        <v>394</v>
      </c>
      <c r="E8741" s="3">
        <v>55.66</v>
      </c>
      <c r="F8741">
        <v>20150924</v>
      </c>
      <c r="G8741" t="s">
        <v>7064</v>
      </c>
      <c r="H8741" t="s">
        <v>7065</v>
      </c>
      <c r="I8741">
        <v>0</v>
      </c>
      <c r="J8741" t="s">
        <v>7024</v>
      </c>
      <c r="K8741" t="s">
        <v>95</v>
      </c>
      <c r="L8741" t="s">
        <v>285</v>
      </c>
      <c r="M8741" t="str">
        <f t="shared" si="658"/>
        <v>09</v>
      </c>
      <c r="N8741" t="s">
        <v>12</v>
      </c>
    </row>
    <row r="8742" spans="1:14" x14ac:dyDescent="0.25">
      <c r="A8742">
        <v>20150925</v>
      </c>
      <c r="B8742" t="str">
        <f>"060497"</f>
        <v>060497</v>
      </c>
      <c r="C8742" t="str">
        <f>"83022"</f>
        <v>83022</v>
      </c>
      <c r="D8742" t="s">
        <v>394</v>
      </c>
      <c r="E8742" s="3">
        <v>106.32</v>
      </c>
      <c r="F8742">
        <v>20150924</v>
      </c>
      <c r="G8742" t="s">
        <v>7066</v>
      </c>
      <c r="H8742" t="s">
        <v>7067</v>
      </c>
      <c r="I8742">
        <v>0</v>
      </c>
      <c r="J8742" t="s">
        <v>7024</v>
      </c>
      <c r="K8742" t="s">
        <v>7068</v>
      </c>
      <c r="L8742" t="s">
        <v>285</v>
      </c>
      <c r="M8742" t="str">
        <f t="shared" si="658"/>
        <v>09</v>
      </c>
      <c r="N8742" t="s">
        <v>12</v>
      </c>
    </row>
    <row r="8743" spans="1:14" x14ac:dyDescent="0.25">
      <c r="A8743">
        <v>20150925</v>
      </c>
      <c r="B8743" t="str">
        <f>"060499"</f>
        <v>060499</v>
      </c>
      <c r="C8743" t="str">
        <f>"86104"</f>
        <v>86104</v>
      </c>
      <c r="D8743" t="s">
        <v>7069</v>
      </c>
      <c r="E8743" s="3">
        <v>480</v>
      </c>
      <c r="F8743">
        <v>20150923</v>
      </c>
      <c r="G8743" t="s">
        <v>7026</v>
      </c>
      <c r="H8743" t="s">
        <v>7027</v>
      </c>
      <c r="I8743">
        <v>0</v>
      </c>
      <c r="J8743" t="s">
        <v>7024</v>
      </c>
      <c r="K8743" t="s">
        <v>1643</v>
      </c>
      <c r="L8743" t="s">
        <v>285</v>
      </c>
      <c r="M8743" t="str">
        <f t="shared" si="658"/>
        <v>09</v>
      </c>
      <c r="N8743" t="s">
        <v>12</v>
      </c>
    </row>
    <row r="8744" spans="1:14" x14ac:dyDescent="0.25">
      <c r="A8744">
        <v>20150929</v>
      </c>
      <c r="B8744" t="str">
        <f>"060502"</f>
        <v>060502</v>
      </c>
      <c r="C8744" t="str">
        <f>"34949"</f>
        <v>34949</v>
      </c>
      <c r="D8744" t="s">
        <v>396</v>
      </c>
      <c r="E8744" s="3">
        <v>220</v>
      </c>
      <c r="F8744">
        <v>20150929</v>
      </c>
      <c r="G8744" t="s">
        <v>7052</v>
      </c>
      <c r="H8744" t="s">
        <v>397</v>
      </c>
      <c r="I8744">
        <v>0</v>
      </c>
      <c r="J8744" t="s">
        <v>7024</v>
      </c>
      <c r="K8744" t="s">
        <v>95</v>
      </c>
      <c r="L8744" t="s">
        <v>17</v>
      </c>
      <c r="M8744" t="str">
        <f t="shared" si="658"/>
        <v>09</v>
      </c>
      <c r="N8744" t="s">
        <v>12</v>
      </c>
    </row>
    <row r="8745" spans="1:14" x14ac:dyDescent="0.25">
      <c r="A8745">
        <v>20151009</v>
      </c>
      <c r="B8745" t="str">
        <f>"060516"</f>
        <v>060516</v>
      </c>
      <c r="C8745" t="str">
        <f>"06509"</f>
        <v>06509</v>
      </c>
      <c r="D8745" t="s">
        <v>1555</v>
      </c>
      <c r="E8745" s="3">
        <v>13095</v>
      </c>
      <c r="F8745">
        <v>20151008</v>
      </c>
      <c r="G8745" t="s">
        <v>7026</v>
      </c>
      <c r="H8745" t="s">
        <v>1557</v>
      </c>
      <c r="I8745">
        <v>0</v>
      </c>
      <c r="J8745" t="s">
        <v>7024</v>
      </c>
      <c r="K8745" t="s">
        <v>1643</v>
      </c>
      <c r="L8745" t="s">
        <v>285</v>
      </c>
      <c r="M8745" t="str">
        <f t="shared" ref="M8745:M8776" si="661">"10"</f>
        <v>10</v>
      </c>
      <c r="N8745" t="s">
        <v>12</v>
      </c>
    </row>
    <row r="8746" spans="1:14" x14ac:dyDescent="0.25">
      <c r="A8746">
        <v>20151009</v>
      </c>
      <c r="B8746" t="str">
        <f>"060516"</f>
        <v>060516</v>
      </c>
      <c r="C8746" t="str">
        <f>"06509"</f>
        <v>06509</v>
      </c>
      <c r="D8746" t="s">
        <v>1555</v>
      </c>
      <c r="E8746" s="3">
        <v>175</v>
      </c>
      <c r="F8746">
        <v>20151008</v>
      </c>
      <c r="G8746" t="s">
        <v>7026</v>
      </c>
      <c r="H8746" t="s">
        <v>7070</v>
      </c>
      <c r="I8746">
        <v>0</v>
      </c>
      <c r="J8746" t="s">
        <v>7024</v>
      </c>
      <c r="K8746" t="s">
        <v>1643</v>
      </c>
      <c r="L8746" t="s">
        <v>285</v>
      </c>
      <c r="M8746" t="str">
        <f t="shared" si="661"/>
        <v>10</v>
      </c>
      <c r="N8746" t="s">
        <v>12</v>
      </c>
    </row>
    <row r="8747" spans="1:14" x14ac:dyDescent="0.25">
      <c r="A8747">
        <v>20151009</v>
      </c>
      <c r="B8747" t="str">
        <f>"060527"</f>
        <v>060527</v>
      </c>
      <c r="C8747" t="str">
        <f>"16807"</f>
        <v>16807</v>
      </c>
      <c r="D8747" t="s">
        <v>1560</v>
      </c>
      <c r="E8747" s="3">
        <v>1693.22</v>
      </c>
      <c r="F8747">
        <v>20151008</v>
      </c>
      <c r="G8747" t="s">
        <v>7026</v>
      </c>
      <c r="H8747" t="s">
        <v>7019</v>
      </c>
      <c r="I8747">
        <v>0</v>
      </c>
      <c r="J8747" t="s">
        <v>7024</v>
      </c>
      <c r="K8747" t="s">
        <v>1643</v>
      </c>
      <c r="L8747" t="s">
        <v>285</v>
      </c>
      <c r="M8747" t="str">
        <f t="shared" si="661"/>
        <v>10</v>
      </c>
      <c r="N8747" t="s">
        <v>12</v>
      </c>
    </row>
    <row r="8748" spans="1:14" x14ac:dyDescent="0.25">
      <c r="A8748">
        <v>20151009</v>
      </c>
      <c r="B8748" t="str">
        <f>"060527"</f>
        <v>060527</v>
      </c>
      <c r="C8748" t="str">
        <f>"16807"</f>
        <v>16807</v>
      </c>
      <c r="D8748" t="s">
        <v>1560</v>
      </c>
      <c r="E8748" s="3">
        <v>485</v>
      </c>
      <c r="F8748">
        <v>20151008</v>
      </c>
      <c r="G8748" t="s">
        <v>7026</v>
      </c>
      <c r="H8748" t="s">
        <v>2227</v>
      </c>
      <c r="I8748">
        <v>0</v>
      </c>
      <c r="J8748" t="s">
        <v>7024</v>
      </c>
      <c r="K8748" t="s">
        <v>1643</v>
      </c>
      <c r="L8748" t="s">
        <v>285</v>
      </c>
      <c r="M8748" t="str">
        <f t="shared" si="661"/>
        <v>10</v>
      </c>
      <c r="N8748" t="s">
        <v>12</v>
      </c>
    </row>
    <row r="8749" spans="1:14" x14ac:dyDescent="0.25">
      <c r="A8749">
        <v>20151009</v>
      </c>
      <c r="B8749" t="str">
        <f>"060533"</f>
        <v>060533</v>
      </c>
      <c r="C8749" t="str">
        <f>"51346"</f>
        <v>51346</v>
      </c>
      <c r="D8749" t="s">
        <v>379</v>
      </c>
      <c r="E8749" s="3">
        <v>60</v>
      </c>
      <c r="F8749">
        <v>20151008</v>
      </c>
      <c r="G8749" t="s">
        <v>7049</v>
      </c>
      <c r="H8749" t="s">
        <v>7071</v>
      </c>
      <c r="I8749">
        <v>0</v>
      </c>
      <c r="J8749" t="s">
        <v>7024</v>
      </c>
      <c r="K8749" t="s">
        <v>33</v>
      </c>
      <c r="L8749" t="s">
        <v>285</v>
      </c>
      <c r="M8749" t="str">
        <f t="shared" si="661"/>
        <v>10</v>
      </c>
      <c r="N8749" t="s">
        <v>12</v>
      </c>
    </row>
    <row r="8750" spans="1:14" x14ac:dyDescent="0.25">
      <c r="A8750">
        <v>20151009</v>
      </c>
      <c r="B8750" t="str">
        <f>"060537"</f>
        <v>060537</v>
      </c>
      <c r="C8750" t="str">
        <f>"21098"</f>
        <v>21098</v>
      </c>
      <c r="D8750" t="s">
        <v>2261</v>
      </c>
      <c r="E8750" s="3">
        <v>295.8</v>
      </c>
      <c r="F8750">
        <v>20151008</v>
      </c>
      <c r="G8750" t="s">
        <v>7026</v>
      </c>
      <c r="H8750" t="s">
        <v>6687</v>
      </c>
      <c r="I8750">
        <v>0</v>
      </c>
      <c r="J8750" t="s">
        <v>7024</v>
      </c>
      <c r="K8750" t="s">
        <v>1643</v>
      </c>
      <c r="L8750" t="s">
        <v>285</v>
      </c>
      <c r="M8750" t="str">
        <f t="shared" si="661"/>
        <v>10</v>
      </c>
      <c r="N8750" t="s">
        <v>12</v>
      </c>
    </row>
    <row r="8751" spans="1:14" x14ac:dyDescent="0.25">
      <c r="A8751">
        <v>20151009</v>
      </c>
      <c r="B8751" t="str">
        <f>"060539"</f>
        <v>060539</v>
      </c>
      <c r="C8751" t="str">
        <f>"21446"</f>
        <v>21446</v>
      </c>
      <c r="D8751" t="s">
        <v>1280</v>
      </c>
      <c r="E8751" s="3">
        <v>558.17999999999995</v>
      </c>
      <c r="F8751">
        <v>20151008</v>
      </c>
      <c r="G8751" t="s">
        <v>7023</v>
      </c>
      <c r="H8751" t="s">
        <v>7072</v>
      </c>
      <c r="I8751">
        <v>0</v>
      </c>
      <c r="J8751" t="s">
        <v>7024</v>
      </c>
      <c r="K8751" t="s">
        <v>290</v>
      </c>
      <c r="L8751" t="s">
        <v>285</v>
      </c>
      <c r="M8751" t="str">
        <f t="shared" si="661"/>
        <v>10</v>
      </c>
      <c r="N8751" t="s">
        <v>12</v>
      </c>
    </row>
    <row r="8752" spans="1:14" x14ac:dyDescent="0.25">
      <c r="A8752">
        <v>20151009</v>
      </c>
      <c r="B8752" t="str">
        <f>"060543"</f>
        <v>060543</v>
      </c>
      <c r="C8752" t="str">
        <f>"29789"</f>
        <v>29789</v>
      </c>
      <c r="D8752" t="s">
        <v>7073</v>
      </c>
      <c r="E8752" s="3">
        <v>578</v>
      </c>
      <c r="F8752">
        <v>20151008</v>
      </c>
      <c r="G8752" t="s">
        <v>7074</v>
      </c>
      <c r="H8752" t="s">
        <v>7075</v>
      </c>
      <c r="I8752">
        <v>0</v>
      </c>
      <c r="J8752" t="s">
        <v>7024</v>
      </c>
      <c r="K8752" t="s">
        <v>290</v>
      </c>
      <c r="L8752" t="s">
        <v>285</v>
      </c>
      <c r="M8752" t="str">
        <f t="shared" si="661"/>
        <v>10</v>
      </c>
      <c r="N8752" t="s">
        <v>12</v>
      </c>
    </row>
    <row r="8753" spans="1:14" x14ac:dyDescent="0.25">
      <c r="A8753">
        <v>20151009</v>
      </c>
      <c r="B8753" t="str">
        <f>"060557"</f>
        <v>060557</v>
      </c>
      <c r="C8753" t="str">
        <f>"31345"</f>
        <v>31345</v>
      </c>
      <c r="D8753" t="s">
        <v>426</v>
      </c>
      <c r="E8753" s="3">
        <v>36.700000000000003</v>
      </c>
      <c r="F8753">
        <v>20151008</v>
      </c>
      <c r="G8753" t="s">
        <v>7059</v>
      </c>
      <c r="H8753" t="s">
        <v>7076</v>
      </c>
      <c r="I8753">
        <v>0</v>
      </c>
      <c r="J8753" t="s">
        <v>7024</v>
      </c>
      <c r="K8753" t="s">
        <v>33</v>
      </c>
      <c r="L8753" t="s">
        <v>285</v>
      </c>
      <c r="M8753" t="str">
        <f t="shared" si="661"/>
        <v>10</v>
      </c>
      <c r="N8753" t="s">
        <v>12</v>
      </c>
    </row>
    <row r="8754" spans="1:14" x14ac:dyDescent="0.25">
      <c r="A8754">
        <v>20151009</v>
      </c>
      <c r="B8754" t="str">
        <f>"060557"</f>
        <v>060557</v>
      </c>
      <c r="C8754" t="str">
        <f>"31345"</f>
        <v>31345</v>
      </c>
      <c r="D8754" t="s">
        <v>426</v>
      </c>
      <c r="E8754" s="3">
        <v>376.35</v>
      </c>
      <c r="F8754">
        <v>20151008</v>
      </c>
      <c r="G8754" t="s">
        <v>7026</v>
      </c>
      <c r="H8754" t="s">
        <v>7077</v>
      </c>
      <c r="I8754">
        <v>0</v>
      </c>
      <c r="J8754" t="s">
        <v>7024</v>
      </c>
      <c r="K8754" t="s">
        <v>1643</v>
      </c>
      <c r="L8754" t="s">
        <v>285</v>
      </c>
      <c r="M8754" t="str">
        <f t="shared" si="661"/>
        <v>10</v>
      </c>
      <c r="N8754" t="s">
        <v>12</v>
      </c>
    </row>
    <row r="8755" spans="1:14" x14ac:dyDescent="0.25">
      <c r="A8755">
        <v>20151009</v>
      </c>
      <c r="B8755" t="str">
        <f>"060557"</f>
        <v>060557</v>
      </c>
      <c r="C8755" t="str">
        <f>"31345"</f>
        <v>31345</v>
      </c>
      <c r="D8755" t="s">
        <v>426</v>
      </c>
      <c r="E8755" s="3">
        <v>600</v>
      </c>
      <c r="F8755">
        <v>20151008</v>
      </c>
      <c r="G8755" t="s">
        <v>7026</v>
      </c>
      <c r="H8755" t="s">
        <v>7078</v>
      </c>
      <c r="I8755">
        <v>0</v>
      </c>
      <c r="J8755" t="s">
        <v>7024</v>
      </c>
      <c r="K8755" t="s">
        <v>1643</v>
      </c>
      <c r="L8755" t="s">
        <v>285</v>
      </c>
      <c r="M8755" t="str">
        <f t="shared" si="661"/>
        <v>10</v>
      </c>
      <c r="N8755" t="s">
        <v>12</v>
      </c>
    </row>
    <row r="8756" spans="1:14" x14ac:dyDescent="0.25">
      <c r="A8756">
        <v>20151009</v>
      </c>
      <c r="B8756" t="str">
        <f>"060557"</f>
        <v>060557</v>
      </c>
      <c r="C8756" t="str">
        <f>"31345"</f>
        <v>31345</v>
      </c>
      <c r="D8756" t="s">
        <v>426</v>
      </c>
      <c r="E8756" s="3">
        <v>227.33</v>
      </c>
      <c r="F8756">
        <v>20151008</v>
      </c>
      <c r="G8756" t="s">
        <v>7062</v>
      </c>
      <c r="H8756" t="s">
        <v>7079</v>
      </c>
      <c r="I8756">
        <v>0</v>
      </c>
      <c r="J8756" t="s">
        <v>7024</v>
      </c>
      <c r="K8756" t="s">
        <v>290</v>
      </c>
      <c r="L8756" t="s">
        <v>285</v>
      </c>
      <c r="M8756" t="str">
        <f t="shared" si="661"/>
        <v>10</v>
      </c>
      <c r="N8756" t="s">
        <v>12</v>
      </c>
    </row>
    <row r="8757" spans="1:14" x14ac:dyDescent="0.25">
      <c r="A8757">
        <v>20151009</v>
      </c>
      <c r="B8757" t="str">
        <f>"060557"</f>
        <v>060557</v>
      </c>
      <c r="C8757" t="str">
        <f>"31345"</f>
        <v>31345</v>
      </c>
      <c r="D8757" t="s">
        <v>426</v>
      </c>
      <c r="E8757" s="3">
        <v>330</v>
      </c>
      <c r="F8757">
        <v>20151008</v>
      </c>
      <c r="G8757" t="s">
        <v>7080</v>
      </c>
      <c r="H8757" t="s">
        <v>7076</v>
      </c>
      <c r="I8757">
        <v>0</v>
      </c>
      <c r="J8757" t="s">
        <v>7024</v>
      </c>
      <c r="K8757" t="s">
        <v>33</v>
      </c>
      <c r="L8757" t="s">
        <v>285</v>
      </c>
      <c r="M8757" t="str">
        <f t="shared" si="661"/>
        <v>10</v>
      </c>
      <c r="N8757" t="s">
        <v>12</v>
      </c>
    </row>
    <row r="8758" spans="1:14" x14ac:dyDescent="0.25">
      <c r="A8758">
        <v>20151009</v>
      </c>
      <c r="B8758" t="str">
        <f>"060564"</f>
        <v>060564</v>
      </c>
      <c r="C8758" t="str">
        <f>"33696"</f>
        <v>33696</v>
      </c>
      <c r="D8758" t="s">
        <v>5178</v>
      </c>
      <c r="E8758" s="3">
        <v>1435.61</v>
      </c>
      <c r="F8758">
        <v>20151008</v>
      </c>
      <c r="G8758" t="s">
        <v>7026</v>
      </c>
      <c r="H8758" t="s">
        <v>7081</v>
      </c>
      <c r="I8758">
        <v>0</v>
      </c>
      <c r="J8758" t="s">
        <v>7024</v>
      </c>
      <c r="K8758" t="s">
        <v>1643</v>
      </c>
      <c r="L8758" t="s">
        <v>285</v>
      </c>
      <c r="M8758" t="str">
        <f t="shared" si="661"/>
        <v>10</v>
      </c>
      <c r="N8758" t="s">
        <v>12</v>
      </c>
    </row>
    <row r="8759" spans="1:14" x14ac:dyDescent="0.25">
      <c r="A8759">
        <v>20151009</v>
      </c>
      <c r="B8759" t="str">
        <f>"060573"</f>
        <v>060573</v>
      </c>
      <c r="C8759" t="str">
        <f>"37500"</f>
        <v>37500</v>
      </c>
      <c r="D8759" t="s">
        <v>1652</v>
      </c>
      <c r="E8759" s="3">
        <v>19.440000000000001</v>
      </c>
      <c r="F8759">
        <v>20151008</v>
      </c>
      <c r="G8759" t="s">
        <v>7082</v>
      </c>
      <c r="H8759" t="s">
        <v>4790</v>
      </c>
      <c r="I8759">
        <v>0</v>
      </c>
      <c r="J8759" t="s">
        <v>7024</v>
      </c>
      <c r="K8759" t="s">
        <v>95</v>
      </c>
      <c r="L8759" t="s">
        <v>285</v>
      </c>
      <c r="M8759" t="str">
        <f t="shared" si="661"/>
        <v>10</v>
      </c>
      <c r="N8759" t="s">
        <v>12</v>
      </c>
    </row>
    <row r="8760" spans="1:14" x14ac:dyDescent="0.25">
      <c r="A8760">
        <v>20151009</v>
      </c>
      <c r="B8760" t="str">
        <f>"060573"</f>
        <v>060573</v>
      </c>
      <c r="C8760" t="str">
        <f>"37500"</f>
        <v>37500</v>
      </c>
      <c r="D8760" t="s">
        <v>1652</v>
      </c>
      <c r="E8760" s="3">
        <v>5.74</v>
      </c>
      <c r="F8760">
        <v>20151008</v>
      </c>
      <c r="G8760" t="s">
        <v>7083</v>
      </c>
      <c r="H8760" t="s">
        <v>7084</v>
      </c>
      <c r="I8760">
        <v>0</v>
      </c>
      <c r="J8760" t="s">
        <v>7024</v>
      </c>
      <c r="K8760" t="s">
        <v>290</v>
      </c>
      <c r="L8760" t="s">
        <v>285</v>
      </c>
      <c r="M8760" t="str">
        <f t="shared" si="661"/>
        <v>10</v>
      </c>
      <c r="N8760" t="s">
        <v>12</v>
      </c>
    </row>
    <row r="8761" spans="1:14" x14ac:dyDescent="0.25">
      <c r="A8761">
        <v>20151009</v>
      </c>
      <c r="B8761" t="str">
        <f>"060576"</f>
        <v>060576</v>
      </c>
      <c r="C8761" t="str">
        <f>"41230"</f>
        <v>41230</v>
      </c>
      <c r="D8761" t="s">
        <v>604</v>
      </c>
      <c r="E8761" s="3">
        <v>103.5</v>
      </c>
      <c r="F8761">
        <v>20151008</v>
      </c>
      <c r="G8761" t="s">
        <v>7026</v>
      </c>
      <c r="H8761" t="s">
        <v>2419</v>
      </c>
      <c r="I8761">
        <v>0</v>
      </c>
      <c r="J8761" t="s">
        <v>7024</v>
      </c>
      <c r="K8761" t="s">
        <v>1643</v>
      </c>
      <c r="L8761" t="s">
        <v>285</v>
      </c>
      <c r="M8761" t="str">
        <f t="shared" si="661"/>
        <v>10</v>
      </c>
      <c r="N8761" t="s">
        <v>12</v>
      </c>
    </row>
    <row r="8762" spans="1:14" x14ac:dyDescent="0.25">
      <c r="A8762">
        <v>20151009</v>
      </c>
      <c r="B8762" t="str">
        <f>"060583"</f>
        <v>060583</v>
      </c>
      <c r="C8762" t="str">
        <f>"46007"</f>
        <v>46007</v>
      </c>
      <c r="D8762" t="s">
        <v>574</v>
      </c>
      <c r="E8762" s="3">
        <v>150</v>
      </c>
      <c r="F8762">
        <v>20151008</v>
      </c>
      <c r="G8762" t="s">
        <v>7052</v>
      </c>
      <c r="H8762" t="s">
        <v>382</v>
      </c>
      <c r="I8762">
        <v>0</v>
      </c>
      <c r="J8762" t="s">
        <v>7024</v>
      </c>
      <c r="K8762" t="s">
        <v>95</v>
      </c>
      <c r="L8762" t="s">
        <v>285</v>
      </c>
      <c r="M8762" t="str">
        <f t="shared" si="661"/>
        <v>10</v>
      </c>
      <c r="N8762" t="s">
        <v>12</v>
      </c>
    </row>
    <row r="8763" spans="1:14" x14ac:dyDescent="0.25">
      <c r="A8763">
        <v>20151009</v>
      </c>
      <c r="B8763" t="str">
        <f>"060584"</f>
        <v>060584</v>
      </c>
      <c r="C8763" t="str">
        <f>"46190"</f>
        <v>46190</v>
      </c>
      <c r="D8763" t="s">
        <v>358</v>
      </c>
      <c r="E8763" s="3">
        <v>150</v>
      </c>
      <c r="F8763">
        <v>20151008</v>
      </c>
      <c r="G8763" t="s">
        <v>7052</v>
      </c>
      <c r="H8763" t="s">
        <v>382</v>
      </c>
      <c r="I8763">
        <v>0</v>
      </c>
      <c r="J8763" t="s">
        <v>7024</v>
      </c>
      <c r="K8763" t="s">
        <v>95</v>
      </c>
      <c r="L8763" t="s">
        <v>285</v>
      </c>
      <c r="M8763" t="str">
        <f t="shared" si="661"/>
        <v>10</v>
      </c>
      <c r="N8763" t="s">
        <v>12</v>
      </c>
    </row>
    <row r="8764" spans="1:14" x14ac:dyDescent="0.25">
      <c r="A8764">
        <v>20151009</v>
      </c>
      <c r="B8764" t="str">
        <f>"060607"</f>
        <v>060607</v>
      </c>
      <c r="C8764" t="str">
        <f>"57322"</f>
        <v>57322</v>
      </c>
      <c r="D8764" t="s">
        <v>957</v>
      </c>
      <c r="E8764" s="3">
        <v>210</v>
      </c>
      <c r="F8764">
        <v>20151009</v>
      </c>
      <c r="G8764" t="s">
        <v>7023</v>
      </c>
      <c r="H8764" t="s">
        <v>7072</v>
      </c>
      <c r="I8764">
        <v>0</v>
      </c>
      <c r="J8764" t="s">
        <v>7024</v>
      </c>
      <c r="K8764" t="s">
        <v>290</v>
      </c>
      <c r="L8764" t="s">
        <v>285</v>
      </c>
      <c r="M8764" t="str">
        <f t="shared" si="661"/>
        <v>10</v>
      </c>
      <c r="N8764" t="s">
        <v>12</v>
      </c>
    </row>
    <row r="8765" spans="1:14" x14ac:dyDescent="0.25">
      <c r="A8765">
        <v>20151009</v>
      </c>
      <c r="B8765" t="str">
        <f>"060612"</f>
        <v>060612</v>
      </c>
      <c r="C8765" t="str">
        <f>"57787"</f>
        <v>57787</v>
      </c>
      <c r="D8765" t="s">
        <v>7085</v>
      </c>
      <c r="E8765" s="3">
        <v>990.6</v>
      </c>
      <c r="F8765">
        <v>20151009</v>
      </c>
      <c r="G8765" t="s">
        <v>7086</v>
      </c>
      <c r="H8765" t="s">
        <v>7087</v>
      </c>
      <c r="I8765">
        <v>0</v>
      </c>
      <c r="J8765" t="s">
        <v>7024</v>
      </c>
      <c r="K8765" t="s">
        <v>290</v>
      </c>
      <c r="L8765" t="s">
        <v>285</v>
      </c>
      <c r="M8765" t="str">
        <f t="shared" si="661"/>
        <v>10</v>
      </c>
      <c r="N8765" t="s">
        <v>12</v>
      </c>
    </row>
    <row r="8766" spans="1:14" x14ac:dyDescent="0.25">
      <c r="A8766">
        <v>20151009</v>
      </c>
      <c r="B8766" t="str">
        <f>"060613"</f>
        <v>060613</v>
      </c>
      <c r="C8766" t="str">
        <f>"57981"</f>
        <v>57981</v>
      </c>
      <c r="D8766" t="s">
        <v>7088</v>
      </c>
      <c r="E8766" s="3">
        <v>150</v>
      </c>
      <c r="F8766">
        <v>20151009</v>
      </c>
      <c r="G8766" t="s">
        <v>7052</v>
      </c>
      <c r="H8766" t="s">
        <v>382</v>
      </c>
      <c r="I8766">
        <v>0</v>
      </c>
      <c r="J8766" t="s">
        <v>7024</v>
      </c>
      <c r="K8766" t="s">
        <v>95</v>
      </c>
      <c r="L8766" t="s">
        <v>285</v>
      </c>
      <c r="M8766" t="str">
        <f t="shared" si="661"/>
        <v>10</v>
      </c>
      <c r="N8766" t="s">
        <v>12</v>
      </c>
    </row>
    <row r="8767" spans="1:14" x14ac:dyDescent="0.25">
      <c r="A8767">
        <v>20151009</v>
      </c>
      <c r="B8767" t="str">
        <f>"060615"</f>
        <v>060615</v>
      </c>
      <c r="C8767" t="str">
        <f>"58204"</f>
        <v>58204</v>
      </c>
      <c r="D8767" t="s">
        <v>1816</v>
      </c>
      <c r="E8767" s="3">
        <v>31.47</v>
      </c>
      <c r="F8767">
        <v>20151009</v>
      </c>
      <c r="G8767" t="s">
        <v>7089</v>
      </c>
      <c r="H8767" t="s">
        <v>7090</v>
      </c>
      <c r="I8767">
        <v>0</v>
      </c>
      <c r="J8767" t="s">
        <v>7024</v>
      </c>
      <c r="K8767" t="s">
        <v>290</v>
      </c>
      <c r="L8767" t="s">
        <v>285</v>
      </c>
      <c r="M8767" t="str">
        <f t="shared" si="661"/>
        <v>10</v>
      </c>
      <c r="N8767" t="s">
        <v>12</v>
      </c>
    </row>
    <row r="8768" spans="1:14" x14ac:dyDescent="0.25">
      <c r="A8768">
        <v>20151009</v>
      </c>
      <c r="B8768" t="str">
        <f>"060615"</f>
        <v>060615</v>
      </c>
      <c r="C8768" t="str">
        <f>"58204"</f>
        <v>58204</v>
      </c>
      <c r="D8768" t="s">
        <v>1816</v>
      </c>
      <c r="E8768" s="3">
        <v>98</v>
      </c>
      <c r="F8768">
        <v>20151009</v>
      </c>
      <c r="G8768" t="s">
        <v>7083</v>
      </c>
      <c r="H8768" t="s">
        <v>7091</v>
      </c>
      <c r="I8768">
        <v>0</v>
      </c>
      <c r="J8768" t="s">
        <v>7024</v>
      </c>
      <c r="K8768" t="s">
        <v>290</v>
      </c>
      <c r="L8768" t="s">
        <v>285</v>
      </c>
      <c r="M8768" t="str">
        <f t="shared" si="661"/>
        <v>10</v>
      </c>
      <c r="N8768" t="s">
        <v>12</v>
      </c>
    </row>
    <row r="8769" spans="1:14" x14ac:dyDescent="0.25">
      <c r="A8769">
        <v>20151009</v>
      </c>
      <c r="B8769" t="str">
        <f t="shared" ref="B8769:B8776" si="662">"060616"</f>
        <v>060616</v>
      </c>
      <c r="C8769" t="str">
        <f t="shared" ref="C8769:C8776" si="663">"58203"</f>
        <v>58203</v>
      </c>
      <c r="D8769" t="s">
        <v>2371</v>
      </c>
      <c r="E8769" s="3">
        <v>80</v>
      </c>
      <c r="F8769">
        <v>20151009</v>
      </c>
      <c r="G8769" t="s">
        <v>7026</v>
      </c>
      <c r="H8769" t="s">
        <v>2419</v>
      </c>
      <c r="I8769">
        <v>0</v>
      </c>
      <c r="J8769" t="s">
        <v>7024</v>
      </c>
      <c r="K8769" t="s">
        <v>1643</v>
      </c>
      <c r="L8769" t="s">
        <v>285</v>
      </c>
      <c r="M8769" t="str">
        <f t="shared" si="661"/>
        <v>10</v>
      </c>
      <c r="N8769" t="s">
        <v>12</v>
      </c>
    </row>
    <row r="8770" spans="1:14" x14ac:dyDescent="0.25">
      <c r="A8770">
        <v>20151009</v>
      </c>
      <c r="B8770" t="str">
        <f t="shared" si="662"/>
        <v>060616</v>
      </c>
      <c r="C8770" t="str">
        <f t="shared" si="663"/>
        <v>58203</v>
      </c>
      <c r="D8770" t="s">
        <v>2371</v>
      </c>
      <c r="E8770" s="3">
        <v>4</v>
      </c>
      <c r="F8770">
        <v>20151009</v>
      </c>
      <c r="G8770" t="s">
        <v>7026</v>
      </c>
      <c r="H8770" t="s">
        <v>2419</v>
      </c>
      <c r="I8770">
        <v>0</v>
      </c>
      <c r="J8770" t="s">
        <v>7024</v>
      </c>
      <c r="K8770" t="s">
        <v>1643</v>
      </c>
      <c r="L8770" t="s">
        <v>285</v>
      </c>
      <c r="M8770" t="str">
        <f t="shared" si="661"/>
        <v>10</v>
      </c>
      <c r="N8770" t="s">
        <v>12</v>
      </c>
    </row>
    <row r="8771" spans="1:14" x14ac:dyDescent="0.25">
      <c r="A8771">
        <v>20151009</v>
      </c>
      <c r="B8771" t="str">
        <f t="shared" si="662"/>
        <v>060616</v>
      </c>
      <c r="C8771" t="str">
        <f t="shared" si="663"/>
        <v>58203</v>
      </c>
      <c r="D8771" t="s">
        <v>2371</v>
      </c>
      <c r="E8771" s="3">
        <v>32.99</v>
      </c>
      <c r="F8771">
        <v>20151009</v>
      </c>
      <c r="G8771" t="s">
        <v>7026</v>
      </c>
      <c r="H8771" t="s">
        <v>2419</v>
      </c>
      <c r="I8771">
        <v>0</v>
      </c>
      <c r="J8771" t="s">
        <v>7024</v>
      </c>
      <c r="K8771" t="s">
        <v>1643</v>
      </c>
      <c r="L8771" t="s">
        <v>285</v>
      </c>
      <c r="M8771" t="str">
        <f t="shared" si="661"/>
        <v>10</v>
      </c>
      <c r="N8771" t="s">
        <v>12</v>
      </c>
    </row>
    <row r="8772" spans="1:14" x14ac:dyDescent="0.25">
      <c r="A8772">
        <v>20151009</v>
      </c>
      <c r="B8772" t="str">
        <f t="shared" si="662"/>
        <v>060616</v>
      </c>
      <c r="C8772" t="str">
        <f t="shared" si="663"/>
        <v>58203</v>
      </c>
      <c r="D8772" t="s">
        <v>2371</v>
      </c>
      <c r="E8772" s="3">
        <v>4.1900000000000004</v>
      </c>
      <c r="F8772">
        <v>20151009</v>
      </c>
      <c r="G8772" t="s">
        <v>7026</v>
      </c>
      <c r="H8772" t="s">
        <v>2419</v>
      </c>
      <c r="I8772">
        <v>0</v>
      </c>
      <c r="J8772" t="s">
        <v>7024</v>
      </c>
      <c r="K8772" t="s">
        <v>1643</v>
      </c>
      <c r="L8772" t="s">
        <v>285</v>
      </c>
      <c r="M8772" t="str">
        <f t="shared" si="661"/>
        <v>10</v>
      </c>
      <c r="N8772" t="s">
        <v>12</v>
      </c>
    </row>
    <row r="8773" spans="1:14" x14ac:dyDescent="0.25">
      <c r="A8773">
        <v>20151009</v>
      </c>
      <c r="B8773" t="str">
        <f t="shared" si="662"/>
        <v>060616</v>
      </c>
      <c r="C8773" t="str">
        <f t="shared" si="663"/>
        <v>58203</v>
      </c>
      <c r="D8773" t="s">
        <v>2371</v>
      </c>
      <c r="E8773" s="3">
        <v>7.5</v>
      </c>
      <c r="F8773">
        <v>20151009</v>
      </c>
      <c r="G8773" t="s">
        <v>7026</v>
      </c>
      <c r="H8773" t="s">
        <v>7092</v>
      </c>
      <c r="I8773">
        <v>0</v>
      </c>
      <c r="J8773" t="s">
        <v>7024</v>
      </c>
      <c r="K8773" t="s">
        <v>1643</v>
      </c>
      <c r="L8773" t="s">
        <v>285</v>
      </c>
      <c r="M8773" t="str">
        <f t="shared" si="661"/>
        <v>10</v>
      </c>
      <c r="N8773" t="s">
        <v>12</v>
      </c>
    </row>
    <row r="8774" spans="1:14" x14ac:dyDescent="0.25">
      <c r="A8774">
        <v>20151009</v>
      </c>
      <c r="B8774" t="str">
        <f t="shared" si="662"/>
        <v>060616</v>
      </c>
      <c r="C8774" t="str">
        <f t="shared" si="663"/>
        <v>58203</v>
      </c>
      <c r="D8774" t="s">
        <v>2371</v>
      </c>
      <c r="E8774" s="3">
        <v>103.23</v>
      </c>
      <c r="F8774">
        <v>20151009</v>
      </c>
      <c r="G8774" t="s">
        <v>7026</v>
      </c>
      <c r="H8774" t="s">
        <v>7093</v>
      </c>
      <c r="I8774">
        <v>0</v>
      </c>
      <c r="J8774" t="s">
        <v>7024</v>
      </c>
      <c r="K8774" t="s">
        <v>1643</v>
      </c>
      <c r="L8774" t="s">
        <v>285</v>
      </c>
      <c r="M8774" t="str">
        <f t="shared" si="661"/>
        <v>10</v>
      </c>
      <c r="N8774" t="s">
        <v>12</v>
      </c>
    </row>
    <row r="8775" spans="1:14" x14ac:dyDescent="0.25">
      <c r="A8775">
        <v>20151009</v>
      </c>
      <c r="B8775" t="str">
        <f t="shared" si="662"/>
        <v>060616</v>
      </c>
      <c r="C8775" t="str">
        <f t="shared" si="663"/>
        <v>58203</v>
      </c>
      <c r="D8775" t="s">
        <v>2371</v>
      </c>
      <c r="E8775" s="3">
        <v>23.39</v>
      </c>
      <c r="F8775">
        <v>20151009</v>
      </c>
      <c r="G8775" t="s">
        <v>7094</v>
      </c>
      <c r="H8775" t="s">
        <v>7095</v>
      </c>
      <c r="I8775">
        <v>0</v>
      </c>
      <c r="J8775" t="s">
        <v>7024</v>
      </c>
      <c r="K8775" t="s">
        <v>1643</v>
      </c>
      <c r="L8775" t="s">
        <v>285</v>
      </c>
      <c r="M8775" t="str">
        <f t="shared" si="661"/>
        <v>10</v>
      </c>
      <c r="N8775" t="s">
        <v>12</v>
      </c>
    </row>
    <row r="8776" spans="1:14" x14ac:dyDescent="0.25">
      <c r="A8776">
        <v>20151009</v>
      </c>
      <c r="B8776" t="str">
        <f t="shared" si="662"/>
        <v>060616</v>
      </c>
      <c r="C8776" t="str">
        <f t="shared" si="663"/>
        <v>58203</v>
      </c>
      <c r="D8776" t="s">
        <v>2371</v>
      </c>
      <c r="E8776" s="3">
        <v>21.94</v>
      </c>
      <c r="F8776">
        <v>20151009</v>
      </c>
      <c r="G8776" t="s">
        <v>7094</v>
      </c>
      <c r="H8776" t="s">
        <v>7096</v>
      </c>
      <c r="I8776">
        <v>0</v>
      </c>
      <c r="J8776" t="s">
        <v>7024</v>
      </c>
      <c r="K8776" t="s">
        <v>1643</v>
      </c>
      <c r="L8776" t="s">
        <v>285</v>
      </c>
      <c r="M8776" t="str">
        <f t="shared" si="661"/>
        <v>10</v>
      </c>
      <c r="N8776" t="s">
        <v>12</v>
      </c>
    </row>
    <row r="8777" spans="1:14" x14ac:dyDescent="0.25">
      <c r="A8777">
        <v>20151009</v>
      </c>
      <c r="B8777" t="str">
        <f>"060618"</f>
        <v>060618</v>
      </c>
      <c r="C8777" t="str">
        <f>"59088"</f>
        <v>59088</v>
      </c>
      <c r="D8777" t="s">
        <v>7097</v>
      </c>
      <c r="E8777" s="3">
        <v>100</v>
      </c>
      <c r="F8777">
        <v>20151009</v>
      </c>
      <c r="G8777" t="s">
        <v>7052</v>
      </c>
      <c r="H8777" t="s">
        <v>382</v>
      </c>
      <c r="I8777">
        <v>0</v>
      </c>
      <c r="J8777" t="s">
        <v>7024</v>
      </c>
      <c r="K8777" t="s">
        <v>95</v>
      </c>
      <c r="L8777" t="s">
        <v>285</v>
      </c>
      <c r="M8777" t="str">
        <f t="shared" ref="M8777:M8808" si="664">"10"</f>
        <v>10</v>
      </c>
      <c r="N8777" t="s">
        <v>12</v>
      </c>
    </row>
    <row r="8778" spans="1:14" x14ac:dyDescent="0.25">
      <c r="A8778">
        <v>20151009</v>
      </c>
      <c r="B8778" t="str">
        <f>"060621"</f>
        <v>060621</v>
      </c>
      <c r="C8778" t="str">
        <f>"61221"</f>
        <v>61221</v>
      </c>
      <c r="D8778" t="s">
        <v>1906</v>
      </c>
      <c r="E8778" s="3">
        <v>495</v>
      </c>
      <c r="F8778">
        <v>20151009</v>
      </c>
      <c r="G8778" t="s">
        <v>7026</v>
      </c>
      <c r="H8778" t="s">
        <v>7098</v>
      </c>
      <c r="I8778">
        <v>0</v>
      </c>
      <c r="J8778" t="s">
        <v>7024</v>
      </c>
      <c r="K8778" t="s">
        <v>1643</v>
      </c>
      <c r="L8778" t="s">
        <v>285</v>
      </c>
      <c r="M8778" t="str">
        <f t="shared" si="664"/>
        <v>10</v>
      </c>
      <c r="N8778" t="s">
        <v>12</v>
      </c>
    </row>
    <row r="8779" spans="1:14" x14ac:dyDescent="0.25">
      <c r="A8779">
        <v>20151009</v>
      </c>
      <c r="B8779" t="str">
        <f>"060632"</f>
        <v>060632</v>
      </c>
      <c r="C8779" t="str">
        <f>"62683"</f>
        <v>62683</v>
      </c>
      <c r="D8779" t="s">
        <v>7099</v>
      </c>
      <c r="E8779" s="3">
        <v>2000</v>
      </c>
      <c r="F8779">
        <v>20151009</v>
      </c>
      <c r="G8779" t="s">
        <v>7100</v>
      </c>
      <c r="H8779" t="s">
        <v>7101</v>
      </c>
      <c r="I8779">
        <v>0</v>
      </c>
      <c r="J8779" t="s">
        <v>7024</v>
      </c>
      <c r="K8779" t="s">
        <v>290</v>
      </c>
      <c r="L8779" t="s">
        <v>285</v>
      </c>
      <c r="M8779" t="str">
        <f t="shared" si="664"/>
        <v>10</v>
      </c>
      <c r="N8779" t="s">
        <v>12</v>
      </c>
    </row>
    <row r="8780" spans="1:14" x14ac:dyDescent="0.25">
      <c r="A8780">
        <v>20151009</v>
      </c>
      <c r="B8780" t="str">
        <f>"060635"</f>
        <v>060635</v>
      </c>
      <c r="C8780" t="str">
        <f>"63612"</f>
        <v>63612</v>
      </c>
      <c r="D8780" t="s">
        <v>7102</v>
      </c>
      <c r="E8780" s="3">
        <v>1752</v>
      </c>
      <c r="F8780">
        <v>20151009</v>
      </c>
      <c r="G8780" t="s">
        <v>7049</v>
      </c>
      <c r="H8780" t="s">
        <v>7103</v>
      </c>
      <c r="I8780">
        <v>0</v>
      </c>
      <c r="J8780" t="s">
        <v>7024</v>
      </c>
      <c r="K8780" t="s">
        <v>33</v>
      </c>
      <c r="L8780" t="s">
        <v>285</v>
      </c>
      <c r="M8780" t="str">
        <f t="shared" si="664"/>
        <v>10</v>
      </c>
      <c r="N8780" t="s">
        <v>12</v>
      </c>
    </row>
    <row r="8781" spans="1:14" x14ac:dyDescent="0.25">
      <c r="A8781">
        <v>20151009</v>
      </c>
      <c r="B8781" t="str">
        <f>"060638"</f>
        <v>060638</v>
      </c>
      <c r="C8781" t="str">
        <f>"65204"</f>
        <v>65204</v>
      </c>
      <c r="D8781" t="s">
        <v>589</v>
      </c>
      <c r="E8781" s="3">
        <v>100</v>
      </c>
      <c r="F8781">
        <v>20151009</v>
      </c>
      <c r="G8781" t="s">
        <v>7052</v>
      </c>
      <c r="H8781" t="s">
        <v>382</v>
      </c>
      <c r="I8781">
        <v>0</v>
      </c>
      <c r="J8781" t="s">
        <v>7024</v>
      </c>
      <c r="K8781" t="s">
        <v>95</v>
      </c>
      <c r="L8781" t="s">
        <v>285</v>
      </c>
      <c r="M8781" t="str">
        <f t="shared" si="664"/>
        <v>10</v>
      </c>
      <c r="N8781" t="s">
        <v>12</v>
      </c>
    </row>
    <row r="8782" spans="1:14" x14ac:dyDescent="0.25">
      <c r="A8782">
        <v>20151009</v>
      </c>
      <c r="B8782" t="str">
        <f>"060643"</f>
        <v>060643</v>
      </c>
      <c r="C8782" t="str">
        <f>"65826"</f>
        <v>65826</v>
      </c>
      <c r="D8782" t="s">
        <v>2386</v>
      </c>
      <c r="E8782" s="3">
        <v>72.56</v>
      </c>
      <c r="F8782">
        <v>20151009</v>
      </c>
      <c r="G8782" t="s">
        <v>7026</v>
      </c>
      <c r="H8782" t="s">
        <v>4429</v>
      </c>
      <c r="I8782">
        <v>0</v>
      </c>
      <c r="J8782" t="s">
        <v>7024</v>
      </c>
      <c r="K8782" t="s">
        <v>1643</v>
      </c>
      <c r="L8782" t="s">
        <v>285</v>
      </c>
      <c r="M8782" t="str">
        <f t="shared" si="664"/>
        <v>10</v>
      </c>
      <c r="N8782" t="s">
        <v>12</v>
      </c>
    </row>
    <row r="8783" spans="1:14" x14ac:dyDescent="0.25">
      <c r="A8783">
        <v>20151009</v>
      </c>
      <c r="B8783" t="str">
        <f>"060643"</f>
        <v>060643</v>
      </c>
      <c r="C8783" t="str">
        <f>"65826"</f>
        <v>65826</v>
      </c>
      <c r="D8783" t="s">
        <v>2386</v>
      </c>
      <c r="E8783" s="3">
        <v>534.26</v>
      </c>
      <c r="F8783">
        <v>20151009</v>
      </c>
      <c r="G8783" t="s">
        <v>7026</v>
      </c>
      <c r="H8783" t="s">
        <v>595</v>
      </c>
      <c r="I8783">
        <v>0</v>
      </c>
      <c r="J8783" t="s">
        <v>7024</v>
      </c>
      <c r="K8783" t="s">
        <v>1643</v>
      </c>
      <c r="L8783" t="s">
        <v>285</v>
      </c>
      <c r="M8783" t="str">
        <f t="shared" si="664"/>
        <v>10</v>
      </c>
      <c r="N8783" t="s">
        <v>12</v>
      </c>
    </row>
    <row r="8784" spans="1:14" x14ac:dyDescent="0.25">
      <c r="A8784">
        <v>20151009</v>
      </c>
      <c r="B8784" t="str">
        <f>"060644"</f>
        <v>060644</v>
      </c>
      <c r="C8784" t="str">
        <f>"65863"</f>
        <v>65863</v>
      </c>
      <c r="D8784" t="s">
        <v>323</v>
      </c>
      <c r="E8784" s="3">
        <v>150</v>
      </c>
      <c r="F8784">
        <v>20151009</v>
      </c>
      <c r="G8784" t="s">
        <v>7052</v>
      </c>
      <c r="H8784" t="s">
        <v>382</v>
      </c>
      <c r="I8784">
        <v>0</v>
      </c>
      <c r="J8784" t="s">
        <v>7024</v>
      </c>
      <c r="K8784" t="s">
        <v>95</v>
      </c>
      <c r="L8784" t="s">
        <v>285</v>
      </c>
      <c r="M8784" t="str">
        <f t="shared" si="664"/>
        <v>10</v>
      </c>
      <c r="N8784" t="s">
        <v>12</v>
      </c>
    </row>
    <row r="8785" spans="1:14" x14ac:dyDescent="0.25">
      <c r="A8785">
        <v>20151009</v>
      </c>
      <c r="B8785" t="str">
        <f>"060648"</f>
        <v>060648</v>
      </c>
      <c r="C8785" t="str">
        <f>"73860"</f>
        <v>73860</v>
      </c>
      <c r="D8785" t="s">
        <v>7104</v>
      </c>
      <c r="E8785" s="3">
        <v>587.4</v>
      </c>
      <c r="F8785">
        <v>20151009</v>
      </c>
      <c r="G8785" t="s">
        <v>7049</v>
      </c>
      <c r="H8785" t="s">
        <v>7105</v>
      </c>
      <c r="I8785">
        <v>0</v>
      </c>
      <c r="J8785" t="s">
        <v>7024</v>
      </c>
      <c r="K8785" t="s">
        <v>33</v>
      </c>
      <c r="L8785" t="s">
        <v>285</v>
      </c>
      <c r="M8785" t="str">
        <f t="shared" si="664"/>
        <v>10</v>
      </c>
      <c r="N8785" t="s">
        <v>12</v>
      </c>
    </row>
    <row r="8786" spans="1:14" x14ac:dyDescent="0.25">
      <c r="A8786">
        <v>20151009</v>
      </c>
      <c r="B8786" t="str">
        <f>"060658"</f>
        <v>060658</v>
      </c>
      <c r="C8786" t="str">
        <f>"80146"</f>
        <v>80146</v>
      </c>
      <c r="D8786" t="s">
        <v>7106</v>
      </c>
      <c r="E8786" s="3">
        <v>150</v>
      </c>
      <c r="F8786">
        <v>20151009</v>
      </c>
      <c r="G8786" t="s">
        <v>7052</v>
      </c>
      <c r="H8786" t="s">
        <v>382</v>
      </c>
      <c r="I8786">
        <v>0</v>
      </c>
      <c r="J8786" t="s">
        <v>7024</v>
      </c>
      <c r="K8786" t="s">
        <v>95</v>
      </c>
      <c r="L8786" t="s">
        <v>285</v>
      </c>
      <c r="M8786" t="str">
        <f t="shared" si="664"/>
        <v>10</v>
      </c>
      <c r="N8786" t="s">
        <v>12</v>
      </c>
    </row>
    <row r="8787" spans="1:14" x14ac:dyDescent="0.25">
      <c r="A8787">
        <v>20151009</v>
      </c>
      <c r="B8787" t="str">
        <f>"060664"</f>
        <v>060664</v>
      </c>
      <c r="C8787" t="str">
        <f>"80755"</f>
        <v>80755</v>
      </c>
      <c r="D8787" t="s">
        <v>723</v>
      </c>
      <c r="E8787" s="3">
        <v>2368.3000000000002</v>
      </c>
      <c r="F8787">
        <v>20151009</v>
      </c>
      <c r="G8787" t="s">
        <v>7107</v>
      </c>
      <c r="H8787" t="s">
        <v>7108</v>
      </c>
      <c r="I8787">
        <v>0</v>
      </c>
      <c r="J8787" t="s">
        <v>7024</v>
      </c>
      <c r="K8787" t="s">
        <v>95</v>
      </c>
      <c r="L8787" t="s">
        <v>285</v>
      </c>
      <c r="M8787" t="str">
        <f t="shared" si="664"/>
        <v>10</v>
      </c>
      <c r="N8787" t="s">
        <v>12</v>
      </c>
    </row>
    <row r="8788" spans="1:14" x14ac:dyDescent="0.25">
      <c r="A8788">
        <v>20151009</v>
      </c>
      <c r="B8788" t="str">
        <f>"060665"</f>
        <v>060665</v>
      </c>
      <c r="C8788" t="str">
        <f>"80756"</f>
        <v>80756</v>
      </c>
      <c r="D8788" t="s">
        <v>521</v>
      </c>
      <c r="E8788" s="3">
        <v>240</v>
      </c>
      <c r="F8788">
        <v>20151009</v>
      </c>
      <c r="G8788" t="s">
        <v>7049</v>
      </c>
      <c r="H8788" t="s">
        <v>7109</v>
      </c>
      <c r="I8788">
        <v>0</v>
      </c>
      <c r="J8788" t="s">
        <v>7024</v>
      </c>
      <c r="K8788" t="s">
        <v>33</v>
      </c>
      <c r="L8788" t="s">
        <v>285</v>
      </c>
      <c r="M8788" t="str">
        <f t="shared" si="664"/>
        <v>10</v>
      </c>
      <c r="N8788" t="s">
        <v>12</v>
      </c>
    </row>
    <row r="8789" spans="1:14" x14ac:dyDescent="0.25">
      <c r="A8789">
        <v>20151009</v>
      </c>
      <c r="B8789" t="str">
        <f>"060665"</f>
        <v>060665</v>
      </c>
      <c r="C8789" t="str">
        <f>"80756"</f>
        <v>80756</v>
      </c>
      <c r="D8789" t="s">
        <v>521</v>
      </c>
      <c r="E8789" s="3">
        <v>256</v>
      </c>
      <c r="F8789">
        <v>20151009</v>
      </c>
      <c r="G8789" t="s">
        <v>7049</v>
      </c>
      <c r="H8789" t="s">
        <v>7109</v>
      </c>
      <c r="I8789">
        <v>0</v>
      </c>
      <c r="J8789" t="s">
        <v>7024</v>
      </c>
      <c r="K8789" t="s">
        <v>33</v>
      </c>
      <c r="L8789" t="s">
        <v>285</v>
      </c>
      <c r="M8789" t="str">
        <f t="shared" si="664"/>
        <v>10</v>
      </c>
      <c r="N8789" t="s">
        <v>12</v>
      </c>
    </row>
    <row r="8790" spans="1:14" x14ac:dyDescent="0.25">
      <c r="A8790">
        <v>20151009</v>
      </c>
      <c r="B8790" t="str">
        <f>"060666"</f>
        <v>060666</v>
      </c>
      <c r="C8790" t="str">
        <f>"81299"</f>
        <v>81299</v>
      </c>
      <c r="D8790" t="s">
        <v>2415</v>
      </c>
      <c r="E8790" s="3">
        <v>98.4</v>
      </c>
      <c r="F8790">
        <v>20151009</v>
      </c>
      <c r="G8790" t="s">
        <v>7110</v>
      </c>
      <c r="H8790" t="s">
        <v>7111</v>
      </c>
      <c r="I8790">
        <v>0</v>
      </c>
      <c r="J8790" t="s">
        <v>7024</v>
      </c>
      <c r="K8790" t="s">
        <v>290</v>
      </c>
      <c r="L8790" t="s">
        <v>285</v>
      </c>
      <c r="M8790" t="str">
        <f t="shared" si="664"/>
        <v>10</v>
      </c>
      <c r="N8790" t="s">
        <v>12</v>
      </c>
    </row>
    <row r="8791" spans="1:14" x14ac:dyDescent="0.25">
      <c r="A8791">
        <v>20151009</v>
      </c>
      <c r="B8791" t="str">
        <f>"060666"</f>
        <v>060666</v>
      </c>
      <c r="C8791" t="str">
        <f>"81299"</f>
        <v>81299</v>
      </c>
      <c r="D8791" t="s">
        <v>2415</v>
      </c>
      <c r="E8791" s="3">
        <v>31.9</v>
      </c>
      <c r="F8791">
        <v>20151009</v>
      </c>
      <c r="G8791" t="s">
        <v>7110</v>
      </c>
      <c r="H8791" t="s">
        <v>7112</v>
      </c>
      <c r="I8791">
        <v>0</v>
      </c>
      <c r="J8791" t="s">
        <v>7024</v>
      </c>
      <c r="K8791" t="s">
        <v>290</v>
      </c>
      <c r="L8791" t="s">
        <v>285</v>
      </c>
      <c r="M8791" t="str">
        <f t="shared" si="664"/>
        <v>10</v>
      </c>
      <c r="N8791" t="s">
        <v>12</v>
      </c>
    </row>
    <row r="8792" spans="1:14" x14ac:dyDescent="0.25">
      <c r="A8792">
        <v>20151009</v>
      </c>
      <c r="B8792" t="str">
        <f>"060670"</f>
        <v>060670</v>
      </c>
      <c r="C8792" t="str">
        <f>"86570"</f>
        <v>86570</v>
      </c>
      <c r="D8792" t="s">
        <v>7113</v>
      </c>
      <c r="E8792" s="3">
        <v>150</v>
      </c>
      <c r="F8792">
        <v>20151009</v>
      </c>
      <c r="G8792" t="s">
        <v>7052</v>
      </c>
      <c r="H8792" t="s">
        <v>382</v>
      </c>
      <c r="I8792">
        <v>0</v>
      </c>
      <c r="J8792" t="s">
        <v>7024</v>
      </c>
      <c r="K8792" t="s">
        <v>95</v>
      </c>
      <c r="L8792" t="s">
        <v>285</v>
      </c>
      <c r="M8792" t="str">
        <f t="shared" si="664"/>
        <v>10</v>
      </c>
      <c r="N8792" t="s">
        <v>12</v>
      </c>
    </row>
    <row r="8793" spans="1:14" x14ac:dyDescent="0.25">
      <c r="A8793">
        <v>20151016</v>
      </c>
      <c r="B8793" t="str">
        <f>"060677"</f>
        <v>060677</v>
      </c>
      <c r="C8793" t="str">
        <f>"04240"</f>
        <v>04240</v>
      </c>
      <c r="D8793" t="s">
        <v>2432</v>
      </c>
      <c r="E8793" s="3">
        <v>97.9</v>
      </c>
      <c r="F8793">
        <v>20151015</v>
      </c>
      <c r="G8793" t="s">
        <v>7114</v>
      </c>
      <c r="H8793" t="s">
        <v>7115</v>
      </c>
      <c r="I8793">
        <v>0</v>
      </c>
      <c r="J8793" t="s">
        <v>7024</v>
      </c>
      <c r="K8793" t="s">
        <v>2724</v>
      </c>
      <c r="L8793" t="s">
        <v>285</v>
      </c>
      <c r="M8793" t="str">
        <f t="shared" si="664"/>
        <v>10</v>
      </c>
      <c r="N8793" t="s">
        <v>12</v>
      </c>
    </row>
    <row r="8794" spans="1:14" x14ac:dyDescent="0.25">
      <c r="A8794">
        <v>20151016</v>
      </c>
      <c r="B8794" t="str">
        <f>"060684"</f>
        <v>060684</v>
      </c>
      <c r="C8794" t="str">
        <f>"11219"</f>
        <v>11219</v>
      </c>
      <c r="D8794" t="s">
        <v>7043</v>
      </c>
      <c r="E8794" s="3">
        <v>1375</v>
      </c>
      <c r="F8794">
        <v>20151015</v>
      </c>
      <c r="G8794" t="s">
        <v>7044</v>
      </c>
      <c r="H8794" t="s">
        <v>7116</v>
      </c>
      <c r="I8794">
        <v>0</v>
      </c>
      <c r="J8794" t="s">
        <v>7024</v>
      </c>
      <c r="K8794" t="s">
        <v>290</v>
      </c>
      <c r="L8794" t="s">
        <v>285</v>
      </c>
      <c r="M8794" t="str">
        <f t="shared" si="664"/>
        <v>10</v>
      </c>
      <c r="N8794" t="s">
        <v>12</v>
      </c>
    </row>
    <row r="8795" spans="1:14" x14ac:dyDescent="0.25">
      <c r="A8795">
        <v>20151016</v>
      </c>
      <c r="B8795" t="str">
        <f>"060684"</f>
        <v>060684</v>
      </c>
      <c r="C8795" t="str">
        <f>"11219"</f>
        <v>11219</v>
      </c>
      <c r="D8795" t="s">
        <v>7043</v>
      </c>
      <c r="E8795" s="3">
        <v>1571.25</v>
      </c>
      <c r="F8795">
        <v>20151015</v>
      </c>
      <c r="G8795" t="s">
        <v>7044</v>
      </c>
      <c r="H8795" t="s">
        <v>7116</v>
      </c>
      <c r="I8795">
        <v>0</v>
      </c>
      <c r="J8795" t="s">
        <v>7024</v>
      </c>
      <c r="K8795" t="s">
        <v>290</v>
      </c>
      <c r="L8795" t="s">
        <v>285</v>
      </c>
      <c r="M8795" t="str">
        <f t="shared" si="664"/>
        <v>10</v>
      </c>
      <c r="N8795" t="s">
        <v>12</v>
      </c>
    </row>
    <row r="8796" spans="1:14" x14ac:dyDescent="0.25">
      <c r="A8796">
        <v>20151016</v>
      </c>
      <c r="B8796" t="str">
        <f>"060690"</f>
        <v>060690</v>
      </c>
      <c r="C8796" t="str">
        <f>"19057"</f>
        <v>19057</v>
      </c>
      <c r="D8796" t="s">
        <v>7117</v>
      </c>
      <c r="E8796" s="3">
        <v>1898.95</v>
      </c>
      <c r="F8796">
        <v>20151015</v>
      </c>
      <c r="G8796" t="s">
        <v>7080</v>
      </c>
      <c r="H8796" t="s">
        <v>7118</v>
      </c>
      <c r="I8796">
        <v>0</v>
      </c>
      <c r="J8796" t="s">
        <v>7024</v>
      </c>
      <c r="K8796" t="s">
        <v>33</v>
      </c>
      <c r="L8796" t="s">
        <v>285</v>
      </c>
      <c r="M8796" t="str">
        <f t="shared" si="664"/>
        <v>10</v>
      </c>
      <c r="N8796" t="s">
        <v>12</v>
      </c>
    </row>
    <row r="8797" spans="1:14" x14ac:dyDescent="0.25">
      <c r="A8797">
        <v>20151016</v>
      </c>
      <c r="B8797" t="str">
        <f>"060691"</f>
        <v>060691</v>
      </c>
      <c r="C8797" t="str">
        <f>"19073"</f>
        <v>19073</v>
      </c>
      <c r="D8797" t="s">
        <v>748</v>
      </c>
      <c r="E8797" s="3">
        <v>40</v>
      </c>
      <c r="F8797">
        <v>20151015</v>
      </c>
      <c r="G8797" t="s">
        <v>7119</v>
      </c>
      <c r="H8797" t="s">
        <v>7120</v>
      </c>
      <c r="I8797">
        <v>0</v>
      </c>
      <c r="J8797" t="s">
        <v>7024</v>
      </c>
      <c r="K8797" t="s">
        <v>7068</v>
      </c>
      <c r="L8797" t="s">
        <v>285</v>
      </c>
      <c r="M8797" t="str">
        <f t="shared" si="664"/>
        <v>10</v>
      </c>
      <c r="N8797" t="s">
        <v>12</v>
      </c>
    </row>
    <row r="8798" spans="1:14" x14ac:dyDescent="0.25">
      <c r="A8798">
        <v>20151016</v>
      </c>
      <c r="B8798" t="str">
        <f>"060697"</f>
        <v>060697</v>
      </c>
      <c r="C8798" t="str">
        <f>"20433"</f>
        <v>20433</v>
      </c>
      <c r="D8798" t="s">
        <v>413</v>
      </c>
      <c r="E8798" s="3">
        <v>80</v>
      </c>
      <c r="F8798">
        <v>20151015</v>
      </c>
      <c r="G8798" t="s">
        <v>7119</v>
      </c>
      <c r="H8798" t="s">
        <v>7121</v>
      </c>
      <c r="I8798">
        <v>0</v>
      </c>
      <c r="J8798" t="s">
        <v>7024</v>
      </c>
      <c r="K8798" t="s">
        <v>7068</v>
      </c>
      <c r="L8798" t="s">
        <v>285</v>
      </c>
      <c r="M8798" t="str">
        <f t="shared" si="664"/>
        <v>10</v>
      </c>
      <c r="N8798" t="s">
        <v>12</v>
      </c>
    </row>
    <row r="8799" spans="1:14" x14ac:dyDescent="0.25">
      <c r="A8799">
        <v>20151016</v>
      </c>
      <c r="B8799" t="str">
        <f>"060697"</f>
        <v>060697</v>
      </c>
      <c r="C8799" t="str">
        <f>"20433"</f>
        <v>20433</v>
      </c>
      <c r="D8799" t="s">
        <v>413</v>
      </c>
      <c r="E8799" s="3">
        <v>80</v>
      </c>
      <c r="F8799">
        <v>20151015</v>
      </c>
      <c r="G8799" t="s">
        <v>7119</v>
      </c>
      <c r="H8799" t="s">
        <v>7122</v>
      </c>
      <c r="I8799">
        <v>0</v>
      </c>
      <c r="J8799" t="s">
        <v>7024</v>
      </c>
      <c r="K8799" t="s">
        <v>7068</v>
      </c>
      <c r="L8799" t="s">
        <v>285</v>
      </c>
      <c r="M8799" t="str">
        <f t="shared" si="664"/>
        <v>10</v>
      </c>
      <c r="N8799" t="s">
        <v>12</v>
      </c>
    </row>
    <row r="8800" spans="1:14" x14ac:dyDescent="0.25">
      <c r="A8800">
        <v>20151016</v>
      </c>
      <c r="B8800" t="str">
        <f>"060697"</f>
        <v>060697</v>
      </c>
      <c r="C8800" t="str">
        <f>"20433"</f>
        <v>20433</v>
      </c>
      <c r="D8800" t="s">
        <v>413</v>
      </c>
      <c r="E8800" s="3">
        <v>80</v>
      </c>
      <c r="F8800">
        <v>20151015</v>
      </c>
      <c r="G8800" t="s">
        <v>7066</v>
      </c>
      <c r="H8800" t="s">
        <v>7123</v>
      </c>
      <c r="I8800">
        <v>0</v>
      </c>
      <c r="J8800" t="s">
        <v>7024</v>
      </c>
      <c r="K8800" t="s">
        <v>7068</v>
      </c>
      <c r="L8800" t="s">
        <v>285</v>
      </c>
      <c r="M8800" t="str">
        <f t="shared" si="664"/>
        <v>10</v>
      </c>
      <c r="N8800" t="s">
        <v>12</v>
      </c>
    </row>
    <row r="8801" spans="1:14" x14ac:dyDescent="0.25">
      <c r="A8801">
        <v>20151016</v>
      </c>
      <c r="B8801" t="str">
        <f>"060703"</f>
        <v>060703</v>
      </c>
      <c r="C8801" t="str">
        <f>"21280"</f>
        <v>21280</v>
      </c>
      <c r="D8801" t="s">
        <v>4130</v>
      </c>
      <c r="E8801" s="3">
        <v>1050</v>
      </c>
      <c r="F8801">
        <v>20151015</v>
      </c>
      <c r="G8801" t="s">
        <v>7124</v>
      </c>
      <c r="H8801" t="s">
        <v>7125</v>
      </c>
      <c r="I8801">
        <v>0</v>
      </c>
      <c r="J8801" t="s">
        <v>7024</v>
      </c>
      <c r="K8801" t="s">
        <v>290</v>
      </c>
      <c r="L8801" t="s">
        <v>285</v>
      </c>
      <c r="M8801" t="str">
        <f t="shared" si="664"/>
        <v>10</v>
      </c>
      <c r="N8801" t="s">
        <v>12</v>
      </c>
    </row>
    <row r="8802" spans="1:14" x14ac:dyDescent="0.25">
      <c r="A8802">
        <v>20151016</v>
      </c>
      <c r="B8802" t="str">
        <f>"060708"</f>
        <v>060708</v>
      </c>
      <c r="C8802" t="str">
        <f>"23754"</f>
        <v>23754</v>
      </c>
      <c r="D8802" t="s">
        <v>794</v>
      </c>
      <c r="E8802" s="3">
        <v>468.72</v>
      </c>
      <c r="F8802">
        <v>20151015</v>
      </c>
      <c r="G8802" t="s">
        <v>7126</v>
      </c>
      <c r="H8802" t="s">
        <v>7127</v>
      </c>
      <c r="I8802">
        <v>0</v>
      </c>
      <c r="J8802" t="s">
        <v>7024</v>
      </c>
      <c r="K8802" t="s">
        <v>290</v>
      </c>
      <c r="L8802" t="s">
        <v>285</v>
      </c>
      <c r="M8802" t="str">
        <f t="shared" si="664"/>
        <v>10</v>
      </c>
      <c r="N8802" t="s">
        <v>12</v>
      </c>
    </row>
    <row r="8803" spans="1:14" x14ac:dyDescent="0.25">
      <c r="A8803">
        <v>20151016</v>
      </c>
      <c r="B8803" t="str">
        <f>"060711"</f>
        <v>060711</v>
      </c>
      <c r="C8803" t="str">
        <f>"24955"</f>
        <v>24955</v>
      </c>
      <c r="D8803" t="s">
        <v>7128</v>
      </c>
      <c r="E8803" s="3">
        <v>2635</v>
      </c>
      <c r="F8803">
        <v>20151015</v>
      </c>
      <c r="G8803" t="s">
        <v>7026</v>
      </c>
      <c r="H8803" t="s">
        <v>7129</v>
      </c>
      <c r="I8803">
        <v>0</v>
      </c>
      <c r="J8803" t="s">
        <v>7024</v>
      </c>
      <c r="K8803" t="s">
        <v>1643</v>
      </c>
      <c r="L8803" t="s">
        <v>285</v>
      </c>
      <c r="M8803" t="str">
        <f t="shared" si="664"/>
        <v>10</v>
      </c>
      <c r="N8803" t="s">
        <v>12</v>
      </c>
    </row>
    <row r="8804" spans="1:14" x14ac:dyDescent="0.25">
      <c r="A8804">
        <v>20151016</v>
      </c>
      <c r="B8804" t="str">
        <f>"060713"</f>
        <v>060713</v>
      </c>
      <c r="C8804" t="str">
        <f>"24967"</f>
        <v>24967</v>
      </c>
      <c r="D8804" t="s">
        <v>7130</v>
      </c>
      <c r="E8804" s="3">
        <v>38.950000000000003</v>
      </c>
      <c r="F8804">
        <v>20151015</v>
      </c>
      <c r="G8804" t="s">
        <v>7080</v>
      </c>
      <c r="H8804" t="s">
        <v>7131</v>
      </c>
      <c r="I8804">
        <v>0</v>
      </c>
      <c r="J8804" t="s">
        <v>7024</v>
      </c>
      <c r="K8804" t="s">
        <v>33</v>
      </c>
      <c r="L8804" t="s">
        <v>285</v>
      </c>
      <c r="M8804" t="str">
        <f t="shared" si="664"/>
        <v>10</v>
      </c>
      <c r="N8804" t="s">
        <v>12</v>
      </c>
    </row>
    <row r="8805" spans="1:14" x14ac:dyDescent="0.25">
      <c r="A8805">
        <v>20151016</v>
      </c>
      <c r="B8805" t="str">
        <f>"060714"</f>
        <v>060714</v>
      </c>
      <c r="C8805" t="str">
        <f>"25227"</f>
        <v>25227</v>
      </c>
      <c r="D8805" t="s">
        <v>7132</v>
      </c>
      <c r="E8805" s="3">
        <v>100</v>
      </c>
      <c r="F8805">
        <v>20151015</v>
      </c>
      <c r="G8805" t="s">
        <v>7066</v>
      </c>
      <c r="H8805" t="s">
        <v>7133</v>
      </c>
      <c r="I8805">
        <v>0</v>
      </c>
      <c r="J8805" t="s">
        <v>7024</v>
      </c>
      <c r="K8805" t="s">
        <v>7068</v>
      </c>
      <c r="L8805" t="s">
        <v>285</v>
      </c>
      <c r="M8805" t="str">
        <f t="shared" si="664"/>
        <v>10</v>
      </c>
      <c r="N8805" t="s">
        <v>12</v>
      </c>
    </row>
    <row r="8806" spans="1:14" x14ac:dyDescent="0.25">
      <c r="A8806">
        <v>20151016</v>
      </c>
      <c r="B8806" t="str">
        <f>"060722"</f>
        <v>060722</v>
      </c>
      <c r="C8806" t="str">
        <f>"29680"</f>
        <v>29680</v>
      </c>
      <c r="D8806" t="s">
        <v>653</v>
      </c>
      <c r="E8806" s="3">
        <v>50.8</v>
      </c>
      <c r="F8806">
        <v>20151015</v>
      </c>
      <c r="G8806" t="s">
        <v>7044</v>
      </c>
      <c r="H8806" t="s">
        <v>7134</v>
      </c>
      <c r="I8806">
        <v>0</v>
      </c>
      <c r="J8806" t="s">
        <v>7024</v>
      </c>
      <c r="K8806" t="s">
        <v>290</v>
      </c>
      <c r="L8806" t="s">
        <v>285</v>
      </c>
      <c r="M8806" t="str">
        <f t="shared" si="664"/>
        <v>10</v>
      </c>
      <c r="N8806" t="s">
        <v>12</v>
      </c>
    </row>
    <row r="8807" spans="1:14" x14ac:dyDescent="0.25">
      <c r="A8807">
        <v>20151016</v>
      </c>
      <c r="B8807" t="str">
        <f>"060731"</f>
        <v>060731</v>
      </c>
      <c r="C8807" t="str">
        <f>"37771"</f>
        <v>37771</v>
      </c>
      <c r="D8807" t="s">
        <v>7135</v>
      </c>
      <c r="E8807" s="3">
        <v>518.24</v>
      </c>
      <c r="F8807">
        <v>20151015</v>
      </c>
      <c r="G8807" t="s">
        <v>7094</v>
      </c>
      <c r="H8807" t="s">
        <v>7136</v>
      </c>
      <c r="I8807">
        <v>0</v>
      </c>
      <c r="J8807" t="s">
        <v>7024</v>
      </c>
      <c r="K8807" t="s">
        <v>1643</v>
      </c>
      <c r="L8807" t="s">
        <v>285</v>
      </c>
      <c r="M8807" t="str">
        <f t="shared" si="664"/>
        <v>10</v>
      </c>
      <c r="N8807" t="s">
        <v>12</v>
      </c>
    </row>
    <row r="8808" spans="1:14" x14ac:dyDescent="0.25">
      <c r="A8808">
        <v>20151016</v>
      </c>
      <c r="B8808" t="str">
        <f>"060748"</f>
        <v>060748</v>
      </c>
      <c r="C8808" t="str">
        <f>"49989"</f>
        <v>49989</v>
      </c>
      <c r="D8808" t="s">
        <v>5545</v>
      </c>
      <c r="E8808" s="3">
        <v>80</v>
      </c>
      <c r="F8808">
        <v>20151016</v>
      </c>
      <c r="G8808" t="s">
        <v>7066</v>
      </c>
      <c r="H8808" t="s">
        <v>7123</v>
      </c>
      <c r="I8808">
        <v>0</v>
      </c>
      <c r="J8808" t="s">
        <v>7024</v>
      </c>
      <c r="K8808" t="s">
        <v>7068</v>
      </c>
      <c r="L8808" t="s">
        <v>285</v>
      </c>
      <c r="M8808" t="str">
        <f t="shared" si="664"/>
        <v>10</v>
      </c>
      <c r="N8808" t="s">
        <v>12</v>
      </c>
    </row>
    <row r="8809" spans="1:14" x14ac:dyDescent="0.25">
      <c r="A8809">
        <v>20151016</v>
      </c>
      <c r="B8809" t="str">
        <f>"060748"</f>
        <v>060748</v>
      </c>
      <c r="C8809" t="str">
        <f>"49989"</f>
        <v>49989</v>
      </c>
      <c r="D8809" t="s">
        <v>5545</v>
      </c>
      <c r="E8809" s="3">
        <v>100</v>
      </c>
      <c r="F8809">
        <v>20151016</v>
      </c>
      <c r="G8809" t="s">
        <v>7066</v>
      </c>
      <c r="H8809" t="s">
        <v>7133</v>
      </c>
      <c r="I8809">
        <v>0</v>
      </c>
      <c r="J8809" t="s">
        <v>7024</v>
      </c>
      <c r="K8809" t="s">
        <v>7068</v>
      </c>
      <c r="L8809" t="s">
        <v>285</v>
      </c>
      <c r="M8809" t="str">
        <f t="shared" ref="M8809:M8840" si="665">"10"</f>
        <v>10</v>
      </c>
      <c r="N8809" t="s">
        <v>12</v>
      </c>
    </row>
    <row r="8810" spans="1:14" x14ac:dyDescent="0.25">
      <c r="A8810">
        <v>20151016</v>
      </c>
      <c r="B8810" t="str">
        <f>"060761"</f>
        <v>060761</v>
      </c>
      <c r="C8810" t="str">
        <f>"58207"</f>
        <v>58207</v>
      </c>
      <c r="D8810" t="s">
        <v>296</v>
      </c>
      <c r="E8810" s="3">
        <v>78.3</v>
      </c>
      <c r="F8810">
        <v>20151016</v>
      </c>
      <c r="G8810" t="s">
        <v>7044</v>
      </c>
      <c r="H8810" t="s">
        <v>7137</v>
      </c>
      <c r="I8810">
        <v>0</v>
      </c>
      <c r="J8810" t="s">
        <v>7024</v>
      </c>
      <c r="K8810" t="s">
        <v>290</v>
      </c>
      <c r="L8810" t="s">
        <v>285</v>
      </c>
      <c r="M8810" t="str">
        <f t="shared" si="665"/>
        <v>10</v>
      </c>
      <c r="N8810" t="s">
        <v>12</v>
      </c>
    </row>
    <row r="8811" spans="1:14" x14ac:dyDescent="0.25">
      <c r="A8811">
        <v>20151016</v>
      </c>
      <c r="B8811" t="str">
        <f>"060768"</f>
        <v>060768</v>
      </c>
      <c r="C8811" t="str">
        <f>"61308"</f>
        <v>61308</v>
      </c>
      <c r="D8811" t="s">
        <v>7138</v>
      </c>
      <c r="E8811" s="3">
        <v>144.75</v>
      </c>
      <c r="F8811">
        <v>20151016</v>
      </c>
      <c r="G8811" t="s">
        <v>7049</v>
      </c>
      <c r="H8811" t="s">
        <v>7139</v>
      </c>
      <c r="I8811">
        <v>0</v>
      </c>
      <c r="J8811" t="s">
        <v>7024</v>
      </c>
      <c r="K8811" t="s">
        <v>33</v>
      </c>
      <c r="L8811" t="s">
        <v>285</v>
      </c>
      <c r="M8811" t="str">
        <f t="shared" si="665"/>
        <v>10</v>
      </c>
      <c r="N8811" t="s">
        <v>12</v>
      </c>
    </row>
    <row r="8812" spans="1:14" x14ac:dyDescent="0.25">
      <c r="A8812">
        <v>20151016</v>
      </c>
      <c r="B8812" t="str">
        <f>"060776"</f>
        <v>060776</v>
      </c>
      <c r="C8812" t="str">
        <f>"64610"</f>
        <v>64610</v>
      </c>
      <c r="D8812" t="s">
        <v>678</v>
      </c>
      <c r="E8812" s="3">
        <v>108</v>
      </c>
      <c r="F8812">
        <v>20151016</v>
      </c>
      <c r="G8812" t="s">
        <v>7140</v>
      </c>
      <c r="H8812" t="s">
        <v>7141</v>
      </c>
      <c r="I8812">
        <v>0</v>
      </c>
      <c r="J8812" t="s">
        <v>7024</v>
      </c>
      <c r="K8812" t="s">
        <v>290</v>
      </c>
      <c r="L8812" t="s">
        <v>285</v>
      </c>
      <c r="M8812" t="str">
        <f t="shared" si="665"/>
        <v>10</v>
      </c>
      <c r="N8812" t="s">
        <v>12</v>
      </c>
    </row>
    <row r="8813" spans="1:14" x14ac:dyDescent="0.25">
      <c r="A8813">
        <v>20151016</v>
      </c>
      <c r="B8813" t="str">
        <f>"060781"</f>
        <v>060781</v>
      </c>
      <c r="C8813" t="str">
        <f>"65106"</f>
        <v>65106</v>
      </c>
      <c r="D8813" t="s">
        <v>1568</v>
      </c>
      <c r="E8813" s="3">
        <v>139.5</v>
      </c>
      <c r="F8813">
        <v>20151016</v>
      </c>
      <c r="G8813" t="s">
        <v>7110</v>
      </c>
      <c r="H8813" t="s">
        <v>2419</v>
      </c>
      <c r="I8813">
        <v>0</v>
      </c>
      <c r="J8813" t="s">
        <v>7024</v>
      </c>
      <c r="K8813" t="s">
        <v>290</v>
      </c>
      <c r="L8813" t="s">
        <v>285</v>
      </c>
      <c r="M8813" t="str">
        <f t="shared" si="665"/>
        <v>10</v>
      </c>
      <c r="N8813" t="s">
        <v>12</v>
      </c>
    </row>
    <row r="8814" spans="1:14" x14ac:dyDescent="0.25">
      <c r="A8814">
        <v>20151016</v>
      </c>
      <c r="B8814" t="str">
        <f>"060781"</f>
        <v>060781</v>
      </c>
      <c r="C8814" t="str">
        <f>"65106"</f>
        <v>65106</v>
      </c>
      <c r="D8814" t="s">
        <v>1568</v>
      </c>
      <c r="E8814" s="3">
        <v>200</v>
      </c>
      <c r="F8814">
        <v>20151016</v>
      </c>
      <c r="G8814" t="s">
        <v>7126</v>
      </c>
      <c r="H8814" t="s">
        <v>7142</v>
      </c>
      <c r="I8814">
        <v>0</v>
      </c>
      <c r="J8814" t="s">
        <v>7024</v>
      </c>
      <c r="K8814" t="s">
        <v>290</v>
      </c>
      <c r="L8814" t="s">
        <v>285</v>
      </c>
      <c r="M8814" t="str">
        <f t="shared" si="665"/>
        <v>10</v>
      </c>
      <c r="N8814" t="s">
        <v>12</v>
      </c>
    </row>
    <row r="8815" spans="1:14" x14ac:dyDescent="0.25">
      <c r="A8815">
        <v>20151016</v>
      </c>
      <c r="B8815" t="str">
        <f>"060781"</f>
        <v>060781</v>
      </c>
      <c r="C8815" t="str">
        <f>"65106"</f>
        <v>65106</v>
      </c>
      <c r="D8815" t="s">
        <v>1568</v>
      </c>
      <c r="E8815" s="3">
        <v>79.88</v>
      </c>
      <c r="F8815">
        <v>20151016</v>
      </c>
      <c r="G8815" t="s">
        <v>7143</v>
      </c>
      <c r="H8815" t="s">
        <v>7144</v>
      </c>
      <c r="I8815">
        <v>0</v>
      </c>
      <c r="J8815" t="s">
        <v>7024</v>
      </c>
      <c r="K8815" t="s">
        <v>290</v>
      </c>
      <c r="L8815" t="s">
        <v>285</v>
      </c>
      <c r="M8815" t="str">
        <f t="shared" si="665"/>
        <v>10</v>
      </c>
      <c r="N8815" t="s">
        <v>12</v>
      </c>
    </row>
    <row r="8816" spans="1:14" x14ac:dyDescent="0.25">
      <c r="A8816">
        <v>20151016</v>
      </c>
      <c r="B8816" t="str">
        <f>"060782"</f>
        <v>060782</v>
      </c>
      <c r="C8816" t="str">
        <f>"65220"</f>
        <v>65220</v>
      </c>
      <c r="D8816" t="s">
        <v>876</v>
      </c>
      <c r="E8816" s="3">
        <v>40</v>
      </c>
      <c r="F8816">
        <v>20151016</v>
      </c>
      <c r="G8816" t="s">
        <v>7119</v>
      </c>
      <c r="H8816" t="s">
        <v>7120</v>
      </c>
      <c r="I8816">
        <v>0</v>
      </c>
      <c r="J8816" t="s">
        <v>7024</v>
      </c>
      <c r="K8816" t="s">
        <v>7068</v>
      </c>
      <c r="L8816" t="s">
        <v>285</v>
      </c>
      <c r="M8816" t="str">
        <f t="shared" si="665"/>
        <v>10</v>
      </c>
      <c r="N8816" t="s">
        <v>12</v>
      </c>
    </row>
    <row r="8817" spans="1:14" x14ac:dyDescent="0.25">
      <c r="A8817">
        <v>20151016</v>
      </c>
      <c r="B8817" t="str">
        <f>"060782"</f>
        <v>060782</v>
      </c>
      <c r="C8817" t="str">
        <f>"65220"</f>
        <v>65220</v>
      </c>
      <c r="D8817" t="s">
        <v>876</v>
      </c>
      <c r="E8817" s="3">
        <v>80</v>
      </c>
      <c r="F8817">
        <v>20151016</v>
      </c>
      <c r="G8817" t="s">
        <v>7119</v>
      </c>
      <c r="H8817" t="s">
        <v>7122</v>
      </c>
      <c r="I8817">
        <v>0</v>
      </c>
      <c r="J8817" t="s">
        <v>7024</v>
      </c>
      <c r="K8817" t="s">
        <v>7068</v>
      </c>
      <c r="L8817" t="s">
        <v>285</v>
      </c>
      <c r="M8817" t="str">
        <f t="shared" si="665"/>
        <v>10</v>
      </c>
      <c r="N8817" t="s">
        <v>12</v>
      </c>
    </row>
    <row r="8818" spans="1:14" x14ac:dyDescent="0.25">
      <c r="A8818">
        <v>20151016</v>
      </c>
      <c r="B8818" t="str">
        <f>"060801"</f>
        <v>060801</v>
      </c>
      <c r="C8818" t="str">
        <f>"78430"</f>
        <v>78430</v>
      </c>
      <c r="D8818" t="s">
        <v>721</v>
      </c>
      <c r="E8818" s="3">
        <v>775.75</v>
      </c>
      <c r="F8818">
        <v>20151016</v>
      </c>
      <c r="G8818" t="s">
        <v>7140</v>
      </c>
      <c r="H8818" t="s">
        <v>7145</v>
      </c>
      <c r="I8818">
        <v>0</v>
      </c>
      <c r="J8818" t="s">
        <v>7024</v>
      </c>
      <c r="K8818" t="s">
        <v>290</v>
      </c>
      <c r="L8818" t="s">
        <v>285</v>
      </c>
      <c r="M8818" t="str">
        <f t="shared" si="665"/>
        <v>10</v>
      </c>
      <c r="N8818" t="s">
        <v>12</v>
      </c>
    </row>
    <row r="8819" spans="1:14" x14ac:dyDescent="0.25">
      <c r="A8819">
        <v>20151023</v>
      </c>
      <c r="B8819" t="str">
        <f>"060827"</f>
        <v>060827</v>
      </c>
      <c r="C8819" t="str">
        <f>"11217"</f>
        <v>11217</v>
      </c>
      <c r="D8819" t="s">
        <v>7051</v>
      </c>
      <c r="E8819" s="3">
        <v>320</v>
      </c>
      <c r="F8819">
        <v>20151021</v>
      </c>
      <c r="G8819" t="s">
        <v>7052</v>
      </c>
      <c r="H8819" t="s">
        <v>7146</v>
      </c>
      <c r="I8819">
        <v>0</v>
      </c>
      <c r="J8819" t="s">
        <v>7024</v>
      </c>
      <c r="K8819" t="s">
        <v>95</v>
      </c>
      <c r="L8819" t="s">
        <v>285</v>
      </c>
      <c r="M8819" t="str">
        <f t="shared" si="665"/>
        <v>10</v>
      </c>
      <c r="N8819" t="s">
        <v>12</v>
      </c>
    </row>
    <row r="8820" spans="1:14" x14ac:dyDescent="0.25">
      <c r="A8820">
        <v>20151023</v>
      </c>
      <c r="B8820" t="str">
        <f>"060834"</f>
        <v>060834</v>
      </c>
      <c r="C8820" t="str">
        <f>"20912"</f>
        <v>20912</v>
      </c>
      <c r="D8820" t="s">
        <v>1317</v>
      </c>
      <c r="E8820" s="3">
        <v>1205</v>
      </c>
      <c r="F8820">
        <v>20151021</v>
      </c>
      <c r="G8820" t="s">
        <v>7147</v>
      </c>
      <c r="H8820" t="s">
        <v>7148</v>
      </c>
      <c r="I8820">
        <v>0</v>
      </c>
      <c r="J8820" t="s">
        <v>7024</v>
      </c>
      <c r="K8820" t="s">
        <v>290</v>
      </c>
      <c r="L8820" t="s">
        <v>285</v>
      </c>
      <c r="M8820" t="str">
        <f t="shared" si="665"/>
        <v>10</v>
      </c>
      <c r="N8820" t="s">
        <v>12</v>
      </c>
    </row>
    <row r="8821" spans="1:14" x14ac:dyDescent="0.25">
      <c r="A8821">
        <v>20151023</v>
      </c>
      <c r="B8821" t="str">
        <f>"060851"</f>
        <v>060851</v>
      </c>
      <c r="C8821" t="str">
        <f>"00012"</f>
        <v>00012</v>
      </c>
      <c r="D8821" t="s">
        <v>5507</v>
      </c>
      <c r="E8821" s="3">
        <v>613.09</v>
      </c>
      <c r="F8821">
        <v>20151022</v>
      </c>
      <c r="G8821" t="s">
        <v>7149</v>
      </c>
      <c r="H8821" t="s">
        <v>7150</v>
      </c>
      <c r="I8821">
        <v>0</v>
      </c>
      <c r="J8821" t="s">
        <v>7024</v>
      </c>
      <c r="K8821" t="s">
        <v>290</v>
      </c>
      <c r="L8821" t="s">
        <v>285</v>
      </c>
      <c r="M8821" t="str">
        <f t="shared" si="665"/>
        <v>10</v>
      </c>
      <c r="N8821" t="s">
        <v>12</v>
      </c>
    </row>
    <row r="8822" spans="1:14" x14ac:dyDescent="0.25">
      <c r="A8822">
        <v>20151023</v>
      </c>
      <c r="B8822" t="str">
        <f>"060857"</f>
        <v>060857</v>
      </c>
      <c r="C8822" t="str">
        <f>"39116"</f>
        <v>39116</v>
      </c>
      <c r="D8822" t="s">
        <v>7151</v>
      </c>
      <c r="E8822" s="3">
        <v>3000</v>
      </c>
      <c r="F8822">
        <v>20151021</v>
      </c>
      <c r="G8822" t="s">
        <v>7044</v>
      </c>
      <c r="H8822" t="s">
        <v>7152</v>
      </c>
      <c r="I8822">
        <v>0</v>
      </c>
      <c r="J8822" t="s">
        <v>7024</v>
      </c>
      <c r="K8822" t="s">
        <v>290</v>
      </c>
      <c r="L8822" t="s">
        <v>285</v>
      </c>
      <c r="M8822" t="str">
        <f t="shared" si="665"/>
        <v>10</v>
      </c>
      <c r="N8822" t="s">
        <v>12</v>
      </c>
    </row>
    <row r="8823" spans="1:14" x14ac:dyDescent="0.25">
      <c r="A8823">
        <v>20151023</v>
      </c>
      <c r="B8823" t="str">
        <f>"060860"</f>
        <v>060860</v>
      </c>
      <c r="C8823" t="str">
        <f>"43853"</f>
        <v>43853</v>
      </c>
      <c r="D8823" t="s">
        <v>535</v>
      </c>
      <c r="E8823" s="3">
        <v>434</v>
      </c>
      <c r="F8823">
        <v>20151021</v>
      </c>
      <c r="G8823" t="s">
        <v>7147</v>
      </c>
      <c r="H8823" t="s">
        <v>537</v>
      </c>
      <c r="I8823">
        <v>0</v>
      </c>
      <c r="J8823" t="s">
        <v>7024</v>
      </c>
      <c r="K8823" t="s">
        <v>290</v>
      </c>
      <c r="L8823" t="s">
        <v>285</v>
      </c>
      <c r="M8823" t="str">
        <f t="shared" si="665"/>
        <v>10</v>
      </c>
      <c r="N8823" t="s">
        <v>12</v>
      </c>
    </row>
    <row r="8824" spans="1:14" x14ac:dyDescent="0.25">
      <c r="A8824">
        <v>20151023</v>
      </c>
      <c r="B8824" t="str">
        <f>"060861"</f>
        <v>060861</v>
      </c>
      <c r="C8824" t="str">
        <f>"45093"</f>
        <v>45093</v>
      </c>
      <c r="D8824" t="s">
        <v>538</v>
      </c>
      <c r="E8824" s="3">
        <v>151.97999999999999</v>
      </c>
      <c r="F8824">
        <v>20151021</v>
      </c>
      <c r="G8824" t="s">
        <v>7086</v>
      </c>
      <c r="H8824" t="s">
        <v>7153</v>
      </c>
      <c r="I8824">
        <v>0</v>
      </c>
      <c r="J8824" t="s">
        <v>7024</v>
      </c>
      <c r="K8824" t="s">
        <v>290</v>
      </c>
      <c r="L8824" t="s">
        <v>285</v>
      </c>
      <c r="M8824" t="str">
        <f t="shared" si="665"/>
        <v>10</v>
      </c>
      <c r="N8824" t="s">
        <v>12</v>
      </c>
    </row>
    <row r="8825" spans="1:14" x14ac:dyDescent="0.25">
      <c r="A8825">
        <v>20151023</v>
      </c>
      <c r="B8825" t="str">
        <f>"060873"</f>
        <v>060873</v>
      </c>
      <c r="C8825" t="str">
        <f>"56564"</f>
        <v>56564</v>
      </c>
      <c r="D8825" t="s">
        <v>1578</v>
      </c>
      <c r="E8825" s="3">
        <v>100.04</v>
      </c>
      <c r="F8825">
        <v>20151021</v>
      </c>
      <c r="G8825" t="s">
        <v>7094</v>
      </c>
      <c r="H8825" t="s">
        <v>7154</v>
      </c>
      <c r="I8825">
        <v>0</v>
      </c>
      <c r="J8825" t="s">
        <v>7024</v>
      </c>
      <c r="K8825" t="s">
        <v>1643</v>
      </c>
      <c r="L8825" t="s">
        <v>285</v>
      </c>
      <c r="M8825" t="str">
        <f t="shared" si="665"/>
        <v>10</v>
      </c>
      <c r="N8825" t="s">
        <v>12</v>
      </c>
    </row>
    <row r="8826" spans="1:14" x14ac:dyDescent="0.25">
      <c r="A8826">
        <v>20151023</v>
      </c>
      <c r="B8826" t="str">
        <f>"060873"</f>
        <v>060873</v>
      </c>
      <c r="C8826" t="str">
        <f>"56564"</f>
        <v>56564</v>
      </c>
      <c r="D8826" t="s">
        <v>1578</v>
      </c>
      <c r="E8826" s="3">
        <v>90</v>
      </c>
      <c r="F8826">
        <v>20151021</v>
      </c>
      <c r="G8826" t="s">
        <v>7155</v>
      </c>
      <c r="H8826" t="s">
        <v>7156</v>
      </c>
      <c r="I8826">
        <v>0</v>
      </c>
      <c r="J8826" t="s">
        <v>7024</v>
      </c>
      <c r="K8826" t="s">
        <v>290</v>
      </c>
      <c r="L8826" t="s">
        <v>285</v>
      </c>
      <c r="M8826" t="str">
        <f t="shared" si="665"/>
        <v>10</v>
      </c>
      <c r="N8826" t="s">
        <v>12</v>
      </c>
    </row>
    <row r="8827" spans="1:14" x14ac:dyDescent="0.25">
      <c r="A8827">
        <v>20151023</v>
      </c>
      <c r="B8827" t="str">
        <f>"060877"</f>
        <v>060877</v>
      </c>
      <c r="C8827" t="str">
        <f>"58202"</f>
        <v>58202</v>
      </c>
      <c r="D8827" t="s">
        <v>2695</v>
      </c>
      <c r="E8827" s="3">
        <v>13</v>
      </c>
      <c r="F8827">
        <v>20151022</v>
      </c>
      <c r="G8827" t="s">
        <v>7082</v>
      </c>
      <c r="H8827" t="s">
        <v>7157</v>
      </c>
      <c r="I8827">
        <v>0</v>
      </c>
      <c r="J8827" t="s">
        <v>7024</v>
      </c>
      <c r="K8827" t="s">
        <v>95</v>
      </c>
      <c r="L8827" t="s">
        <v>285</v>
      </c>
      <c r="M8827" t="str">
        <f t="shared" si="665"/>
        <v>10</v>
      </c>
      <c r="N8827" t="s">
        <v>12</v>
      </c>
    </row>
    <row r="8828" spans="1:14" x14ac:dyDescent="0.25">
      <c r="A8828">
        <v>20151023</v>
      </c>
      <c r="B8828" t="str">
        <f>"060877"</f>
        <v>060877</v>
      </c>
      <c r="C8828" t="str">
        <f>"58202"</f>
        <v>58202</v>
      </c>
      <c r="D8828" t="s">
        <v>2695</v>
      </c>
      <c r="E8828" s="3">
        <v>25</v>
      </c>
      <c r="F8828">
        <v>20151022</v>
      </c>
      <c r="G8828" t="s">
        <v>7082</v>
      </c>
      <c r="H8828" t="s">
        <v>7158</v>
      </c>
      <c r="I8828">
        <v>0</v>
      </c>
      <c r="J8828" t="s">
        <v>7024</v>
      </c>
      <c r="K8828" t="s">
        <v>95</v>
      </c>
      <c r="L8828" t="s">
        <v>285</v>
      </c>
      <c r="M8828" t="str">
        <f t="shared" si="665"/>
        <v>10</v>
      </c>
      <c r="N8828" t="s">
        <v>12</v>
      </c>
    </row>
    <row r="8829" spans="1:14" x14ac:dyDescent="0.25">
      <c r="A8829">
        <v>20151023</v>
      </c>
      <c r="B8829" t="str">
        <f>"060877"</f>
        <v>060877</v>
      </c>
      <c r="C8829" t="str">
        <f>"58202"</f>
        <v>58202</v>
      </c>
      <c r="D8829" t="s">
        <v>2695</v>
      </c>
      <c r="E8829" s="3">
        <v>26</v>
      </c>
      <c r="F8829">
        <v>20151022</v>
      </c>
      <c r="G8829" t="s">
        <v>7082</v>
      </c>
      <c r="H8829" t="s">
        <v>2504</v>
      </c>
      <c r="I8829">
        <v>0</v>
      </c>
      <c r="J8829" t="s">
        <v>7024</v>
      </c>
      <c r="K8829" t="s">
        <v>95</v>
      </c>
      <c r="L8829" t="s">
        <v>285</v>
      </c>
      <c r="M8829" t="str">
        <f t="shared" si="665"/>
        <v>10</v>
      </c>
      <c r="N8829" t="s">
        <v>12</v>
      </c>
    </row>
    <row r="8830" spans="1:14" x14ac:dyDescent="0.25">
      <c r="A8830">
        <v>20151023</v>
      </c>
      <c r="B8830" t="str">
        <f>"060877"</f>
        <v>060877</v>
      </c>
      <c r="C8830" t="str">
        <f>"58202"</f>
        <v>58202</v>
      </c>
      <c r="D8830" t="s">
        <v>2695</v>
      </c>
      <c r="E8830" s="3">
        <v>40</v>
      </c>
      <c r="F8830">
        <v>20151022</v>
      </c>
      <c r="G8830" t="s">
        <v>7082</v>
      </c>
      <c r="H8830" t="s">
        <v>7159</v>
      </c>
      <c r="I8830">
        <v>0</v>
      </c>
      <c r="J8830" t="s">
        <v>7024</v>
      </c>
      <c r="K8830" t="s">
        <v>95</v>
      </c>
      <c r="L8830" t="s">
        <v>285</v>
      </c>
      <c r="M8830" t="str">
        <f t="shared" si="665"/>
        <v>10</v>
      </c>
      <c r="N8830" t="s">
        <v>12</v>
      </c>
    </row>
    <row r="8831" spans="1:14" x14ac:dyDescent="0.25">
      <c r="A8831">
        <v>20151023</v>
      </c>
      <c r="B8831" t="str">
        <f>"060891"</f>
        <v>060891</v>
      </c>
      <c r="C8831" t="str">
        <f>"65766"</f>
        <v>65766</v>
      </c>
      <c r="D8831" t="s">
        <v>7160</v>
      </c>
      <c r="E8831" s="3">
        <v>2497.7600000000002</v>
      </c>
      <c r="F8831">
        <v>20151022</v>
      </c>
      <c r="G8831" t="s">
        <v>7161</v>
      </c>
      <c r="H8831" t="s">
        <v>7162</v>
      </c>
      <c r="I8831">
        <v>0</v>
      </c>
      <c r="J8831" t="s">
        <v>7024</v>
      </c>
      <c r="K8831" t="s">
        <v>95</v>
      </c>
      <c r="L8831" t="s">
        <v>285</v>
      </c>
      <c r="M8831" t="str">
        <f t="shared" si="665"/>
        <v>10</v>
      </c>
      <c r="N8831" t="s">
        <v>12</v>
      </c>
    </row>
    <row r="8832" spans="1:14" x14ac:dyDescent="0.25">
      <c r="A8832">
        <v>20151023</v>
      </c>
      <c r="B8832" t="str">
        <f>"060894"</f>
        <v>060894</v>
      </c>
      <c r="C8832" t="str">
        <f>"08907"</f>
        <v>08907</v>
      </c>
      <c r="D8832" t="s">
        <v>7163</v>
      </c>
      <c r="E8832" s="3">
        <v>210</v>
      </c>
      <c r="F8832">
        <v>20151022</v>
      </c>
      <c r="G8832" t="s">
        <v>7119</v>
      </c>
      <c r="H8832" t="s">
        <v>7164</v>
      </c>
      <c r="I8832">
        <v>0</v>
      </c>
      <c r="J8832" t="s">
        <v>7024</v>
      </c>
      <c r="K8832" t="s">
        <v>7068</v>
      </c>
      <c r="L8832" t="s">
        <v>285</v>
      </c>
      <c r="M8832" t="str">
        <f t="shared" si="665"/>
        <v>10</v>
      </c>
      <c r="N8832" t="s">
        <v>12</v>
      </c>
    </row>
    <row r="8833" spans="1:14" x14ac:dyDescent="0.25">
      <c r="A8833">
        <v>20151023</v>
      </c>
      <c r="B8833" t="str">
        <f>"060894"</f>
        <v>060894</v>
      </c>
      <c r="C8833" t="str">
        <f>"08907"</f>
        <v>08907</v>
      </c>
      <c r="D8833" t="s">
        <v>7163</v>
      </c>
      <c r="E8833" s="3">
        <v>203</v>
      </c>
      <c r="F8833">
        <v>20151022</v>
      </c>
      <c r="G8833" t="s">
        <v>7066</v>
      </c>
      <c r="H8833" t="s">
        <v>7164</v>
      </c>
      <c r="I8833">
        <v>0</v>
      </c>
      <c r="J8833" t="s">
        <v>7024</v>
      </c>
      <c r="K8833" t="s">
        <v>7068</v>
      </c>
      <c r="L8833" t="s">
        <v>285</v>
      </c>
      <c r="M8833" t="str">
        <f t="shared" si="665"/>
        <v>10</v>
      </c>
      <c r="N8833" t="s">
        <v>12</v>
      </c>
    </row>
    <row r="8834" spans="1:14" x14ac:dyDescent="0.25">
      <c r="A8834">
        <v>20151023</v>
      </c>
      <c r="B8834" t="str">
        <f>"060901"</f>
        <v>060901</v>
      </c>
      <c r="C8834" t="str">
        <f>"79806"</f>
        <v>79806</v>
      </c>
      <c r="D8834" t="s">
        <v>7165</v>
      </c>
      <c r="E8834" s="3">
        <v>4225</v>
      </c>
      <c r="F8834">
        <v>20151022</v>
      </c>
      <c r="G8834" t="s">
        <v>7041</v>
      </c>
      <c r="H8834" t="s">
        <v>7166</v>
      </c>
      <c r="I8834">
        <v>0</v>
      </c>
      <c r="J8834" t="s">
        <v>7024</v>
      </c>
      <c r="K8834" t="s">
        <v>290</v>
      </c>
      <c r="L8834" t="s">
        <v>285</v>
      </c>
      <c r="M8834" t="str">
        <f t="shared" si="665"/>
        <v>10</v>
      </c>
      <c r="N8834" t="s">
        <v>12</v>
      </c>
    </row>
    <row r="8835" spans="1:14" x14ac:dyDescent="0.25">
      <c r="A8835">
        <v>20151023</v>
      </c>
      <c r="B8835" t="str">
        <f>"060904"</f>
        <v>060904</v>
      </c>
      <c r="C8835" t="str">
        <f>"81749"</f>
        <v>81749</v>
      </c>
      <c r="D8835" t="s">
        <v>7167</v>
      </c>
      <c r="E8835" s="3">
        <v>856.8</v>
      </c>
      <c r="F8835">
        <v>20151022</v>
      </c>
      <c r="G8835" t="s">
        <v>7049</v>
      </c>
      <c r="H8835" t="s">
        <v>7168</v>
      </c>
      <c r="I8835">
        <v>0</v>
      </c>
      <c r="J8835" t="s">
        <v>7024</v>
      </c>
      <c r="K8835" t="s">
        <v>33</v>
      </c>
      <c r="L8835" t="s">
        <v>285</v>
      </c>
      <c r="M8835" t="str">
        <f t="shared" si="665"/>
        <v>10</v>
      </c>
      <c r="N8835" t="s">
        <v>12</v>
      </c>
    </row>
    <row r="8836" spans="1:14" x14ac:dyDescent="0.25">
      <c r="A8836">
        <v>20151029</v>
      </c>
      <c r="B8836" t="str">
        <f>"060915"</f>
        <v>060915</v>
      </c>
      <c r="C8836" t="str">
        <f>"08788"</f>
        <v>08788</v>
      </c>
      <c r="D8836" t="s">
        <v>302</v>
      </c>
      <c r="E8836" s="3">
        <v>1827.5</v>
      </c>
      <c r="F8836">
        <v>20151027</v>
      </c>
      <c r="G8836" t="s">
        <v>7032</v>
      </c>
      <c r="H8836" t="s">
        <v>7169</v>
      </c>
      <c r="I8836">
        <v>0</v>
      </c>
      <c r="J8836" t="s">
        <v>7024</v>
      </c>
      <c r="K8836" t="s">
        <v>235</v>
      </c>
      <c r="L8836" t="s">
        <v>285</v>
      </c>
      <c r="M8836" t="str">
        <f t="shared" si="665"/>
        <v>10</v>
      </c>
      <c r="N8836" t="s">
        <v>12</v>
      </c>
    </row>
    <row r="8837" spans="1:14" x14ac:dyDescent="0.25">
      <c r="A8837">
        <v>20151029</v>
      </c>
      <c r="B8837" t="str">
        <f>"060915"</f>
        <v>060915</v>
      </c>
      <c r="C8837" t="str">
        <f>"08788"</f>
        <v>08788</v>
      </c>
      <c r="D8837" t="s">
        <v>302</v>
      </c>
      <c r="E8837" s="3">
        <v>582</v>
      </c>
      <c r="F8837">
        <v>20151027</v>
      </c>
      <c r="G8837" t="s">
        <v>7170</v>
      </c>
      <c r="H8837" t="s">
        <v>7171</v>
      </c>
      <c r="I8837">
        <v>0</v>
      </c>
      <c r="J8837" t="s">
        <v>7024</v>
      </c>
      <c r="K8837" t="s">
        <v>290</v>
      </c>
      <c r="L8837" t="s">
        <v>285</v>
      </c>
      <c r="M8837" t="str">
        <f t="shared" si="665"/>
        <v>10</v>
      </c>
      <c r="N8837" t="s">
        <v>12</v>
      </c>
    </row>
    <row r="8838" spans="1:14" x14ac:dyDescent="0.25">
      <c r="A8838">
        <v>20151029</v>
      </c>
      <c r="B8838" t="str">
        <f>"060915"</f>
        <v>060915</v>
      </c>
      <c r="C8838" t="str">
        <f>"08788"</f>
        <v>08788</v>
      </c>
      <c r="D8838" t="s">
        <v>302</v>
      </c>
      <c r="E8838" s="3">
        <v>382.05</v>
      </c>
      <c r="F8838">
        <v>20151027</v>
      </c>
      <c r="G8838" t="s">
        <v>7170</v>
      </c>
      <c r="H8838" t="s">
        <v>554</v>
      </c>
      <c r="I8838">
        <v>0</v>
      </c>
      <c r="J8838" t="s">
        <v>7024</v>
      </c>
      <c r="K8838" t="s">
        <v>290</v>
      </c>
      <c r="L8838" t="s">
        <v>285</v>
      </c>
      <c r="M8838" t="str">
        <f t="shared" si="665"/>
        <v>10</v>
      </c>
      <c r="N8838" t="s">
        <v>12</v>
      </c>
    </row>
    <row r="8839" spans="1:14" x14ac:dyDescent="0.25">
      <c r="A8839">
        <v>20151029</v>
      </c>
      <c r="B8839" t="str">
        <f>"060915"</f>
        <v>060915</v>
      </c>
      <c r="C8839" t="str">
        <f>"08788"</f>
        <v>08788</v>
      </c>
      <c r="D8839" t="s">
        <v>302</v>
      </c>
      <c r="E8839" s="3">
        <v>1444</v>
      </c>
      <c r="F8839">
        <v>20151027</v>
      </c>
      <c r="G8839" t="s">
        <v>7170</v>
      </c>
      <c r="H8839" t="s">
        <v>7172</v>
      </c>
      <c r="I8839">
        <v>0</v>
      </c>
      <c r="J8839" t="s">
        <v>7024</v>
      </c>
      <c r="K8839" t="s">
        <v>290</v>
      </c>
      <c r="L8839" t="s">
        <v>285</v>
      </c>
      <c r="M8839" t="str">
        <f t="shared" si="665"/>
        <v>10</v>
      </c>
      <c r="N8839" t="s">
        <v>12</v>
      </c>
    </row>
    <row r="8840" spans="1:14" x14ac:dyDescent="0.25">
      <c r="A8840">
        <v>20151029</v>
      </c>
      <c r="B8840" t="str">
        <f>"060915"</f>
        <v>060915</v>
      </c>
      <c r="C8840" t="str">
        <f>"08788"</f>
        <v>08788</v>
      </c>
      <c r="D8840" t="s">
        <v>302</v>
      </c>
      <c r="E8840" s="3">
        <v>1561</v>
      </c>
      <c r="F8840">
        <v>20151028</v>
      </c>
      <c r="G8840" t="s">
        <v>7170</v>
      </c>
      <c r="H8840" t="s">
        <v>7173</v>
      </c>
      <c r="I8840">
        <v>0</v>
      </c>
      <c r="J8840" t="s">
        <v>7024</v>
      </c>
      <c r="K8840" t="s">
        <v>290</v>
      </c>
      <c r="L8840" t="s">
        <v>285</v>
      </c>
      <c r="M8840" t="str">
        <f t="shared" si="665"/>
        <v>10</v>
      </c>
      <c r="N8840" t="s">
        <v>12</v>
      </c>
    </row>
    <row r="8841" spans="1:14" x14ac:dyDescent="0.25">
      <c r="A8841">
        <v>20151029</v>
      </c>
      <c r="B8841" t="str">
        <f>"060916"</f>
        <v>060916</v>
      </c>
      <c r="C8841" t="str">
        <f>"19073"</f>
        <v>19073</v>
      </c>
      <c r="D8841" t="s">
        <v>748</v>
      </c>
      <c r="E8841" s="3">
        <v>80</v>
      </c>
      <c r="F8841">
        <v>20151027</v>
      </c>
      <c r="G8841" t="s">
        <v>7119</v>
      </c>
      <c r="H8841" t="s">
        <v>7174</v>
      </c>
      <c r="I8841">
        <v>0</v>
      </c>
      <c r="J8841" t="s">
        <v>7024</v>
      </c>
      <c r="K8841" t="s">
        <v>7068</v>
      </c>
      <c r="L8841" t="s">
        <v>285</v>
      </c>
      <c r="M8841" t="str">
        <f t="shared" ref="M8841:M8874" si="666">"10"</f>
        <v>10</v>
      </c>
      <c r="N8841" t="s">
        <v>12</v>
      </c>
    </row>
    <row r="8842" spans="1:14" x14ac:dyDescent="0.25">
      <c r="A8842">
        <v>20151029</v>
      </c>
      <c r="B8842" t="str">
        <f>"060919"</f>
        <v>060919</v>
      </c>
      <c r="C8842" t="str">
        <f>"19291"</f>
        <v>19291</v>
      </c>
      <c r="D8842" t="s">
        <v>598</v>
      </c>
      <c r="E8842" s="3">
        <v>33.85</v>
      </c>
      <c r="F8842">
        <v>20151028</v>
      </c>
      <c r="G8842" t="s">
        <v>7037</v>
      </c>
      <c r="H8842" t="s">
        <v>7038</v>
      </c>
      <c r="I8842">
        <v>0</v>
      </c>
      <c r="J8842" t="s">
        <v>7024</v>
      </c>
      <c r="K8842" t="s">
        <v>290</v>
      </c>
      <c r="L8842" t="s">
        <v>285</v>
      </c>
      <c r="M8842" t="str">
        <f t="shared" si="666"/>
        <v>10</v>
      </c>
      <c r="N8842" t="s">
        <v>12</v>
      </c>
    </row>
    <row r="8843" spans="1:14" x14ac:dyDescent="0.25">
      <c r="A8843">
        <v>20151029</v>
      </c>
      <c r="B8843" t="str">
        <f>"060923"</f>
        <v>060923</v>
      </c>
      <c r="C8843" t="str">
        <f>"51346"</f>
        <v>51346</v>
      </c>
      <c r="D8843" t="s">
        <v>379</v>
      </c>
      <c r="E8843" s="3">
        <v>132</v>
      </c>
      <c r="F8843">
        <v>20151027</v>
      </c>
      <c r="G8843" t="s">
        <v>7175</v>
      </c>
      <c r="H8843" t="s">
        <v>7176</v>
      </c>
      <c r="I8843">
        <v>0</v>
      </c>
      <c r="J8843" t="s">
        <v>7024</v>
      </c>
      <c r="K8843" t="s">
        <v>33</v>
      </c>
      <c r="L8843" t="s">
        <v>285</v>
      </c>
      <c r="M8843" t="str">
        <f t="shared" si="666"/>
        <v>10</v>
      </c>
      <c r="N8843" t="s">
        <v>12</v>
      </c>
    </row>
    <row r="8844" spans="1:14" x14ac:dyDescent="0.25">
      <c r="A8844">
        <v>20151029</v>
      </c>
      <c r="B8844" t="str">
        <f>"060923"</f>
        <v>060923</v>
      </c>
      <c r="C8844" t="str">
        <f>"51346"</f>
        <v>51346</v>
      </c>
      <c r="D8844" t="s">
        <v>379</v>
      </c>
      <c r="E8844" s="3">
        <v>60.5</v>
      </c>
      <c r="F8844">
        <v>20151027</v>
      </c>
      <c r="G8844" t="s">
        <v>7082</v>
      </c>
      <c r="H8844" t="s">
        <v>7159</v>
      </c>
      <c r="I8844">
        <v>0</v>
      </c>
      <c r="J8844" t="s">
        <v>7024</v>
      </c>
      <c r="K8844" t="s">
        <v>95</v>
      </c>
      <c r="L8844" t="s">
        <v>285</v>
      </c>
      <c r="M8844" t="str">
        <f t="shared" si="666"/>
        <v>10</v>
      </c>
      <c r="N8844" t="s">
        <v>12</v>
      </c>
    </row>
    <row r="8845" spans="1:14" x14ac:dyDescent="0.25">
      <c r="A8845">
        <v>20151029</v>
      </c>
      <c r="B8845" t="str">
        <f>"060923"</f>
        <v>060923</v>
      </c>
      <c r="C8845" t="str">
        <f>"51346"</f>
        <v>51346</v>
      </c>
      <c r="D8845" t="s">
        <v>379</v>
      </c>
      <c r="E8845" s="3">
        <v>960</v>
      </c>
      <c r="F8845">
        <v>20151027</v>
      </c>
      <c r="G8845" t="s">
        <v>7026</v>
      </c>
      <c r="H8845" t="s">
        <v>7177</v>
      </c>
      <c r="I8845">
        <v>0</v>
      </c>
      <c r="J8845" t="s">
        <v>7024</v>
      </c>
      <c r="K8845" t="s">
        <v>1643</v>
      </c>
      <c r="L8845" t="s">
        <v>285</v>
      </c>
      <c r="M8845" t="str">
        <f t="shared" si="666"/>
        <v>10</v>
      </c>
      <c r="N8845" t="s">
        <v>12</v>
      </c>
    </row>
    <row r="8846" spans="1:14" x14ac:dyDescent="0.25">
      <c r="A8846">
        <v>20151029</v>
      </c>
      <c r="B8846" t="str">
        <f>"060926"</f>
        <v>060926</v>
      </c>
      <c r="C8846" t="str">
        <f>"23754"</f>
        <v>23754</v>
      </c>
      <c r="D8846" t="s">
        <v>794</v>
      </c>
      <c r="E8846" s="3">
        <v>542.25</v>
      </c>
      <c r="F8846">
        <v>20151027</v>
      </c>
      <c r="G8846" t="s">
        <v>7037</v>
      </c>
      <c r="H8846" t="s">
        <v>7178</v>
      </c>
      <c r="I8846">
        <v>0</v>
      </c>
      <c r="J8846" t="s">
        <v>7024</v>
      </c>
      <c r="K8846" t="s">
        <v>290</v>
      </c>
      <c r="L8846" t="s">
        <v>285</v>
      </c>
      <c r="M8846" t="str">
        <f t="shared" si="666"/>
        <v>10</v>
      </c>
      <c r="N8846" t="s">
        <v>12</v>
      </c>
    </row>
    <row r="8847" spans="1:14" x14ac:dyDescent="0.25">
      <c r="A8847">
        <v>20151029</v>
      </c>
      <c r="B8847" t="str">
        <f>"060928"</f>
        <v>060928</v>
      </c>
      <c r="C8847" t="str">
        <f>"24955"</f>
        <v>24955</v>
      </c>
      <c r="D8847" t="s">
        <v>7128</v>
      </c>
      <c r="E8847" s="3">
        <v>340</v>
      </c>
      <c r="F8847">
        <v>20151028</v>
      </c>
      <c r="G8847" t="s">
        <v>7179</v>
      </c>
      <c r="H8847" t="s">
        <v>7180</v>
      </c>
      <c r="I8847">
        <v>0</v>
      </c>
      <c r="J8847" t="s">
        <v>7024</v>
      </c>
      <c r="K8847" t="s">
        <v>95</v>
      </c>
      <c r="L8847" t="s">
        <v>285</v>
      </c>
      <c r="M8847" t="str">
        <f t="shared" si="666"/>
        <v>10</v>
      </c>
      <c r="N8847" t="s">
        <v>12</v>
      </c>
    </row>
    <row r="8848" spans="1:14" x14ac:dyDescent="0.25">
      <c r="A8848">
        <v>20151029</v>
      </c>
      <c r="B8848" t="str">
        <f>"060929"</f>
        <v>060929</v>
      </c>
      <c r="C8848" t="str">
        <f>"25100"</f>
        <v>25100</v>
      </c>
      <c r="D8848" t="s">
        <v>702</v>
      </c>
      <c r="E8848" s="3">
        <v>80</v>
      </c>
      <c r="F8848">
        <v>20151028</v>
      </c>
      <c r="G8848" t="s">
        <v>7119</v>
      </c>
      <c r="H8848" t="s">
        <v>7174</v>
      </c>
      <c r="I8848">
        <v>0</v>
      </c>
      <c r="J8848" t="s">
        <v>7024</v>
      </c>
      <c r="K8848" t="s">
        <v>7068</v>
      </c>
      <c r="L8848" t="s">
        <v>285</v>
      </c>
      <c r="M8848" t="str">
        <f t="shared" si="666"/>
        <v>10</v>
      </c>
      <c r="N8848" t="s">
        <v>12</v>
      </c>
    </row>
    <row r="8849" spans="1:14" x14ac:dyDescent="0.25">
      <c r="A8849">
        <v>20151029</v>
      </c>
      <c r="B8849" t="str">
        <f>"060930"</f>
        <v>060930</v>
      </c>
      <c r="C8849" t="str">
        <f>"25227"</f>
        <v>25227</v>
      </c>
      <c r="D8849" t="s">
        <v>7132</v>
      </c>
      <c r="E8849" s="3">
        <v>80</v>
      </c>
      <c r="F8849">
        <v>20151028</v>
      </c>
      <c r="G8849" t="s">
        <v>7066</v>
      </c>
      <c r="H8849" t="s">
        <v>7174</v>
      </c>
      <c r="I8849">
        <v>0</v>
      </c>
      <c r="J8849" t="s">
        <v>7024</v>
      </c>
      <c r="K8849" t="s">
        <v>7068</v>
      </c>
      <c r="L8849" t="s">
        <v>285</v>
      </c>
      <c r="M8849" t="str">
        <f t="shared" si="666"/>
        <v>10</v>
      </c>
      <c r="N8849" t="s">
        <v>12</v>
      </c>
    </row>
    <row r="8850" spans="1:14" x14ac:dyDescent="0.25">
      <c r="A8850">
        <v>20151029</v>
      </c>
      <c r="B8850" t="str">
        <f>"060933"</f>
        <v>060933</v>
      </c>
      <c r="C8850" t="str">
        <f>"00012"</f>
        <v>00012</v>
      </c>
      <c r="D8850" t="s">
        <v>5507</v>
      </c>
      <c r="E8850" s="3">
        <v>1113.45</v>
      </c>
      <c r="F8850">
        <v>20151028</v>
      </c>
      <c r="G8850" t="s">
        <v>7149</v>
      </c>
      <c r="H8850" t="s">
        <v>7181</v>
      </c>
      <c r="I8850">
        <v>0</v>
      </c>
      <c r="J8850" t="s">
        <v>7024</v>
      </c>
      <c r="K8850" t="s">
        <v>290</v>
      </c>
      <c r="L8850" t="s">
        <v>285</v>
      </c>
      <c r="M8850" t="str">
        <f t="shared" si="666"/>
        <v>10</v>
      </c>
      <c r="N8850" t="s">
        <v>12</v>
      </c>
    </row>
    <row r="8851" spans="1:14" x14ac:dyDescent="0.25">
      <c r="A8851">
        <v>20151029</v>
      </c>
      <c r="B8851" t="str">
        <f>"060935"</f>
        <v>060935</v>
      </c>
      <c r="C8851" t="str">
        <f>"32920"</f>
        <v>32920</v>
      </c>
      <c r="D8851" t="s">
        <v>7182</v>
      </c>
      <c r="E8851" s="3">
        <v>550</v>
      </c>
      <c r="F8851">
        <v>20151028</v>
      </c>
      <c r="G8851" t="s">
        <v>7026</v>
      </c>
      <c r="H8851" t="s">
        <v>7183</v>
      </c>
      <c r="I8851">
        <v>0</v>
      </c>
      <c r="J8851" t="s">
        <v>7024</v>
      </c>
      <c r="K8851" t="s">
        <v>1643</v>
      </c>
      <c r="L8851" t="s">
        <v>285</v>
      </c>
      <c r="M8851" t="str">
        <f t="shared" si="666"/>
        <v>10</v>
      </c>
      <c r="N8851" t="s">
        <v>12</v>
      </c>
    </row>
    <row r="8852" spans="1:14" x14ac:dyDescent="0.25">
      <c r="A8852">
        <v>20151029</v>
      </c>
      <c r="B8852" t="str">
        <f>"060940"</f>
        <v>060940</v>
      </c>
      <c r="C8852" t="str">
        <f>"39268"</f>
        <v>39268</v>
      </c>
      <c r="D8852" t="s">
        <v>870</v>
      </c>
      <c r="E8852" s="3">
        <v>80</v>
      </c>
      <c r="F8852">
        <v>20151028</v>
      </c>
      <c r="G8852" t="s">
        <v>7119</v>
      </c>
      <c r="H8852" t="s">
        <v>7121</v>
      </c>
      <c r="I8852">
        <v>0</v>
      </c>
      <c r="J8852" t="s">
        <v>7024</v>
      </c>
      <c r="K8852" t="s">
        <v>7068</v>
      </c>
      <c r="L8852" t="s">
        <v>285</v>
      </c>
      <c r="M8852" t="str">
        <f t="shared" si="666"/>
        <v>10</v>
      </c>
      <c r="N8852" t="s">
        <v>12</v>
      </c>
    </row>
    <row r="8853" spans="1:14" x14ac:dyDescent="0.25">
      <c r="A8853">
        <v>20151029</v>
      </c>
      <c r="B8853" t="str">
        <f>"060943"</f>
        <v>060943</v>
      </c>
      <c r="C8853" t="str">
        <f>"39422"</f>
        <v>39422</v>
      </c>
      <c r="D8853" t="s">
        <v>1141</v>
      </c>
      <c r="E8853" s="3">
        <v>27.24</v>
      </c>
      <c r="F8853">
        <v>20151028</v>
      </c>
      <c r="G8853" t="s">
        <v>7037</v>
      </c>
      <c r="H8853" t="s">
        <v>7038</v>
      </c>
      <c r="I8853">
        <v>0</v>
      </c>
      <c r="J8853" t="s">
        <v>7024</v>
      </c>
      <c r="K8853" t="s">
        <v>290</v>
      </c>
      <c r="L8853" t="s">
        <v>285</v>
      </c>
      <c r="M8853" t="str">
        <f t="shared" si="666"/>
        <v>10</v>
      </c>
      <c r="N8853" t="s">
        <v>12</v>
      </c>
    </row>
    <row r="8854" spans="1:14" x14ac:dyDescent="0.25">
      <c r="A8854">
        <v>20151029</v>
      </c>
      <c r="B8854" t="str">
        <f>"060951"</f>
        <v>060951</v>
      </c>
      <c r="C8854" t="str">
        <f>"49445"</f>
        <v>49445</v>
      </c>
      <c r="D8854" t="s">
        <v>575</v>
      </c>
      <c r="E8854" s="3">
        <v>238</v>
      </c>
      <c r="F8854">
        <v>20151028</v>
      </c>
      <c r="G8854" t="s">
        <v>7037</v>
      </c>
      <c r="H8854" t="s">
        <v>7184</v>
      </c>
      <c r="I8854">
        <v>0</v>
      </c>
      <c r="J8854" t="s">
        <v>7024</v>
      </c>
      <c r="K8854" t="s">
        <v>290</v>
      </c>
      <c r="L8854" t="s">
        <v>285</v>
      </c>
      <c r="M8854" t="str">
        <f t="shared" si="666"/>
        <v>10</v>
      </c>
      <c r="N8854" t="s">
        <v>12</v>
      </c>
    </row>
    <row r="8855" spans="1:14" x14ac:dyDescent="0.25">
      <c r="A8855">
        <v>20151029</v>
      </c>
      <c r="B8855" t="str">
        <f>"060951"</f>
        <v>060951</v>
      </c>
      <c r="C8855" t="str">
        <f>"49445"</f>
        <v>49445</v>
      </c>
      <c r="D8855" t="s">
        <v>575</v>
      </c>
      <c r="E8855" s="3">
        <v>720</v>
      </c>
      <c r="F8855">
        <v>20151028</v>
      </c>
      <c r="G8855" t="s">
        <v>7147</v>
      </c>
      <c r="H8855" t="s">
        <v>576</v>
      </c>
      <c r="I8855">
        <v>0</v>
      </c>
      <c r="J8855" t="s">
        <v>7024</v>
      </c>
      <c r="K8855" t="s">
        <v>290</v>
      </c>
      <c r="L8855" t="s">
        <v>285</v>
      </c>
      <c r="M8855" t="str">
        <f t="shared" si="666"/>
        <v>10</v>
      </c>
      <c r="N8855" t="s">
        <v>12</v>
      </c>
    </row>
    <row r="8856" spans="1:14" x14ac:dyDescent="0.25">
      <c r="A8856">
        <v>20151029</v>
      </c>
      <c r="B8856" t="str">
        <f>"060952"</f>
        <v>060952</v>
      </c>
      <c r="C8856" t="str">
        <f>"49748"</f>
        <v>49748</v>
      </c>
      <c r="D8856" t="s">
        <v>1885</v>
      </c>
      <c r="E8856" s="3">
        <v>156.13999999999999</v>
      </c>
      <c r="F8856">
        <v>20151028</v>
      </c>
      <c r="G8856" t="s">
        <v>7083</v>
      </c>
      <c r="H8856" t="s">
        <v>7185</v>
      </c>
      <c r="I8856">
        <v>0</v>
      </c>
      <c r="J8856" t="s">
        <v>7024</v>
      </c>
      <c r="K8856" t="s">
        <v>290</v>
      </c>
      <c r="L8856" t="s">
        <v>285</v>
      </c>
      <c r="M8856" t="str">
        <f t="shared" si="666"/>
        <v>10</v>
      </c>
      <c r="N8856" t="s">
        <v>12</v>
      </c>
    </row>
    <row r="8857" spans="1:14" x14ac:dyDescent="0.25">
      <c r="A8857">
        <v>20151029</v>
      </c>
      <c r="B8857" t="str">
        <f>"060953"</f>
        <v>060953</v>
      </c>
      <c r="C8857" t="str">
        <f>"49989"</f>
        <v>49989</v>
      </c>
      <c r="D8857" t="s">
        <v>5545</v>
      </c>
      <c r="E8857" s="3">
        <v>80</v>
      </c>
      <c r="F8857">
        <v>20151028</v>
      </c>
      <c r="G8857" t="s">
        <v>7066</v>
      </c>
      <c r="H8857" t="s">
        <v>7186</v>
      </c>
      <c r="I8857">
        <v>0</v>
      </c>
      <c r="J8857" t="s">
        <v>7024</v>
      </c>
      <c r="K8857" t="s">
        <v>7068</v>
      </c>
      <c r="L8857" t="s">
        <v>285</v>
      </c>
      <c r="M8857" t="str">
        <f t="shared" si="666"/>
        <v>10</v>
      </c>
      <c r="N8857" t="s">
        <v>12</v>
      </c>
    </row>
    <row r="8858" spans="1:14" x14ac:dyDescent="0.25">
      <c r="A8858">
        <v>20151029</v>
      </c>
      <c r="B8858" t="str">
        <f>"060953"</f>
        <v>060953</v>
      </c>
      <c r="C8858" t="str">
        <f>"49989"</f>
        <v>49989</v>
      </c>
      <c r="D8858" t="s">
        <v>5545</v>
      </c>
      <c r="E8858" s="3">
        <v>100</v>
      </c>
      <c r="F8858">
        <v>20151028</v>
      </c>
      <c r="G8858" t="s">
        <v>7066</v>
      </c>
      <c r="H8858" t="s">
        <v>7187</v>
      </c>
      <c r="I8858">
        <v>0</v>
      </c>
      <c r="J8858" t="s">
        <v>7024</v>
      </c>
      <c r="K8858" t="s">
        <v>7068</v>
      </c>
      <c r="L8858" t="s">
        <v>285</v>
      </c>
      <c r="M8858" t="str">
        <f t="shared" si="666"/>
        <v>10</v>
      </c>
      <c r="N8858" t="s">
        <v>12</v>
      </c>
    </row>
    <row r="8859" spans="1:14" x14ac:dyDescent="0.25">
      <c r="A8859">
        <v>20151029</v>
      </c>
      <c r="B8859" t="str">
        <f>"060955"</f>
        <v>060955</v>
      </c>
      <c r="C8859" t="str">
        <f>"52217"</f>
        <v>52217</v>
      </c>
      <c r="D8859" t="s">
        <v>577</v>
      </c>
      <c r="E8859" s="3">
        <v>388.7</v>
      </c>
      <c r="F8859">
        <v>20151028</v>
      </c>
      <c r="G8859" t="s">
        <v>7119</v>
      </c>
      <c r="H8859" t="s">
        <v>580</v>
      </c>
      <c r="I8859">
        <v>0</v>
      </c>
      <c r="J8859" t="s">
        <v>7024</v>
      </c>
      <c r="K8859" t="s">
        <v>7068</v>
      </c>
      <c r="L8859" t="s">
        <v>285</v>
      </c>
      <c r="M8859" t="str">
        <f t="shared" si="666"/>
        <v>10</v>
      </c>
      <c r="N8859" t="s">
        <v>12</v>
      </c>
    </row>
    <row r="8860" spans="1:14" x14ac:dyDescent="0.25">
      <c r="A8860">
        <v>20151029</v>
      </c>
      <c r="B8860" t="str">
        <f>"060955"</f>
        <v>060955</v>
      </c>
      <c r="C8860" t="str">
        <f>"52217"</f>
        <v>52217</v>
      </c>
      <c r="D8860" t="s">
        <v>577</v>
      </c>
      <c r="E8860" s="3">
        <v>388.7</v>
      </c>
      <c r="F8860">
        <v>20151028</v>
      </c>
      <c r="G8860" t="s">
        <v>7066</v>
      </c>
      <c r="H8860" t="s">
        <v>580</v>
      </c>
      <c r="I8860">
        <v>0</v>
      </c>
      <c r="J8860" t="s">
        <v>7024</v>
      </c>
      <c r="K8860" t="s">
        <v>7068</v>
      </c>
      <c r="L8860" t="s">
        <v>285</v>
      </c>
      <c r="M8860" t="str">
        <f t="shared" si="666"/>
        <v>10</v>
      </c>
      <c r="N8860" t="s">
        <v>12</v>
      </c>
    </row>
    <row r="8861" spans="1:14" x14ac:dyDescent="0.25">
      <c r="A8861">
        <v>20151029</v>
      </c>
      <c r="B8861" t="str">
        <f>"060955"</f>
        <v>060955</v>
      </c>
      <c r="C8861" t="str">
        <f>"52217"</f>
        <v>52217</v>
      </c>
      <c r="D8861" t="s">
        <v>577</v>
      </c>
      <c r="E8861" s="3">
        <v>259.74</v>
      </c>
      <c r="F8861">
        <v>20151028</v>
      </c>
      <c r="G8861" t="s">
        <v>7066</v>
      </c>
      <c r="H8861" t="s">
        <v>7188</v>
      </c>
      <c r="I8861">
        <v>0</v>
      </c>
      <c r="J8861" t="s">
        <v>7024</v>
      </c>
      <c r="K8861" t="s">
        <v>7068</v>
      </c>
      <c r="L8861" t="s">
        <v>285</v>
      </c>
      <c r="M8861" t="str">
        <f t="shared" si="666"/>
        <v>10</v>
      </c>
      <c r="N8861" t="s">
        <v>12</v>
      </c>
    </row>
    <row r="8862" spans="1:14" x14ac:dyDescent="0.25">
      <c r="A8862">
        <v>20151029</v>
      </c>
      <c r="B8862" t="str">
        <f>"060974"</f>
        <v>060974</v>
      </c>
      <c r="C8862" t="str">
        <f>"65202"</f>
        <v>65202</v>
      </c>
      <c r="D8862" t="s">
        <v>7189</v>
      </c>
      <c r="E8862" s="3">
        <v>60</v>
      </c>
      <c r="F8862">
        <v>20151028</v>
      </c>
      <c r="G8862" t="s">
        <v>7066</v>
      </c>
      <c r="H8862" t="s">
        <v>7190</v>
      </c>
      <c r="I8862">
        <v>0</v>
      </c>
      <c r="J8862" t="s">
        <v>7024</v>
      </c>
      <c r="K8862" t="s">
        <v>7068</v>
      </c>
      <c r="L8862" t="s">
        <v>285</v>
      </c>
      <c r="M8862" t="str">
        <f t="shared" si="666"/>
        <v>10</v>
      </c>
      <c r="N8862" t="s">
        <v>12</v>
      </c>
    </row>
    <row r="8863" spans="1:14" x14ac:dyDescent="0.25">
      <c r="A8863">
        <v>20151029</v>
      </c>
      <c r="B8863" t="str">
        <f>"060976"</f>
        <v>060976</v>
      </c>
      <c r="C8863" t="str">
        <f>"65220"</f>
        <v>65220</v>
      </c>
      <c r="D8863" t="s">
        <v>876</v>
      </c>
      <c r="E8863" s="3">
        <v>80</v>
      </c>
      <c r="F8863">
        <v>20151028</v>
      </c>
      <c r="G8863" t="s">
        <v>7119</v>
      </c>
      <c r="H8863" t="s">
        <v>7191</v>
      </c>
      <c r="I8863">
        <v>0</v>
      </c>
      <c r="J8863" t="s">
        <v>7024</v>
      </c>
      <c r="K8863" t="s">
        <v>7068</v>
      </c>
      <c r="L8863" t="s">
        <v>285</v>
      </c>
      <c r="M8863" t="str">
        <f t="shared" si="666"/>
        <v>10</v>
      </c>
      <c r="N8863" t="s">
        <v>12</v>
      </c>
    </row>
    <row r="8864" spans="1:14" x14ac:dyDescent="0.25">
      <c r="A8864">
        <v>20151029</v>
      </c>
      <c r="B8864" t="str">
        <f>"060978"</f>
        <v>060978</v>
      </c>
      <c r="C8864" t="str">
        <f>"65766"</f>
        <v>65766</v>
      </c>
      <c r="D8864" t="s">
        <v>7160</v>
      </c>
      <c r="E8864" s="3">
        <v>3000</v>
      </c>
      <c r="F8864">
        <v>20151028</v>
      </c>
      <c r="G8864" t="s">
        <v>7192</v>
      </c>
      <c r="H8864" t="s">
        <v>7193</v>
      </c>
      <c r="I8864">
        <v>0</v>
      </c>
      <c r="J8864" t="s">
        <v>7024</v>
      </c>
      <c r="K8864" t="s">
        <v>33</v>
      </c>
      <c r="L8864" t="s">
        <v>285</v>
      </c>
      <c r="M8864" t="str">
        <f t="shared" si="666"/>
        <v>10</v>
      </c>
      <c r="N8864" t="s">
        <v>12</v>
      </c>
    </row>
    <row r="8865" spans="1:14" x14ac:dyDescent="0.25">
      <c r="A8865">
        <v>20151029</v>
      </c>
      <c r="B8865" t="str">
        <f>"060978"</f>
        <v>060978</v>
      </c>
      <c r="C8865" t="str">
        <f>"65766"</f>
        <v>65766</v>
      </c>
      <c r="D8865" t="s">
        <v>7160</v>
      </c>
      <c r="E8865" s="3">
        <v>3456.92</v>
      </c>
      <c r="F8865">
        <v>20151028</v>
      </c>
      <c r="G8865" t="s">
        <v>7192</v>
      </c>
      <c r="H8865" t="s">
        <v>7193</v>
      </c>
      <c r="I8865">
        <v>0</v>
      </c>
      <c r="J8865" t="s">
        <v>7024</v>
      </c>
      <c r="K8865" t="s">
        <v>33</v>
      </c>
      <c r="L8865" t="s">
        <v>285</v>
      </c>
      <c r="M8865" t="str">
        <f t="shared" si="666"/>
        <v>10</v>
      </c>
      <c r="N8865" t="s">
        <v>12</v>
      </c>
    </row>
    <row r="8866" spans="1:14" x14ac:dyDescent="0.25">
      <c r="A8866">
        <v>20151029</v>
      </c>
      <c r="B8866" t="str">
        <f>"060988"</f>
        <v>060988</v>
      </c>
      <c r="C8866" t="str">
        <f>"74941"</f>
        <v>74941</v>
      </c>
      <c r="D8866" t="s">
        <v>59</v>
      </c>
      <c r="E8866" s="3">
        <v>280</v>
      </c>
      <c r="F8866">
        <v>20151028</v>
      </c>
      <c r="G8866" t="s">
        <v>7140</v>
      </c>
      <c r="H8866" t="s">
        <v>2575</v>
      </c>
      <c r="I8866">
        <v>0</v>
      </c>
      <c r="J8866" t="s">
        <v>7024</v>
      </c>
      <c r="K8866" t="s">
        <v>290</v>
      </c>
      <c r="L8866" t="s">
        <v>285</v>
      </c>
      <c r="M8866" t="str">
        <f t="shared" si="666"/>
        <v>10</v>
      </c>
      <c r="N8866" t="s">
        <v>12</v>
      </c>
    </row>
    <row r="8867" spans="1:14" x14ac:dyDescent="0.25">
      <c r="A8867">
        <v>20151029</v>
      </c>
      <c r="B8867" t="str">
        <f>"060988"</f>
        <v>060988</v>
      </c>
      <c r="C8867" t="str">
        <f>"74941"</f>
        <v>74941</v>
      </c>
      <c r="D8867" t="s">
        <v>59</v>
      </c>
      <c r="E8867" s="3">
        <v>168</v>
      </c>
      <c r="F8867">
        <v>20151028</v>
      </c>
      <c r="G8867" t="s">
        <v>7026</v>
      </c>
      <c r="H8867" t="s">
        <v>2575</v>
      </c>
      <c r="I8867">
        <v>0</v>
      </c>
      <c r="J8867" t="s">
        <v>7024</v>
      </c>
      <c r="K8867" t="s">
        <v>1643</v>
      </c>
      <c r="L8867" t="s">
        <v>285</v>
      </c>
      <c r="M8867" t="str">
        <f t="shared" si="666"/>
        <v>10</v>
      </c>
      <c r="N8867" t="s">
        <v>12</v>
      </c>
    </row>
    <row r="8868" spans="1:14" x14ac:dyDescent="0.25">
      <c r="A8868">
        <v>20151029</v>
      </c>
      <c r="B8868" t="str">
        <f>"060989"</f>
        <v>060989</v>
      </c>
      <c r="C8868" t="str">
        <f>"75052"</f>
        <v>75052</v>
      </c>
      <c r="D8868" t="s">
        <v>7194</v>
      </c>
      <c r="E8868" s="3">
        <v>960</v>
      </c>
      <c r="F8868">
        <v>20151028</v>
      </c>
      <c r="G8868" t="s">
        <v>7062</v>
      </c>
      <c r="H8868" t="s">
        <v>1801</v>
      </c>
      <c r="I8868">
        <v>0</v>
      </c>
      <c r="J8868" t="s">
        <v>7024</v>
      </c>
      <c r="K8868" t="s">
        <v>290</v>
      </c>
      <c r="L8868" t="s">
        <v>285</v>
      </c>
      <c r="M8868" t="str">
        <f t="shared" si="666"/>
        <v>10</v>
      </c>
      <c r="N8868" t="s">
        <v>12</v>
      </c>
    </row>
    <row r="8869" spans="1:14" x14ac:dyDescent="0.25">
      <c r="A8869">
        <v>20151029</v>
      </c>
      <c r="B8869" t="str">
        <f t="shared" ref="B8869:B8874" si="667">"060993"</f>
        <v>060993</v>
      </c>
      <c r="C8869" t="str">
        <f t="shared" ref="C8869:C8874" si="668">"83022"</f>
        <v>83022</v>
      </c>
      <c r="D8869" t="s">
        <v>394</v>
      </c>
      <c r="E8869" s="3">
        <v>63.52</v>
      </c>
      <c r="F8869">
        <v>20151028</v>
      </c>
      <c r="G8869" t="s">
        <v>7082</v>
      </c>
      <c r="H8869" t="s">
        <v>2504</v>
      </c>
      <c r="I8869">
        <v>0</v>
      </c>
      <c r="J8869" t="s">
        <v>7024</v>
      </c>
      <c r="K8869" t="s">
        <v>95</v>
      </c>
      <c r="L8869" t="s">
        <v>285</v>
      </c>
      <c r="M8869" t="str">
        <f t="shared" si="666"/>
        <v>10</v>
      </c>
      <c r="N8869" t="s">
        <v>12</v>
      </c>
    </row>
    <row r="8870" spans="1:14" x14ac:dyDescent="0.25">
      <c r="A8870">
        <v>20151029</v>
      </c>
      <c r="B8870" t="str">
        <f t="shared" si="667"/>
        <v>060993</v>
      </c>
      <c r="C8870" t="str">
        <f t="shared" si="668"/>
        <v>83022</v>
      </c>
      <c r="D8870" t="s">
        <v>394</v>
      </c>
      <c r="E8870" s="3">
        <v>147.82</v>
      </c>
      <c r="F8870">
        <v>20151028</v>
      </c>
      <c r="G8870" t="s">
        <v>7195</v>
      </c>
      <c r="H8870" t="s">
        <v>7196</v>
      </c>
      <c r="I8870">
        <v>0</v>
      </c>
      <c r="J8870" t="s">
        <v>7024</v>
      </c>
      <c r="K8870" t="s">
        <v>95</v>
      </c>
      <c r="L8870" t="s">
        <v>285</v>
      </c>
      <c r="M8870" t="str">
        <f t="shared" si="666"/>
        <v>10</v>
      </c>
      <c r="N8870" t="s">
        <v>12</v>
      </c>
    </row>
    <row r="8871" spans="1:14" x14ac:dyDescent="0.25">
      <c r="A8871">
        <v>20151029</v>
      </c>
      <c r="B8871" t="str">
        <f t="shared" si="667"/>
        <v>060993</v>
      </c>
      <c r="C8871" t="str">
        <f t="shared" si="668"/>
        <v>83022</v>
      </c>
      <c r="D8871" t="s">
        <v>394</v>
      </c>
      <c r="E8871" s="3">
        <v>82.81</v>
      </c>
      <c r="F8871">
        <v>20151028</v>
      </c>
      <c r="G8871" t="s">
        <v>7126</v>
      </c>
      <c r="H8871" t="s">
        <v>2563</v>
      </c>
      <c r="I8871">
        <v>0</v>
      </c>
      <c r="J8871" t="s">
        <v>7024</v>
      </c>
      <c r="K8871" t="s">
        <v>290</v>
      </c>
      <c r="L8871" t="s">
        <v>285</v>
      </c>
      <c r="M8871" t="str">
        <f t="shared" si="666"/>
        <v>10</v>
      </c>
      <c r="N8871" t="s">
        <v>12</v>
      </c>
    </row>
    <row r="8872" spans="1:14" x14ac:dyDescent="0.25">
      <c r="A8872">
        <v>20151029</v>
      </c>
      <c r="B8872" t="str">
        <f t="shared" si="667"/>
        <v>060993</v>
      </c>
      <c r="C8872" t="str">
        <f t="shared" si="668"/>
        <v>83022</v>
      </c>
      <c r="D8872" t="s">
        <v>394</v>
      </c>
      <c r="E8872" s="3">
        <v>76.06</v>
      </c>
      <c r="F8872">
        <v>20151028</v>
      </c>
      <c r="G8872" t="s">
        <v>7049</v>
      </c>
      <c r="H8872" t="s">
        <v>2780</v>
      </c>
      <c r="I8872">
        <v>0</v>
      </c>
      <c r="J8872" t="s">
        <v>7024</v>
      </c>
      <c r="K8872" t="s">
        <v>33</v>
      </c>
      <c r="L8872" t="s">
        <v>285</v>
      </c>
      <c r="M8872" t="str">
        <f t="shared" si="666"/>
        <v>10</v>
      </c>
      <c r="N8872" t="s">
        <v>12</v>
      </c>
    </row>
    <row r="8873" spans="1:14" x14ac:dyDescent="0.25">
      <c r="A8873">
        <v>20151029</v>
      </c>
      <c r="B8873" t="str">
        <f t="shared" si="667"/>
        <v>060993</v>
      </c>
      <c r="C8873" t="str">
        <f t="shared" si="668"/>
        <v>83022</v>
      </c>
      <c r="D8873" t="s">
        <v>394</v>
      </c>
      <c r="E8873" s="3">
        <v>146.38</v>
      </c>
      <c r="F8873">
        <v>20151028</v>
      </c>
      <c r="G8873" t="s">
        <v>7049</v>
      </c>
      <c r="H8873" t="s">
        <v>2780</v>
      </c>
      <c r="I8873">
        <v>0</v>
      </c>
      <c r="J8873" t="s">
        <v>7024</v>
      </c>
      <c r="K8873" t="s">
        <v>33</v>
      </c>
      <c r="L8873" t="s">
        <v>285</v>
      </c>
      <c r="M8873" t="str">
        <f t="shared" si="666"/>
        <v>10</v>
      </c>
      <c r="N8873" t="s">
        <v>12</v>
      </c>
    </row>
    <row r="8874" spans="1:14" x14ac:dyDescent="0.25">
      <c r="A8874">
        <v>20151029</v>
      </c>
      <c r="B8874" t="str">
        <f t="shared" si="667"/>
        <v>060993</v>
      </c>
      <c r="C8874" t="str">
        <f t="shared" si="668"/>
        <v>83022</v>
      </c>
      <c r="D8874" t="s">
        <v>394</v>
      </c>
      <c r="E8874" s="3">
        <v>81.680000000000007</v>
      </c>
      <c r="F8874">
        <v>20151028</v>
      </c>
      <c r="G8874" t="s">
        <v>7197</v>
      </c>
      <c r="H8874" t="s">
        <v>7198</v>
      </c>
      <c r="I8874">
        <v>0</v>
      </c>
      <c r="J8874" t="s">
        <v>7024</v>
      </c>
      <c r="K8874" t="s">
        <v>33</v>
      </c>
      <c r="L8874" t="s">
        <v>285</v>
      </c>
      <c r="M8874" t="str">
        <f t="shared" si="666"/>
        <v>10</v>
      </c>
      <c r="N8874" t="s">
        <v>12</v>
      </c>
    </row>
    <row r="8875" spans="1:14" x14ac:dyDescent="0.25">
      <c r="A8875">
        <v>20151106</v>
      </c>
      <c r="B8875" t="str">
        <f>"061002"</f>
        <v>061002</v>
      </c>
      <c r="C8875" t="str">
        <f>"08719"</f>
        <v>08719</v>
      </c>
      <c r="D8875" t="s">
        <v>2052</v>
      </c>
      <c r="E8875" s="3">
        <v>1499</v>
      </c>
      <c r="F8875">
        <v>20151103</v>
      </c>
      <c r="G8875" t="s">
        <v>7199</v>
      </c>
      <c r="H8875" t="s">
        <v>7200</v>
      </c>
      <c r="I8875">
        <v>0</v>
      </c>
      <c r="J8875" t="s">
        <v>7024</v>
      </c>
      <c r="K8875" t="s">
        <v>290</v>
      </c>
      <c r="L8875" t="s">
        <v>285</v>
      </c>
      <c r="M8875" t="str">
        <f t="shared" ref="M8875:M8906" si="669">"11"</f>
        <v>11</v>
      </c>
      <c r="N8875" t="s">
        <v>12</v>
      </c>
    </row>
    <row r="8876" spans="1:14" x14ac:dyDescent="0.25">
      <c r="A8876">
        <v>20151106</v>
      </c>
      <c r="B8876" t="str">
        <f>"061004"</f>
        <v>061004</v>
      </c>
      <c r="C8876" t="str">
        <f>"09170"</f>
        <v>09170</v>
      </c>
      <c r="D8876" t="s">
        <v>596</v>
      </c>
      <c r="E8876" s="3">
        <v>136</v>
      </c>
      <c r="F8876">
        <v>20151104</v>
      </c>
      <c r="G8876" t="s">
        <v>7049</v>
      </c>
      <c r="H8876" t="s">
        <v>7201</v>
      </c>
      <c r="I8876">
        <v>0</v>
      </c>
      <c r="J8876" t="s">
        <v>7024</v>
      </c>
      <c r="K8876" t="s">
        <v>33</v>
      </c>
      <c r="L8876" t="s">
        <v>285</v>
      </c>
      <c r="M8876" t="str">
        <f t="shared" si="669"/>
        <v>11</v>
      </c>
      <c r="N8876" t="s">
        <v>12</v>
      </c>
    </row>
    <row r="8877" spans="1:14" x14ac:dyDescent="0.25">
      <c r="A8877">
        <v>20151106</v>
      </c>
      <c r="B8877" t="str">
        <f>"061005"</f>
        <v>061005</v>
      </c>
      <c r="C8877" t="str">
        <f>"11217"</f>
        <v>11217</v>
      </c>
      <c r="D8877" t="s">
        <v>7051</v>
      </c>
      <c r="E8877" s="3">
        <v>1773</v>
      </c>
      <c r="F8877">
        <v>20151105</v>
      </c>
      <c r="G8877" t="s">
        <v>7170</v>
      </c>
      <c r="H8877" t="s">
        <v>7202</v>
      </c>
      <c r="I8877">
        <v>0</v>
      </c>
      <c r="J8877" t="s">
        <v>7024</v>
      </c>
      <c r="K8877" t="s">
        <v>290</v>
      </c>
      <c r="L8877" t="s">
        <v>285</v>
      </c>
      <c r="M8877" t="str">
        <f t="shared" si="669"/>
        <v>11</v>
      </c>
      <c r="N8877" t="s">
        <v>12</v>
      </c>
    </row>
    <row r="8878" spans="1:14" x14ac:dyDescent="0.25">
      <c r="A8878">
        <v>20151106</v>
      </c>
      <c r="B8878" t="str">
        <f>"061015"</f>
        <v>061015</v>
      </c>
      <c r="C8878" t="str">
        <f>"23754"</f>
        <v>23754</v>
      </c>
      <c r="D8878" t="s">
        <v>794</v>
      </c>
      <c r="E8878" s="3">
        <v>329.75</v>
      </c>
      <c r="F8878">
        <v>20151105</v>
      </c>
      <c r="G8878" t="s">
        <v>7203</v>
      </c>
      <c r="H8878" t="s">
        <v>7204</v>
      </c>
      <c r="I8878">
        <v>0</v>
      </c>
      <c r="J8878" t="s">
        <v>7024</v>
      </c>
      <c r="K8878" t="s">
        <v>290</v>
      </c>
      <c r="L8878" t="s">
        <v>285</v>
      </c>
      <c r="M8878" t="str">
        <f t="shared" si="669"/>
        <v>11</v>
      </c>
      <c r="N8878" t="s">
        <v>12</v>
      </c>
    </row>
    <row r="8879" spans="1:14" x14ac:dyDescent="0.25">
      <c r="A8879">
        <v>20151106</v>
      </c>
      <c r="B8879" t="str">
        <f>"061028"</f>
        <v>061028</v>
      </c>
      <c r="C8879" t="str">
        <f>"39121"</f>
        <v>39121</v>
      </c>
      <c r="D8879" t="s">
        <v>7205</v>
      </c>
      <c r="E8879" s="3">
        <v>313</v>
      </c>
      <c r="F8879">
        <v>20151103</v>
      </c>
      <c r="G8879" t="s">
        <v>7199</v>
      </c>
      <c r="H8879" t="s">
        <v>7206</v>
      </c>
      <c r="I8879">
        <v>0</v>
      </c>
      <c r="J8879" t="s">
        <v>7024</v>
      </c>
      <c r="K8879" t="s">
        <v>290</v>
      </c>
      <c r="L8879" t="s">
        <v>285</v>
      </c>
      <c r="M8879" t="str">
        <f t="shared" si="669"/>
        <v>11</v>
      </c>
      <c r="N8879" t="s">
        <v>12</v>
      </c>
    </row>
    <row r="8880" spans="1:14" x14ac:dyDescent="0.25">
      <c r="A8880">
        <v>20151106</v>
      </c>
      <c r="B8880" t="str">
        <f>"061030"</f>
        <v>061030</v>
      </c>
      <c r="C8880" t="str">
        <f>"41236"</f>
        <v>41236</v>
      </c>
      <c r="D8880" t="s">
        <v>5018</v>
      </c>
      <c r="E8880" s="3">
        <v>1510.74</v>
      </c>
      <c r="F8880">
        <v>20151103</v>
      </c>
      <c r="G8880" t="s">
        <v>7207</v>
      </c>
      <c r="H8880" t="s">
        <v>540</v>
      </c>
      <c r="I8880">
        <v>0</v>
      </c>
      <c r="J8880" t="s">
        <v>7024</v>
      </c>
      <c r="K8880" t="s">
        <v>290</v>
      </c>
      <c r="L8880" t="s">
        <v>285</v>
      </c>
      <c r="M8880" t="str">
        <f t="shared" si="669"/>
        <v>11</v>
      </c>
      <c r="N8880" t="s">
        <v>12</v>
      </c>
    </row>
    <row r="8881" spans="1:14" x14ac:dyDescent="0.25">
      <c r="A8881">
        <v>20151106</v>
      </c>
      <c r="B8881" t="str">
        <f>"061031"</f>
        <v>061031</v>
      </c>
      <c r="C8881" t="str">
        <f>"41230"</f>
        <v>41230</v>
      </c>
      <c r="D8881" t="s">
        <v>604</v>
      </c>
      <c r="E8881" s="3">
        <v>17.68</v>
      </c>
      <c r="F8881">
        <v>20151105</v>
      </c>
      <c r="G8881" t="s">
        <v>7026</v>
      </c>
      <c r="H8881" t="s">
        <v>2419</v>
      </c>
      <c r="I8881">
        <v>0</v>
      </c>
      <c r="J8881" t="s">
        <v>7024</v>
      </c>
      <c r="K8881" t="s">
        <v>1643</v>
      </c>
      <c r="L8881" t="s">
        <v>285</v>
      </c>
      <c r="M8881" t="str">
        <f t="shared" si="669"/>
        <v>11</v>
      </c>
      <c r="N8881" t="s">
        <v>12</v>
      </c>
    </row>
    <row r="8882" spans="1:14" x14ac:dyDescent="0.25">
      <c r="A8882">
        <v>20151106</v>
      </c>
      <c r="B8882" t="str">
        <f>"061031"</f>
        <v>061031</v>
      </c>
      <c r="C8882" t="str">
        <f>"41230"</f>
        <v>41230</v>
      </c>
      <c r="D8882" t="s">
        <v>604</v>
      </c>
      <c r="E8882" s="3">
        <v>91.41</v>
      </c>
      <c r="F8882">
        <v>20151105</v>
      </c>
      <c r="G8882" t="s">
        <v>7026</v>
      </c>
      <c r="H8882" t="s">
        <v>2419</v>
      </c>
      <c r="I8882">
        <v>0</v>
      </c>
      <c r="J8882" t="s">
        <v>7024</v>
      </c>
      <c r="K8882" t="s">
        <v>1643</v>
      </c>
      <c r="L8882" t="s">
        <v>285</v>
      </c>
      <c r="M8882" t="str">
        <f t="shared" si="669"/>
        <v>11</v>
      </c>
      <c r="N8882" t="s">
        <v>12</v>
      </c>
    </row>
    <row r="8883" spans="1:14" x14ac:dyDescent="0.25">
      <c r="A8883">
        <v>20151106</v>
      </c>
      <c r="B8883" t="str">
        <f>"061036"</f>
        <v>061036</v>
      </c>
      <c r="C8883" t="str">
        <f>"45707"</f>
        <v>45707</v>
      </c>
      <c r="D8883" t="s">
        <v>7208</v>
      </c>
      <c r="E8883" s="3">
        <v>945.9</v>
      </c>
      <c r="F8883">
        <v>20151103</v>
      </c>
      <c r="G8883" t="s">
        <v>7209</v>
      </c>
      <c r="H8883" t="s">
        <v>7210</v>
      </c>
      <c r="I8883">
        <v>0</v>
      </c>
      <c r="J8883" t="s">
        <v>7024</v>
      </c>
      <c r="K8883" t="s">
        <v>290</v>
      </c>
      <c r="L8883" t="s">
        <v>285</v>
      </c>
      <c r="M8883" t="str">
        <f t="shared" si="669"/>
        <v>11</v>
      </c>
      <c r="N8883" t="s">
        <v>12</v>
      </c>
    </row>
    <row r="8884" spans="1:14" x14ac:dyDescent="0.25">
      <c r="A8884">
        <v>20151106</v>
      </c>
      <c r="B8884" t="str">
        <f>"061053"</f>
        <v>061053</v>
      </c>
      <c r="C8884" t="str">
        <f>"65780"</f>
        <v>65780</v>
      </c>
      <c r="D8884" t="s">
        <v>7211</v>
      </c>
      <c r="E8884" s="3">
        <v>2811.5</v>
      </c>
      <c r="F8884">
        <v>20151103</v>
      </c>
      <c r="G8884" t="s">
        <v>7026</v>
      </c>
      <c r="H8884" t="s">
        <v>1612</v>
      </c>
      <c r="I8884">
        <v>0</v>
      </c>
      <c r="J8884" t="s">
        <v>7024</v>
      </c>
      <c r="K8884" t="s">
        <v>1643</v>
      </c>
      <c r="L8884" t="s">
        <v>285</v>
      </c>
      <c r="M8884" t="str">
        <f t="shared" si="669"/>
        <v>11</v>
      </c>
      <c r="N8884" t="s">
        <v>12</v>
      </c>
    </row>
    <row r="8885" spans="1:14" x14ac:dyDescent="0.25">
      <c r="A8885">
        <v>20151106</v>
      </c>
      <c r="B8885" t="str">
        <f>"061054"</f>
        <v>061054</v>
      </c>
      <c r="C8885" t="str">
        <f>"67100"</f>
        <v>67100</v>
      </c>
      <c r="D8885" t="s">
        <v>4420</v>
      </c>
      <c r="E8885" s="3">
        <v>624</v>
      </c>
      <c r="F8885">
        <v>20151103</v>
      </c>
      <c r="G8885" t="s">
        <v>7207</v>
      </c>
      <c r="H8885" t="s">
        <v>540</v>
      </c>
      <c r="I8885">
        <v>0</v>
      </c>
      <c r="J8885" t="s">
        <v>7024</v>
      </c>
      <c r="K8885" t="s">
        <v>290</v>
      </c>
      <c r="L8885" t="s">
        <v>285</v>
      </c>
      <c r="M8885" t="str">
        <f t="shared" si="669"/>
        <v>11</v>
      </c>
      <c r="N8885" t="s">
        <v>12</v>
      </c>
    </row>
    <row r="8886" spans="1:14" x14ac:dyDescent="0.25">
      <c r="A8886">
        <v>20151106</v>
      </c>
      <c r="B8886" t="str">
        <f>"061061"</f>
        <v>061061</v>
      </c>
      <c r="C8886" t="str">
        <f>"74131"</f>
        <v>74131</v>
      </c>
      <c r="D8886" t="s">
        <v>453</v>
      </c>
      <c r="E8886" s="3">
        <v>1305</v>
      </c>
      <c r="F8886">
        <v>20151105</v>
      </c>
      <c r="G8886" t="s">
        <v>7212</v>
      </c>
      <c r="H8886" t="s">
        <v>7213</v>
      </c>
      <c r="I8886">
        <v>0</v>
      </c>
      <c r="J8886" t="s">
        <v>7024</v>
      </c>
      <c r="K8886" t="s">
        <v>290</v>
      </c>
      <c r="L8886" t="s">
        <v>285</v>
      </c>
      <c r="M8886" t="str">
        <f t="shared" si="669"/>
        <v>11</v>
      </c>
      <c r="N8886" t="s">
        <v>12</v>
      </c>
    </row>
    <row r="8887" spans="1:14" x14ac:dyDescent="0.25">
      <c r="A8887">
        <v>20151106</v>
      </c>
      <c r="B8887" t="str">
        <f>"061061"</f>
        <v>061061</v>
      </c>
      <c r="C8887" t="str">
        <f>"74131"</f>
        <v>74131</v>
      </c>
      <c r="D8887" t="s">
        <v>453</v>
      </c>
      <c r="E8887" s="3">
        <v>775</v>
      </c>
      <c r="F8887">
        <v>20151105</v>
      </c>
      <c r="G8887" t="s">
        <v>7212</v>
      </c>
      <c r="H8887" t="s">
        <v>7214</v>
      </c>
      <c r="I8887">
        <v>0</v>
      </c>
      <c r="J8887" t="s">
        <v>7024</v>
      </c>
      <c r="K8887" t="s">
        <v>290</v>
      </c>
      <c r="L8887" t="s">
        <v>285</v>
      </c>
      <c r="M8887" t="str">
        <f t="shared" si="669"/>
        <v>11</v>
      </c>
      <c r="N8887" t="s">
        <v>12</v>
      </c>
    </row>
    <row r="8888" spans="1:14" x14ac:dyDescent="0.25">
      <c r="A8888">
        <v>20151106</v>
      </c>
      <c r="B8888" t="str">
        <f>"061063"</f>
        <v>061063</v>
      </c>
      <c r="C8888" t="str">
        <f>"78311"</f>
        <v>78311</v>
      </c>
      <c r="D8888" t="s">
        <v>458</v>
      </c>
      <c r="E8888" s="3">
        <v>25.19</v>
      </c>
      <c r="F8888">
        <v>20151104</v>
      </c>
      <c r="G8888" t="s">
        <v>7023</v>
      </c>
      <c r="H8888" t="s">
        <v>7072</v>
      </c>
      <c r="I8888">
        <v>0</v>
      </c>
      <c r="J8888" t="s">
        <v>7024</v>
      </c>
      <c r="K8888" t="s">
        <v>290</v>
      </c>
      <c r="L8888" t="s">
        <v>285</v>
      </c>
      <c r="M8888" t="str">
        <f t="shared" si="669"/>
        <v>11</v>
      </c>
      <c r="N8888" t="s">
        <v>12</v>
      </c>
    </row>
    <row r="8889" spans="1:14" x14ac:dyDescent="0.25">
      <c r="A8889">
        <v>20151106</v>
      </c>
      <c r="B8889" t="str">
        <f>"061063"</f>
        <v>061063</v>
      </c>
      <c r="C8889" t="str">
        <f>"78311"</f>
        <v>78311</v>
      </c>
      <c r="D8889" t="s">
        <v>458</v>
      </c>
      <c r="E8889" s="3">
        <v>18.899999999999999</v>
      </c>
      <c r="F8889">
        <v>20151104</v>
      </c>
      <c r="G8889" t="s">
        <v>7023</v>
      </c>
      <c r="H8889" t="s">
        <v>7072</v>
      </c>
      <c r="I8889">
        <v>0</v>
      </c>
      <c r="J8889" t="s">
        <v>7024</v>
      </c>
      <c r="K8889" t="s">
        <v>290</v>
      </c>
      <c r="L8889" t="s">
        <v>285</v>
      </c>
      <c r="M8889" t="str">
        <f t="shared" si="669"/>
        <v>11</v>
      </c>
      <c r="N8889" t="s">
        <v>12</v>
      </c>
    </row>
    <row r="8890" spans="1:14" x14ac:dyDescent="0.25">
      <c r="A8890">
        <v>20151113</v>
      </c>
      <c r="B8890" t="str">
        <f>"061078"</f>
        <v>061078</v>
      </c>
      <c r="C8890" t="str">
        <f>"22363"</f>
        <v>22363</v>
      </c>
      <c r="D8890" t="s">
        <v>7215</v>
      </c>
      <c r="E8890" s="3">
        <v>2980</v>
      </c>
      <c r="F8890">
        <v>20151112</v>
      </c>
      <c r="G8890" t="s">
        <v>7026</v>
      </c>
      <c r="H8890" t="s">
        <v>7216</v>
      </c>
      <c r="I8890">
        <v>0</v>
      </c>
      <c r="J8890" t="s">
        <v>7024</v>
      </c>
      <c r="K8890" t="s">
        <v>1643</v>
      </c>
      <c r="L8890" t="s">
        <v>285</v>
      </c>
      <c r="M8890" t="str">
        <f t="shared" si="669"/>
        <v>11</v>
      </c>
      <c r="N8890" t="s">
        <v>12</v>
      </c>
    </row>
    <row r="8891" spans="1:14" x14ac:dyDescent="0.25">
      <c r="A8891">
        <v>20151113</v>
      </c>
      <c r="B8891" t="str">
        <f>"061085"</f>
        <v>061085</v>
      </c>
      <c r="C8891" t="str">
        <f>"37500"</f>
        <v>37500</v>
      </c>
      <c r="D8891" t="s">
        <v>1652</v>
      </c>
      <c r="E8891" s="3">
        <v>29.55</v>
      </c>
      <c r="F8891">
        <v>20151112</v>
      </c>
      <c r="G8891" t="s">
        <v>7082</v>
      </c>
      <c r="H8891" t="s">
        <v>7217</v>
      </c>
      <c r="I8891">
        <v>0</v>
      </c>
      <c r="J8891" t="s">
        <v>7024</v>
      </c>
      <c r="K8891" t="s">
        <v>95</v>
      </c>
      <c r="L8891" t="s">
        <v>285</v>
      </c>
      <c r="M8891" t="str">
        <f t="shared" si="669"/>
        <v>11</v>
      </c>
      <c r="N8891" t="s">
        <v>12</v>
      </c>
    </row>
    <row r="8892" spans="1:14" x14ac:dyDescent="0.25">
      <c r="A8892">
        <v>20151113</v>
      </c>
      <c r="B8892" t="str">
        <f>"061085"</f>
        <v>061085</v>
      </c>
      <c r="C8892" t="str">
        <f>"37500"</f>
        <v>37500</v>
      </c>
      <c r="D8892" t="s">
        <v>1652</v>
      </c>
      <c r="E8892" s="3">
        <v>249.04</v>
      </c>
      <c r="F8892">
        <v>20151112</v>
      </c>
      <c r="G8892" t="s">
        <v>7026</v>
      </c>
      <c r="H8892" t="s">
        <v>7218</v>
      </c>
      <c r="I8892">
        <v>0</v>
      </c>
      <c r="J8892" t="s">
        <v>7024</v>
      </c>
      <c r="K8892" t="s">
        <v>1643</v>
      </c>
      <c r="L8892" t="s">
        <v>285</v>
      </c>
      <c r="M8892" t="str">
        <f t="shared" si="669"/>
        <v>11</v>
      </c>
      <c r="N8892" t="s">
        <v>12</v>
      </c>
    </row>
    <row r="8893" spans="1:14" x14ac:dyDescent="0.25">
      <c r="A8893">
        <v>20151113</v>
      </c>
      <c r="B8893" t="str">
        <f>"061085"</f>
        <v>061085</v>
      </c>
      <c r="C8893" t="str">
        <f>"37500"</f>
        <v>37500</v>
      </c>
      <c r="D8893" t="s">
        <v>1652</v>
      </c>
      <c r="E8893" s="3">
        <v>45.64</v>
      </c>
      <c r="F8893">
        <v>20151112</v>
      </c>
      <c r="G8893" t="s">
        <v>7192</v>
      </c>
      <c r="H8893" t="s">
        <v>7219</v>
      </c>
      <c r="I8893">
        <v>0</v>
      </c>
      <c r="J8893" t="s">
        <v>7024</v>
      </c>
      <c r="K8893" t="s">
        <v>33</v>
      </c>
      <c r="L8893" t="s">
        <v>285</v>
      </c>
      <c r="M8893" t="str">
        <f t="shared" si="669"/>
        <v>11</v>
      </c>
      <c r="N8893" t="s">
        <v>12</v>
      </c>
    </row>
    <row r="8894" spans="1:14" x14ac:dyDescent="0.25">
      <c r="A8894">
        <v>20151113</v>
      </c>
      <c r="B8894" t="str">
        <f>"061100"</f>
        <v>061100</v>
      </c>
      <c r="C8894" t="str">
        <f>"58204"</f>
        <v>58204</v>
      </c>
      <c r="D8894" t="s">
        <v>1816</v>
      </c>
      <c r="E8894" s="3">
        <v>44.28</v>
      </c>
      <c r="F8894">
        <v>20151112</v>
      </c>
      <c r="G8894" t="s">
        <v>7199</v>
      </c>
      <c r="H8894" t="s">
        <v>7220</v>
      </c>
      <c r="I8894">
        <v>0</v>
      </c>
      <c r="J8894" t="s">
        <v>7024</v>
      </c>
      <c r="K8894" t="s">
        <v>290</v>
      </c>
      <c r="L8894" t="s">
        <v>285</v>
      </c>
      <c r="M8894" t="str">
        <f t="shared" si="669"/>
        <v>11</v>
      </c>
      <c r="N8894" t="s">
        <v>12</v>
      </c>
    </row>
    <row r="8895" spans="1:14" x14ac:dyDescent="0.25">
      <c r="A8895">
        <v>20151113</v>
      </c>
      <c r="B8895" t="str">
        <f>"061100"</f>
        <v>061100</v>
      </c>
      <c r="C8895" t="str">
        <f>"58204"</f>
        <v>58204</v>
      </c>
      <c r="D8895" t="s">
        <v>1816</v>
      </c>
      <c r="E8895" s="3">
        <v>19.88</v>
      </c>
      <c r="F8895">
        <v>20151112</v>
      </c>
      <c r="G8895" t="s">
        <v>7209</v>
      </c>
      <c r="H8895" t="s">
        <v>7221</v>
      </c>
      <c r="I8895">
        <v>0</v>
      </c>
      <c r="J8895" t="s">
        <v>7024</v>
      </c>
      <c r="K8895" t="s">
        <v>290</v>
      </c>
      <c r="L8895" t="s">
        <v>285</v>
      </c>
      <c r="M8895" t="str">
        <f t="shared" si="669"/>
        <v>11</v>
      </c>
      <c r="N8895" t="s">
        <v>12</v>
      </c>
    </row>
    <row r="8896" spans="1:14" x14ac:dyDescent="0.25">
      <c r="A8896">
        <v>20151113</v>
      </c>
      <c r="B8896" t="str">
        <f>"061101"</f>
        <v>061101</v>
      </c>
      <c r="C8896" t="str">
        <f>"58202"</f>
        <v>58202</v>
      </c>
      <c r="D8896" t="s">
        <v>2695</v>
      </c>
      <c r="E8896" s="3">
        <v>14.2</v>
      </c>
      <c r="F8896">
        <v>20151112</v>
      </c>
      <c r="G8896" t="s">
        <v>7082</v>
      </c>
      <c r="H8896" t="s">
        <v>7222</v>
      </c>
      <c r="I8896">
        <v>0</v>
      </c>
      <c r="J8896" t="s">
        <v>7024</v>
      </c>
      <c r="K8896" t="s">
        <v>95</v>
      </c>
      <c r="L8896" t="s">
        <v>285</v>
      </c>
      <c r="M8896" t="str">
        <f t="shared" si="669"/>
        <v>11</v>
      </c>
      <c r="N8896" t="s">
        <v>12</v>
      </c>
    </row>
    <row r="8897" spans="1:14" x14ac:dyDescent="0.25">
      <c r="A8897">
        <v>20151113</v>
      </c>
      <c r="B8897" t="str">
        <f>"061106"</f>
        <v>061106</v>
      </c>
      <c r="C8897" t="str">
        <f>"65106"</f>
        <v>65106</v>
      </c>
      <c r="D8897" t="s">
        <v>1568</v>
      </c>
      <c r="E8897" s="3">
        <v>456.4</v>
      </c>
      <c r="F8897">
        <v>20151112</v>
      </c>
      <c r="G8897" t="s">
        <v>7086</v>
      </c>
      <c r="H8897" t="s">
        <v>7223</v>
      </c>
      <c r="I8897">
        <v>0</v>
      </c>
      <c r="J8897" t="s">
        <v>7024</v>
      </c>
      <c r="K8897" t="s">
        <v>290</v>
      </c>
      <c r="L8897" t="s">
        <v>285</v>
      </c>
      <c r="M8897" t="str">
        <f t="shared" si="669"/>
        <v>11</v>
      </c>
      <c r="N8897" t="s">
        <v>12</v>
      </c>
    </row>
    <row r="8898" spans="1:14" x14ac:dyDescent="0.25">
      <c r="A8898">
        <v>20151113</v>
      </c>
      <c r="B8898" t="str">
        <f>"061106"</f>
        <v>061106</v>
      </c>
      <c r="C8898" t="str">
        <f>"65106"</f>
        <v>65106</v>
      </c>
      <c r="D8898" t="s">
        <v>1568</v>
      </c>
      <c r="E8898" s="3">
        <v>64.72</v>
      </c>
      <c r="F8898">
        <v>20151112</v>
      </c>
      <c r="G8898" t="s">
        <v>7083</v>
      </c>
      <c r="H8898" t="s">
        <v>7224</v>
      </c>
      <c r="I8898">
        <v>0</v>
      </c>
      <c r="J8898" t="s">
        <v>7024</v>
      </c>
      <c r="K8898" t="s">
        <v>290</v>
      </c>
      <c r="L8898" t="s">
        <v>285</v>
      </c>
      <c r="M8898" t="str">
        <f t="shared" si="669"/>
        <v>11</v>
      </c>
      <c r="N8898" t="s">
        <v>12</v>
      </c>
    </row>
    <row r="8899" spans="1:14" x14ac:dyDescent="0.25">
      <c r="A8899">
        <v>20151113</v>
      </c>
      <c r="B8899" t="str">
        <f>"061109"</f>
        <v>061109</v>
      </c>
      <c r="C8899" t="str">
        <f>"67624"</f>
        <v>67624</v>
      </c>
      <c r="D8899" t="s">
        <v>7040</v>
      </c>
      <c r="E8899" s="3">
        <v>7300</v>
      </c>
      <c r="F8899">
        <v>20151112</v>
      </c>
      <c r="G8899" t="s">
        <v>7041</v>
      </c>
      <c r="H8899" t="s">
        <v>7042</v>
      </c>
      <c r="I8899">
        <v>0</v>
      </c>
      <c r="J8899" t="s">
        <v>7024</v>
      </c>
      <c r="K8899" t="s">
        <v>290</v>
      </c>
      <c r="L8899" t="s">
        <v>285</v>
      </c>
      <c r="M8899" t="str">
        <f t="shared" si="669"/>
        <v>11</v>
      </c>
      <c r="N8899" t="s">
        <v>12</v>
      </c>
    </row>
    <row r="8900" spans="1:14" x14ac:dyDescent="0.25">
      <c r="A8900">
        <v>20151120</v>
      </c>
      <c r="B8900" t="str">
        <f>"061114"</f>
        <v>061114</v>
      </c>
      <c r="C8900" t="str">
        <f>"01150"</f>
        <v>01150</v>
      </c>
      <c r="D8900" t="s">
        <v>7225</v>
      </c>
      <c r="E8900" s="3">
        <v>244.5</v>
      </c>
      <c r="F8900">
        <v>20151118</v>
      </c>
      <c r="G8900" t="s">
        <v>7023</v>
      </c>
      <c r="H8900" t="s">
        <v>7226</v>
      </c>
      <c r="I8900">
        <v>0</v>
      </c>
      <c r="J8900" t="s">
        <v>7024</v>
      </c>
      <c r="K8900" t="s">
        <v>290</v>
      </c>
      <c r="L8900" t="s">
        <v>285</v>
      </c>
      <c r="M8900" t="str">
        <f t="shared" si="669"/>
        <v>11</v>
      </c>
      <c r="N8900" t="s">
        <v>12</v>
      </c>
    </row>
    <row r="8901" spans="1:14" x14ac:dyDescent="0.25">
      <c r="A8901">
        <v>20151120</v>
      </c>
      <c r="B8901" t="str">
        <f>"061114"</f>
        <v>061114</v>
      </c>
      <c r="C8901" t="str">
        <f>"01150"</f>
        <v>01150</v>
      </c>
      <c r="D8901" t="s">
        <v>7225</v>
      </c>
      <c r="E8901" s="3">
        <v>294</v>
      </c>
      <c r="F8901">
        <v>20151118</v>
      </c>
      <c r="G8901" t="s">
        <v>7023</v>
      </c>
      <c r="H8901" t="s">
        <v>7226</v>
      </c>
      <c r="I8901">
        <v>0</v>
      </c>
      <c r="J8901" t="s">
        <v>7024</v>
      </c>
      <c r="K8901" t="s">
        <v>290</v>
      </c>
      <c r="L8901" t="s">
        <v>285</v>
      </c>
      <c r="M8901" t="str">
        <f t="shared" si="669"/>
        <v>11</v>
      </c>
      <c r="N8901" t="s">
        <v>12</v>
      </c>
    </row>
    <row r="8902" spans="1:14" x14ac:dyDescent="0.25">
      <c r="A8902">
        <v>20151120</v>
      </c>
      <c r="B8902" t="str">
        <f>"061120"</f>
        <v>061120</v>
      </c>
      <c r="C8902" t="str">
        <f>"05530"</f>
        <v>05530</v>
      </c>
      <c r="D8902" t="s">
        <v>631</v>
      </c>
      <c r="E8902" s="3">
        <v>454.9</v>
      </c>
      <c r="F8902">
        <v>20151118</v>
      </c>
      <c r="G8902" t="s">
        <v>7227</v>
      </c>
      <c r="H8902" t="s">
        <v>7228</v>
      </c>
      <c r="I8902">
        <v>0</v>
      </c>
      <c r="J8902" t="s">
        <v>7024</v>
      </c>
      <c r="K8902" t="s">
        <v>290</v>
      </c>
      <c r="L8902" t="s">
        <v>285</v>
      </c>
      <c r="M8902" t="str">
        <f t="shared" si="669"/>
        <v>11</v>
      </c>
      <c r="N8902" t="s">
        <v>12</v>
      </c>
    </row>
    <row r="8903" spans="1:14" x14ac:dyDescent="0.25">
      <c r="A8903">
        <v>20151120</v>
      </c>
      <c r="B8903" t="str">
        <f>"061130"</f>
        <v>061130</v>
      </c>
      <c r="C8903" t="str">
        <f>"11759"</f>
        <v>11759</v>
      </c>
      <c r="D8903" t="s">
        <v>2089</v>
      </c>
      <c r="E8903" s="3">
        <v>0.25</v>
      </c>
      <c r="F8903">
        <v>20151118</v>
      </c>
      <c r="G8903" t="s">
        <v>7049</v>
      </c>
      <c r="H8903" t="s">
        <v>7229</v>
      </c>
      <c r="I8903">
        <v>0</v>
      </c>
      <c r="J8903" t="s">
        <v>7024</v>
      </c>
      <c r="K8903" t="s">
        <v>33</v>
      </c>
      <c r="L8903" t="s">
        <v>285</v>
      </c>
      <c r="M8903" t="str">
        <f t="shared" si="669"/>
        <v>11</v>
      </c>
      <c r="N8903" t="s">
        <v>12</v>
      </c>
    </row>
    <row r="8904" spans="1:14" x14ac:dyDescent="0.25">
      <c r="A8904">
        <v>20151120</v>
      </c>
      <c r="B8904" t="str">
        <f>"061131"</f>
        <v>061131</v>
      </c>
      <c r="C8904" t="str">
        <f>"08788"</f>
        <v>08788</v>
      </c>
      <c r="D8904" t="s">
        <v>302</v>
      </c>
      <c r="E8904" s="3">
        <v>607.70000000000005</v>
      </c>
      <c r="F8904">
        <v>20151118</v>
      </c>
      <c r="G8904" t="s">
        <v>7140</v>
      </c>
      <c r="H8904" t="s">
        <v>7230</v>
      </c>
      <c r="I8904">
        <v>0</v>
      </c>
      <c r="J8904" t="s">
        <v>7024</v>
      </c>
      <c r="K8904" t="s">
        <v>290</v>
      </c>
      <c r="L8904" t="s">
        <v>285</v>
      </c>
      <c r="M8904" t="str">
        <f t="shared" si="669"/>
        <v>11</v>
      </c>
      <c r="N8904" t="s">
        <v>12</v>
      </c>
    </row>
    <row r="8905" spans="1:14" x14ac:dyDescent="0.25">
      <c r="A8905">
        <v>20151120</v>
      </c>
      <c r="B8905" t="str">
        <f>"061134"</f>
        <v>061134</v>
      </c>
      <c r="C8905" t="str">
        <f>"19208"</f>
        <v>19208</v>
      </c>
      <c r="D8905" t="s">
        <v>294</v>
      </c>
      <c r="E8905" s="3">
        <v>1090</v>
      </c>
      <c r="F8905">
        <v>20151118</v>
      </c>
      <c r="G8905" t="s">
        <v>7231</v>
      </c>
      <c r="H8905" t="s">
        <v>1726</v>
      </c>
      <c r="I8905">
        <v>0</v>
      </c>
      <c r="J8905" t="s">
        <v>7024</v>
      </c>
      <c r="K8905" t="s">
        <v>290</v>
      </c>
      <c r="L8905" t="s">
        <v>285</v>
      </c>
      <c r="M8905" t="str">
        <f t="shared" si="669"/>
        <v>11</v>
      </c>
      <c r="N8905" t="s">
        <v>12</v>
      </c>
    </row>
    <row r="8906" spans="1:14" x14ac:dyDescent="0.25">
      <c r="A8906">
        <v>20151120</v>
      </c>
      <c r="B8906" t="str">
        <f>"061146"</f>
        <v>061146</v>
      </c>
      <c r="C8906" t="str">
        <f>"23754"</f>
        <v>23754</v>
      </c>
      <c r="D8906" t="s">
        <v>794</v>
      </c>
      <c r="E8906" s="3">
        <v>1200</v>
      </c>
      <c r="F8906">
        <v>20151118</v>
      </c>
      <c r="G8906" t="s">
        <v>7126</v>
      </c>
      <c r="H8906" t="s">
        <v>7232</v>
      </c>
      <c r="I8906">
        <v>0</v>
      </c>
      <c r="J8906" t="s">
        <v>7024</v>
      </c>
      <c r="K8906" t="s">
        <v>290</v>
      </c>
      <c r="L8906" t="s">
        <v>285</v>
      </c>
      <c r="M8906" t="str">
        <f t="shared" si="669"/>
        <v>11</v>
      </c>
      <c r="N8906" t="s">
        <v>12</v>
      </c>
    </row>
    <row r="8907" spans="1:14" x14ac:dyDescent="0.25">
      <c r="A8907">
        <v>20151120</v>
      </c>
      <c r="B8907" t="str">
        <f>"061146"</f>
        <v>061146</v>
      </c>
      <c r="C8907" t="str">
        <f>"23754"</f>
        <v>23754</v>
      </c>
      <c r="D8907" t="s">
        <v>794</v>
      </c>
      <c r="E8907" s="3">
        <v>384.75</v>
      </c>
      <c r="F8907">
        <v>20151118</v>
      </c>
      <c r="G8907" t="s">
        <v>7126</v>
      </c>
      <c r="H8907" t="s">
        <v>7232</v>
      </c>
      <c r="I8907">
        <v>0</v>
      </c>
      <c r="J8907" t="s">
        <v>7024</v>
      </c>
      <c r="K8907" t="s">
        <v>290</v>
      </c>
      <c r="L8907" t="s">
        <v>285</v>
      </c>
      <c r="M8907" t="str">
        <f t="shared" ref="M8907:M8925" si="670">"11"</f>
        <v>11</v>
      </c>
      <c r="N8907" t="s">
        <v>12</v>
      </c>
    </row>
    <row r="8908" spans="1:14" x14ac:dyDescent="0.25">
      <c r="A8908">
        <v>20151120</v>
      </c>
      <c r="B8908" t="str">
        <f>"061148"</f>
        <v>061148</v>
      </c>
      <c r="C8908" t="str">
        <f>"25853"</f>
        <v>25853</v>
      </c>
      <c r="D8908" t="s">
        <v>532</v>
      </c>
      <c r="E8908" s="3">
        <v>282</v>
      </c>
      <c r="F8908">
        <v>20151118</v>
      </c>
      <c r="G8908" t="s">
        <v>7044</v>
      </c>
      <c r="H8908" t="s">
        <v>3060</v>
      </c>
      <c r="I8908">
        <v>0</v>
      </c>
      <c r="J8908" t="s">
        <v>7024</v>
      </c>
      <c r="K8908" t="s">
        <v>290</v>
      </c>
      <c r="L8908" t="s">
        <v>285</v>
      </c>
      <c r="M8908" t="str">
        <f t="shared" si="670"/>
        <v>11</v>
      </c>
      <c r="N8908" t="s">
        <v>12</v>
      </c>
    </row>
    <row r="8909" spans="1:14" x14ac:dyDescent="0.25">
      <c r="A8909">
        <v>20151120</v>
      </c>
      <c r="B8909" t="str">
        <f>"061154"</f>
        <v>061154</v>
      </c>
      <c r="C8909" t="str">
        <f>"28680"</f>
        <v>28680</v>
      </c>
      <c r="D8909" t="s">
        <v>422</v>
      </c>
      <c r="E8909" s="3">
        <v>103.39</v>
      </c>
      <c r="F8909">
        <v>20151118</v>
      </c>
      <c r="G8909" t="s">
        <v>7023</v>
      </c>
      <c r="H8909" t="s">
        <v>1077</v>
      </c>
      <c r="I8909">
        <v>0</v>
      </c>
      <c r="J8909" t="s">
        <v>7024</v>
      </c>
      <c r="K8909" t="s">
        <v>290</v>
      </c>
      <c r="L8909" t="s">
        <v>285</v>
      </c>
      <c r="M8909" t="str">
        <f t="shared" si="670"/>
        <v>11</v>
      </c>
      <c r="N8909" t="s">
        <v>12</v>
      </c>
    </row>
    <row r="8910" spans="1:14" x14ac:dyDescent="0.25">
      <c r="A8910">
        <v>20151120</v>
      </c>
      <c r="B8910" t="str">
        <f>"061154"</f>
        <v>061154</v>
      </c>
      <c r="C8910" t="str">
        <f>"28680"</f>
        <v>28680</v>
      </c>
      <c r="D8910" t="s">
        <v>422</v>
      </c>
      <c r="E8910" s="3">
        <v>112</v>
      </c>
      <c r="F8910">
        <v>20151118</v>
      </c>
      <c r="G8910" t="s">
        <v>7023</v>
      </c>
      <c r="H8910" t="s">
        <v>1077</v>
      </c>
      <c r="I8910">
        <v>0</v>
      </c>
      <c r="J8910" t="s">
        <v>7024</v>
      </c>
      <c r="K8910" t="s">
        <v>290</v>
      </c>
      <c r="L8910" t="s">
        <v>285</v>
      </c>
      <c r="M8910" t="str">
        <f t="shared" si="670"/>
        <v>11</v>
      </c>
      <c r="N8910" t="s">
        <v>12</v>
      </c>
    </row>
    <row r="8911" spans="1:14" x14ac:dyDescent="0.25">
      <c r="A8911">
        <v>20151120</v>
      </c>
      <c r="B8911" t="str">
        <f>"061154"</f>
        <v>061154</v>
      </c>
      <c r="C8911" t="str">
        <f>"28680"</f>
        <v>28680</v>
      </c>
      <c r="D8911" t="s">
        <v>422</v>
      </c>
      <c r="E8911" s="3">
        <v>99</v>
      </c>
      <c r="F8911">
        <v>20151118</v>
      </c>
      <c r="G8911" t="s">
        <v>7044</v>
      </c>
      <c r="H8911" t="s">
        <v>7233</v>
      </c>
      <c r="I8911">
        <v>0</v>
      </c>
      <c r="J8911" t="s">
        <v>7024</v>
      </c>
      <c r="K8911" t="s">
        <v>290</v>
      </c>
      <c r="L8911" t="s">
        <v>285</v>
      </c>
      <c r="M8911" t="str">
        <f t="shared" si="670"/>
        <v>11</v>
      </c>
      <c r="N8911" t="s">
        <v>12</v>
      </c>
    </row>
    <row r="8912" spans="1:14" x14ac:dyDescent="0.25">
      <c r="A8912">
        <v>20151120</v>
      </c>
      <c r="B8912" t="str">
        <f>"061154"</f>
        <v>061154</v>
      </c>
      <c r="C8912" t="str">
        <f>"28680"</f>
        <v>28680</v>
      </c>
      <c r="D8912" t="s">
        <v>422</v>
      </c>
      <c r="E8912" s="3">
        <v>52</v>
      </c>
      <c r="F8912">
        <v>20151118</v>
      </c>
      <c r="G8912" t="s">
        <v>7044</v>
      </c>
      <c r="H8912" t="s">
        <v>7234</v>
      </c>
      <c r="I8912">
        <v>0</v>
      </c>
      <c r="J8912" t="s">
        <v>7024</v>
      </c>
      <c r="K8912" t="s">
        <v>290</v>
      </c>
      <c r="L8912" t="s">
        <v>285</v>
      </c>
      <c r="M8912" t="str">
        <f t="shared" si="670"/>
        <v>11</v>
      </c>
      <c r="N8912" t="s">
        <v>12</v>
      </c>
    </row>
    <row r="8913" spans="1:14" x14ac:dyDescent="0.25">
      <c r="A8913">
        <v>20151120</v>
      </c>
      <c r="B8913" t="str">
        <f>"061154"</f>
        <v>061154</v>
      </c>
      <c r="C8913" t="str">
        <f>"28680"</f>
        <v>28680</v>
      </c>
      <c r="D8913" t="s">
        <v>422</v>
      </c>
      <c r="E8913" s="3">
        <v>52</v>
      </c>
      <c r="F8913">
        <v>20151118</v>
      </c>
      <c r="G8913" t="s">
        <v>7044</v>
      </c>
      <c r="H8913" t="s">
        <v>7035</v>
      </c>
      <c r="I8913">
        <v>0</v>
      </c>
      <c r="J8913" t="s">
        <v>7024</v>
      </c>
      <c r="K8913" t="s">
        <v>290</v>
      </c>
      <c r="L8913" t="s">
        <v>285</v>
      </c>
      <c r="M8913" t="str">
        <f t="shared" si="670"/>
        <v>11</v>
      </c>
      <c r="N8913" t="s">
        <v>12</v>
      </c>
    </row>
    <row r="8914" spans="1:14" x14ac:dyDescent="0.25">
      <c r="A8914">
        <v>20151120</v>
      </c>
      <c r="B8914" t="str">
        <f>"061164"</f>
        <v>061164</v>
      </c>
      <c r="C8914" t="str">
        <f>"30390"</f>
        <v>30390</v>
      </c>
      <c r="D8914" t="s">
        <v>3087</v>
      </c>
      <c r="E8914" s="3">
        <v>2095.54</v>
      </c>
      <c r="F8914">
        <v>20151118</v>
      </c>
      <c r="G8914" t="s">
        <v>7094</v>
      </c>
      <c r="H8914" t="s">
        <v>2091</v>
      </c>
      <c r="I8914">
        <v>0</v>
      </c>
      <c r="J8914" t="s">
        <v>7024</v>
      </c>
      <c r="K8914" t="s">
        <v>1643</v>
      </c>
      <c r="L8914" t="s">
        <v>285</v>
      </c>
      <c r="M8914" t="str">
        <f t="shared" si="670"/>
        <v>11</v>
      </c>
      <c r="N8914" t="s">
        <v>12</v>
      </c>
    </row>
    <row r="8915" spans="1:14" x14ac:dyDescent="0.25">
      <c r="A8915">
        <v>20151120</v>
      </c>
      <c r="B8915" t="str">
        <f>"061165"</f>
        <v>061165</v>
      </c>
      <c r="C8915" t="str">
        <f>"30463"</f>
        <v>30463</v>
      </c>
      <c r="D8915" t="s">
        <v>7235</v>
      </c>
      <c r="E8915" s="3">
        <v>1745.03</v>
      </c>
      <c r="F8915">
        <v>20151118</v>
      </c>
      <c r="G8915" t="s">
        <v>7170</v>
      </c>
      <c r="H8915" t="s">
        <v>643</v>
      </c>
      <c r="I8915">
        <v>0</v>
      </c>
      <c r="J8915" t="s">
        <v>7024</v>
      </c>
      <c r="K8915" t="s">
        <v>290</v>
      </c>
      <c r="L8915" t="s">
        <v>285</v>
      </c>
      <c r="M8915" t="str">
        <f t="shared" si="670"/>
        <v>11</v>
      </c>
      <c r="N8915" t="s">
        <v>12</v>
      </c>
    </row>
    <row r="8916" spans="1:14" x14ac:dyDescent="0.25">
      <c r="A8916">
        <v>20151120</v>
      </c>
      <c r="B8916" t="str">
        <f>"061170"</f>
        <v>061170</v>
      </c>
      <c r="C8916" t="str">
        <f>"31345"</f>
        <v>31345</v>
      </c>
      <c r="D8916" t="s">
        <v>426</v>
      </c>
      <c r="E8916" s="3">
        <v>1834.03</v>
      </c>
      <c r="F8916">
        <v>20151118</v>
      </c>
      <c r="G8916" t="s">
        <v>7062</v>
      </c>
      <c r="H8916" t="s">
        <v>7236</v>
      </c>
      <c r="I8916">
        <v>0</v>
      </c>
      <c r="J8916" t="s">
        <v>7024</v>
      </c>
      <c r="K8916" t="s">
        <v>290</v>
      </c>
      <c r="L8916" t="s">
        <v>285</v>
      </c>
      <c r="M8916" t="str">
        <f t="shared" si="670"/>
        <v>11</v>
      </c>
      <c r="N8916" t="s">
        <v>12</v>
      </c>
    </row>
    <row r="8917" spans="1:14" x14ac:dyDescent="0.25">
      <c r="A8917">
        <v>20151120</v>
      </c>
      <c r="B8917" t="str">
        <f>"061180"</f>
        <v>061180</v>
      </c>
      <c r="C8917" t="str">
        <f>"41876"</f>
        <v>41876</v>
      </c>
      <c r="D8917" t="s">
        <v>7237</v>
      </c>
      <c r="E8917" s="3">
        <v>1020</v>
      </c>
      <c r="F8917">
        <v>20151118</v>
      </c>
      <c r="G8917" t="s">
        <v>7026</v>
      </c>
      <c r="H8917" t="s">
        <v>7238</v>
      </c>
      <c r="I8917">
        <v>0</v>
      </c>
      <c r="J8917" t="s">
        <v>7024</v>
      </c>
      <c r="K8917" t="s">
        <v>1643</v>
      </c>
      <c r="L8917" t="s">
        <v>285</v>
      </c>
      <c r="M8917" t="str">
        <f t="shared" si="670"/>
        <v>11</v>
      </c>
      <c r="N8917" t="s">
        <v>12</v>
      </c>
    </row>
    <row r="8918" spans="1:14" x14ac:dyDescent="0.25">
      <c r="A8918">
        <v>20151120</v>
      </c>
      <c r="B8918" t="str">
        <f>"061195"</f>
        <v>061195</v>
      </c>
      <c r="C8918" t="str">
        <f>"55795"</f>
        <v>55795</v>
      </c>
      <c r="D8918" t="s">
        <v>4604</v>
      </c>
      <c r="E8918" s="3">
        <v>67.739999999999995</v>
      </c>
      <c r="F8918">
        <v>20151118</v>
      </c>
      <c r="G8918" t="s">
        <v>7114</v>
      </c>
      <c r="H8918" t="s">
        <v>7239</v>
      </c>
      <c r="I8918">
        <v>0</v>
      </c>
      <c r="J8918" t="s">
        <v>7024</v>
      </c>
      <c r="K8918" t="s">
        <v>2724</v>
      </c>
      <c r="L8918" t="s">
        <v>285</v>
      </c>
      <c r="M8918" t="str">
        <f t="shared" si="670"/>
        <v>11</v>
      </c>
      <c r="N8918" t="s">
        <v>12</v>
      </c>
    </row>
    <row r="8919" spans="1:14" x14ac:dyDescent="0.25">
      <c r="A8919">
        <v>20151120</v>
      </c>
      <c r="B8919" t="str">
        <f>"061195"</f>
        <v>061195</v>
      </c>
      <c r="C8919" t="str">
        <f>"55795"</f>
        <v>55795</v>
      </c>
      <c r="D8919" t="s">
        <v>4604</v>
      </c>
      <c r="E8919" s="3">
        <v>24.25</v>
      </c>
      <c r="F8919">
        <v>20151118</v>
      </c>
      <c r="G8919" t="s">
        <v>7114</v>
      </c>
      <c r="H8919" t="s">
        <v>7240</v>
      </c>
      <c r="I8919">
        <v>0</v>
      </c>
      <c r="J8919" t="s">
        <v>7024</v>
      </c>
      <c r="K8919" t="s">
        <v>2724</v>
      </c>
      <c r="L8919" t="s">
        <v>285</v>
      </c>
      <c r="M8919" t="str">
        <f t="shared" si="670"/>
        <v>11</v>
      </c>
      <c r="N8919" t="s">
        <v>12</v>
      </c>
    </row>
    <row r="8920" spans="1:14" x14ac:dyDescent="0.25">
      <c r="A8920">
        <v>20151120</v>
      </c>
      <c r="B8920" t="str">
        <f>"061204"</f>
        <v>061204</v>
      </c>
      <c r="C8920" t="str">
        <f>"58201"</f>
        <v>58201</v>
      </c>
      <c r="D8920" t="s">
        <v>1690</v>
      </c>
      <c r="E8920" s="3">
        <v>56.98</v>
      </c>
      <c r="F8920">
        <v>20151118</v>
      </c>
      <c r="G8920" t="s">
        <v>7241</v>
      </c>
      <c r="H8920" t="s">
        <v>7242</v>
      </c>
      <c r="I8920">
        <v>0</v>
      </c>
      <c r="J8920" t="s">
        <v>7024</v>
      </c>
      <c r="K8920" t="s">
        <v>33</v>
      </c>
      <c r="L8920" t="s">
        <v>285</v>
      </c>
      <c r="M8920" t="str">
        <f t="shared" si="670"/>
        <v>11</v>
      </c>
      <c r="N8920" t="s">
        <v>12</v>
      </c>
    </row>
    <row r="8921" spans="1:14" x14ac:dyDescent="0.25">
      <c r="A8921">
        <v>20151120</v>
      </c>
      <c r="B8921" t="str">
        <f>"061204"</f>
        <v>061204</v>
      </c>
      <c r="C8921" t="str">
        <f>"58201"</f>
        <v>58201</v>
      </c>
      <c r="D8921" t="s">
        <v>1690</v>
      </c>
      <c r="E8921" s="3">
        <v>90.47</v>
      </c>
      <c r="F8921">
        <v>20151118</v>
      </c>
      <c r="G8921" t="s">
        <v>7049</v>
      </c>
      <c r="H8921" t="s">
        <v>7243</v>
      </c>
      <c r="I8921">
        <v>0</v>
      </c>
      <c r="J8921" t="s">
        <v>7024</v>
      </c>
      <c r="K8921" t="s">
        <v>33</v>
      </c>
      <c r="L8921" t="s">
        <v>285</v>
      </c>
      <c r="M8921" t="str">
        <f t="shared" si="670"/>
        <v>11</v>
      </c>
      <c r="N8921" t="s">
        <v>12</v>
      </c>
    </row>
    <row r="8922" spans="1:14" x14ac:dyDescent="0.25">
      <c r="A8922">
        <v>20151120</v>
      </c>
      <c r="B8922" t="str">
        <f>"061215"</f>
        <v>061215</v>
      </c>
      <c r="C8922" t="str">
        <f>"63508"</f>
        <v>63508</v>
      </c>
      <c r="D8922" t="s">
        <v>1145</v>
      </c>
      <c r="E8922" s="3">
        <v>390</v>
      </c>
      <c r="F8922">
        <v>20151118</v>
      </c>
      <c r="G8922" t="s">
        <v>7023</v>
      </c>
      <c r="H8922" t="s">
        <v>7244</v>
      </c>
      <c r="I8922">
        <v>0</v>
      </c>
      <c r="J8922" t="s">
        <v>7024</v>
      </c>
      <c r="K8922" t="s">
        <v>290</v>
      </c>
      <c r="L8922" t="s">
        <v>285</v>
      </c>
      <c r="M8922" t="str">
        <f t="shared" si="670"/>
        <v>11</v>
      </c>
      <c r="N8922" t="s">
        <v>12</v>
      </c>
    </row>
    <row r="8923" spans="1:14" x14ac:dyDescent="0.25">
      <c r="A8923">
        <v>20151120</v>
      </c>
      <c r="B8923" t="str">
        <f>"061217"</f>
        <v>061217</v>
      </c>
      <c r="C8923" t="str">
        <f>"63624"</f>
        <v>63624</v>
      </c>
      <c r="D8923" t="s">
        <v>1043</v>
      </c>
      <c r="E8923" s="3">
        <v>200</v>
      </c>
      <c r="F8923">
        <v>20151118</v>
      </c>
      <c r="G8923" t="s">
        <v>7207</v>
      </c>
      <c r="H8923" t="s">
        <v>7245</v>
      </c>
      <c r="I8923">
        <v>0</v>
      </c>
      <c r="J8923" t="s">
        <v>7024</v>
      </c>
      <c r="K8923" t="s">
        <v>290</v>
      </c>
      <c r="L8923" t="s">
        <v>285</v>
      </c>
      <c r="M8923" t="str">
        <f t="shared" si="670"/>
        <v>11</v>
      </c>
      <c r="N8923" t="s">
        <v>12</v>
      </c>
    </row>
    <row r="8924" spans="1:14" x14ac:dyDescent="0.25">
      <c r="A8924">
        <v>20151120</v>
      </c>
      <c r="B8924" t="str">
        <f>"061218"</f>
        <v>061218</v>
      </c>
      <c r="C8924" t="str">
        <f>"64610"</f>
        <v>64610</v>
      </c>
      <c r="D8924" t="s">
        <v>678</v>
      </c>
      <c r="E8924" s="3">
        <v>72.5</v>
      </c>
      <c r="F8924">
        <v>20151118</v>
      </c>
      <c r="G8924" t="s">
        <v>7140</v>
      </c>
      <c r="H8924" t="s">
        <v>7246</v>
      </c>
      <c r="I8924">
        <v>0</v>
      </c>
      <c r="J8924" t="s">
        <v>7024</v>
      </c>
      <c r="K8924" t="s">
        <v>290</v>
      </c>
      <c r="L8924" t="s">
        <v>285</v>
      </c>
      <c r="M8924" t="str">
        <f t="shared" si="670"/>
        <v>11</v>
      </c>
      <c r="N8924" t="s">
        <v>12</v>
      </c>
    </row>
    <row r="8925" spans="1:14" x14ac:dyDescent="0.25">
      <c r="A8925">
        <v>20151120</v>
      </c>
      <c r="B8925" t="str">
        <f>"061227"</f>
        <v>061227</v>
      </c>
      <c r="C8925" t="str">
        <f>"74002"</f>
        <v>74002</v>
      </c>
      <c r="D8925" t="s">
        <v>7247</v>
      </c>
      <c r="E8925" s="3">
        <v>125.85</v>
      </c>
      <c r="F8925">
        <v>20151118</v>
      </c>
      <c r="G8925" t="s">
        <v>7044</v>
      </c>
      <c r="H8925" t="s">
        <v>7248</v>
      </c>
      <c r="I8925">
        <v>0</v>
      </c>
      <c r="J8925" t="s">
        <v>7024</v>
      </c>
      <c r="K8925" t="s">
        <v>290</v>
      </c>
      <c r="L8925" t="s">
        <v>285</v>
      </c>
      <c r="M8925" t="str">
        <f t="shared" si="670"/>
        <v>11</v>
      </c>
      <c r="N8925" t="s">
        <v>12</v>
      </c>
    </row>
    <row r="8926" spans="1:14" x14ac:dyDescent="0.25">
      <c r="A8926">
        <v>20151204</v>
      </c>
      <c r="B8926" t="str">
        <f>"061256"</f>
        <v>061256</v>
      </c>
      <c r="C8926" t="str">
        <f>"01150"</f>
        <v>01150</v>
      </c>
      <c r="D8926" t="s">
        <v>7225</v>
      </c>
      <c r="E8926" s="3">
        <v>282</v>
      </c>
      <c r="F8926">
        <v>20151203</v>
      </c>
      <c r="G8926" t="s">
        <v>7147</v>
      </c>
      <c r="H8926" t="s">
        <v>7249</v>
      </c>
      <c r="I8926">
        <v>0</v>
      </c>
      <c r="J8926" t="s">
        <v>7024</v>
      </c>
      <c r="K8926" t="s">
        <v>290</v>
      </c>
      <c r="L8926" t="s">
        <v>285</v>
      </c>
      <c r="M8926" t="str">
        <f t="shared" ref="M8926:M8957" si="671">"12"</f>
        <v>12</v>
      </c>
      <c r="N8926" t="s">
        <v>12</v>
      </c>
    </row>
    <row r="8927" spans="1:14" x14ac:dyDescent="0.25">
      <c r="A8927">
        <v>20151204</v>
      </c>
      <c r="B8927" t="str">
        <f>"061267"</f>
        <v>061267</v>
      </c>
      <c r="C8927" t="str">
        <f>"09170"</f>
        <v>09170</v>
      </c>
      <c r="D8927" t="s">
        <v>596</v>
      </c>
      <c r="E8927" s="3">
        <v>469.98</v>
      </c>
      <c r="F8927">
        <v>20151203</v>
      </c>
      <c r="G8927" t="s">
        <v>7207</v>
      </c>
      <c r="H8927" t="s">
        <v>7250</v>
      </c>
      <c r="I8927">
        <v>0</v>
      </c>
      <c r="J8927" t="s">
        <v>7024</v>
      </c>
      <c r="K8927" t="s">
        <v>290</v>
      </c>
      <c r="L8927" t="s">
        <v>285</v>
      </c>
      <c r="M8927" t="str">
        <f t="shared" si="671"/>
        <v>12</v>
      </c>
      <c r="N8927" t="s">
        <v>12</v>
      </c>
    </row>
    <row r="8928" spans="1:14" x14ac:dyDescent="0.25">
      <c r="A8928">
        <v>20151204</v>
      </c>
      <c r="B8928" t="str">
        <f>"061267"</f>
        <v>061267</v>
      </c>
      <c r="C8928" t="str">
        <f>"09170"</f>
        <v>09170</v>
      </c>
      <c r="D8928" t="s">
        <v>596</v>
      </c>
      <c r="E8928" s="3">
        <v>411.97</v>
      </c>
      <c r="F8928">
        <v>20151203</v>
      </c>
      <c r="G8928" t="s">
        <v>7044</v>
      </c>
      <c r="H8928" t="s">
        <v>694</v>
      </c>
      <c r="I8928">
        <v>0</v>
      </c>
      <c r="J8928" t="s">
        <v>7024</v>
      </c>
      <c r="K8928" t="s">
        <v>290</v>
      </c>
      <c r="L8928" t="s">
        <v>285</v>
      </c>
      <c r="M8928" t="str">
        <f t="shared" si="671"/>
        <v>12</v>
      </c>
      <c r="N8928" t="s">
        <v>12</v>
      </c>
    </row>
    <row r="8929" spans="1:14" x14ac:dyDescent="0.25">
      <c r="A8929">
        <v>20151204</v>
      </c>
      <c r="B8929" t="str">
        <f>"061267"</f>
        <v>061267</v>
      </c>
      <c r="C8929" t="str">
        <f>"09170"</f>
        <v>09170</v>
      </c>
      <c r="D8929" t="s">
        <v>596</v>
      </c>
      <c r="E8929" s="3">
        <v>134.97</v>
      </c>
      <c r="F8929">
        <v>20151203</v>
      </c>
      <c r="G8929" t="s">
        <v>7082</v>
      </c>
      <c r="H8929" t="s">
        <v>7251</v>
      </c>
      <c r="I8929">
        <v>0</v>
      </c>
      <c r="J8929" t="s">
        <v>7024</v>
      </c>
      <c r="K8929" t="s">
        <v>95</v>
      </c>
      <c r="L8929" t="s">
        <v>285</v>
      </c>
      <c r="M8929" t="str">
        <f t="shared" si="671"/>
        <v>12</v>
      </c>
      <c r="N8929" t="s">
        <v>12</v>
      </c>
    </row>
    <row r="8930" spans="1:14" x14ac:dyDescent="0.25">
      <c r="A8930">
        <v>20151204</v>
      </c>
      <c r="B8930" t="str">
        <f>"061269"</f>
        <v>061269</v>
      </c>
      <c r="C8930" t="str">
        <f>"11219"</f>
        <v>11219</v>
      </c>
      <c r="D8930" t="s">
        <v>7043</v>
      </c>
      <c r="E8930" s="3">
        <v>2899.42</v>
      </c>
      <c r="F8930">
        <v>20151203</v>
      </c>
      <c r="G8930" t="s">
        <v>7044</v>
      </c>
      <c r="H8930" t="s">
        <v>7252</v>
      </c>
      <c r="I8930">
        <v>0</v>
      </c>
      <c r="J8930" t="s">
        <v>7024</v>
      </c>
      <c r="K8930" t="s">
        <v>290</v>
      </c>
      <c r="L8930" t="s">
        <v>285</v>
      </c>
      <c r="M8930" t="str">
        <f t="shared" si="671"/>
        <v>12</v>
      </c>
      <c r="N8930" t="s">
        <v>12</v>
      </c>
    </row>
    <row r="8931" spans="1:14" x14ac:dyDescent="0.25">
      <c r="A8931">
        <v>20151204</v>
      </c>
      <c r="B8931" t="str">
        <f>"061270"</f>
        <v>061270</v>
      </c>
      <c r="C8931" t="str">
        <f>"11217"</f>
        <v>11217</v>
      </c>
      <c r="D8931" t="s">
        <v>7051</v>
      </c>
      <c r="E8931" s="3">
        <v>423</v>
      </c>
      <c r="F8931">
        <v>20151203</v>
      </c>
      <c r="G8931" t="s">
        <v>7253</v>
      </c>
      <c r="H8931" t="s">
        <v>7254</v>
      </c>
      <c r="I8931">
        <v>0</v>
      </c>
      <c r="J8931" t="s">
        <v>7024</v>
      </c>
      <c r="K8931" t="s">
        <v>95</v>
      </c>
      <c r="L8931" t="s">
        <v>285</v>
      </c>
      <c r="M8931" t="str">
        <f t="shared" si="671"/>
        <v>12</v>
      </c>
      <c r="N8931" t="s">
        <v>12</v>
      </c>
    </row>
    <row r="8932" spans="1:14" x14ac:dyDescent="0.25">
      <c r="A8932">
        <v>20151204</v>
      </c>
      <c r="B8932" t="str">
        <f>"061272"</f>
        <v>061272</v>
      </c>
      <c r="C8932" t="str">
        <f>"12480"</f>
        <v>12480</v>
      </c>
      <c r="D8932" t="s">
        <v>7255</v>
      </c>
      <c r="E8932" s="3">
        <v>1068.98</v>
      </c>
      <c r="F8932">
        <v>20151203</v>
      </c>
      <c r="G8932" t="s">
        <v>7082</v>
      </c>
      <c r="H8932" t="s">
        <v>7256</v>
      </c>
      <c r="I8932">
        <v>0</v>
      </c>
      <c r="J8932" t="s">
        <v>7024</v>
      </c>
      <c r="K8932" t="s">
        <v>95</v>
      </c>
      <c r="L8932" t="s">
        <v>285</v>
      </c>
      <c r="M8932" t="str">
        <f t="shared" si="671"/>
        <v>12</v>
      </c>
      <c r="N8932" t="s">
        <v>12</v>
      </c>
    </row>
    <row r="8933" spans="1:14" x14ac:dyDescent="0.25">
      <c r="A8933">
        <v>20151204</v>
      </c>
      <c r="B8933" t="str">
        <f>"061279"</f>
        <v>061279</v>
      </c>
      <c r="C8933" t="str">
        <f>"51346"</f>
        <v>51346</v>
      </c>
      <c r="D8933" t="s">
        <v>379</v>
      </c>
      <c r="E8933" s="3">
        <v>44</v>
      </c>
      <c r="F8933">
        <v>20151203</v>
      </c>
      <c r="G8933" t="s">
        <v>7197</v>
      </c>
      <c r="H8933" t="s">
        <v>7257</v>
      </c>
      <c r="I8933">
        <v>0</v>
      </c>
      <c r="J8933" t="s">
        <v>7024</v>
      </c>
      <c r="K8933" t="s">
        <v>33</v>
      </c>
      <c r="L8933" t="s">
        <v>285</v>
      </c>
      <c r="M8933" t="str">
        <f t="shared" si="671"/>
        <v>12</v>
      </c>
      <c r="N8933" t="s">
        <v>12</v>
      </c>
    </row>
    <row r="8934" spans="1:14" x14ac:dyDescent="0.25">
      <c r="A8934">
        <v>20151204</v>
      </c>
      <c r="B8934" t="str">
        <f>"061293"</f>
        <v>061293</v>
      </c>
      <c r="C8934" t="str">
        <f>"28776"</f>
        <v>28776</v>
      </c>
      <c r="D8934" t="s">
        <v>707</v>
      </c>
      <c r="E8934" s="3">
        <v>239.98</v>
      </c>
      <c r="F8934">
        <v>20151203</v>
      </c>
      <c r="G8934" t="s">
        <v>7227</v>
      </c>
      <c r="H8934" t="s">
        <v>709</v>
      </c>
      <c r="I8934">
        <v>0</v>
      </c>
      <c r="J8934" t="s">
        <v>7024</v>
      </c>
      <c r="K8934" t="s">
        <v>290</v>
      </c>
      <c r="L8934" t="s">
        <v>285</v>
      </c>
      <c r="M8934" t="str">
        <f t="shared" si="671"/>
        <v>12</v>
      </c>
      <c r="N8934" t="s">
        <v>12</v>
      </c>
    </row>
    <row r="8935" spans="1:14" x14ac:dyDescent="0.25">
      <c r="A8935">
        <v>20151204</v>
      </c>
      <c r="B8935" t="str">
        <f>"061300"</f>
        <v>061300</v>
      </c>
      <c r="C8935" t="str">
        <f>"31345"</f>
        <v>31345</v>
      </c>
      <c r="D8935" t="s">
        <v>426</v>
      </c>
      <c r="E8935" s="3">
        <v>976</v>
      </c>
      <c r="F8935">
        <v>20151203</v>
      </c>
      <c r="G8935" t="s">
        <v>7026</v>
      </c>
      <c r="H8935" t="s">
        <v>7258</v>
      </c>
      <c r="I8935">
        <v>0</v>
      </c>
      <c r="J8935" t="s">
        <v>7024</v>
      </c>
      <c r="K8935" t="s">
        <v>1643</v>
      </c>
      <c r="L8935" t="s">
        <v>285</v>
      </c>
      <c r="M8935" t="str">
        <f t="shared" si="671"/>
        <v>12</v>
      </c>
      <c r="N8935" t="s">
        <v>12</v>
      </c>
    </row>
    <row r="8936" spans="1:14" x14ac:dyDescent="0.25">
      <c r="A8936">
        <v>20151204</v>
      </c>
      <c r="B8936" t="str">
        <f>"061301"</f>
        <v>061301</v>
      </c>
      <c r="C8936" t="str">
        <f>"33701"</f>
        <v>33701</v>
      </c>
      <c r="D8936" t="s">
        <v>7259</v>
      </c>
      <c r="E8936" s="3">
        <v>1939</v>
      </c>
      <c r="F8936">
        <v>20151203</v>
      </c>
      <c r="G8936" t="s">
        <v>7260</v>
      </c>
      <c r="H8936" t="s">
        <v>7261</v>
      </c>
      <c r="I8936">
        <v>0</v>
      </c>
      <c r="J8936" t="s">
        <v>7024</v>
      </c>
      <c r="K8936" t="s">
        <v>290</v>
      </c>
      <c r="L8936" t="s">
        <v>285</v>
      </c>
      <c r="M8936" t="str">
        <f t="shared" si="671"/>
        <v>12</v>
      </c>
      <c r="N8936" t="s">
        <v>12</v>
      </c>
    </row>
    <row r="8937" spans="1:14" x14ac:dyDescent="0.25">
      <c r="A8937">
        <v>20151204</v>
      </c>
      <c r="B8937" t="str">
        <f>"061307"</f>
        <v>061307</v>
      </c>
      <c r="C8937" t="str">
        <f>"34949"</f>
        <v>34949</v>
      </c>
      <c r="D8937" t="s">
        <v>396</v>
      </c>
      <c r="E8937" s="3">
        <v>120</v>
      </c>
      <c r="F8937">
        <v>20151203</v>
      </c>
      <c r="G8937" t="s">
        <v>7023</v>
      </c>
      <c r="H8937" t="s">
        <v>7262</v>
      </c>
      <c r="I8937">
        <v>0</v>
      </c>
      <c r="J8937" t="s">
        <v>7024</v>
      </c>
      <c r="K8937" t="s">
        <v>290</v>
      </c>
      <c r="L8937" t="s">
        <v>285</v>
      </c>
      <c r="M8937" t="str">
        <f t="shared" si="671"/>
        <v>12</v>
      </c>
      <c r="N8937" t="s">
        <v>12</v>
      </c>
    </row>
    <row r="8938" spans="1:14" x14ac:dyDescent="0.25">
      <c r="A8938">
        <v>20151204</v>
      </c>
      <c r="B8938" t="str">
        <f>"061308"</f>
        <v>061308</v>
      </c>
      <c r="C8938" t="str">
        <f>"37551"</f>
        <v>37551</v>
      </c>
      <c r="D8938" t="s">
        <v>7263</v>
      </c>
      <c r="E8938" s="3">
        <v>353.6</v>
      </c>
      <c r="F8938">
        <v>20151203</v>
      </c>
      <c r="G8938" t="s">
        <v>7094</v>
      </c>
      <c r="H8938" t="s">
        <v>2091</v>
      </c>
      <c r="I8938">
        <v>0</v>
      </c>
      <c r="J8938" t="s">
        <v>7024</v>
      </c>
      <c r="K8938" t="s">
        <v>1643</v>
      </c>
      <c r="L8938" t="s">
        <v>285</v>
      </c>
      <c r="M8938" t="str">
        <f t="shared" si="671"/>
        <v>12</v>
      </c>
      <c r="N8938" t="s">
        <v>12</v>
      </c>
    </row>
    <row r="8939" spans="1:14" x14ac:dyDescent="0.25">
      <c r="A8939">
        <v>20151204</v>
      </c>
      <c r="B8939" t="str">
        <f>"061308"</f>
        <v>061308</v>
      </c>
      <c r="C8939" t="str">
        <f>"37551"</f>
        <v>37551</v>
      </c>
      <c r="D8939" t="s">
        <v>7263</v>
      </c>
      <c r="E8939" s="3">
        <v>514.6</v>
      </c>
      <c r="F8939">
        <v>20151203</v>
      </c>
      <c r="G8939" t="s">
        <v>7192</v>
      </c>
      <c r="H8939" t="s">
        <v>2091</v>
      </c>
      <c r="I8939">
        <v>0</v>
      </c>
      <c r="J8939" t="s">
        <v>7024</v>
      </c>
      <c r="K8939" t="s">
        <v>33</v>
      </c>
      <c r="L8939" t="s">
        <v>285</v>
      </c>
      <c r="M8939" t="str">
        <f t="shared" si="671"/>
        <v>12</v>
      </c>
      <c r="N8939" t="s">
        <v>12</v>
      </c>
    </row>
    <row r="8940" spans="1:14" x14ac:dyDescent="0.25">
      <c r="A8940">
        <v>20151204</v>
      </c>
      <c r="B8940" t="str">
        <f>"061309"</f>
        <v>061309</v>
      </c>
      <c r="C8940" t="str">
        <f>"37771"</f>
        <v>37771</v>
      </c>
      <c r="D8940" t="s">
        <v>7135</v>
      </c>
      <c r="E8940" s="3">
        <v>420</v>
      </c>
      <c r="F8940">
        <v>20151203</v>
      </c>
      <c r="G8940" t="s">
        <v>7192</v>
      </c>
      <c r="H8940" t="s">
        <v>4857</v>
      </c>
      <c r="I8940">
        <v>0</v>
      </c>
      <c r="J8940" t="s">
        <v>7024</v>
      </c>
      <c r="K8940" t="s">
        <v>33</v>
      </c>
      <c r="L8940" t="s">
        <v>285</v>
      </c>
      <c r="M8940" t="str">
        <f t="shared" si="671"/>
        <v>12</v>
      </c>
      <c r="N8940" t="s">
        <v>12</v>
      </c>
    </row>
    <row r="8941" spans="1:14" x14ac:dyDescent="0.25">
      <c r="A8941">
        <v>20151204</v>
      </c>
      <c r="B8941" t="str">
        <f>"061318"</f>
        <v>061318</v>
      </c>
      <c r="C8941" t="str">
        <f>"48470"</f>
        <v>48470</v>
      </c>
      <c r="D8941" t="s">
        <v>2335</v>
      </c>
      <c r="E8941" s="3">
        <v>433.97</v>
      </c>
      <c r="F8941">
        <v>20151204</v>
      </c>
      <c r="G8941" t="s">
        <v>7089</v>
      </c>
      <c r="H8941" t="s">
        <v>7264</v>
      </c>
      <c r="I8941">
        <v>0</v>
      </c>
      <c r="J8941" t="s">
        <v>7024</v>
      </c>
      <c r="K8941" t="s">
        <v>290</v>
      </c>
      <c r="L8941" t="s">
        <v>285</v>
      </c>
      <c r="M8941" t="str">
        <f t="shared" si="671"/>
        <v>12</v>
      </c>
      <c r="N8941" t="s">
        <v>12</v>
      </c>
    </row>
    <row r="8942" spans="1:14" x14ac:dyDescent="0.25">
      <c r="A8942">
        <v>20151204</v>
      </c>
      <c r="B8942" t="str">
        <f>"061320"</f>
        <v>061320</v>
      </c>
      <c r="C8942" t="str">
        <f>"49445"</f>
        <v>49445</v>
      </c>
      <c r="D8942" t="s">
        <v>575</v>
      </c>
      <c r="E8942" s="3">
        <v>749.95</v>
      </c>
      <c r="F8942">
        <v>20151203</v>
      </c>
      <c r="G8942" t="s">
        <v>7265</v>
      </c>
      <c r="H8942" t="s">
        <v>7266</v>
      </c>
      <c r="I8942">
        <v>0</v>
      </c>
      <c r="J8942" t="s">
        <v>7024</v>
      </c>
      <c r="K8942" t="s">
        <v>290</v>
      </c>
      <c r="L8942" t="s">
        <v>285</v>
      </c>
      <c r="M8942" t="str">
        <f t="shared" si="671"/>
        <v>12</v>
      </c>
      <c r="N8942" t="s">
        <v>12</v>
      </c>
    </row>
    <row r="8943" spans="1:14" x14ac:dyDescent="0.25">
      <c r="A8943">
        <v>20151204</v>
      </c>
      <c r="B8943" t="str">
        <f>"061327"</f>
        <v>061327</v>
      </c>
      <c r="C8943" t="str">
        <f>"54092"</f>
        <v>54092</v>
      </c>
      <c r="D8943" t="s">
        <v>7267</v>
      </c>
      <c r="E8943" s="3">
        <v>741.15</v>
      </c>
      <c r="F8943">
        <v>20151203</v>
      </c>
      <c r="G8943" t="s">
        <v>7026</v>
      </c>
      <c r="H8943" t="s">
        <v>7268</v>
      </c>
      <c r="I8943">
        <v>0</v>
      </c>
      <c r="J8943" t="s">
        <v>7024</v>
      </c>
      <c r="K8943" t="s">
        <v>1643</v>
      </c>
      <c r="L8943" t="s">
        <v>285</v>
      </c>
      <c r="M8943" t="str">
        <f t="shared" si="671"/>
        <v>12</v>
      </c>
      <c r="N8943" t="s">
        <v>12</v>
      </c>
    </row>
    <row r="8944" spans="1:14" x14ac:dyDescent="0.25">
      <c r="A8944">
        <v>20151204</v>
      </c>
      <c r="B8944" t="str">
        <f>"061333"</f>
        <v>061333</v>
      </c>
      <c r="C8944" t="str">
        <f>"57554"</f>
        <v>57554</v>
      </c>
      <c r="D8944" t="s">
        <v>443</v>
      </c>
      <c r="E8944" s="3">
        <v>80</v>
      </c>
      <c r="F8944">
        <v>20151204</v>
      </c>
      <c r="G8944" t="s">
        <v>7119</v>
      </c>
      <c r="H8944" t="s">
        <v>7191</v>
      </c>
      <c r="I8944">
        <v>0</v>
      </c>
      <c r="J8944" t="s">
        <v>7024</v>
      </c>
      <c r="K8944" t="s">
        <v>7068</v>
      </c>
      <c r="L8944" t="s">
        <v>285</v>
      </c>
      <c r="M8944" t="str">
        <f t="shared" si="671"/>
        <v>12</v>
      </c>
      <c r="N8944" t="s">
        <v>12</v>
      </c>
    </row>
    <row r="8945" spans="1:14" x14ac:dyDescent="0.25">
      <c r="A8945">
        <v>20151204</v>
      </c>
      <c r="B8945" t="str">
        <f>"061334"</f>
        <v>061334</v>
      </c>
      <c r="C8945" t="str">
        <f>"57662"</f>
        <v>57662</v>
      </c>
      <c r="D8945" t="s">
        <v>2364</v>
      </c>
      <c r="E8945" s="3">
        <v>550</v>
      </c>
      <c r="F8945">
        <v>20151204</v>
      </c>
      <c r="G8945" t="s">
        <v>7062</v>
      </c>
      <c r="H8945" t="s">
        <v>5671</v>
      </c>
      <c r="I8945">
        <v>0</v>
      </c>
      <c r="J8945" t="s">
        <v>7024</v>
      </c>
      <c r="K8945" t="s">
        <v>290</v>
      </c>
      <c r="L8945" t="s">
        <v>285</v>
      </c>
      <c r="M8945" t="str">
        <f t="shared" si="671"/>
        <v>12</v>
      </c>
      <c r="N8945" t="s">
        <v>12</v>
      </c>
    </row>
    <row r="8946" spans="1:14" x14ac:dyDescent="0.25">
      <c r="A8946">
        <v>20151204</v>
      </c>
      <c r="B8946" t="str">
        <f>"061339"</f>
        <v>061339</v>
      </c>
      <c r="C8946" t="str">
        <f>"60853"</f>
        <v>60853</v>
      </c>
      <c r="D8946" t="s">
        <v>676</v>
      </c>
      <c r="E8946" s="3">
        <v>364</v>
      </c>
      <c r="F8946">
        <v>20151204</v>
      </c>
      <c r="G8946" t="s">
        <v>7269</v>
      </c>
      <c r="H8946" t="s">
        <v>836</v>
      </c>
      <c r="I8946">
        <v>0</v>
      </c>
      <c r="J8946" t="s">
        <v>7024</v>
      </c>
      <c r="K8946" t="s">
        <v>95</v>
      </c>
      <c r="L8946" t="s">
        <v>285</v>
      </c>
      <c r="M8946" t="str">
        <f t="shared" si="671"/>
        <v>12</v>
      </c>
      <c r="N8946" t="s">
        <v>12</v>
      </c>
    </row>
    <row r="8947" spans="1:14" x14ac:dyDescent="0.25">
      <c r="A8947">
        <v>20151204</v>
      </c>
      <c r="B8947" t="str">
        <f>"061341"</f>
        <v>061341</v>
      </c>
      <c r="C8947" t="str">
        <f>"63508"</f>
        <v>63508</v>
      </c>
      <c r="D8947" t="s">
        <v>1145</v>
      </c>
      <c r="E8947" s="3">
        <v>560</v>
      </c>
      <c r="F8947">
        <v>20151204</v>
      </c>
      <c r="G8947" t="s">
        <v>7023</v>
      </c>
      <c r="H8947" t="s">
        <v>7270</v>
      </c>
      <c r="I8947">
        <v>0</v>
      </c>
      <c r="J8947" t="s">
        <v>7024</v>
      </c>
      <c r="K8947" t="s">
        <v>290</v>
      </c>
      <c r="L8947" t="s">
        <v>285</v>
      </c>
      <c r="M8947" t="str">
        <f t="shared" si="671"/>
        <v>12</v>
      </c>
      <c r="N8947" t="s">
        <v>12</v>
      </c>
    </row>
    <row r="8948" spans="1:14" x14ac:dyDescent="0.25">
      <c r="A8948">
        <v>20151204</v>
      </c>
      <c r="B8948" t="str">
        <f>"061343"</f>
        <v>061343</v>
      </c>
      <c r="C8948" t="str">
        <f>"63603"</f>
        <v>63603</v>
      </c>
      <c r="D8948" t="s">
        <v>2185</v>
      </c>
      <c r="E8948" s="3">
        <v>90</v>
      </c>
      <c r="F8948">
        <v>20151204</v>
      </c>
      <c r="G8948" t="s">
        <v>7023</v>
      </c>
      <c r="H8948" t="s">
        <v>7271</v>
      </c>
      <c r="I8948">
        <v>0</v>
      </c>
      <c r="J8948" t="s">
        <v>7024</v>
      </c>
      <c r="K8948" t="s">
        <v>290</v>
      </c>
      <c r="L8948" t="s">
        <v>285</v>
      </c>
      <c r="M8948" t="str">
        <f t="shared" si="671"/>
        <v>12</v>
      </c>
      <c r="N8948" t="s">
        <v>12</v>
      </c>
    </row>
    <row r="8949" spans="1:14" x14ac:dyDescent="0.25">
      <c r="A8949">
        <v>20151204</v>
      </c>
      <c r="B8949" t="str">
        <f>"061350"</f>
        <v>061350</v>
      </c>
      <c r="C8949" t="str">
        <f>"73994"</f>
        <v>73994</v>
      </c>
      <c r="D8949" t="s">
        <v>7272</v>
      </c>
      <c r="E8949" s="3">
        <v>205.4</v>
      </c>
      <c r="F8949">
        <v>20151204</v>
      </c>
      <c r="G8949" t="s">
        <v>7044</v>
      </c>
      <c r="H8949" t="s">
        <v>767</v>
      </c>
      <c r="I8949">
        <v>0</v>
      </c>
      <c r="J8949" t="s">
        <v>7024</v>
      </c>
      <c r="K8949" t="s">
        <v>290</v>
      </c>
      <c r="L8949" t="s">
        <v>285</v>
      </c>
      <c r="M8949" t="str">
        <f t="shared" si="671"/>
        <v>12</v>
      </c>
      <c r="N8949" t="s">
        <v>12</v>
      </c>
    </row>
    <row r="8950" spans="1:14" x14ac:dyDescent="0.25">
      <c r="A8950">
        <v>20151204</v>
      </c>
      <c r="B8950" t="str">
        <f>"061360"</f>
        <v>061360</v>
      </c>
      <c r="C8950" t="str">
        <f>"80755"</f>
        <v>80755</v>
      </c>
      <c r="D8950" t="s">
        <v>723</v>
      </c>
      <c r="E8950" s="3">
        <v>376.35</v>
      </c>
      <c r="F8950">
        <v>20151204</v>
      </c>
      <c r="G8950" t="s">
        <v>7207</v>
      </c>
      <c r="H8950" t="s">
        <v>7273</v>
      </c>
      <c r="I8950">
        <v>0</v>
      </c>
      <c r="J8950" t="s">
        <v>7024</v>
      </c>
      <c r="K8950" t="s">
        <v>290</v>
      </c>
      <c r="L8950" t="s">
        <v>285</v>
      </c>
      <c r="M8950" t="str">
        <f t="shared" si="671"/>
        <v>12</v>
      </c>
      <c r="N8950" t="s">
        <v>12</v>
      </c>
    </row>
    <row r="8951" spans="1:14" x14ac:dyDescent="0.25">
      <c r="A8951">
        <v>20151204</v>
      </c>
      <c r="B8951" t="str">
        <f t="shared" ref="B8951:B8966" si="672">"061364"</f>
        <v>061364</v>
      </c>
      <c r="C8951" t="str">
        <f t="shared" ref="C8951:C8966" si="673">"83022"</f>
        <v>83022</v>
      </c>
      <c r="D8951" t="s">
        <v>394</v>
      </c>
      <c r="E8951" s="3">
        <v>77.8</v>
      </c>
      <c r="F8951">
        <v>20151204</v>
      </c>
      <c r="G8951" t="s">
        <v>7175</v>
      </c>
      <c r="H8951" t="s">
        <v>2682</v>
      </c>
      <c r="I8951">
        <v>0</v>
      </c>
      <c r="J8951" t="s">
        <v>7024</v>
      </c>
      <c r="K8951" t="s">
        <v>33</v>
      </c>
      <c r="L8951" t="s">
        <v>285</v>
      </c>
      <c r="M8951" t="str">
        <f t="shared" si="671"/>
        <v>12</v>
      </c>
      <c r="N8951" t="s">
        <v>12</v>
      </c>
    </row>
    <row r="8952" spans="1:14" x14ac:dyDescent="0.25">
      <c r="A8952">
        <v>20151204</v>
      </c>
      <c r="B8952" t="str">
        <f t="shared" si="672"/>
        <v>061364</v>
      </c>
      <c r="C8952" t="str">
        <f t="shared" si="673"/>
        <v>83022</v>
      </c>
      <c r="D8952" t="s">
        <v>394</v>
      </c>
      <c r="E8952" s="3">
        <v>33.61</v>
      </c>
      <c r="F8952">
        <v>20151204</v>
      </c>
      <c r="G8952" t="s">
        <v>7274</v>
      </c>
      <c r="H8952" t="s">
        <v>7275</v>
      </c>
      <c r="I8952">
        <v>0</v>
      </c>
      <c r="J8952" t="s">
        <v>7024</v>
      </c>
      <c r="K8952" t="s">
        <v>33</v>
      </c>
      <c r="L8952" t="s">
        <v>285</v>
      </c>
      <c r="M8952" t="str">
        <f t="shared" si="671"/>
        <v>12</v>
      </c>
      <c r="N8952" t="s">
        <v>12</v>
      </c>
    </row>
    <row r="8953" spans="1:14" x14ac:dyDescent="0.25">
      <c r="A8953">
        <v>20151204</v>
      </c>
      <c r="B8953" t="str">
        <f t="shared" si="672"/>
        <v>061364</v>
      </c>
      <c r="C8953" t="str">
        <f t="shared" si="673"/>
        <v>83022</v>
      </c>
      <c r="D8953" t="s">
        <v>394</v>
      </c>
      <c r="E8953" s="3">
        <v>131.78</v>
      </c>
      <c r="F8953">
        <v>20151204</v>
      </c>
      <c r="G8953" t="s">
        <v>7170</v>
      </c>
      <c r="H8953" t="s">
        <v>7276</v>
      </c>
      <c r="I8953">
        <v>0</v>
      </c>
      <c r="J8953" t="s">
        <v>7024</v>
      </c>
      <c r="K8953" t="s">
        <v>290</v>
      </c>
      <c r="L8953" t="s">
        <v>285</v>
      </c>
      <c r="M8953" t="str">
        <f t="shared" si="671"/>
        <v>12</v>
      </c>
      <c r="N8953" t="s">
        <v>12</v>
      </c>
    </row>
    <row r="8954" spans="1:14" x14ac:dyDescent="0.25">
      <c r="A8954">
        <v>20151204</v>
      </c>
      <c r="B8954" t="str">
        <f t="shared" si="672"/>
        <v>061364</v>
      </c>
      <c r="C8954" t="str">
        <f t="shared" si="673"/>
        <v>83022</v>
      </c>
      <c r="D8954" t="s">
        <v>394</v>
      </c>
      <c r="E8954" s="3">
        <v>345.43</v>
      </c>
      <c r="F8954">
        <v>20151204</v>
      </c>
      <c r="G8954" t="s">
        <v>7107</v>
      </c>
      <c r="H8954" t="s">
        <v>7277</v>
      </c>
      <c r="I8954">
        <v>0</v>
      </c>
      <c r="J8954" t="s">
        <v>7024</v>
      </c>
      <c r="K8954" t="s">
        <v>95</v>
      </c>
      <c r="L8954" t="s">
        <v>285</v>
      </c>
      <c r="M8954" t="str">
        <f t="shared" si="671"/>
        <v>12</v>
      </c>
      <c r="N8954" t="s">
        <v>12</v>
      </c>
    </row>
    <row r="8955" spans="1:14" x14ac:dyDescent="0.25">
      <c r="A8955">
        <v>20151204</v>
      </c>
      <c r="B8955" t="str">
        <f t="shared" si="672"/>
        <v>061364</v>
      </c>
      <c r="C8955" t="str">
        <f t="shared" si="673"/>
        <v>83022</v>
      </c>
      <c r="D8955" t="s">
        <v>394</v>
      </c>
      <c r="E8955" s="3">
        <v>160.75</v>
      </c>
      <c r="F8955">
        <v>20151204</v>
      </c>
      <c r="G8955" t="s">
        <v>7023</v>
      </c>
      <c r="H8955" t="s">
        <v>7278</v>
      </c>
      <c r="I8955">
        <v>0</v>
      </c>
      <c r="J8955" t="s">
        <v>7024</v>
      </c>
      <c r="K8955" t="s">
        <v>290</v>
      </c>
      <c r="L8955" t="s">
        <v>285</v>
      </c>
      <c r="M8955" t="str">
        <f t="shared" si="671"/>
        <v>12</v>
      </c>
      <c r="N8955" t="s">
        <v>12</v>
      </c>
    </row>
    <row r="8956" spans="1:14" x14ac:dyDescent="0.25">
      <c r="A8956">
        <v>20151204</v>
      </c>
      <c r="B8956" t="str">
        <f t="shared" si="672"/>
        <v>061364</v>
      </c>
      <c r="C8956" t="str">
        <f t="shared" si="673"/>
        <v>83022</v>
      </c>
      <c r="D8956" t="s">
        <v>394</v>
      </c>
      <c r="E8956" s="3">
        <v>76.44</v>
      </c>
      <c r="F8956">
        <v>20151204</v>
      </c>
      <c r="G8956" t="s">
        <v>7023</v>
      </c>
      <c r="H8956" t="s">
        <v>7278</v>
      </c>
      <c r="I8956">
        <v>0</v>
      </c>
      <c r="J8956" t="s">
        <v>7024</v>
      </c>
      <c r="K8956" t="s">
        <v>290</v>
      </c>
      <c r="L8956" t="s">
        <v>285</v>
      </c>
      <c r="M8956" t="str">
        <f t="shared" si="671"/>
        <v>12</v>
      </c>
      <c r="N8956" t="s">
        <v>12</v>
      </c>
    </row>
    <row r="8957" spans="1:14" x14ac:dyDescent="0.25">
      <c r="A8957">
        <v>20151204</v>
      </c>
      <c r="B8957" t="str">
        <f t="shared" si="672"/>
        <v>061364</v>
      </c>
      <c r="C8957" t="str">
        <f t="shared" si="673"/>
        <v>83022</v>
      </c>
      <c r="D8957" t="s">
        <v>394</v>
      </c>
      <c r="E8957" s="3">
        <v>288.64</v>
      </c>
      <c r="F8957">
        <v>20151204</v>
      </c>
      <c r="G8957" t="s">
        <v>7023</v>
      </c>
      <c r="H8957" t="s">
        <v>7278</v>
      </c>
      <c r="I8957">
        <v>0</v>
      </c>
      <c r="J8957" t="s">
        <v>7024</v>
      </c>
      <c r="K8957" t="s">
        <v>290</v>
      </c>
      <c r="L8957" t="s">
        <v>285</v>
      </c>
      <c r="M8957" t="str">
        <f t="shared" si="671"/>
        <v>12</v>
      </c>
      <c r="N8957" t="s">
        <v>12</v>
      </c>
    </row>
    <row r="8958" spans="1:14" x14ac:dyDescent="0.25">
      <c r="A8958">
        <v>20151204</v>
      </c>
      <c r="B8958" t="str">
        <f t="shared" si="672"/>
        <v>061364</v>
      </c>
      <c r="C8958" t="str">
        <f t="shared" si="673"/>
        <v>83022</v>
      </c>
      <c r="D8958" t="s">
        <v>394</v>
      </c>
      <c r="E8958" s="3">
        <v>68.66</v>
      </c>
      <c r="F8958">
        <v>20151204</v>
      </c>
      <c r="G8958" t="s">
        <v>7023</v>
      </c>
      <c r="H8958" t="s">
        <v>7278</v>
      </c>
      <c r="I8958">
        <v>0</v>
      </c>
      <c r="J8958" t="s">
        <v>7024</v>
      </c>
      <c r="K8958" t="s">
        <v>290</v>
      </c>
      <c r="L8958" t="s">
        <v>285</v>
      </c>
      <c r="M8958" t="str">
        <f t="shared" ref="M8958:M8989" si="674">"12"</f>
        <v>12</v>
      </c>
      <c r="N8958" t="s">
        <v>12</v>
      </c>
    </row>
    <row r="8959" spans="1:14" x14ac:dyDescent="0.25">
      <c r="A8959">
        <v>20151204</v>
      </c>
      <c r="B8959" t="str">
        <f t="shared" si="672"/>
        <v>061364</v>
      </c>
      <c r="C8959" t="str">
        <f t="shared" si="673"/>
        <v>83022</v>
      </c>
      <c r="D8959" t="s">
        <v>394</v>
      </c>
      <c r="E8959" s="3">
        <v>37.44</v>
      </c>
      <c r="F8959">
        <v>20151204</v>
      </c>
      <c r="G8959" t="s">
        <v>7082</v>
      </c>
      <c r="H8959" t="s">
        <v>2752</v>
      </c>
      <c r="I8959">
        <v>0</v>
      </c>
      <c r="J8959" t="s">
        <v>7024</v>
      </c>
      <c r="K8959" t="s">
        <v>95</v>
      </c>
      <c r="L8959" t="s">
        <v>285</v>
      </c>
      <c r="M8959" t="str">
        <f t="shared" si="674"/>
        <v>12</v>
      </c>
      <c r="N8959" t="s">
        <v>12</v>
      </c>
    </row>
    <row r="8960" spans="1:14" x14ac:dyDescent="0.25">
      <c r="A8960">
        <v>20151204</v>
      </c>
      <c r="B8960" t="str">
        <f t="shared" si="672"/>
        <v>061364</v>
      </c>
      <c r="C8960" t="str">
        <f t="shared" si="673"/>
        <v>83022</v>
      </c>
      <c r="D8960" t="s">
        <v>394</v>
      </c>
      <c r="E8960" s="3">
        <v>168.33</v>
      </c>
      <c r="F8960">
        <v>20151204</v>
      </c>
      <c r="G8960" t="s">
        <v>7026</v>
      </c>
      <c r="H8960" t="s">
        <v>5398</v>
      </c>
      <c r="I8960">
        <v>0</v>
      </c>
      <c r="J8960" t="s">
        <v>7024</v>
      </c>
      <c r="K8960" t="s">
        <v>1643</v>
      </c>
      <c r="L8960" t="s">
        <v>285</v>
      </c>
      <c r="M8960" t="str">
        <f t="shared" si="674"/>
        <v>12</v>
      </c>
      <c r="N8960" t="s">
        <v>12</v>
      </c>
    </row>
    <row r="8961" spans="1:14" x14ac:dyDescent="0.25">
      <c r="A8961">
        <v>20151204</v>
      </c>
      <c r="B8961" t="str">
        <f t="shared" si="672"/>
        <v>061364</v>
      </c>
      <c r="C8961" t="str">
        <f t="shared" si="673"/>
        <v>83022</v>
      </c>
      <c r="D8961" t="s">
        <v>394</v>
      </c>
      <c r="E8961" s="3">
        <v>133.63999999999999</v>
      </c>
      <c r="F8961">
        <v>20151204</v>
      </c>
      <c r="G8961" t="s">
        <v>7126</v>
      </c>
      <c r="H8961" t="s">
        <v>7279</v>
      </c>
      <c r="I8961">
        <v>0</v>
      </c>
      <c r="J8961" t="s">
        <v>7024</v>
      </c>
      <c r="K8961" t="s">
        <v>290</v>
      </c>
      <c r="L8961" t="s">
        <v>285</v>
      </c>
      <c r="M8961" t="str">
        <f t="shared" si="674"/>
        <v>12</v>
      </c>
      <c r="N8961" t="s">
        <v>12</v>
      </c>
    </row>
    <row r="8962" spans="1:14" x14ac:dyDescent="0.25">
      <c r="A8962">
        <v>20151204</v>
      </c>
      <c r="B8962" t="str">
        <f t="shared" si="672"/>
        <v>061364</v>
      </c>
      <c r="C8962" t="str">
        <f t="shared" si="673"/>
        <v>83022</v>
      </c>
      <c r="D8962" t="s">
        <v>394</v>
      </c>
      <c r="E8962" s="3">
        <v>95</v>
      </c>
      <c r="F8962">
        <v>20151204</v>
      </c>
      <c r="G8962" t="s">
        <v>7126</v>
      </c>
      <c r="H8962" t="s">
        <v>2509</v>
      </c>
      <c r="I8962">
        <v>0</v>
      </c>
      <c r="J8962" t="s">
        <v>7024</v>
      </c>
      <c r="K8962" t="s">
        <v>290</v>
      </c>
      <c r="L8962" t="s">
        <v>285</v>
      </c>
      <c r="M8962" t="str">
        <f t="shared" si="674"/>
        <v>12</v>
      </c>
      <c r="N8962" t="s">
        <v>12</v>
      </c>
    </row>
    <row r="8963" spans="1:14" x14ac:dyDescent="0.25">
      <c r="A8963">
        <v>20151204</v>
      </c>
      <c r="B8963" t="str">
        <f t="shared" si="672"/>
        <v>061364</v>
      </c>
      <c r="C8963" t="str">
        <f t="shared" si="673"/>
        <v>83022</v>
      </c>
      <c r="D8963" t="s">
        <v>394</v>
      </c>
      <c r="E8963" s="3">
        <v>89.97</v>
      </c>
      <c r="F8963">
        <v>20151204</v>
      </c>
      <c r="G8963" t="s">
        <v>7280</v>
      </c>
      <c r="H8963" t="s">
        <v>7281</v>
      </c>
      <c r="I8963">
        <v>0</v>
      </c>
      <c r="J8963" t="s">
        <v>7024</v>
      </c>
      <c r="K8963" t="s">
        <v>33</v>
      </c>
      <c r="L8963" t="s">
        <v>285</v>
      </c>
      <c r="M8963" t="str">
        <f t="shared" si="674"/>
        <v>12</v>
      </c>
      <c r="N8963" t="s">
        <v>12</v>
      </c>
    </row>
    <row r="8964" spans="1:14" x14ac:dyDescent="0.25">
      <c r="A8964">
        <v>20151204</v>
      </c>
      <c r="B8964" t="str">
        <f t="shared" si="672"/>
        <v>061364</v>
      </c>
      <c r="C8964" t="str">
        <f t="shared" si="673"/>
        <v>83022</v>
      </c>
      <c r="D8964" t="s">
        <v>394</v>
      </c>
      <c r="E8964" s="3">
        <v>22.23</v>
      </c>
      <c r="F8964">
        <v>20151204</v>
      </c>
      <c r="G8964" t="s">
        <v>7179</v>
      </c>
      <c r="H8964" t="s">
        <v>7282</v>
      </c>
      <c r="I8964">
        <v>0</v>
      </c>
      <c r="J8964" t="s">
        <v>7024</v>
      </c>
      <c r="K8964" t="s">
        <v>95</v>
      </c>
      <c r="L8964" t="s">
        <v>285</v>
      </c>
      <c r="M8964" t="str">
        <f t="shared" si="674"/>
        <v>12</v>
      </c>
      <c r="N8964" t="s">
        <v>12</v>
      </c>
    </row>
    <row r="8965" spans="1:14" x14ac:dyDescent="0.25">
      <c r="A8965">
        <v>20151204</v>
      </c>
      <c r="B8965" t="str">
        <f t="shared" si="672"/>
        <v>061364</v>
      </c>
      <c r="C8965" t="str">
        <f t="shared" si="673"/>
        <v>83022</v>
      </c>
      <c r="D8965" t="s">
        <v>394</v>
      </c>
      <c r="E8965" s="3">
        <v>275.61</v>
      </c>
      <c r="F8965">
        <v>20151204</v>
      </c>
      <c r="G8965" t="s">
        <v>7049</v>
      </c>
      <c r="H8965" t="s">
        <v>3291</v>
      </c>
      <c r="I8965">
        <v>0</v>
      </c>
      <c r="J8965" t="s">
        <v>7024</v>
      </c>
      <c r="K8965" t="s">
        <v>33</v>
      </c>
      <c r="L8965" t="s">
        <v>285</v>
      </c>
      <c r="M8965" t="str">
        <f t="shared" si="674"/>
        <v>12</v>
      </c>
      <c r="N8965" t="s">
        <v>12</v>
      </c>
    </row>
    <row r="8966" spans="1:14" x14ac:dyDescent="0.25">
      <c r="A8966">
        <v>20151204</v>
      </c>
      <c r="B8966" t="str">
        <f t="shared" si="672"/>
        <v>061364</v>
      </c>
      <c r="C8966" t="str">
        <f t="shared" si="673"/>
        <v>83022</v>
      </c>
      <c r="D8966" t="s">
        <v>394</v>
      </c>
      <c r="E8966" s="3">
        <v>40.700000000000003</v>
      </c>
      <c r="F8966">
        <v>20151204</v>
      </c>
      <c r="G8966" t="s">
        <v>7197</v>
      </c>
      <c r="H8966" t="s">
        <v>7283</v>
      </c>
      <c r="I8966">
        <v>0</v>
      </c>
      <c r="J8966" t="s">
        <v>7024</v>
      </c>
      <c r="K8966" t="s">
        <v>33</v>
      </c>
      <c r="L8966" t="s">
        <v>285</v>
      </c>
      <c r="M8966" t="str">
        <f t="shared" si="674"/>
        <v>12</v>
      </c>
      <c r="N8966" t="s">
        <v>12</v>
      </c>
    </row>
    <row r="8967" spans="1:14" x14ac:dyDescent="0.25">
      <c r="A8967">
        <v>20151210</v>
      </c>
      <c r="B8967" t="str">
        <f>"061366"</f>
        <v>061366</v>
      </c>
      <c r="C8967" t="str">
        <f>"24203"</f>
        <v>24203</v>
      </c>
      <c r="D8967" t="s">
        <v>2183</v>
      </c>
      <c r="E8967" s="3">
        <v>546.41999999999996</v>
      </c>
      <c r="F8967">
        <v>20151210</v>
      </c>
      <c r="G8967" t="s">
        <v>7212</v>
      </c>
      <c r="H8967" t="s">
        <v>739</v>
      </c>
      <c r="I8967">
        <v>0</v>
      </c>
      <c r="J8967" t="s">
        <v>7024</v>
      </c>
      <c r="K8967" t="s">
        <v>290</v>
      </c>
      <c r="L8967" t="s">
        <v>17</v>
      </c>
      <c r="M8967" t="str">
        <f t="shared" si="674"/>
        <v>12</v>
      </c>
      <c r="N8967" t="s">
        <v>12</v>
      </c>
    </row>
    <row r="8968" spans="1:14" x14ac:dyDescent="0.25">
      <c r="A8968">
        <v>20151210</v>
      </c>
      <c r="B8968" t="str">
        <f>"061366"</f>
        <v>061366</v>
      </c>
      <c r="C8968" t="str">
        <f>"24203"</f>
        <v>24203</v>
      </c>
      <c r="D8968" t="s">
        <v>2183</v>
      </c>
      <c r="E8968" s="3">
        <v>215.42</v>
      </c>
      <c r="F8968">
        <v>20151210</v>
      </c>
      <c r="G8968" t="s">
        <v>7284</v>
      </c>
      <c r="H8968" t="s">
        <v>739</v>
      </c>
      <c r="I8968">
        <v>0</v>
      </c>
      <c r="J8968" t="s">
        <v>7024</v>
      </c>
      <c r="K8968" t="s">
        <v>290</v>
      </c>
      <c r="L8968" t="s">
        <v>17</v>
      </c>
      <c r="M8968" t="str">
        <f t="shared" si="674"/>
        <v>12</v>
      </c>
      <c r="N8968" t="s">
        <v>12</v>
      </c>
    </row>
    <row r="8969" spans="1:14" x14ac:dyDescent="0.25">
      <c r="A8969">
        <v>20151210</v>
      </c>
      <c r="B8969" t="str">
        <f>"061368"</f>
        <v>061368</v>
      </c>
      <c r="C8969" t="str">
        <f>"03332"</f>
        <v>03332</v>
      </c>
      <c r="D8969" t="s">
        <v>403</v>
      </c>
      <c r="E8969" s="3">
        <v>552</v>
      </c>
      <c r="F8969">
        <v>20151210</v>
      </c>
      <c r="G8969" t="s">
        <v>7284</v>
      </c>
      <c r="H8969" t="s">
        <v>739</v>
      </c>
      <c r="I8969">
        <v>0</v>
      </c>
      <c r="J8969" t="s">
        <v>7024</v>
      </c>
      <c r="K8969" t="s">
        <v>290</v>
      </c>
      <c r="L8969" t="s">
        <v>17</v>
      </c>
      <c r="M8969" t="str">
        <f t="shared" si="674"/>
        <v>12</v>
      </c>
      <c r="N8969" t="s">
        <v>12</v>
      </c>
    </row>
    <row r="8970" spans="1:14" x14ac:dyDescent="0.25">
      <c r="A8970">
        <v>20151211</v>
      </c>
      <c r="B8970" t="str">
        <f>"061373"</f>
        <v>061373</v>
      </c>
      <c r="C8970" t="str">
        <f>"05530"</f>
        <v>05530</v>
      </c>
      <c r="D8970" t="s">
        <v>631</v>
      </c>
      <c r="E8970" s="3">
        <v>758.3</v>
      </c>
      <c r="F8970">
        <v>20151210</v>
      </c>
      <c r="G8970" t="s">
        <v>7227</v>
      </c>
      <c r="H8970" t="s">
        <v>742</v>
      </c>
      <c r="I8970">
        <v>0</v>
      </c>
      <c r="J8970" t="s">
        <v>7024</v>
      </c>
      <c r="K8970" t="s">
        <v>290</v>
      </c>
      <c r="L8970" t="s">
        <v>285</v>
      </c>
      <c r="M8970" t="str">
        <f t="shared" si="674"/>
        <v>12</v>
      </c>
      <c r="N8970" t="s">
        <v>12</v>
      </c>
    </row>
    <row r="8971" spans="1:14" x14ac:dyDescent="0.25">
      <c r="A8971">
        <v>20151211</v>
      </c>
      <c r="B8971" t="str">
        <f>"061374"</f>
        <v>061374</v>
      </c>
      <c r="C8971" t="str">
        <f>"06463"</f>
        <v>06463</v>
      </c>
      <c r="D8971" t="s">
        <v>1011</v>
      </c>
      <c r="E8971" s="3">
        <v>160</v>
      </c>
      <c r="F8971">
        <v>20151210</v>
      </c>
      <c r="G8971" t="s">
        <v>7285</v>
      </c>
      <c r="H8971" t="s">
        <v>7286</v>
      </c>
      <c r="I8971">
        <v>0</v>
      </c>
      <c r="J8971" t="s">
        <v>7024</v>
      </c>
      <c r="K8971" t="s">
        <v>290</v>
      </c>
      <c r="L8971" t="s">
        <v>285</v>
      </c>
      <c r="M8971" t="str">
        <f t="shared" si="674"/>
        <v>12</v>
      </c>
      <c r="N8971" t="s">
        <v>12</v>
      </c>
    </row>
    <row r="8972" spans="1:14" x14ac:dyDescent="0.25">
      <c r="A8972">
        <v>20151211</v>
      </c>
      <c r="B8972" t="str">
        <f>"061375"</f>
        <v>061375</v>
      </c>
      <c r="C8972" t="str">
        <f>"06509"</f>
        <v>06509</v>
      </c>
      <c r="D8972" t="s">
        <v>1555</v>
      </c>
      <c r="E8972" s="3">
        <v>12</v>
      </c>
      <c r="F8972">
        <v>20151210</v>
      </c>
      <c r="G8972" t="s">
        <v>7026</v>
      </c>
      <c r="H8972" t="s">
        <v>7287</v>
      </c>
      <c r="I8972">
        <v>0</v>
      </c>
      <c r="J8972" t="s">
        <v>7024</v>
      </c>
      <c r="K8972" t="s">
        <v>1643</v>
      </c>
      <c r="L8972" t="s">
        <v>285</v>
      </c>
      <c r="M8972" t="str">
        <f t="shared" si="674"/>
        <v>12</v>
      </c>
      <c r="N8972" t="s">
        <v>12</v>
      </c>
    </row>
    <row r="8973" spans="1:14" x14ac:dyDescent="0.25">
      <c r="A8973">
        <v>20151211</v>
      </c>
      <c r="B8973" t="str">
        <f>"061377"</f>
        <v>061377</v>
      </c>
      <c r="C8973" t="str">
        <f>"08204"</f>
        <v>08204</v>
      </c>
      <c r="D8973" t="s">
        <v>7288</v>
      </c>
      <c r="E8973" s="3">
        <v>160</v>
      </c>
      <c r="F8973">
        <v>20151210</v>
      </c>
      <c r="G8973" t="s">
        <v>7285</v>
      </c>
      <c r="H8973" t="s">
        <v>7289</v>
      </c>
      <c r="I8973">
        <v>0</v>
      </c>
      <c r="J8973" t="s">
        <v>7024</v>
      </c>
      <c r="K8973" t="s">
        <v>290</v>
      </c>
      <c r="L8973" t="s">
        <v>285</v>
      </c>
      <c r="M8973" t="str">
        <f t="shared" si="674"/>
        <v>12</v>
      </c>
      <c r="N8973" t="s">
        <v>12</v>
      </c>
    </row>
    <row r="8974" spans="1:14" x14ac:dyDescent="0.25">
      <c r="A8974">
        <v>20151211</v>
      </c>
      <c r="B8974" t="str">
        <f>"061382"</f>
        <v>061382</v>
      </c>
      <c r="C8974" t="str">
        <f>"10490"</f>
        <v>10490</v>
      </c>
      <c r="D8974" t="s">
        <v>786</v>
      </c>
      <c r="E8974" s="3">
        <v>160</v>
      </c>
      <c r="F8974">
        <v>20151210</v>
      </c>
      <c r="G8974" t="s">
        <v>7285</v>
      </c>
      <c r="H8974" t="s">
        <v>7286</v>
      </c>
      <c r="I8974">
        <v>0</v>
      </c>
      <c r="J8974" t="s">
        <v>7024</v>
      </c>
      <c r="K8974" t="s">
        <v>290</v>
      </c>
      <c r="L8974" t="s">
        <v>285</v>
      </c>
      <c r="M8974" t="str">
        <f t="shared" si="674"/>
        <v>12</v>
      </c>
      <c r="N8974" t="s">
        <v>12</v>
      </c>
    </row>
    <row r="8975" spans="1:14" x14ac:dyDescent="0.25">
      <c r="A8975">
        <v>20151211</v>
      </c>
      <c r="B8975" t="str">
        <f>"061388"</f>
        <v>061388</v>
      </c>
      <c r="C8975" t="str">
        <f>"51346"</f>
        <v>51346</v>
      </c>
      <c r="D8975" t="s">
        <v>379</v>
      </c>
      <c r="E8975" s="3">
        <v>33</v>
      </c>
      <c r="F8975">
        <v>20151210</v>
      </c>
      <c r="G8975" t="s">
        <v>7290</v>
      </c>
      <c r="H8975" t="s">
        <v>7291</v>
      </c>
      <c r="I8975">
        <v>0</v>
      </c>
      <c r="J8975" t="s">
        <v>7024</v>
      </c>
      <c r="K8975" t="s">
        <v>95</v>
      </c>
      <c r="L8975" t="s">
        <v>285</v>
      </c>
      <c r="M8975" t="str">
        <f t="shared" si="674"/>
        <v>12</v>
      </c>
      <c r="N8975" t="s">
        <v>12</v>
      </c>
    </row>
    <row r="8976" spans="1:14" x14ac:dyDescent="0.25">
      <c r="A8976">
        <v>20151211</v>
      </c>
      <c r="B8976" t="str">
        <f>"061391"</f>
        <v>061391</v>
      </c>
      <c r="C8976" t="str">
        <f>"21861"</f>
        <v>21861</v>
      </c>
      <c r="D8976" t="s">
        <v>3333</v>
      </c>
      <c r="E8976" s="3">
        <v>6.88</v>
      </c>
      <c r="F8976">
        <v>20151210</v>
      </c>
      <c r="G8976" t="s">
        <v>7292</v>
      </c>
      <c r="H8976" t="s">
        <v>3335</v>
      </c>
      <c r="I8976">
        <v>0</v>
      </c>
      <c r="J8976" t="s">
        <v>7024</v>
      </c>
      <c r="K8976" t="s">
        <v>290</v>
      </c>
      <c r="L8976" t="s">
        <v>285</v>
      </c>
      <c r="M8976" t="str">
        <f t="shared" si="674"/>
        <v>12</v>
      </c>
      <c r="N8976" t="s">
        <v>12</v>
      </c>
    </row>
    <row r="8977" spans="1:14" x14ac:dyDescent="0.25">
      <c r="A8977">
        <v>20151211</v>
      </c>
      <c r="B8977" t="str">
        <f>"061393"</f>
        <v>061393</v>
      </c>
      <c r="C8977" t="str">
        <f>"23754"</f>
        <v>23754</v>
      </c>
      <c r="D8977" t="s">
        <v>794</v>
      </c>
      <c r="E8977" s="3">
        <v>624.75</v>
      </c>
      <c r="F8977">
        <v>20151210</v>
      </c>
      <c r="G8977" t="s">
        <v>7212</v>
      </c>
      <c r="H8977" t="s">
        <v>7293</v>
      </c>
      <c r="I8977">
        <v>0</v>
      </c>
      <c r="J8977" t="s">
        <v>7024</v>
      </c>
      <c r="K8977" t="s">
        <v>290</v>
      </c>
      <c r="L8977" t="s">
        <v>285</v>
      </c>
      <c r="M8977" t="str">
        <f t="shared" si="674"/>
        <v>12</v>
      </c>
      <c r="N8977" t="s">
        <v>12</v>
      </c>
    </row>
    <row r="8978" spans="1:14" x14ac:dyDescent="0.25">
      <c r="A8978">
        <v>20151211</v>
      </c>
      <c r="B8978" t="str">
        <f>"061393"</f>
        <v>061393</v>
      </c>
      <c r="C8978" t="str">
        <f>"23754"</f>
        <v>23754</v>
      </c>
      <c r="D8978" t="s">
        <v>794</v>
      </c>
      <c r="E8978" s="3">
        <v>296</v>
      </c>
      <c r="F8978">
        <v>20151210</v>
      </c>
      <c r="G8978" t="s">
        <v>7026</v>
      </c>
      <c r="H8978" t="s">
        <v>7294</v>
      </c>
      <c r="I8978">
        <v>0</v>
      </c>
      <c r="J8978" t="s">
        <v>7024</v>
      </c>
      <c r="K8978" t="s">
        <v>1643</v>
      </c>
      <c r="L8978" t="s">
        <v>285</v>
      </c>
      <c r="M8978" t="str">
        <f t="shared" si="674"/>
        <v>12</v>
      </c>
      <c r="N8978" t="s">
        <v>12</v>
      </c>
    </row>
    <row r="8979" spans="1:14" x14ac:dyDescent="0.25">
      <c r="A8979">
        <v>20151211</v>
      </c>
      <c r="B8979" t="str">
        <f>"061393"</f>
        <v>061393</v>
      </c>
      <c r="C8979" t="str">
        <f>"23754"</f>
        <v>23754</v>
      </c>
      <c r="D8979" t="s">
        <v>794</v>
      </c>
      <c r="E8979" s="3">
        <v>621</v>
      </c>
      <c r="F8979">
        <v>20151210</v>
      </c>
      <c r="G8979" t="s">
        <v>7295</v>
      </c>
      <c r="H8979" t="s">
        <v>7296</v>
      </c>
      <c r="I8979">
        <v>0</v>
      </c>
      <c r="J8979" t="s">
        <v>7024</v>
      </c>
      <c r="K8979" t="s">
        <v>290</v>
      </c>
      <c r="L8979" t="s">
        <v>285</v>
      </c>
      <c r="M8979" t="str">
        <f t="shared" si="674"/>
        <v>12</v>
      </c>
      <c r="N8979" t="s">
        <v>12</v>
      </c>
    </row>
    <row r="8980" spans="1:14" x14ac:dyDescent="0.25">
      <c r="A8980">
        <v>20151211</v>
      </c>
      <c r="B8980" t="str">
        <f>"061396"</f>
        <v>061396</v>
      </c>
      <c r="C8980" t="str">
        <f>"24967"</f>
        <v>24967</v>
      </c>
      <c r="D8980" t="s">
        <v>7130</v>
      </c>
      <c r="E8980" s="3">
        <v>39.950000000000003</v>
      </c>
      <c r="F8980">
        <v>20151210</v>
      </c>
      <c r="G8980" t="s">
        <v>7080</v>
      </c>
      <c r="H8980" t="s">
        <v>7297</v>
      </c>
      <c r="I8980">
        <v>0</v>
      </c>
      <c r="J8980" t="s">
        <v>7024</v>
      </c>
      <c r="K8980" t="s">
        <v>33</v>
      </c>
      <c r="L8980" t="s">
        <v>285</v>
      </c>
      <c r="M8980" t="str">
        <f t="shared" si="674"/>
        <v>12</v>
      </c>
      <c r="N8980" t="s">
        <v>12</v>
      </c>
    </row>
    <row r="8981" spans="1:14" x14ac:dyDescent="0.25">
      <c r="A8981">
        <v>20151211</v>
      </c>
      <c r="B8981" t="str">
        <f>"061397"</f>
        <v>061397</v>
      </c>
      <c r="C8981" t="str">
        <f>"25871"</f>
        <v>25871</v>
      </c>
      <c r="D8981" t="s">
        <v>647</v>
      </c>
      <c r="E8981" s="3">
        <v>82.44</v>
      </c>
      <c r="F8981">
        <v>20151210</v>
      </c>
      <c r="G8981" t="s">
        <v>7147</v>
      </c>
      <c r="H8981" t="s">
        <v>836</v>
      </c>
      <c r="I8981">
        <v>0</v>
      </c>
      <c r="J8981" t="s">
        <v>7024</v>
      </c>
      <c r="K8981" t="s">
        <v>290</v>
      </c>
      <c r="L8981" t="s">
        <v>285</v>
      </c>
      <c r="M8981" t="str">
        <f t="shared" si="674"/>
        <v>12</v>
      </c>
      <c r="N8981" t="s">
        <v>12</v>
      </c>
    </row>
    <row r="8982" spans="1:14" x14ac:dyDescent="0.25">
      <c r="A8982">
        <v>20151211</v>
      </c>
      <c r="B8982" t="str">
        <f>"061397"</f>
        <v>061397</v>
      </c>
      <c r="C8982" t="str">
        <f>"25871"</f>
        <v>25871</v>
      </c>
      <c r="D8982" t="s">
        <v>647</v>
      </c>
      <c r="E8982" s="3">
        <v>84</v>
      </c>
      <c r="F8982">
        <v>20151210</v>
      </c>
      <c r="G8982" t="s">
        <v>7285</v>
      </c>
      <c r="H8982" t="s">
        <v>7298</v>
      </c>
      <c r="I8982">
        <v>0</v>
      </c>
      <c r="J8982" t="s">
        <v>7024</v>
      </c>
      <c r="K8982" t="s">
        <v>290</v>
      </c>
      <c r="L8982" t="s">
        <v>285</v>
      </c>
      <c r="M8982" t="str">
        <f t="shared" si="674"/>
        <v>12</v>
      </c>
      <c r="N8982" t="s">
        <v>12</v>
      </c>
    </row>
    <row r="8983" spans="1:14" x14ac:dyDescent="0.25">
      <c r="A8983">
        <v>20151211</v>
      </c>
      <c r="B8983" t="str">
        <f>"061401"</f>
        <v>061401</v>
      </c>
      <c r="C8983" t="str">
        <f>"27900"</f>
        <v>27900</v>
      </c>
      <c r="D8983" t="s">
        <v>1596</v>
      </c>
      <c r="E8983" s="3">
        <v>650</v>
      </c>
      <c r="F8983">
        <v>20151210</v>
      </c>
      <c r="G8983" t="s">
        <v>7026</v>
      </c>
      <c r="H8983" t="s">
        <v>7299</v>
      </c>
      <c r="I8983">
        <v>0</v>
      </c>
      <c r="J8983" t="s">
        <v>7024</v>
      </c>
      <c r="K8983" t="s">
        <v>1643</v>
      </c>
      <c r="L8983" t="s">
        <v>285</v>
      </c>
      <c r="M8983" t="str">
        <f t="shared" si="674"/>
        <v>12</v>
      </c>
      <c r="N8983" t="s">
        <v>12</v>
      </c>
    </row>
    <row r="8984" spans="1:14" x14ac:dyDescent="0.25">
      <c r="A8984">
        <v>20151211</v>
      </c>
      <c r="B8984" t="str">
        <f>"061401"</f>
        <v>061401</v>
      </c>
      <c r="C8984" t="str">
        <f>"27900"</f>
        <v>27900</v>
      </c>
      <c r="D8984" t="s">
        <v>1596</v>
      </c>
      <c r="E8984" s="3">
        <v>340</v>
      </c>
      <c r="F8984">
        <v>20151210</v>
      </c>
      <c r="G8984" t="s">
        <v>7026</v>
      </c>
      <c r="H8984" t="s">
        <v>7300</v>
      </c>
      <c r="I8984">
        <v>0</v>
      </c>
      <c r="J8984" t="s">
        <v>7024</v>
      </c>
      <c r="K8984" t="s">
        <v>1643</v>
      </c>
      <c r="L8984" t="s">
        <v>285</v>
      </c>
      <c r="M8984" t="str">
        <f t="shared" si="674"/>
        <v>12</v>
      </c>
      <c r="N8984" t="s">
        <v>12</v>
      </c>
    </row>
    <row r="8985" spans="1:14" x14ac:dyDescent="0.25">
      <c r="A8985">
        <v>20151211</v>
      </c>
      <c r="B8985" t="str">
        <f>"061402"</f>
        <v>061402</v>
      </c>
      <c r="C8985" t="str">
        <f>"28560"</f>
        <v>28560</v>
      </c>
      <c r="D8985" t="s">
        <v>755</v>
      </c>
      <c r="E8985" s="3">
        <v>571.24</v>
      </c>
      <c r="F8985">
        <v>20151211</v>
      </c>
      <c r="G8985" t="s">
        <v>7023</v>
      </c>
      <c r="H8985" t="s">
        <v>756</v>
      </c>
      <c r="I8985">
        <v>0</v>
      </c>
      <c r="J8985" t="s">
        <v>7024</v>
      </c>
      <c r="K8985" t="s">
        <v>290</v>
      </c>
      <c r="L8985" t="s">
        <v>285</v>
      </c>
      <c r="M8985" t="str">
        <f t="shared" si="674"/>
        <v>12</v>
      </c>
      <c r="N8985" t="s">
        <v>12</v>
      </c>
    </row>
    <row r="8986" spans="1:14" x14ac:dyDescent="0.25">
      <c r="A8986">
        <v>20151211</v>
      </c>
      <c r="B8986" t="str">
        <f>"061412"</f>
        <v>061412</v>
      </c>
      <c r="C8986" t="str">
        <f>"30846"</f>
        <v>30846</v>
      </c>
      <c r="D8986" t="s">
        <v>656</v>
      </c>
      <c r="E8986" s="3">
        <v>628</v>
      </c>
      <c r="F8986">
        <v>20151210</v>
      </c>
      <c r="G8986" t="s">
        <v>7284</v>
      </c>
      <c r="H8986" t="s">
        <v>7301</v>
      </c>
      <c r="I8986">
        <v>0</v>
      </c>
      <c r="J8986" t="s">
        <v>7024</v>
      </c>
      <c r="K8986" t="s">
        <v>290</v>
      </c>
      <c r="L8986" t="s">
        <v>285</v>
      </c>
      <c r="M8986" t="str">
        <f t="shared" si="674"/>
        <v>12</v>
      </c>
      <c r="N8986" t="s">
        <v>12</v>
      </c>
    </row>
    <row r="8987" spans="1:14" x14ac:dyDescent="0.25">
      <c r="A8987">
        <v>20151211</v>
      </c>
      <c r="B8987" t="str">
        <f>"061413"</f>
        <v>061413</v>
      </c>
      <c r="C8987" t="str">
        <f>"31367"</f>
        <v>31367</v>
      </c>
      <c r="D8987" t="s">
        <v>4916</v>
      </c>
      <c r="E8987" s="3">
        <v>132.85</v>
      </c>
      <c r="F8987">
        <v>20151210</v>
      </c>
      <c r="G8987" t="s">
        <v>7041</v>
      </c>
      <c r="H8987" t="s">
        <v>7166</v>
      </c>
      <c r="I8987">
        <v>0</v>
      </c>
      <c r="J8987" t="s">
        <v>7024</v>
      </c>
      <c r="K8987" t="s">
        <v>290</v>
      </c>
      <c r="L8987" t="s">
        <v>285</v>
      </c>
      <c r="M8987" t="str">
        <f t="shared" si="674"/>
        <v>12</v>
      </c>
      <c r="N8987" t="s">
        <v>12</v>
      </c>
    </row>
    <row r="8988" spans="1:14" x14ac:dyDescent="0.25">
      <c r="A8988">
        <v>20151211</v>
      </c>
      <c r="B8988" t="str">
        <f>"061417"</f>
        <v>061417</v>
      </c>
      <c r="C8988" t="str">
        <f>"33702"</f>
        <v>33702</v>
      </c>
      <c r="D8988" t="s">
        <v>769</v>
      </c>
      <c r="E8988" s="3">
        <v>120</v>
      </c>
      <c r="F8988">
        <v>20151210</v>
      </c>
      <c r="G8988" t="s">
        <v>7285</v>
      </c>
      <c r="H8988" t="s">
        <v>7286</v>
      </c>
      <c r="I8988">
        <v>0</v>
      </c>
      <c r="J8988" t="s">
        <v>7024</v>
      </c>
      <c r="K8988" t="s">
        <v>290</v>
      </c>
      <c r="L8988" t="s">
        <v>285</v>
      </c>
      <c r="M8988" t="str">
        <f t="shared" si="674"/>
        <v>12</v>
      </c>
      <c r="N8988" t="s">
        <v>12</v>
      </c>
    </row>
    <row r="8989" spans="1:14" x14ac:dyDescent="0.25">
      <c r="A8989">
        <v>20151211</v>
      </c>
      <c r="B8989" t="str">
        <f>"061417"</f>
        <v>061417</v>
      </c>
      <c r="C8989" t="str">
        <f>"33702"</f>
        <v>33702</v>
      </c>
      <c r="D8989" t="s">
        <v>769</v>
      </c>
      <c r="E8989" s="3">
        <v>-120</v>
      </c>
      <c r="F8989">
        <v>20160113</v>
      </c>
      <c r="G8989" t="s">
        <v>7285</v>
      </c>
      <c r="H8989" t="s">
        <v>770</v>
      </c>
      <c r="I8989">
        <v>0</v>
      </c>
      <c r="J8989" t="s">
        <v>7024</v>
      </c>
      <c r="K8989" t="s">
        <v>290</v>
      </c>
      <c r="L8989" t="s">
        <v>17</v>
      </c>
      <c r="M8989" t="str">
        <f t="shared" si="674"/>
        <v>12</v>
      </c>
      <c r="N8989" t="s">
        <v>12</v>
      </c>
    </row>
    <row r="8990" spans="1:14" x14ac:dyDescent="0.25">
      <c r="A8990">
        <v>20151211</v>
      </c>
      <c r="B8990" t="str">
        <f>"061419"</f>
        <v>061419</v>
      </c>
      <c r="C8990" t="str">
        <f>"34901"</f>
        <v>34901</v>
      </c>
      <c r="D8990" t="s">
        <v>431</v>
      </c>
      <c r="E8990" s="3">
        <v>80</v>
      </c>
      <c r="F8990">
        <v>20151210</v>
      </c>
      <c r="G8990" t="s">
        <v>7285</v>
      </c>
      <c r="H8990" t="s">
        <v>7286</v>
      </c>
      <c r="I8990">
        <v>0</v>
      </c>
      <c r="J8990" t="s">
        <v>7024</v>
      </c>
      <c r="K8990" t="s">
        <v>290</v>
      </c>
      <c r="L8990" t="s">
        <v>285</v>
      </c>
      <c r="M8990" t="str">
        <f t="shared" ref="M8990:M9021" si="675">"12"</f>
        <v>12</v>
      </c>
      <c r="N8990" t="s">
        <v>12</v>
      </c>
    </row>
    <row r="8991" spans="1:14" x14ac:dyDescent="0.25">
      <c r="A8991">
        <v>20151211</v>
      </c>
      <c r="B8991" t="str">
        <f>"061420"</f>
        <v>061420</v>
      </c>
      <c r="C8991" t="str">
        <f>"39112"</f>
        <v>39112</v>
      </c>
      <c r="D8991" t="s">
        <v>772</v>
      </c>
      <c r="E8991" s="3">
        <v>160</v>
      </c>
      <c r="F8991">
        <v>20151210</v>
      </c>
      <c r="G8991" t="s">
        <v>7285</v>
      </c>
      <c r="H8991" t="s">
        <v>7289</v>
      </c>
      <c r="I8991">
        <v>0</v>
      </c>
      <c r="J8991" t="s">
        <v>7024</v>
      </c>
      <c r="K8991" t="s">
        <v>290</v>
      </c>
      <c r="L8991" t="s">
        <v>285</v>
      </c>
      <c r="M8991" t="str">
        <f t="shared" si="675"/>
        <v>12</v>
      </c>
      <c r="N8991" t="s">
        <v>12</v>
      </c>
    </row>
    <row r="8992" spans="1:14" x14ac:dyDescent="0.25">
      <c r="A8992">
        <v>20151211</v>
      </c>
      <c r="B8992" t="str">
        <f>"061422"</f>
        <v>061422</v>
      </c>
      <c r="C8992" t="str">
        <f>"37500"</f>
        <v>37500</v>
      </c>
      <c r="D8992" t="s">
        <v>1652</v>
      </c>
      <c r="E8992" s="3">
        <v>33.85</v>
      </c>
      <c r="F8992">
        <v>20151210</v>
      </c>
      <c r="G8992" t="s">
        <v>7026</v>
      </c>
      <c r="H8992" t="s">
        <v>7302</v>
      </c>
      <c r="I8992">
        <v>0</v>
      </c>
      <c r="J8992" t="s">
        <v>7024</v>
      </c>
      <c r="K8992" t="s">
        <v>1643</v>
      </c>
      <c r="L8992" t="s">
        <v>285</v>
      </c>
      <c r="M8992" t="str">
        <f t="shared" si="675"/>
        <v>12</v>
      </c>
      <c r="N8992" t="s">
        <v>12</v>
      </c>
    </row>
    <row r="8993" spans="1:14" x14ac:dyDescent="0.25">
      <c r="A8993">
        <v>20151211</v>
      </c>
      <c r="B8993" t="str">
        <f>"061422"</f>
        <v>061422</v>
      </c>
      <c r="C8993" t="str">
        <f>"37500"</f>
        <v>37500</v>
      </c>
      <c r="D8993" t="s">
        <v>1652</v>
      </c>
      <c r="E8993" s="3">
        <v>11.68</v>
      </c>
      <c r="F8993">
        <v>20151210</v>
      </c>
      <c r="G8993" t="s">
        <v>7026</v>
      </c>
      <c r="H8993" t="s">
        <v>7302</v>
      </c>
      <c r="I8993">
        <v>0</v>
      </c>
      <c r="J8993" t="s">
        <v>7024</v>
      </c>
      <c r="K8993" t="s">
        <v>1643</v>
      </c>
      <c r="L8993" t="s">
        <v>285</v>
      </c>
      <c r="M8993" t="str">
        <f t="shared" si="675"/>
        <v>12</v>
      </c>
      <c r="N8993" t="s">
        <v>12</v>
      </c>
    </row>
    <row r="8994" spans="1:14" x14ac:dyDescent="0.25">
      <c r="A8994">
        <v>20151211</v>
      </c>
      <c r="B8994" t="str">
        <f>"061422"</f>
        <v>061422</v>
      </c>
      <c r="C8994" t="str">
        <f>"37500"</f>
        <v>37500</v>
      </c>
      <c r="D8994" t="s">
        <v>1652</v>
      </c>
      <c r="E8994" s="3">
        <v>63.7</v>
      </c>
      <c r="F8994">
        <v>20151210</v>
      </c>
      <c r="G8994" t="s">
        <v>7049</v>
      </c>
      <c r="H8994" t="s">
        <v>7303</v>
      </c>
      <c r="I8994">
        <v>0</v>
      </c>
      <c r="J8994" t="s">
        <v>7024</v>
      </c>
      <c r="K8994" t="s">
        <v>33</v>
      </c>
      <c r="L8994" t="s">
        <v>285</v>
      </c>
      <c r="M8994" t="str">
        <f t="shared" si="675"/>
        <v>12</v>
      </c>
      <c r="N8994" t="s">
        <v>12</v>
      </c>
    </row>
    <row r="8995" spans="1:14" x14ac:dyDescent="0.25">
      <c r="A8995">
        <v>20151211</v>
      </c>
      <c r="B8995" t="str">
        <f>"061424"</f>
        <v>061424</v>
      </c>
      <c r="C8995" t="str">
        <f>"40550"</f>
        <v>40550</v>
      </c>
      <c r="D8995" t="s">
        <v>435</v>
      </c>
      <c r="E8995" s="3">
        <v>226.27</v>
      </c>
      <c r="F8995">
        <v>20151210</v>
      </c>
      <c r="G8995" t="s">
        <v>7026</v>
      </c>
      <c r="H8995" t="s">
        <v>7304</v>
      </c>
      <c r="I8995">
        <v>0</v>
      </c>
      <c r="J8995" t="s">
        <v>7024</v>
      </c>
      <c r="K8995" t="s">
        <v>1643</v>
      </c>
      <c r="L8995" t="s">
        <v>285</v>
      </c>
      <c r="M8995" t="str">
        <f t="shared" si="675"/>
        <v>12</v>
      </c>
      <c r="N8995" t="s">
        <v>12</v>
      </c>
    </row>
    <row r="8996" spans="1:14" x14ac:dyDescent="0.25">
      <c r="A8996">
        <v>20151211</v>
      </c>
      <c r="B8996" t="str">
        <f>"061424"</f>
        <v>061424</v>
      </c>
      <c r="C8996" t="str">
        <f>"40550"</f>
        <v>40550</v>
      </c>
      <c r="D8996" t="s">
        <v>435</v>
      </c>
      <c r="E8996" s="3">
        <v>32.25</v>
      </c>
      <c r="F8996">
        <v>20151210</v>
      </c>
      <c r="G8996" t="s">
        <v>7026</v>
      </c>
      <c r="H8996" t="s">
        <v>7304</v>
      </c>
      <c r="I8996">
        <v>0</v>
      </c>
      <c r="J8996" t="s">
        <v>7024</v>
      </c>
      <c r="K8996" t="s">
        <v>1643</v>
      </c>
      <c r="L8996" t="s">
        <v>285</v>
      </c>
      <c r="M8996" t="str">
        <f t="shared" si="675"/>
        <v>12</v>
      </c>
      <c r="N8996" t="s">
        <v>12</v>
      </c>
    </row>
    <row r="8997" spans="1:14" x14ac:dyDescent="0.25">
      <c r="A8997">
        <v>20151211</v>
      </c>
      <c r="B8997" t="str">
        <f>"061432"</f>
        <v>061432</v>
      </c>
      <c r="C8997" t="str">
        <f>"46226"</f>
        <v>46226</v>
      </c>
      <c r="D8997" t="s">
        <v>776</v>
      </c>
      <c r="E8997" s="3">
        <v>80</v>
      </c>
      <c r="F8997">
        <v>20151210</v>
      </c>
      <c r="G8997" t="s">
        <v>7285</v>
      </c>
      <c r="H8997" t="s">
        <v>7289</v>
      </c>
      <c r="I8997">
        <v>0</v>
      </c>
      <c r="J8997" t="s">
        <v>7024</v>
      </c>
      <c r="K8997" t="s">
        <v>290</v>
      </c>
      <c r="L8997" t="s">
        <v>285</v>
      </c>
      <c r="M8997" t="str">
        <f t="shared" si="675"/>
        <v>12</v>
      </c>
      <c r="N8997" t="s">
        <v>12</v>
      </c>
    </row>
    <row r="8998" spans="1:14" x14ac:dyDescent="0.25">
      <c r="A8998">
        <v>20151211</v>
      </c>
      <c r="B8998" t="str">
        <f>"061432"</f>
        <v>061432</v>
      </c>
      <c r="C8998" t="str">
        <f>"46226"</f>
        <v>46226</v>
      </c>
      <c r="D8998" t="s">
        <v>776</v>
      </c>
      <c r="E8998" s="3">
        <v>160</v>
      </c>
      <c r="F8998">
        <v>20151210</v>
      </c>
      <c r="G8998" t="s">
        <v>7285</v>
      </c>
      <c r="H8998" t="s">
        <v>7305</v>
      </c>
      <c r="I8998">
        <v>0</v>
      </c>
      <c r="J8998" t="s">
        <v>7024</v>
      </c>
      <c r="K8998" t="s">
        <v>290</v>
      </c>
      <c r="L8998" t="s">
        <v>285</v>
      </c>
      <c r="M8998" t="str">
        <f t="shared" si="675"/>
        <v>12</v>
      </c>
      <c r="N8998" t="s">
        <v>12</v>
      </c>
    </row>
    <row r="8999" spans="1:14" x14ac:dyDescent="0.25">
      <c r="A8999">
        <v>20151211</v>
      </c>
      <c r="B8999" t="str">
        <f>"061444"</f>
        <v>061444</v>
      </c>
      <c r="C8999" t="str">
        <f>"56569"</f>
        <v>56569</v>
      </c>
      <c r="D8999" t="s">
        <v>318</v>
      </c>
      <c r="E8999" s="3">
        <v>80</v>
      </c>
      <c r="F8999">
        <v>20151210</v>
      </c>
      <c r="G8999" t="s">
        <v>7285</v>
      </c>
      <c r="H8999" t="s">
        <v>7289</v>
      </c>
      <c r="I8999">
        <v>0</v>
      </c>
      <c r="J8999" t="s">
        <v>7024</v>
      </c>
      <c r="K8999" t="s">
        <v>290</v>
      </c>
      <c r="L8999" t="s">
        <v>285</v>
      </c>
      <c r="M8999" t="str">
        <f t="shared" si="675"/>
        <v>12</v>
      </c>
      <c r="N8999" t="s">
        <v>12</v>
      </c>
    </row>
    <row r="9000" spans="1:14" x14ac:dyDescent="0.25">
      <c r="A9000">
        <v>20151211</v>
      </c>
      <c r="B9000" t="str">
        <f>"061444"</f>
        <v>061444</v>
      </c>
      <c r="C9000" t="str">
        <f>"56569"</f>
        <v>56569</v>
      </c>
      <c r="D9000" t="s">
        <v>318</v>
      </c>
      <c r="E9000" s="3">
        <v>160</v>
      </c>
      <c r="F9000">
        <v>20151210</v>
      </c>
      <c r="G9000" t="s">
        <v>7285</v>
      </c>
      <c r="H9000" t="s">
        <v>7286</v>
      </c>
      <c r="I9000">
        <v>0</v>
      </c>
      <c r="J9000" t="s">
        <v>7024</v>
      </c>
      <c r="K9000" t="s">
        <v>290</v>
      </c>
      <c r="L9000" t="s">
        <v>285</v>
      </c>
      <c r="M9000" t="str">
        <f t="shared" si="675"/>
        <v>12</v>
      </c>
      <c r="N9000" t="s">
        <v>12</v>
      </c>
    </row>
    <row r="9001" spans="1:14" x14ac:dyDescent="0.25">
      <c r="A9001">
        <v>20151211</v>
      </c>
      <c r="B9001" t="str">
        <f>"061448"</f>
        <v>061448</v>
      </c>
      <c r="C9001" t="str">
        <f>"58204"</f>
        <v>58204</v>
      </c>
      <c r="D9001" t="s">
        <v>1816</v>
      </c>
      <c r="E9001" s="3">
        <v>58.36</v>
      </c>
      <c r="F9001">
        <v>20151210</v>
      </c>
      <c r="G9001" t="s">
        <v>7126</v>
      </c>
      <c r="H9001" t="s">
        <v>7306</v>
      </c>
      <c r="I9001">
        <v>0</v>
      </c>
      <c r="J9001" t="s">
        <v>7024</v>
      </c>
      <c r="K9001" t="s">
        <v>290</v>
      </c>
      <c r="L9001" t="s">
        <v>285</v>
      </c>
      <c r="M9001" t="str">
        <f t="shared" si="675"/>
        <v>12</v>
      </c>
      <c r="N9001" t="s">
        <v>12</v>
      </c>
    </row>
    <row r="9002" spans="1:14" x14ac:dyDescent="0.25">
      <c r="A9002">
        <v>20151211</v>
      </c>
      <c r="B9002" t="str">
        <f>"061450"</f>
        <v>061450</v>
      </c>
      <c r="C9002" t="str">
        <f>"59097"</f>
        <v>59097</v>
      </c>
      <c r="D9002" t="s">
        <v>1755</v>
      </c>
      <c r="E9002" s="3">
        <v>248.48</v>
      </c>
      <c r="F9002">
        <v>20151210</v>
      </c>
      <c r="G9002" t="s">
        <v>7041</v>
      </c>
      <c r="H9002" t="s">
        <v>7166</v>
      </c>
      <c r="I9002">
        <v>0</v>
      </c>
      <c r="J9002" t="s">
        <v>7024</v>
      </c>
      <c r="K9002" t="s">
        <v>290</v>
      </c>
      <c r="L9002" t="s">
        <v>285</v>
      </c>
      <c r="M9002" t="str">
        <f t="shared" si="675"/>
        <v>12</v>
      </c>
      <c r="N9002" t="s">
        <v>12</v>
      </c>
    </row>
    <row r="9003" spans="1:14" x14ac:dyDescent="0.25">
      <c r="A9003">
        <v>20151211</v>
      </c>
      <c r="B9003" t="str">
        <f>"061463"</f>
        <v>061463</v>
      </c>
      <c r="C9003" t="str">
        <f>"64610"</f>
        <v>64610</v>
      </c>
      <c r="D9003" t="s">
        <v>678</v>
      </c>
      <c r="E9003" s="3">
        <v>44.4</v>
      </c>
      <c r="F9003">
        <v>20151210</v>
      </c>
      <c r="G9003" t="s">
        <v>7147</v>
      </c>
      <c r="H9003" t="s">
        <v>836</v>
      </c>
      <c r="I9003">
        <v>0</v>
      </c>
      <c r="J9003" t="s">
        <v>7024</v>
      </c>
      <c r="K9003" t="s">
        <v>290</v>
      </c>
      <c r="L9003" t="s">
        <v>285</v>
      </c>
      <c r="M9003" t="str">
        <f t="shared" si="675"/>
        <v>12</v>
      </c>
      <c r="N9003" t="s">
        <v>12</v>
      </c>
    </row>
    <row r="9004" spans="1:14" x14ac:dyDescent="0.25">
      <c r="A9004">
        <v>20151211</v>
      </c>
      <c r="B9004" t="str">
        <f>"061464"</f>
        <v>061464</v>
      </c>
      <c r="C9004" t="str">
        <f>"65240"</f>
        <v>65240</v>
      </c>
      <c r="D9004" t="s">
        <v>7307</v>
      </c>
      <c r="E9004" s="3">
        <v>120</v>
      </c>
      <c r="F9004">
        <v>20151210</v>
      </c>
      <c r="G9004" t="s">
        <v>7285</v>
      </c>
      <c r="H9004" t="s">
        <v>7289</v>
      </c>
      <c r="I9004">
        <v>0</v>
      </c>
      <c r="J9004" t="s">
        <v>7024</v>
      </c>
      <c r="K9004" t="s">
        <v>290</v>
      </c>
      <c r="L9004" t="s">
        <v>285</v>
      </c>
      <c r="M9004" t="str">
        <f t="shared" si="675"/>
        <v>12</v>
      </c>
      <c r="N9004" t="s">
        <v>12</v>
      </c>
    </row>
    <row r="9005" spans="1:14" x14ac:dyDescent="0.25">
      <c r="A9005">
        <v>20151211</v>
      </c>
      <c r="B9005" t="str">
        <f>"061465"</f>
        <v>061465</v>
      </c>
      <c r="C9005" t="str">
        <f>"74137"</f>
        <v>74137</v>
      </c>
      <c r="D9005" t="s">
        <v>7308</v>
      </c>
      <c r="E9005" s="3">
        <v>80</v>
      </c>
      <c r="F9005">
        <v>20151210</v>
      </c>
      <c r="G9005" t="s">
        <v>7285</v>
      </c>
      <c r="H9005" t="s">
        <v>7305</v>
      </c>
      <c r="I9005">
        <v>0</v>
      </c>
      <c r="J9005" t="s">
        <v>7024</v>
      </c>
      <c r="K9005" t="s">
        <v>290</v>
      </c>
      <c r="L9005" t="s">
        <v>285</v>
      </c>
      <c r="M9005" t="str">
        <f t="shared" si="675"/>
        <v>12</v>
      </c>
      <c r="N9005" t="s">
        <v>12</v>
      </c>
    </row>
    <row r="9006" spans="1:14" x14ac:dyDescent="0.25">
      <c r="A9006">
        <v>20151211</v>
      </c>
      <c r="B9006" t="str">
        <f>"061466"</f>
        <v>061466</v>
      </c>
      <c r="C9006" t="str">
        <f>"65766"</f>
        <v>65766</v>
      </c>
      <c r="D9006" t="s">
        <v>7160</v>
      </c>
      <c r="E9006" s="3">
        <v>4423.99</v>
      </c>
      <c r="F9006">
        <v>20151210</v>
      </c>
      <c r="G9006" t="s">
        <v>7094</v>
      </c>
      <c r="H9006" t="s">
        <v>7219</v>
      </c>
      <c r="I9006">
        <v>0</v>
      </c>
      <c r="J9006" t="s">
        <v>7024</v>
      </c>
      <c r="K9006" t="s">
        <v>1643</v>
      </c>
      <c r="L9006" t="s">
        <v>285</v>
      </c>
      <c r="M9006" t="str">
        <f t="shared" si="675"/>
        <v>12</v>
      </c>
      <c r="N9006" t="s">
        <v>12</v>
      </c>
    </row>
    <row r="9007" spans="1:14" x14ac:dyDescent="0.25">
      <c r="A9007">
        <v>20151211</v>
      </c>
      <c r="B9007" t="str">
        <f>"061468"</f>
        <v>061468</v>
      </c>
      <c r="C9007" t="str">
        <f>"67631"</f>
        <v>67631</v>
      </c>
      <c r="D9007" t="s">
        <v>924</v>
      </c>
      <c r="E9007" s="3">
        <v>160</v>
      </c>
      <c r="F9007">
        <v>20151210</v>
      </c>
      <c r="G9007" t="s">
        <v>7285</v>
      </c>
      <c r="H9007" t="s">
        <v>7286</v>
      </c>
      <c r="I9007">
        <v>0</v>
      </c>
      <c r="J9007" t="s">
        <v>7024</v>
      </c>
      <c r="K9007" t="s">
        <v>290</v>
      </c>
      <c r="L9007" t="s">
        <v>285</v>
      </c>
      <c r="M9007" t="str">
        <f t="shared" si="675"/>
        <v>12</v>
      </c>
      <c r="N9007" t="s">
        <v>12</v>
      </c>
    </row>
    <row r="9008" spans="1:14" x14ac:dyDescent="0.25">
      <c r="A9008">
        <v>20151211</v>
      </c>
      <c r="B9008" t="str">
        <f>"061478"</f>
        <v>061478</v>
      </c>
      <c r="C9008" t="str">
        <f>"80598"</f>
        <v>80598</v>
      </c>
      <c r="D9008" t="s">
        <v>7309</v>
      </c>
      <c r="E9008" s="3">
        <v>63.27</v>
      </c>
      <c r="F9008">
        <v>20151211</v>
      </c>
      <c r="G9008" t="s">
        <v>7212</v>
      </c>
      <c r="H9008" t="s">
        <v>7310</v>
      </c>
      <c r="I9008">
        <v>0</v>
      </c>
      <c r="J9008" t="s">
        <v>7024</v>
      </c>
      <c r="K9008" t="s">
        <v>290</v>
      </c>
      <c r="L9008" t="s">
        <v>285</v>
      </c>
      <c r="M9008" t="str">
        <f t="shared" si="675"/>
        <v>12</v>
      </c>
      <c r="N9008" t="s">
        <v>12</v>
      </c>
    </row>
    <row r="9009" spans="1:14" x14ac:dyDescent="0.25">
      <c r="A9009">
        <v>20151211</v>
      </c>
      <c r="B9009" t="str">
        <f>"061480"</f>
        <v>061480</v>
      </c>
      <c r="C9009" t="str">
        <f>"80756"</f>
        <v>80756</v>
      </c>
      <c r="D9009" t="s">
        <v>521</v>
      </c>
      <c r="E9009" s="3">
        <v>287</v>
      </c>
      <c r="F9009">
        <v>20151211</v>
      </c>
      <c r="G9009" t="s">
        <v>7026</v>
      </c>
      <c r="H9009" t="s">
        <v>7311</v>
      </c>
      <c r="I9009">
        <v>0</v>
      </c>
      <c r="J9009" t="s">
        <v>7024</v>
      </c>
      <c r="K9009" t="s">
        <v>1643</v>
      </c>
      <c r="L9009" t="s">
        <v>285</v>
      </c>
      <c r="M9009" t="str">
        <f t="shared" si="675"/>
        <v>12</v>
      </c>
      <c r="N9009" t="s">
        <v>12</v>
      </c>
    </row>
    <row r="9010" spans="1:14" x14ac:dyDescent="0.25">
      <c r="A9010">
        <v>20151211</v>
      </c>
      <c r="B9010" t="str">
        <f>"061488"</f>
        <v>061488</v>
      </c>
      <c r="C9010" t="str">
        <f>"84562"</f>
        <v>84562</v>
      </c>
      <c r="D9010" t="s">
        <v>1054</v>
      </c>
      <c r="E9010" s="3">
        <v>80</v>
      </c>
      <c r="F9010">
        <v>20151211</v>
      </c>
      <c r="G9010" t="s">
        <v>7285</v>
      </c>
      <c r="H9010" t="s">
        <v>7286</v>
      </c>
      <c r="I9010">
        <v>0</v>
      </c>
      <c r="J9010" t="s">
        <v>7024</v>
      </c>
      <c r="K9010" t="s">
        <v>290</v>
      </c>
      <c r="L9010" t="s">
        <v>285</v>
      </c>
      <c r="M9010" t="str">
        <f t="shared" si="675"/>
        <v>12</v>
      </c>
      <c r="N9010" t="s">
        <v>12</v>
      </c>
    </row>
    <row r="9011" spans="1:14" x14ac:dyDescent="0.25">
      <c r="A9011">
        <v>20151211</v>
      </c>
      <c r="B9011" t="str">
        <f>"061490"</f>
        <v>061490</v>
      </c>
      <c r="C9011" t="str">
        <f>"84572"</f>
        <v>84572</v>
      </c>
      <c r="D9011" t="s">
        <v>7312</v>
      </c>
      <c r="E9011" s="3">
        <v>120</v>
      </c>
      <c r="F9011">
        <v>20151211</v>
      </c>
      <c r="G9011" t="s">
        <v>7285</v>
      </c>
      <c r="H9011" t="s">
        <v>7286</v>
      </c>
      <c r="I9011">
        <v>0</v>
      </c>
      <c r="J9011" t="s">
        <v>7024</v>
      </c>
      <c r="K9011" t="s">
        <v>290</v>
      </c>
      <c r="L9011" t="s">
        <v>285</v>
      </c>
      <c r="M9011" t="str">
        <f t="shared" si="675"/>
        <v>12</v>
      </c>
      <c r="N9011" t="s">
        <v>12</v>
      </c>
    </row>
    <row r="9012" spans="1:14" x14ac:dyDescent="0.25">
      <c r="A9012">
        <v>20151211</v>
      </c>
      <c r="B9012" t="str">
        <f>"061491"</f>
        <v>061491</v>
      </c>
      <c r="C9012" t="str">
        <f>"84563"</f>
        <v>84563</v>
      </c>
      <c r="D9012" t="s">
        <v>7313</v>
      </c>
      <c r="E9012" s="3">
        <v>160</v>
      </c>
      <c r="F9012">
        <v>20151211</v>
      </c>
      <c r="G9012" t="s">
        <v>7285</v>
      </c>
      <c r="H9012" t="s">
        <v>7305</v>
      </c>
      <c r="I9012">
        <v>0</v>
      </c>
      <c r="J9012" t="s">
        <v>7024</v>
      </c>
      <c r="K9012" t="s">
        <v>290</v>
      </c>
      <c r="L9012" t="s">
        <v>285</v>
      </c>
      <c r="M9012" t="str">
        <f t="shared" si="675"/>
        <v>12</v>
      </c>
      <c r="N9012" t="s">
        <v>12</v>
      </c>
    </row>
    <row r="9013" spans="1:14" x14ac:dyDescent="0.25">
      <c r="A9013">
        <v>20151211</v>
      </c>
      <c r="B9013" t="str">
        <f>"061492"</f>
        <v>061492</v>
      </c>
      <c r="C9013" t="str">
        <f>"84559"</f>
        <v>84559</v>
      </c>
      <c r="D9013" t="s">
        <v>524</v>
      </c>
      <c r="E9013" s="3">
        <v>80</v>
      </c>
      <c r="F9013">
        <v>20151211</v>
      </c>
      <c r="G9013" t="s">
        <v>7285</v>
      </c>
      <c r="H9013" t="s">
        <v>7305</v>
      </c>
      <c r="I9013">
        <v>0</v>
      </c>
      <c r="J9013" t="s">
        <v>7024</v>
      </c>
      <c r="K9013" t="s">
        <v>290</v>
      </c>
      <c r="L9013" t="s">
        <v>285</v>
      </c>
      <c r="M9013" t="str">
        <f t="shared" si="675"/>
        <v>12</v>
      </c>
      <c r="N9013" t="s">
        <v>12</v>
      </c>
    </row>
    <row r="9014" spans="1:14" x14ac:dyDescent="0.25">
      <c r="A9014">
        <v>20151211</v>
      </c>
      <c r="B9014" t="str">
        <f>"061493"</f>
        <v>061493</v>
      </c>
      <c r="C9014" t="str">
        <f>"84400"</f>
        <v>84400</v>
      </c>
      <c r="D9014" t="s">
        <v>477</v>
      </c>
      <c r="E9014" s="3">
        <v>120</v>
      </c>
      <c r="F9014">
        <v>20151211</v>
      </c>
      <c r="G9014" t="s">
        <v>7285</v>
      </c>
      <c r="H9014" t="s">
        <v>7289</v>
      </c>
      <c r="I9014">
        <v>0</v>
      </c>
      <c r="J9014" t="s">
        <v>7024</v>
      </c>
      <c r="K9014" t="s">
        <v>290</v>
      </c>
      <c r="L9014" t="s">
        <v>285</v>
      </c>
      <c r="M9014" t="str">
        <f t="shared" si="675"/>
        <v>12</v>
      </c>
      <c r="N9014" t="s">
        <v>12</v>
      </c>
    </row>
    <row r="9015" spans="1:14" x14ac:dyDescent="0.25">
      <c r="A9015">
        <v>20151218</v>
      </c>
      <c r="B9015" t="str">
        <f>"061500"</f>
        <v>061500</v>
      </c>
      <c r="C9015" t="str">
        <f>"06465"</f>
        <v>06465</v>
      </c>
      <c r="D9015" t="s">
        <v>5615</v>
      </c>
      <c r="E9015" s="3">
        <v>100</v>
      </c>
      <c r="F9015">
        <v>20151216</v>
      </c>
      <c r="G9015" t="s">
        <v>7140</v>
      </c>
      <c r="H9015" t="s">
        <v>479</v>
      </c>
      <c r="I9015">
        <v>0</v>
      </c>
      <c r="J9015" t="s">
        <v>7024</v>
      </c>
      <c r="K9015" t="s">
        <v>290</v>
      </c>
      <c r="L9015" t="s">
        <v>285</v>
      </c>
      <c r="M9015" t="str">
        <f t="shared" si="675"/>
        <v>12</v>
      </c>
      <c r="N9015" t="s">
        <v>12</v>
      </c>
    </row>
    <row r="9016" spans="1:14" x14ac:dyDescent="0.25">
      <c r="A9016">
        <v>20151218</v>
      </c>
      <c r="B9016" t="str">
        <f>"061500"</f>
        <v>061500</v>
      </c>
      <c r="C9016" t="str">
        <f>"06465"</f>
        <v>06465</v>
      </c>
      <c r="D9016" t="s">
        <v>5615</v>
      </c>
      <c r="E9016" s="3">
        <v>100</v>
      </c>
      <c r="F9016">
        <v>20151216</v>
      </c>
      <c r="G9016" t="s">
        <v>7044</v>
      </c>
      <c r="H9016" t="s">
        <v>634</v>
      </c>
      <c r="I9016">
        <v>0</v>
      </c>
      <c r="J9016" t="s">
        <v>7024</v>
      </c>
      <c r="K9016" t="s">
        <v>290</v>
      </c>
      <c r="L9016" t="s">
        <v>285</v>
      </c>
      <c r="M9016" t="str">
        <f t="shared" si="675"/>
        <v>12</v>
      </c>
      <c r="N9016" t="s">
        <v>12</v>
      </c>
    </row>
    <row r="9017" spans="1:14" x14ac:dyDescent="0.25">
      <c r="A9017">
        <v>20151218</v>
      </c>
      <c r="B9017" t="str">
        <f>"061500"</f>
        <v>061500</v>
      </c>
      <c r="C9017" t="str">
        <f>"06465"</f>
        <v>06465</v>
      </c>
      <c r="D9017" t="s">
        <v>5615</v>
      </c>
      <c r="E9017" s="3">
        <v>40</v>
      </c>
      <c r="F9017">
        <v>20151216</v>
      </c>
      <c r="G9017" t="s">
        <v>7314</v>
      </c>
      <c r="H9017" t="s">
        <v>479</v>
      </c>
      <c r="I9017">
        <v>0</v>
      </c>
      <c r="J9017" t="s">
        <v>7024</v>
      </c>
      <c r="K9017" t="s">
        <v>290</v>
      </c>
      <c r="L9017" t="s">
        <v>285</v>
      </c>
      <c r="M9017" t="str">
        <f t="shared" si="675"/>
        <v>12</v>
      </c>
      <c r="N9017" t="s">
        <v>12</v>
      </c>
    </row>
    <row r="9018" spans="1:14" x14ac:dyDescent="0.25">
      <c r="A9018">
        <v>20151218</v>
      </c>
      <c r="B9018" t="str">
        <f>"061508"</f>
        <v>061508</v>
      </c>
      <c r="C9018" t="str">
        <f>"10235"</f>
        <v>10235</v>
      </c>
      <c r="D9018" t="s">
        <v>291</v>
      </c>
      <c r="E9018" s="3">
        <v>250</v>
      </c>
      <c r="F9018">
        <v>20151216</v>
      </c>
      <c r="G9018" t="s">
        <v>7285</v>
      </c>
      <c r="H9018" t="s">
        <v>7315</v>
      </c>
      <c r="I9018">
        <v>0</v>
      </c>
      <c r="J9018" t="s">
        <v>7024</v>
      </c>
      <c r="K9018" t="s">
        <v>290</v>
      </c>
      <c r="L9018" t="s">
        <v>285</v>
      </c>
      <c r="M9018" t="str">
        <f t="shared" si="675"/>
        <v>12</v>
      </c>
      <c r="N9018" t="s">
        <v>12</v>
      </c>
    </row>
    <row r="9019" spans="1:14" x14ac:dyDescent="0.25">
      <c r="A9019">
        <v>20151218</v>
      </c>
      <c r="B9019" t="str">
        <f>"061514"</f>
        <v>061514</v>
      </c>
      <c r="C9019" t="str">
        <f>"11219"</f>
        <v>11219</v>
      </c>
      <c r="D9019" t="s">
        <v>7043</v>
      </c>
      <c r="E9019" s="3">
        <v>402</v>
      </c>
      <c r="F9019">
        <v>20151216</v>
      </c>
      <c r="G9019" t="s">
        <v>7212</v>
      </c>
      <c r="H9019" t="s">
        <v>7316</v>
      </c>
      <c r="I9019">
        <v>0</v>
      </c>
      <c r="J9019" t="s">
        <v>7024</v>
      </c>
      <c r="K9019" t="s">
        <v>290</v>
      </c>
      <c r="L9019" t="s">
        <v>285</v>
      </c>
      <c r="M9019" t="str">
        <f t="shared" si="675"/>
        <v>12</v>
      </c>
      <c r="N9019" t="s">
        <v>12</v>
      </c>
    </row>
    <row r="9020" spans="1:14" x14ac:dyDescent="0.25">
      <c r="A9020">
        <v>20151218</v>
      </c>
      <c r="B9020" t="str">
        <f>"061514"</f>
        <v>061514</v>
      </c>
      <c r="C9020" t="str">
        <f>"11219"</f>
        <v>11219</v>
      </c>
      <c r="D9020" t="s">
        <v>7043</v>
      </c>
      <c r="E9020" s="3">
        <v>1674.5</v>
      </c>
      <c r="F9020">
        <v>20151216</v>
      </c>
      <c r="G9020" t="s">
        <v>7086</v>
      </c>
      <c r="H9020" t="s">
        <v>7317</v>
      </c>
      <c r="I9020">
        <v>0</v>
      </c>
      <c r="J9020" t="s">
        <v>7024</v>
      </c>
      <c r="K9020" t="s">
        <v>290</v>
      </c>
      <c r="L9020" t="s">
        <v>285</v>
      </c>
      <c r="M9020" t="str">
        <f t="shared" si="675"/>
        <v>12</v>
      </c>
      <c r="N9020" t="s">
        <v>12</v>
      </c>
    </row>
    <row r="9021" spans="1:14" x14ac:dyDescent="0.25">
      <c r="A9021">
        <v>20151218</v>
      </c>
      <c r="B9021" t="str">
        <f>"061514"</f>
        <v>061514</v>
      </c>
      <c r="C9021" t="str">
        <f>"11219"</f>
        <v>11219</v>
      </c>
      <c r="D9021" t="s">
        <v>7043</v>
      </c>
      <c r="E9021" s="3">
        <v>1711.3</v>
      </c>
      <c r="F9021">
        <v>20151216</v>
      </c>
      <c r="G9021" t="s">
        <v>7318</v>
      </c>
      <c r="H9021" t="s">
        <v>7319</v>
      </c>
      <c r="I9021">
        <v>0</v>
      </c>
      <c r="J9021" t="s">
        <v>7024</v>
      </c>
      <c r="K9021" t="s">
        <v>290</v>
      </c>
      <c r="L9021" t="s">
        <v>285</v>
      </c>
      <c r="M9021" t="str">
        <f t="shared" si="675"/>
        <v>12</v>
      </c>
      <c r="N9021" t="s">
        <v>12</v>
      </c>
    </row>
    <row r="9022" spans="1:14" x14ac:dyDescent="0.25">
      <c r="A9022">
        <v>20151218</v>
      </c>
      <c r="B9022" t="str">
        <f>"061516"</f>
        <v>061516</v>
      </c>
      <c r="C9022" t="str">
        <f>"13165"</f>
        <v>13165</v>
      </c>
      <c r="D9022" t="s">
        <v>2448</v>
      </c>
      <c r="E9022" s="3">
        <v>150</v>
      </c>
      <c r="F9022">
        <v>20151216</v>
      </c>
      <c r="G9022" t="s">
        <v>7320</v>
      </c>
      <c r="H9022" t="s">
        <v>3456</v>
      </c>
      <c r="I9022">
        <v>0</v>
      </c>
      <c r="J9022" t="s">
        <v>7024</v>
      </c>
      <c r="K9022" t="s">
        <v>290</v>
      </c>
      <c r="L9022" t="s">
        <v>285</v>
      </c>
      <c r="M9022" t="str">
        <f t="shared" ref="M9022:M9053" si="676">"12"</f>
        <v>12</v>
      </c>
      <c r="N9022" t="s">
        <v>12</v>
      </c>
    </row>
    <row r="9023" spans="1:14" x14ac:dyDescent="0.25">
      <c r="A9023">
        <v>20151218</v>
      </c>
      <c r="B9023" t="str">
        <f>"061517"</f>
        <v>061517</v>
      </c>
      <c r="C9023" t="str">
        <f>"12480"</f>
        <v>12480</v>
      </c>
      <c r="D9023" t="s">
        <v>7255</v>
      </c>
      <c r="E9023" s="3">
        <v>845.21</v>
      </c>
      <c r="F9023">
        <v>20151216</v>
      </c>
      <c r="G9023" t="s">
        <v>7107</v>
      </c>
      <c r="H9023" t="s">
        <v>7321</v>
      </c>
      <c r="I9023">
        <v>0</v>
      </c>
      <c r="J9023" t="s">
        <v>7024</v>
      </c>
      <c r="K9023" t="s">
        <v>95</v>
      </c>
      <c r="L9023" t="s">
        <v>285</v>
      </c>
      <c r="M9023" t="str">
        <f t="shared" si="676"/>
        <v>12</v>
      </c>
      <c r="N9023" t="s">
        <v>12</v>
      </c>
    </row>
    <row r="9024" spans="1:14" x14ac:dyDescent="0.25">
      <c r="A9024">
        <v>20151218</v>
      </c>
      <c r="B9024" t="str">
        <f>"061518"</f>
        <v>061518</v>
      </c>
      <c r="C9024" t="str">
        <f>"13006"</f>
        <v>13006</v>
      </c>
      <c r="D9024" t="s">
        <v>7322</v>
      </c>
      <c r="E9024" s="3">
        <v>150</v>
      </c>
      <c r="F9024">
        <v>20151216</v>
      </c>
      <c r="G9024" t="s">
        <v>7320</v>
      </c>
      <c r="H9024" t="s">
        <v>3456</v>
      </c>
      <c r="I9024">
        <v>0</v>
      </c>
      <c r="J9024" t="s">
        <v>7024</v>
      </c>
      <c r="K9024" t="s">
        <v>290</v>
      </c>
      <c r="L9024" t="s">
        <v>285</v>
      </c>
      <c r="M9024" t="str">
        <f t="shared" si="676"/>
        <v>12</v>
      </c>
      <c r="N9024" t="s">
        <v>12</v>
      </c>
    </row>
    <row r="9025" spans="1:14" x14ac:dyDescent="0.25">
      <c r="A9025">
        <v>20151218</v>
      </c>
      <c r="B9025" t="str">
        <f>"061519"</f>
        <v>061519</v>
      </c>
      <c r="C9025" t="str">
        <f>"08788"</f>
        <v>08788</v>
      </c>
      <c r="D9025" t="s">
        <v>302</v>
      </c>
      <c r="E9025" s="3">
        <v>862</v>
      </c>
      <c r="F9025">
        <v>20151216</v>
      </c>
      <c r="G9025" t="s">
        <v>7170</v>
      </c>
      <c r="H9025" t="s">
        <v>7323</v>
      </c>
      <c r="I9025">
        <v>0</v>
      </c>
      <c r="J9025" t="s">
        <v>7024</v>
      </c>
      <c r="K9025" t="s">
        <v>290</v>
      </c>
      <c r="L9025" t="s">
        <v>285</v>
      </c>
      <c r="M9025" t="str">
        <f t="shared" si="676"/>
        <v>12</v>
      </c>
      <c r="N9025" t="s">
        <v>12</v>
      </c>
    </row>
    <row r="9026" spans="1:14" x14ac:dyDescent="0.25">
      <c r="A9026">
        <v>20151218</v>
      </c>
      <c r="B9026" t="str">
        <f>"061519"</f>
        <v>061519</v>
      </c>
      <c r="C9026" t="str">
        <f>"08788"</f>
        <v>08788</v>
      </c>
      <c r="D9026" t="s">
        <v>302</v>
      </c>
      <c r="E9026" s="3">
        <v>52.83</v>
      </c>
      <c r="F9026">
        <v>20151216</v>
      </c>
      <c r="G9026" t="s">
        <v>7170</v>
      </c>
      <c r="H9026" t="s">
        <v>7324</v>
      </c>
      <c r="I9026">
        <v>0</v>
      </c>
      <c r="J9026" t="s">
        <v>7024</v>
      </c>
      <c r="K9026" t="s">
        <v>290</v>
      </c>
      <c r="L9026" t="s">
        <v>285</v>
      </c>
      <c r="M9026" t="str">
        <f t="shared" si="676"/>
        <v>12</v>
      </c>
      <c r="N9026" t="s">
        <v>12</v>
      </c>
    </row>
    <row r="9027" spans="1:14" x14ac:dyDescent="0.25">
      <c r="A9027">
        <v>20151218</v>
      </c>
      <c r="B9027" t="str">
        <f>"061519"</f>
        <v>061519</v>
      </c>
      <c r="C9027" t="str">
        <f>"08788"</f>
        <v>08788</v>
      </c>
      <c r="D9027" t="s">
        <v>302</v>
      </c>
      <c r="E9027" s="3">
        <v>1115</v>
      </c>
      <c r="F9027">
        <v>20151216</v>
      </c>
      <c r="G9027" t="s">
        <v>7290</v>
      </c>
      <c r="H9027" t="s">
        <v>7325</v>
      </c>
      <c r="I9027">
        <v>0</v>
      </c>
      <c r="J9027" t="s">
        <v>7024</v>
      </c>
      <c r="K9027" t="s">
        <v>95</v>
      </c>
      <c r="L9027" t="s">
        <v>285</v>
      </c>
      <c r="M9027" t="str">
        <f t="shared" si="676"/>
        <v>12</v>
      </c>
      <c r="N9027" t="s">
        <v>12</v>
      </c>
    </row>
    <row r="9028" spans="1:14" x14ac:dyDescent="0.25">
      <c r="A9028">
        <v>20151218</v>
      </c>
      <c r="B9028" t="str">
        <f>"061519"</f>
        <v>061519</v>
      </c>
      <c r="C9028" t="str">
        <f>"08788"</f>
        <v>08788</v>
      </c>
      <c r="D9028" t="s">
        <v>302</v>
      </c>
      <c r="E9028" s="3">
        <v>716.63</v>
      </c>
      <c r="F9028">
        <v>20151216</v>
      </c>
      <c r="G9028" t="s">
        <v>7023</v>
      </c>
      <c r="H9028" t="s">
        <v>7326</v>
      </c>
      <c r="I9028">
        <v>0</v>
      </c>
      <c r="J9028" t="s">
        <v>7024</v>
      </c>
      <c r="K9028" t="s">
        <v>290</v>
      </c>
      <c r="L9028" t="s">
        <v>285</v>
      </c>
      <c r="M9028" t="str">
        <f t="shared" si="676"/>
        <v>12</v>
      </c>
      <c r="N9028" t="s">
        <v>12</v>
      </c>
    </row>
    <row r="9029" spans="1:14" x14ac:dyDescent="0.25">
      <c r="A9029">
        <v>20151218</v>
      </c>
      <c r="B9029" t="str">
        <f>"061520"</f>
        <v>061520</v>
      </c>
      <c r="C9029" t="str">
        <f>"13273"</f>
        <v>13273</v>
      </c>
      <c r="D9029" t="s">
        <v>7327</v>
      </c>
      <c r="E9029" s="3">
        <v>12550</v>
      </c>
      <c r="F9029">
        <v>20151216</v>
      </c>
      <c r="G9029" t="s">
        <v>7328</v>
      </c>
      <c r="H9029" t="s">
        <v>7329</v>
      </c>
      <c r="I9029">
        <v>0</v>
      </c>
      <c r="J9029" t="s">
        <v>7024</v>
      </c>
      <c r="K9029" t="s">
        <v>290</v>
      </c>
      <c r="L9029" t="s">
        <v>285</v>
      </c>
      <c r="M9029" t="str">
        <f t="shared" si="676"/>
        <v>12</v>
      </c>
      <c r="N9029" t="s">
        <v>12</v>
      </c>
    </row>
    <row r="9030" spans="1:14" x14ac:dyDescent="0.25">
      <c r="A9030">
        <v>20151218</v>
      </c>
      <c r="B9030" t="str">
        <f>"061520"</f>
        <v>061520</v>
      </c>
      <c r="C9030" t="str">
        <f>"13273"</f>
        <v>13273</v>
      </c>
      <c r="D9030" t="s">
        <v>7327</v>
      </c>
      <c r="E9030" s="3">
        <v>1424.99</v>
      </c>
      <c r="F9030">
        <v>20151216</v>
      </c>
      <c r="G9030" t="s">
        <v>7330</v>
      </c>
      <c r="H9030" t="s">
        <v>7329</v>
      </c>
      <c r="I9030">
        <v>0</v>
      </c>
      <c r="J9030" t="s">
        <v>7024</v>
      </c>
      <c r="K9030" t="s">
        <v>290</v>
      </c>
      <c r="L9030" t="s">
        <v>285</v>
      </c>
      <c r="M9030" t="str">
        <f t="shared" si="676"/>
        <v>12</v>
      </c>
      <c r="N9030" t="s">
        <v>12</v>
      </c>
    </row>
    <row r="9031" spans="1:14" x14ac:dyDescent="0.25">
      <c r="A9031">
        <v>20151218</v>
      </c>
      <c r="B9031" t="str">
        <f>"061522"</f>
        <v>061522</v>
      </c>
      <c r="C9031" t="str">
        <f>"13855"</f>
        <v>13855</v>
      </c>
      <c r="D9031" t="s">
        <v>1347</v>
      </c>
      <c r="E9031" s="3">
        <v>22.67</v>
      </c>
      <c r="F9031">
        <v>20151217</v>
      </c>
      <c r="G9031" t="s">
        <v>7170</v>
      </c>
      <c r="H9031" t="s">
        <v>643</v>
      </c>
      <c r="I9031">
        <v>0</v>
      </c>
      <c r="J9031" t="s">
        <v>7024</v>
      </c>
      <c r="K9031" t="s">
        <v>290</v>
      </c>
      <c r="L9031" t="s">
        <v>285</v>
      </c>
      <c r="M9031" t="str">
        <f t="shared" si="676"/>
        <v>12</v>
      </c>
      <c r="N9031" t="s">
        <v>12</v>
      </c>
    </row>
    <row r="9032" spans="1:14" x14ac:dyDescent="0.25">
      <c r="A9032">
        <v>20151218</v>
      </c>
      <c r="B9032" t="str">
        <f>"061524"</f>
        <v>061524</v>
      </c>
      <c r="C9032" t="str">
        <f>"19033"</f>
        <v>19033</v>
      </c>
      <c r="D9032" t="s">
        <v>7331</v>
      </c>
      <c r="E9032" s="3">
        <v>81.400000000000006</v>
      </c>
      <c r="F9032">
        <v>20151217</v>
      </c>
      <c r="G9032" t="s">
        <v>7192</v>
      </c>
      <c r="H9032" t="s">
        <v>7332</v>
      </c>
      <c r="I9032">
        <v>0</v>
      </c>
      <c r="J9032" t="s">
        <v>7024</v>
      </c>
      <c r="K9032" t="s">
        <v>33</v>
      </c>
      <c r="L9032" t="s">
        <v>285</v>
      </c>
      <c r="M9032" t="str">
        <f t="shared" si="676"/>
        <v>12</v>
      </c>
      <c r="N9032" t="s">
        <v>12</v>
      </c>
    </row>
    <row r="9033" spans="1:14" x14ac:dyDescent="0.25">
      <c r="A9033">
        <v>20151218</v>
      </c>
      <c r="B9033" t="str">
        <f>"061524"</f>
        <v>061524</v>
      </c>
      <c r="C9033" t="str">
        <f>"19033"</f>
        <v>19033</v>
      </c>
      <c r="D9033" t="s">
        <v>7331</v>
      </c>
      <c r="E9033" s="3">
        <v>81.400000000000006</v>
      </c>
      <c r="F9033">
        <v>20151217</v>
      </c>
      <c r="G9033" t="s">
        <v>7049</v>
      </c>
      <c r="H9033" t="s">
        <v>7332</v>
      </c>
      <c r="I9033">
        <v>0</v>
      </c>
      <c r="J9033" t="s">
        <v>7024</v>
      </c>
      <c r="K9033" t="s">
        <v>33</v>
      </c>
      <c r="L9033" t="s">
        <v>285</v>
      </c>
      <c r="M9033" t="str">
        <f t="shared" si="676"/>
        <v>12</v>
      </c>
      <c r="N9033" t="s">
        <v>12</v>
      </c>
    </row>
    <row r="9034" spans="1:14" x14ac:dyDescent="0.25">
      <c r="A9034">
        <v>20151218</v>
      </c>
      <c r="B9034" t="str">
        <f>"061533"</f>
        <v>061533</v>
      </c>
      <c r="C9034" t="str">
        <f>"51346"</f>
        <v>51346</v>
      </c>
      <c r="D9034" t="s">
        <v>379</v>
      </c>
      <c r="E9034" s="3">
        <v>33</v>
      </c>
      <c r="F9034">
        <v>20151216</v>
      </c>
      <c r="G9034" t="s">
        <v>7290</v>
      </c>
      <c r="H9034" t="s">
        <v>7333</v>
      </c>
      <c r="I9034">
        <v>0</v>
      </c>
      <c r="J9034" t="s">
        <v>7024</v>
      </c>
      <c r="K9034" t="s">
        <v>95</v>
      </c>
      <c r="L9034" t="s">
        <v>285</v>
      </c>
      <c r="M9034" t="str">
        <f t="shared" si="676"/>
        <v>12</v>
      </c>
      <c r="N9034" t="s">
        <v>12</v>
      </c>
    </row>
    <row r="9035" spans="1:14" x14ac:dyDescent="0.25">
      <c r="A9035">
        <v>20151218</v>
      </c>
      <c r="B9035" t="str">
        <f>"061533"</f>
        <v>061533</v>
      </c>
      <c r="C9035" t="str">
        <f>"51346"</f>
        <v>51346</v>
      </c>
      <c r="D9035" t="s">
        <v>379</v>
      </c>
      <c r="E9035" s="3">
        <v>60</v>
      </c>
      <c r="F9035">
        <v>20151216</v>
      </c>
      <c r="G9035" t="s">
        <v>7026</v>
      </c>
      <c r="H9035" t="s">
        <v>7334</v>
      </c>
      <c r="I9035">
        <v>0</v>
      </c>
      <c r="J9035" t="s">
        <v>7024</v>
      </c>
      <c r="K9035" t="s">
        <v>1643</v>
      </c>
      <c r="L9035" t="s">
        <v>285</v>
      </c>
      <c r="M9035" t="str">
        <f t="shared" si="676"/>
        <v>12</v>
      </c>
      <c r="N9035" t="s">
        <v>12</v>
      </c>
    </row>
    <row r="9036" spans="1:14" x14ac:dyDescent="0.25">
      <c r="A9036">
        <v>20151218</v>
      </c>
      <c r="B9036" t="str">
        <f>"061533"</f>
        <v>061533</v>
      </c>
      <c r="C9036" t="str">
        <f>"51346"</f>
        <v>51346</v>
      </c>
      <c r="D9036" t="s">
        <v>379</v>
      </c>
      <c r="E9036" s="3">
        <v>126</v>
      </c>
      <c r="F9036">
        <v>20151216</v>
      </c>
      <c r="G9036" t="s">
        <v>7026</v>
      </c>
      <c r="H9036" t="s">
        <v>7335</v>
      </c>
      <c r="I9036">
        <v>0</v>
      </c>
      <c r="J9036" t="s">
        <v>7024</v>
      </c>
      <c r="K9036" t="s">
        <v>1643</v>
      </c>
      <c r="L9036" t="s">
        <v>285</v>
      </c>
      <c r="M9036" t="str">
        <f t="shared" si="676"/>
        <v>12</v>
      </c>
      <c r="N9036" t="s">
        <v>12</v>
      </c>
    </row>
    <row r="9037" spans="1:14" x14ac:dyDescent="0.25">
      <c r="A9037">
        <v>20151218</v>
      </c>
      <c r="B9037" t="str">
        <f>"061541"</f>
        <v>061541</v>
      </c>
      <c r="C9037" t="str">
        <f>"22330"</f>
        <v>22330</v>
      </c>
      <c r="D9037" t="s">
        <v>645</v>
      </c>
      <c r="E9037" s="3">
        <v>36.24</v>
      </c>
      <c r="F9037">
        <v>20151217</v>
      </c>
      <c r="G9037" t="s">
        <v>7170</v>
      </c>
      <c r="H9037" t="s">
        <v>643</v>
      </c>
      <c r="I9037">
        <v>0</v>
      </c>
      <c r="J9037" t="s">
        <v>7024</v>
      </c>
      <c r="K9037" t="s">
        <v>290</v>
      </c>
      <c r="L9037" t="s">
        <v>285</v>
      </c>
      <c r="M9037" t="str">
        <f t="shared" si="676"/>
        <v>12</v>
      </c>
      <c r="N9037" t="s">
        <v>12</v>
      </c>
    </row>
    <row r="9038" spans="1:14" x14ac:dyDescent="0.25">
      <c r="A9038">
        <v>20151218</v>
      </c>
      <c r="B9038" t="str">
        <f>"061542"</f>
        <v>061542</v>
      </c>
      <c r="C9038" t="str">
        <f>"23754"</f>
        <v>23754</v>
      </c>
      <c r="D9038" t="s">
        <v>794</v>
      </c>
      <c r="E9038" s="3">
        <v>480</v>
      </c>
      <c r="F9038">
        <v>20151216</v>
      </c>
      <c r="G9038" t="s">
        <v>7274</v>
      </c>
      <c r="H9038" t="s">
        <v>7336</v>
      </c>
      <c r="I9038">
        <v>0</v>
      </c>
      <c r="J9038" t="s">
        <v>7024</v>
      </c>
      <c r="K9038" t="s">
        <v>33</v>
      </c>
      <c r="L9038" t="s">
        <v>285</v>
      </c>
      <c r="M9038" t="str">
        <f t="shared" si="676"/>
        <v>12</v>
      </c>
      <c r="N9038" t="s">
        <v>12</v>
      </c>
    </row>
    <row r="9039" spans="1:14" x14ac:dyDescent="0.25">
      <c r="A9039">
        <v>20151218</v>
      </c>
      <c r="B9039" t="str">
        <f>"061542"</f>
        <v>061542</v>
      </c>
      <c r="C9039" t="str">
        <f>"23754"</f>
        <v>23754</v>
      </c>
      <c r="D9039" t="s">
        <v>794</v>
      </c>
      <c r="E9039" s="3">
        <v>266</v>
      </c>
      <c r="F9039">
        <v>20151216</v>
      </c>
      <c r="G9039" t="s">
        <v>7274</v>
      </c>
      <c r="H9039" t="s">
        <v>7336</v>
      </c>
      <c r="I9039">
        <v>0</v>
      </c>
      <c r="J9039" t="s">
        <v>7024</v>
      </c>
      <c r="K9039" t="s">
        <v>33</v>
      </c>
      <c r="L9039" t="s">
        <v>285</v>
      </c>
      <c r="M9039" t="str">
        <f t="shared" si="676"/>
        <v>12</v>
      </c>
      <c r="N9039" t="s">
        <v>12</v>
      </c>
    </row>
    <row r="9040" spans="1:14" x14ac:dyDescent="0.25">
      <c r="A9040">
        <v>20151218</v>
      </c>
      <c r="B9040" t="str">
        <f>"061542"</f>
        <v>061542</v>
      </c>
      <c r="C9040" t="str">
        <f>"23754"</f>
        <v>23754</v>
      </c>
      <c r="D9040" t="s">
        <v>794</v>
      </c>
      <c r="E9040" s="3">
        <v>681</v>
      </c>
      <c r="F9040">
        <v>20151216</v>
      </c>
      <c r="G9040" t="s">
        <v>7049</v>
      </c>
      <c r="H9040" t="s">
        <v>7337</v>
      </c>
      <c r="I9040">
        <v>0</v>
      </c>
      <c r="J9040" t="s">
        <v>7024</v>
      </c>
      <c r="K9040" t="s">
        <v>33</v>
      </c>
      <c r="L9040" t="s">
        <v>285</v>
      </c>
      <c r="M9040" t="str">
        <f t="shared" si="676"/>
        <v>12</v>
      </c>
      <c r="N9040" t="s">
        <v>12</v>
      </c>
    </row>
    <row r="9041" spans="1:14" x14ac:dyDescent="0.25">
      <c r="A9041">
        <v>20151218</v>
      </c>
      <c r="B9041" t="str">
        <f>"061542"</f>
        <v>061542</v>
      </c>
      <c r="C9041" t="str">
        <f>"23754"</f>
        <v>23754</v>
      </c>
      <c r="D9041" t="s">
        <v>794</v>
      </c>
      <c r="E9041" s="3">
        <v>180.5</v>
      </c>
      <c r="F9041">
        <v>20151216</v>
      </c>
      <c r="G9041" t="s">
        <v>7049</v>
      </c>
      <c r="H9041" t="s">
        <v>7338</v>
      </c>
      <c r="I9041">
        <v>0</v>
      </c>
      <c r="J9041" t="s">
        <v>7024</v>
      </c>
      <c r="K9041" t="s">
        <v>33</v>
      </c>
      <c r="L9041" t="s">
        <v>285</v>
      </c>
      <c r="M9041" t="str">
        <f t="shared" si="676"/>
        <v>12</v>
      </c>
      <c r="N9041" t="s">
        <v>12</v>
      </c>
    </row>
    <row r="9042" spans="1:14" x14ac:dyDescent="0.25">
      <c r="A9042">
        <v>20151218</v>
      </c>
      <c r="B9042" t="str">
        <f>"061545"</f>
        <v>061545</v>
      </c>
      <c r="C9042" t="str">
        <f>"24967"</f>
        <v>24967</v>
      </c>
      <c r="D9042" t="s">
        <v>7130</v>
      </c>
      <c r="E9042" s="3">
        <v>380.12</v>
      </c>
      <c r="F9042">
        <v>20151216</v>
      </c>
      <c r="G9042" t="s">
        <v>7059</v>
      </c>
      <c r="H9042" t="s">
        <v>7339</v>
      </c>
      <c r="I9042">
        <v>0</v>
      </c>
      <c r="J9042" t="s">
        <v>7024</v>
      </c>
      <c r="K9042" t="s">
        <v>33</v>
      </c>
      <c r="L9042" t="s">
        <v>285</v>
      </c>
      <c r="M9042" t="str">
        <f t="shared" si="676"/>
        <v>12</v>
      </c>
      <c r="N9042" t="s">
        <v>12</v>
      </c>
    </row>
    <row r="9043" spans="1:14" x14ac:dyDescent="0.25">
      <c r="A9043">
        <v>20151218</v>
      </c>
      <c r="B9043" t="str">
        <f>"061547"</f>
        <v>061547</v>
      </c>
      <c r="C9043" t="str">
        <f>"25875"</f>
        <v>25875</v>
      </c>
      <c r="D9043" t="s">
        <v>7340</v>
      </c>
      <c r="E9043" s="3">
        <v>150</v>
      </c>
      <c r="F9043">
        <v>20151216</v>
      </c>
      <c r="G9043" t="s">
        <v>7320</v>
      </c>
      <c r="H9043" t="s">
        <v>3456</v>
      </c>
      <c r="I9043">
        <v>0</v>
      </c>
      <c r="J9043" t="s">
        <v>7024</v>
      </c>
      <c r="K9043" t="s">
        <v>290</v>
      </c>
      <c r="L9043" t="s">
        <v>285</v>
      </c>
      <c r="M9043" t="str">
        <f t="shared" si="676"/>
        <v>12</v>
      </c>
      <c r="N9043" t="s">
        <v>12</v>
      </c>
    </row>
    <row r="9044" spans="1:14" x14ac:dyDescent="0.25">
      <c r="A9044">
        <v>20151218</v>
      </c>
      <c r="B9044" t="str">
        <f>"061550"</f>
        <v>061550</v>
      </c>
      <c r="C9044" t="str">
        <f>"28680"</f>
        <v>28680</v>
      </c>
      <c r="D9044" t="s">
        <v>422</v>
      </c>
      <c r="E9044" s="3">
        <v>413.55</v>
      </c>
      <c r="F9044">
        <v>20151216</v>
      </c>
      <c r="G9044" t="s">
        <v>7170</v>
      </c>
      <c r="H9044" t="s">
        <v>1288</v>
      </c>
      <c r="I9044">
        <v>0</v>
      </c>
      <c r="J9044" t="s">
        <v>7024</v>
      </c>
      <c r="K9044" t="s">
        <v>290</v>
      </c>
      <c r="L9044" t="s">
        <v>285</v>
      </c>
      <c r="M9044" t="str">
        <f t="shared" si="676"/>
        <v>12</v>
      </c>
      <c r="N9044" t="s">
        <v>12</v>
      </c>
    </row>
    <row r="9045" spans="1:14" x14ac:dyDescent="0.25">
      <c r="A9045">
        <v>20151218</v>
      </c>
      <c r="B9045" t="str">
        <f>"061550"</f>
        <v>061550</v>
      </c>
      <c r="C9045" t="str">
        <f>"28680"</f>
        <v>28680</v>
      </c>
      <c r="D9045" t="s">
        <v>422</v>
      </c>
      <c r="E9045" s="3">
        <v>413.55</v>
      </c>
      <c r="F9045">
        <v>20151216</v>
      </c>
      <c r="G9045" t="s">
        <v>7170</v>
      </c>
      <c r="H9045" t="s">
        <v>1288</v>
      </c>
      <c r="I9045">
        <v>0</v>
      </c>
      <c r="J9045" t="s">
        <v>7024</v>
      </c>
      <c r="K9045" t="s">
        <v>290</v>
      </c>
      <c r="L9045" t="s">
        <v>285</v>
      </c>
      <c r="M9045" t="str">
        <f t="shared" si="676"/>
        <v>12</v>
      </c>
      <c r="N9045" t="s">
        <v>12</v>
      </c>
    </row>
    <row r="9046" spans="1:14" x14ac:dyDescent="0.25">
      <c r="A9046">
        <v>20151218</v>
      </c>
      <c r="B9046" t="str">
        <f>"061550"</f>
        <v>061550</v>
      </c>
      <c r="C9046" t="str">
        <f>"28680"</f>
        <v>28680</v>
      </c>
      <c r="D9046" t="s">
        <v>422</v>
      </c>
      <c r="E9046" s="3">
        <v>413.55</v>
      </c>
      <c r="F9046">
        <v>20151216</v>
      </c>
      <c r="G9046" t="s">
        <v>7170</v>
      </c>
      <c r="H9046" t="s">
        <v>1288</v>
      </c>
      <c r="I9046">
        <v>0</v>
      </c>
      <c r="J9046" t="s">
        <v>7024</v>
      </c>
      <c r="K9046" t="s">
        <v>290</v>
      </c>
      <c r="L9046" t="s">
        <v>285</v>
      </c>
      <c r="M9046" t="str">
        <f t="shared" si="676"/>
        <v>12</v>
      </c>
      <c r="N9046" t="s">
        <v>12</v>
      </c>
    </row>
    <row r="9047" spans="1:14" x14ac:dyDescent="0.25">
      <c r="A9047">
        <v>20151218</v>
      </c>
      <c r="B9047" t="str">
        <f>"061550"</f>
        <v>061550</v>
      </c>
      <c r="C9047" t="str">
        <f>"28680"</f>
        <v>28680</v>
      </c>
      <c r="D9047" t="s">
        <v>422</v>
      </c>
      <c r="E9047" s="3">
        <v>156</v>
      </c>
      <c r="F9047">
        <v>20151216</v>
      </c>
      <c r="G9047" t="s">
        <v>7207</v>
      </c>
      <c r="H9047" t="s">
        <v>7341</v>
      </c>
      <c r="I9047">
        <v>0</v>
      </c>
      <c r="J9047" t="s">
        <v>7024</v>
      </c>
      <c r="K9047" t="s">
        <v>290</v>
      </c>
      <c r="L9047" t="s">
        <v>285</v>
      </c>
      <c r="M9047" t="str">
        <f t="shared" si="676"/>
        <v>12</v>
      </c>
      <c r="N9047" t="s">
        <v>12</v>
      </c>
    </row>
    <row r="9048" spans="1:14" x14ac:dyDescent="0.25">
      <c r="A9048">
        <v>20151218</v>
      </c>
      <c r="B9048" t="str">
        <f>"061550"</f>
        <v>061550</v>
      </c>
      <c r="C9048" t="str">
        <f>"28680"</f>
        <v>28680</v>
      </c>
      <c r="D9048" t="s">
        <v>422</v>
      </c>
      <c r="E9048" s="3">
        <v>156</v>
      </c>
      <c r="F9048">
        <v>20151216</v>
      </c>
      <c r="G9048" t="s">
        <v>7207</v>
      </c>
      <c r="H9048" t="s">
        <v>7342</v>
      </c>
      <c r="I9048">
        <v>0</v>
      </c>
      <c r="J9048" t="s">
        <v>7024</v>
      </c>
      <c r="K9048" t="s">
        <v>290</v>
      </c>
      <c r="L9048" t="s">
        <v>285</v>
      </c>
      <c r="M9048" t="str">
        <f t="shared" si="676"/>
        <v>12</v>
      </c>
      <c r="N9048" t="s">
        <v>12</v>
      </c>
    </row>
    <row r="9049" spans="1:14" x14ac:dyDescent="0.25">
      <c r="A9049">
        <v>20151218</v>
      </c>
      <c r="B9049" t="str">
        <f>"061559"</f>
        <v>061559</v>
      </c>
      <c r="C9049" t="str">
        <f>"31294"</f>
        <v>31294</v>
      </c>
      <c r="D9049" t="s">
        <v>3829</v>
      </c>
      <c r="E9049" s="3">
        <v>59.28</v>
      </c>
      <c r="F9049">
        <v>20151217</v>
      </c>
      <c r="G9049" t="s">
        <v>7207</v>
      </c>
      <c r="H9049" t="s">
        <v>540</v>
      </c>
      <c r="I9049">
        <v>0</v>
      </c>
      <c r="J9049" t="s">
        <v>7024</v>
      </c>
      <c r="K9049" t="s">
        <v>290</v>
      </c>
      <c r="L9049" t="s">
        <v>285</v>
      </c>
      <c r="M9049" t="str">
        <f t="shared" si="676"/>
        <v>12</v>
      </c>
      <c r="N9049" t="s">
        <v>12</v>
      </c>
    </row>
    <row r="9050" spans="1:14" x14ac:dyDescent="0.25">
      <c r="A9050">
        <v>20151218</v>
      </c>
      <c r="B9050" t="str">
        <f>"061560"</f>
        <v>061560</v>
      </c>
      <c r="C9050" t="str">
        <f>"31397"</f>
        <v>31397</v>
      </c>
      <c r="D9050" t="s">
        <v>7343</v>
      </c>
      <c r="E9050" s="3">
        <v>150</v>
      </c>
      <c r="F9050">
        <v>20151216</v>
      </c>
      <c r="G9050" t="s">
        <v>7320</v>
      </c>
      <c r="H9050" t="s">
        <v>3456</v>
      </c>
      <c r="I9050">
        <v>0</v>
      </c>
      <c r="J9050" t="s">
        <v>7024</v>
      </c>
      <c r="K9050" t="s">
        <v>290</v>
      </c>
      <c r="L9050" t="s">
        <v>285</v>
      </c>
      <c r="M9050" t="str">
        <f t="shared" si="676"/>
        <v>12</v>
      </c>
      <c r="N9050" t="s">
        <v>12</v>
      </c>
    </row>
    <row r="9051" spans="1:14" x14ac:dyDescent="0.25">
      <c r="A9051">
        <v>20151218</v>
      </c>
      <c r="B9051" t="str">
        <f>"061561"</f>
        <v>061561</v>
      </c>
      <c r="C9051" t="str">
        <f>"31389"</f>
        <v>31389</v>
      </c>
      <c r="D9051" t="s">
        <v>802</v>
      </c>
      <c r="E9051" s="3">
        <v>60.47</v>
      </c>
      <c r="F9051">
        <v>20151217</v>
      </c>
      <c r="G9051" t="s">
        <v>7170</v>
      </c>
      <c r="H9051" t="s">
        <v>643</v>
      </c>
      <c r="I9051">
        <v>0</v>
      </c>
      <c r="J9051" t="s">
        <v>7024</v>
      </c>
      <c r="K9051" t="s">
        <v>290</v>
      </c>
      <c r="L9051" t="s">
        <v>285</v>
      </c>
      <c r="M9051" t="str">
        <f t="shared" si="676"/>
        <v>12</v>
      </c>
      <c r="N9051" t="s">
        <v>12</v>
      </c>
    </row>
    <row r="9052" spans="1:14" x14ac:dyDescent="0.25">
      <c r="A9052">
        <v>20151218</v>
      </c>
      <c r="B9052" t="str">
        <f>"061568"</f>
        <v>061568</v>
      </c>
      <c r="C9052" t="str">
        <f>"37530"</f>
        <v>37530</v>
      </c>
      <c r="D9052" t="s">
        <v>7344</v>
      </c>
      <c r="E9052" s="3">
        <v>150</v>
      </c>
      <c r="F9052">
        <v>20151216</v>
      </c>
      <c r="G9052" t="s">
        <v>7320</v>
      </c>
      <c r="H9052" t="s">
        <v>3456</v>
      </c>
      <c r="I9052">
        <v>0</v>
      </c>
      <c r="J9052" t="s">
        <v>7024</v>
      </c>
      <c r="K9052" t="s">
        <v>290</v>
      </c>
      <c r="L9052" t="s">
        <v>285</v>
      </c>
      <c r="M9052" t="str">
        <f t="shared" si="676"/>
        <v>12</v>
      </c>
      <c r="N9052" t="s">
        <v>12</v>
      </c>
    </row>
    <row r="9053" spans="1:14" x14ac:dyDescent="0.25">
      <c r="A9053">
        <v>20151218</v>
      </c>
      <c r="B9053" t="str">
        <f>"061582"</f>
        <v>061582</v>
      </c>
      <c r="C9053" t="str">
        <f>"46145"</f>
        <v>46145</v>
      </c>
      <c r="D9053" t="s">
        <v>7345</v>
      </c>
      <c r="E9053" s="3">
        <v>2125</v>
      </c>
      <c r="F9053">
        <v>20151216</v>
      </c>
      <c r="G9053" t="s">
        <v>7346</v>
      </c>
      <c r="H9053" t="s">
        <v>7347</v>
      </c>
      <c r="I9053">
        <v>0</v>
      </c>
      <c r="J9053" t="s">
        <v>7024</v>
      </c>
      <c r="K9053" t="s">
        <v>290</v>
      </c>
      <c r="L9053" t="s">
        <v>285</v>
      </c>
      <c r="M9053" t="str">
        <f t="shared" si="676"/>
        <v>12</v>
      </c>
      <c r="N9053" t="s">
        <v>12</v>
      </c>
    </row>
    <row r="9054" spans="1:14" x14ac:dyDescent="0.25">
      <c r="A9054">
        <v>20151218</v>
      </c>
      <c r="B9054" t="str">
        <f>"061586"</f>
        <v>061586</v>
      </c>
      <c r="C9054" t="str">
        <f>"47209"</f>
        <v>47209</v>
      </c>
      <c r="D9054" t="s">
        <v>7348</v>
      </c>
      <c r="E9054" s="3">
        <v>150</v>
      </c>
      <c r="F9054">
        <v>20151216</v>
      </c>
      <c r="G9054" t="s">
        <v>7320</v>
      </c>
      <c r="H9054" t="s">
        <v>3456</v>
      </c>
      <c r="I9054">
        <v>0</v>
      </c>
      <c r="J9054" t="s">
        <v>7024</v>
      </c>
      <c r="K9054" t="s">
        <v>290</v>
      </c>
      <c r="L9054" t="s">
        <v>285</v>
      </c>
      <c r="M9054" t="str">
        <f t="shared" ref="M9054:M9086" si="677">"12"</f>
        <v>12</v>
      </c>
      <c r="N9054" t="s">
        <v>12</v>
      </c>
    </row>
    <row r="9055" spans="1:14" x14ac:dyDescent="0.25">
      <c r="A9055">
        <v>20151218</v>
      </c>
      <c r="B9055" t="str">
        <f>"061589"</f>
        <v>061589</v>
      </c>
      <c r="C9055" t="str">
        <f>"48468"</f>
        <v>48468</v>
      </c>
      <c r="D9055" t="s">
        <v>7349</v>
      </c>
      <c r="E9055" s="3">
        <v>250</v>
      </c>
      <c r="F9055">
        <v>20151216</v>
      </c>
      <c r="G9055" t="s">
        <v>7285</v>
      </c>
      <c r="H9055" t="s">
        <v>7315</v>
      </c>
      <c r="I9055">
        <v>0</v>
      </c>
      <c r="J9055" t="s">
        <v>7024</v>
      </c>
      <c r="K9055" t="s">
        <v>290</v>
      </c>
      <c r="L9055" t="s">
        <v>285</v>
      </c>
      <c r="M9055" t="str">
        <f t="shared" si="677"/>
        <v>12</v>
      </c>
      <c r="N9055" t="s">
        <v>12</v>
      </c>
    </row>
    <row r="9056" spans="1:14" x14ac:dyDescent="0.25">
      <c r="A9056">
        <v>20151218</v>
      </c>
      <c r="B9056" t="str">
        <f>"061590"</f>
        <v>061590</v>
      </c>
      <c r="C9056" t="str">
        <f>"48472"</f>
        <v>48472</v>
      </c>
      <c r="D9056" t="s">
        <v>7350</v>
      </c>
      <c r="E9056" s="3">
        <v>846.9</v>
      </c>
      <c r="F9056">
        <v>20151216</v>
      </c>
      <c r="G9056" t="s">
        <v>7285</v>
      </c>
      <c r="H9056" t="s">
        <v>706</v>
      </c>
      <c r="I9056">
        <v>0</v>
      </c>
      <c r="J9056" t="s">
        <v>7024</v>
      </c>
      <c r="K9056" t="s">
        <v>290</v>
      </c>
      <c r="L9056" t="s">
        <v>285</v>
      </c>
      <c r="M9056" t="str">
        <f t="shared" si="677"/>
        <v>12</v>
      </c>
      <c r="N9056" t="s">
        <v>12</v>
      </c>
    </row>
    <row r="9057" spans="1:14" x14ac:dyDescent="0.25">
      <c r="A9057">
        <v>20151218</v>
      </c>
      <c r="B9057" t="str">
        <f>"061592"</f>
        <v>061592</v>
      </c>
      <c r="C9057" t="str">
        <f>"49748"</f>
        <v>49748</v>
      </c>
      <c r="D9057" t="s">
        <v>1885</v>
      </c>
      <c r="E9057" s="3">
        <v>54.23</v>
      </c>
      <c r="F9057">
        <v>20151216</v>
      </c>
      <c r="G9057" t="s">
        <v>7110</v>
      </c>
      <c r="H9057" t="s">
        <v>7351</v>
      </c>
      <c r="I9057">
        <v>0</v>
      </c>
      <c r="J9057" t="s">
        <v>7024</v>
      </c>
      <c r="K9057" t="s">
        <v>290</v>
      </c>
      <c r="L9057" t="s">
        <v>285</v>
      </c>
      <c r="M9057" t="str">
        <f t="shared" si="677"/>
        <v>12</v>
      </c>
      <c r="N9057" t="s">
        <v>12</v>
      </c>
    </row>
    <row r="9058" spans="1:14" x14ac:dyDescent="0.25">
      <c r="A9058">
        <v>20151218</v>
      </c>
      <c r="B9058" t="str">
        <f>"061592"</f>
        <v>061592</v>
      </c>
      <c r="C9058" t="str">
        <f>"49748"</f>
        <v>49748</v>
      </c>
      <c r="D9058" t="s">
        <v>1885</v>
      </c>
      <c r="E9058" s="3">
        <v>49.58</v>
      </c>
      <c r="F9058">
        <v>20151216</v>
      </c>
      <c r="G9058" t="s">
        <v>7083</v>
      </c>
      <c r="H9058" t="s">
        <v>7352</v>
      </c>
      <c r="I9058">
        <v>0</v>
      </c>
      <c r="J9058" t="s">
        <v>7024</v>
      </c>
      <c r="K9058" t="s">
        <v>290</v>
      </c>
      <c r="L9058" t="s">
        <v>285</v>
      </c>
      <c r="M9058" t="str">
        <f t="shared" si="677"/>
        <v>12</v>
      </c>
      <c r="N9058" t="s">
        <v>12</v>
      </c>
    </row>
    <row r="9059" spans="1:14" x14ac:dyDescent="0.25">
      <c r="A9059">
        <v>20151218</v>
      </c>
      <c r="B9059" t="str">
        <f>"061592"</f>
        <v>061592</v>
      </c>
      <c r="C9059" t="str">
        <f>"49748"</f>
        <v>49748</v>
      </c>
      <c r="D9059" t="s">
        <v>1885</v>
      </c>
      <c r="E9059" s="3">
        <v>120</v>
      </c>
      <c r="F9059">
        <v>20151216</v>
      </c>
      <c r="G9059" t="s">
        <v>7083</v>
      </c>
      <c r="H9059" t="s">
        <v>7353</v>
      </c>
      <c r="I9059">
        <v>0</v>
      </c>
      <c r="J9059" t="s">
        <v>7024</v>
      </c>
      <c r="K9059" t="s">
        <v>290</v>
      </c>
      <c r="L9059" t="s">
        <v>285</v>
      </c>
      <c r="M9059" t="str">
        <f t="shared" si="677"/>
        <v>12</v>
      </c>
      <c r="N9059" t="s">
        <v>12</v>
      </c>
    </row>
    <row r="9060" spans="1:14" x14ac:dyDescent="0.25">
      <c r="A9060">
        <v>20151218</v>
      </c>
      <c r="B9060" t="str">
        <f>"061597"</f>
        <v>061597</v>
      </c>
      <c r="C9060" t="str">
        <f>"53281"</f>
        <v>53281</v>
      </c>
      <c r="D9060" t="s">
        <v>7354</v>
      </c>
      <c r="E9060" s="3">
        <v>161.63</v>
      </c>
      <c r="F9060">
        <v>20151217</v>
      </c>
      <c r="G9060" t="s">
        <v>7207</v>
      </c>
      <c r="H9060" t="s">
        <v>540</v>
      </c>
      <c r="I9060">
        <v>0</v>
      </c>
      <c r="J9060" t="s">
        <v>7024</v>
      </c>
      <c r="K9060" t="s">
        <v>290</v>
      </c>
      <c r="L9060" t="s">
        <v>285</v>
      </c>
      <c r="M9060" t="str">
        <f t="shared" si="677"/>
        <v>12</v>
      </c>
      <c r="N9060" t="s">
        <v>12</v>
      </c>
    </row>
    <row r="9061" spans="1:14" x14ac:dyDescent="0.25">
      <c r="A9061">
        <v>20151218</v>
      </c>
      <c r="B9061" t="str">
        <f>"061611"</f>
        <v>061611</v>
      </c>
      <c r="C9061" t="str">
        <f>"57697"</f>
        <v>57697</v>
      </c>
      <c r="D9061" t="s">
        <v>1897</v>
      </c>
      <c r="E9061" s="3">
        <v>162.34</v>
      </c>
      <c r="F9061">
        <v>20151216</v>
      </c>
      <c r="G9061" t="s">
        <v>7062</v>
      </c>
      <c r="H9061" t="s">
        <v>3208</v>
      </c>
      <c r="I9061">
        <v>0</v>
      </c>
      <c r="J9061" t="s">
        <v>7024</v>
      </c>
      <c r="K9061" t="s">
        <v>290</v>
      </c>
      <c r="L9061" t="s">
        <v>285</v>
      </c>
      <c r="M9061" t="str">
        <f t="shared" si="677"/>
        <v>12</v>
      </c>
      <c r="N9061" t="s">
        <v>12</v>
      </c>
    </row>
    <row r="9062" spans="1:14" x14ac:dyDescent="0.25">
      <c r="A9062">
        <v>20151218</v>
      </c>
      <c r="B9062" t="str">
        <f>"061615"</f>
        <v>061615</v>
      </c>
      <c r="C9062" t="str">
        <f>"58207"</f>
        <v>58207</v>
      </c>
      <c r="D9062" t="s">
        <v>296</v>
      </c>
      <c r="E9062" s="3">
        <v>8.65</v>
      </c>
      <c r="F9062">
        <v>20151216</v>
      </c>
      <c r="G9062" t="s">
        <v>7140</v>
      </c>
      <c r="H9062" t="s">
        <v>7355</v>
      </c>
      <c r="I9062">
        <v>0</v>
      </c>
      <c r="J9062" t="s">
        <v>7024</v>
      </c>
      <c r="K9062" t="s">
        <v>290</v>
      </c>
      <c r="L9062" t="s">
        <v>285</v>
      </c>
      <c r="M9062" t="str">
        <f t="shared" si="677"/>
        <v>12</v>
      </c>
      <c r="N9062" t="s">
        <v>12</v>
      </c>
    </row>
    <row r="9063" spans="1:14" x14ac:dyDescent="0.25">
      <c r="A9063">
        <v>20151218</v>
      </c>
      <c r="B9063" t="str">
        <f>"061615"</f>
        <v>061615</v>
      </c>
      <c r="C9063" t="str">
        <f>"58207"</f>
        <v>58207</v>
      </c>
      <c r="D9063" t="s">
        <v>296</v>
      </c>
      <c r="E9063" s="3">
        <v>9</v>
      </c>
      <c r="F9063">
        <v>20151216</v>
      </c>
      <c r="G9063" t="s">
        <v>7023</v>
      </c>
      <c r="H9063" t="s">
        <v>558</v>
      </c>
      <c r="I9063">
        <v>0</v>
      </c>
      <c r="J9063" t="s">
        <v>7024</v>
      </c>
      <c r="K9063" t="s">
        <v>290</v>
      </c>
      <c r="L9063" t="s">
        <v>285</v>
      </c>
      <c r="M9063" t="str">
        <f t="shared" si="677"/>
        <v>12</v>
      </c>
      <c r="N9063" t="s">
        <v>12</v>
      </c>
    </row>
    <row r="9064" spans="1:14" x14ac:dyDescent="0.25">
      <c r="A9064">
        <v>20151218</v>
      </c>
      <c r="B9064" t="str">
        <f>"061615"</f>
        <v>061615</v>
      </c>
      <c r="C9064" t="str">
        <f>"58207"</f>
        <v>58207</v>
      </c>
      <c r="D9064" t="s">
        <v>296</v>
      </c>
      <c r="E9064" s="3">
        <v>53.97</v>
      </c>
      <c r="F9064">
        <v>20151216</v>
      </c>
      <c r="G9064" t="s">
        <v>7356</v>
      </c>
      <c r="H9064" t="s">
        <v>836</v>
      </c>
      <c r="I9064">
        <v>0</v>
      </c>
      <c r="J9064" t="s">
        <v>7024</v>
      </c>
      <c r="K9064" t="s">
        <v>95</v>
      </c>
      <c r="L9064" t="s">
        <v>285</v>
      </c>
      <c r="M9064" t="str">
        <f t="shared" si="677"/>
        <v>12</v>
      </c>
      <c r="N9064" t="s">
        <v>12</v>
      </c>
    </row>
    <row r="9065" spans="1:14" x14ac:dyDescent="0.25">
      <c r="A9065">
        <v>20151218</v>
      </c>
      <c r="B9065" t="str">
        <f>"061616"</f>
        <v>061616</v>
      </c>
      <c r="C9065" t="str">
        <f>"58204"</f>
        <v>58204</v>
      </c>
      <c r="D9065" t="s">
        <v>1816</v>
      </c>
      <c r="E9065" s="3">
        <v>72.06</v>
      </c>
      <c r="F9065">
        <v>20151217</v>
      </c>
      <c r="G9065" t="s">
        <v>7126</v>
      </c>
      <c r="H9065" t="s">
        <v>2509</v>
      </c>
      <c r="I9065">
        <v>0</v>
      </c>
      <c r="J9065" t="s">
        <v>7024</v>
      </c>
      <c r="K9065" t="s">
        <v>290</v>
      </c>
      <c r="L9065" t="s">
        <v>285</v>
      </c>
      <c r="M9065" t="str">
        <f t="shared" si="677"/>
        <v>12</v>
      </c>
      <c r="N9065" t="s">
        <v>12</v>
      </c>
    </row>
    <row r="9066" spans="1:14" x14ac:dyDescent="0.25">
      <c r="A9066">
        <v>20151218</v>
      </c>
      <c r="B9066" t="str">
        <f>"061619"</f>
        <v>061619</v>
      </c>
      <c r="C9066" t="str">
        <f>"60258"</f>
        <v>60258</v>
      </c>
      <c r="D9066" t="s">
        <v>7357</v>
      </c>
      <c r="E9066" s="3">
        <v>6751.5</v>
      </c>
      <c r="F9066">
        <v>20151216</v>
      </c>
      <c r="G9066" t="s">
        <v>7140</v>
      </c>
      <c r="H9066" t="s">
        <v>7358</v>
      </c>
      <c r="I9066">
        <v>0</v>
      </c>
      <c r="J9066" t="s">
        <v>7024</v>
      </c>
      <c r="K9066" t="s">
        <v>290</v>
      </c>
      <c r="L9066" t="s">
        <v>285</v>
      </c>
      <c r="M9066" t="str">
        <f t="shared" si="677"/>
        <v>12</v>
      </c>
      <c r="N9066" t="s">
        <v>12</v>
      </c>
    </row>
    <row r="9067" spans="1:14" x14ac:dyDescent="0.25">
      <c r="A9067">
        <v>20151218</v>
      </c>
      <c r="B9067" t="str">
        <f>"061620"</f>
        <v>061620</v>
      </c>
      <c r="C9067" t="str">
        <f>"60853"</f>
        <v>60853</v>
      </c>
      <c r="D9067" t="s">
        <v>676</v>
      </c>
      <c r="E9067" s="3">
        <v>455.9</v>
      </c>
      <c r="F9067">
        <v>20151216</v>
      </c>
      <c r="G9067" t="s">
        <v>7285</v>
      </c>
      <c r="H9067" t="s">
        <v>7359</v>
      </c>
      <c r="I9067">
        <v>0</v>
      </c>
      <c r="J9067" t="s">
        <v>7024</v>
      </c>
      <c r="K9067" t="s">
        <v>290</v>
      </c>
      <c r="L9067" t="s">
        <v>285</v>
      </c>
      <c r="M9067" t="str">
        <f t="shared" si="677"/>
        <v>12</v>
      </c>
      <c r="N9067" t="s">
        <v>12</v>
      </c>
    </row>
    <row r="9068" spans="1:14" x14ac:dyDescent="0.25">
      <c r="A9068">
        <v>20151218</v>
      </c>
      <c r="B9068" t="str">
        <f>"061625"</f>
        <v>061625</v>
      </c>
      <c r="C9068" t="str">
        <f>"65826"</f>
        <v>65826</v>
      </c>
      <c r="D9068" t="s">
        <v>2386</v>
      </c>
      <c r="E9068" s="3">
        <v>-76.48</v>
      </c>
      <c r="F9068">
        <v>20150929</v>
      </c>
      <c r="G9068" t="s">
        <v>7026</v>
      </c>
      <c r="H9068" t="s">
        <v>7360</v>
      </c>
      <c r="I9068">
        <v>0</v>
      </c>
      <c r="J9068" t="s">
        <v>7024</v>
      </c>
      <c r="K9068" t="s">
        <v>1643</v>
      </c>
      <c r="L9068" t="s">
        <v>1385</v>
      </c>
      <c r="M9068" t="str">
        <f t="shared" si="677"/>
        <v>12</v>
      </c>
      <c r="N9068" t="s">
        <v>12</v>
      </c>
    </row>
    <row r="9069" spans="1:14" x14ac:dyDescent="0.25">
      <c r="A9069">
        <v>20151218</v>
      </c>
      <c r="B9069" t="str">
        <f>"061626"</f>
        <v>061626</v>
      </c>
      <c r="C9069" t="str">
        <f>"67100"</f>
        <v>67100</v>
      </c>
      <c r="D9069" t="s">
        <v>4420</v>
      </c>
      <c r="E9069" s="3">
        <v>47.21</v>
      </c>
      <c r="F9069">
        <v>20151217</v>
      </c>
      <c r="G9069" t="s">
        <v>7170</v>
      </c>
      <c r="H9069" t="s">
        <v>540</v>
      </c>
      <c r="I9069">
        <v>0</v>
      </c>
      <c r="J9069" t="s">
        <v>7024</v>
      </c>
      <c r="K9069" t="s">
        <v>290</v>
      </c>
      <c r="L9069" t="s">
        <v>285</v>
      </c>
      <c r="M9069" t="str">
        <f t="shared" si="677"/>
        <v>12</v>
      </c>
      <c r="N9069" t="s">
        <v>12</v>
      </c>
    </row>
    <row r="9070" spans="1:14" x14ac:dyDescent="0.25">
      <c r="A9070">
        <v>20151218</v>
      </c>
      <c r="B9070" t="str">
        <f>"061627"</f>
        <v>061627</v>
      </c>
      <c r="C9070" t="str">
        <f>"67624"</f>
        <v>67624</v>
      </c>
      <c r="D9070" t="s">
        <v>7040</v>
      </c>
      <c r="E9070" s="3">
        <v>3000</v>
      </c>
      <c r="F9070">
        <v>20151216</v>
      </c>
      <c r="G9070" t="s">
        <v>7041</v>
      </c>
      <c r="H9070" t="s">
        <v>7042</v>
      </c>
      <c r="I9070">
        <v>0</v>
      </c>
      <c r="J9070" t="s">
        <v>7024</v>
      </c>
      <c r="K9070" t="s">
        <v>290</v>
      </c>
      <c r="L9070" t="s">
        <v>285</v>
      </c>
      <c r="M9070" t="str">
        <f t="shared" si="677"/>
        <v>12</v>
      </c>
      <c r="N9070" t="s">
        <v>12</v>
      </c>
    </row>
    <row r="9071" spans="1:14" x14ac:dyDescent="0.25">
      <c r="A9071">
        <v>20151218</v>
      </c>
      <c r="B9071" t="str">
        <f>"061630"</f>
        <v>061630</v>
      </c>
      <c r="C9071" t="str">
        <f>"71774"</f>
        <v>71774</v>
      </c>
      <c r="D9071" t="s">
        <v>7361</v>
      </c>
      <c r="E9071" s="3">
        <v>643.47</v>
      </c>
      <c r="F9071">
        <v>20151216</v>
      </c>
      <c r="G9071" t="s">
        <v>7362</v>
      </c>
      <c r="H9071" t="s">
        <v>7363</v>
      </c>
      <c r="I9071">
        <v>0</v>
      </c>
      <c r="J9071" t="s">
        <v>7024</v>
      </c>
      <c r="K9071" t="s">
        <v>290</v>
      </c>
      <c r="L9071" t="s">
        <v>285</v>
      </c>
      <c r="M9071" t="str">
        <f t="shared" si="677"/>
        <v>12</v>
      </c>
      <c r="N9071" t="s">
        <v>12</v>
      </c>
    </row>
    <row r="9072" spans="1:14" x14ac:dyDescent="0.25">
      <c r="A9072">
        <v>20151218</v>
      </c>
      <c r="B9072" t="str">
        <f t="shared" ref="B9072:B9082" si="678">"061634"</f>
        <v>061634</v>
      </c>
      <c r="C9072" t="str">
        <f t="shared" ref="C9072:C9082" si="679">"78311"</f>
        <v>78311</v>
      </c>
      <c r="D9072" t="s">
        <v>458</v>
      </c>
      <c r="E9072" s="3">
        <v>32.770000000000003</v>
      </c>
      <c r="F9072">
        <v>20151217</v>
      </c>
      <c r="G9072" t="s">
        <v>7170</v>
      </c>
      <c r="H9072" t="s">
        <v>540</v>
      </c>
      <c r="I9072">
        <v>0</v>
      </c>
      <c r="J9072" t="s">
        <v>7024</v>
      </c>
      <c r="K9072" t="s">
        <v>290</v>
      </c>
      <c r="L9072" t="s">
        <v>285</v>
      </c>
      <c r="M9072" t="str">
        <f t="shared" si="677"/>
        <v>12</v>
      </c>
      <c r="N9072" t="s">
        <v>12</v>
      </c>
    </row>
    <row r="9073" spans="1:14" x14ac:dyDescent="0.25">
      <c r="A9073">
        <v>20151218</v>
      </c>
      <c r="B9073" t="str">
        <f t="shared" si="678"/>
        <v>061634</v>
      </c>
      <c r="C9073" t="str">
        <f t="shared" si="679"/>
        <v>78311</v>
      </c>
      <c r="D9073" t="s">
        <v>458</v>
      </c>
      <c r="E9073" s="3">
        <v>31.04</v>
      </c>
      <c r="F9073">
        <v>20151217</v>
      </c>
      <c r="G9073" t="s">
        <v>7170</v>
      </c>
      <c r="H9073" t="s">
        <v>540</v>
      </c>
      <c r="I9073">
        <v>0</v>
      </c>
      <c r="J9073" t="s">
        <v>7024</v>
      </c>
      <c r="K9073" t="s">
        <v>290</v>
      </c>
      <c r="L9073" t="s">
        <v>285</v>
      </c>
      <c r="M9073" t="str">
        <f t="shared" si="677"/>
        <v>12</v>
      </c>
      <c r="N9073" t="s">
        <v>12</v>
      </c>
    </row>
    <row r="9074" spans="1:14" x14ac:dyDescent="0.25">
      <c r="A9074">
        <v>20151218</v>
      </c>
      <c r="B9074" t="str">
        <f t="shared" si="678"/>
        <v>061634</v>
      </c>
      <c r="C9074" t="str">
        <f t="shared" si="679"/>
        <v>78311</v>
      </c>
      <c r="D9074" t="s">
        <v>458</v>
      </c>
      <c r="E9074" s="3">
        <v>31.71</v>
      </c>
      <c r="F9074">
        <v>20151217</v>
      </c>
      <c r="G9074" t="s">
        <v>7170</v>
      </c>
      <c r="H9074" t="s">
        <v>540</v>
      </c>
      <c r="I9074">
        <v>0</v>
      </c>
      <c r="J9074" t="s">
        <v>7024</v>
      </c>
      <c r="K9074" t="s">
        <v>290</v>
      </c>
      <c r="L9074" t="s">
        <v>285</v>
      </c>
      <c r="M9074" t="str">
        <f t="shared" si="677"/>
        <v>12</v>
      </c>
      <c r="N9074" t="s">
        <v>12</v>
      </c>
    </row>
    <row r="9075" spans="1:14" x14ac:dyDescent="0.25">
      <c r="A9075">
        <v>20151218</v>
      </c>
      <c r="B9075" t="str">
        <f t="shared" si="678"/>
        <v>061634</v>
      </c>
      <c r="C9075" t="str">
        <f t="shared" si="679"/>
        <v>78311</v>
      </c>
      <c r="D9075" t="s">
        <v>458</v>
      </c>
      <c r="E9075" s="3">
        <v>22.2</v>
      </c>
      <c r="F9075">
        <v>20151217</v>
      </c>
      <c r="G9075" t="s">
        <v>7170</v>
      </c>
      <c r="H9075" t="s">
        <v>540</v>
      </c>
      <c r="I9075">
        <v>0</v>
      </c>
      <c r="J9075" t="s">
        <v>7024</v>
      </c>
      <c r="K9075" t="s">
        <v>290</v>
      </c>
      <c r="L9075" t="s">
        <v>285</v>
      </c>
      <c r="M9075" t="str">
        <f t="shared" si="677"/>
        <v>12</v>
      </c>
      <c r="N9075" t="s">
        <v>12</v>
      </c>
    </row>
    <row r="9076" spans="1:14" x14ac:dyDescent="0.25">
      <c r="A9076">
        <v>20151218</v>
      </c>
      <c r="B9076" t="str">
        <f t="shared" si="678"/>
        <v>061634</v>
      </c>
      <c r="C9076" t="str">
        <f t="shared" si="679"/>
        <v>78311</v>
      </c>
      <c r="D9076" t="s">
        <v>458</v>
      </c>
      <c r="E9076" s="3">
        <v>20.79</v>
      </c>
      <c r="F9076">
        <v>20151217</v>
      </c>
      <c r="G9076" t="s">
        <v>7170</v>
      </c>
      <c r="H9076" t="s">
        <v>540</v>
      </c>
      <c r="I9076">
        <v>0</v>
      </c>
      <c r="J9076" t="s">
        <v>7024</v>
      </c>
      <c r="K9076" t="s">
        <v>290</v>
      </c>
      <c r="L9076" t="s">
        <v>285</v>
      </c>
      <c r="M9076" t="str">
        <f t="shared" si="677"/>
        <v>12</v>
      </c>
      <c r="N9076" t="s">
        <v>12</v>
      </c>
    </row>
    <row r="9077" spans="1:14" x14ac:dyDescent="0.25">
      <c r="A9077">
        <v>20151218</v>
      </c>
      <c r="B9077" t="str">
        <f t="shared" si="678"/>
        <v>061634</v>
      </c>
      <c r="C9077" t="str">
        <f t="shared" si="679"/>
        <v>78311</v>
      </c>
      <c r="D9077" t="s">
        <v>458</v>
      </c>
      <c r="E9077" s="3">
        <v>22.7</v>
      </c>
      <c r="F9077">
        <v>20151217</v>
      </c>
      <c r="G9077" t="s">
        <v>7170</v>
      </c>
      <c r="H9077" t="s">
        <v>540</v>
      </c>
      <c r="I9077">
        <v>0</v>
      </c>
      <c r="J9077" t="s">
        <v>7024</v>
      </c>
      <c r="K9077" t="s">
        <v>290</v>
      </c>
      <c r="L9077" t="s">
        <v>285</v>
      </c>
      <c r="M9077" t="str">
        <f t="shared" si="677"/>
        <v>12</v>
      </c>
      <c r="N9077" t="s">
        <v>12</v>
      </c>
    </row>
    <row r="9078" spans="1:14" x14ac:dyDescent="0.25">
      <c r="A9078">
        <v>20151218</v>
      </c>
      <c r="B9078" t="str">
        <f t="shared" si="678"/>
        <v>061634</v>
      </c>
      <c r="C9078" t="str">
        <f t="shared" si="679"/>
        <v>78311</v>
      </c>
      <c r="D9078" t="s">
        <v>458</v>
      </c>
      <c r="E9078" s="3">
        <v>15.28</v>
      </c>
      <c r="F9078">
        <v>20151217</v>
      </c>
      <c r="G9078" t="s">
        <v>7207</v>
      </c>
      <c r="H9078" t="s">
        <v>540</v>
      </c>
      <c r="I9078">
        <v>0</v>
      </c>
      <c r="J9078" t="s">
        <v>7024</v>
      </c>
      <c r="K9078" t="s">
        <v>290</v>
      </c>
      <c r="L9078" t="s">
        <v>285</v>
      </c>
      <c r="M9078" t="str">
        <f t="shared" si="677"/>
        <v>12</v>
      </c>
      <c r="N9078" t="s">
        <v>12</v>
      </c>
    </row>
    <row r="9079" spans="1:14" x14ac:dyDescent="0.25">
      <c r="A9079">
        <v>20151218</v>
      </c>
      <c r="B9079" t="str">
        <f t="shared" si="678"/>
        <v>061634</v>
      </c>
      <c r="C9079" t="str">
        <f t="shared" si="679"/>
        <v>78311</v>
      </c>
      <c r="D9079" t="s">
        <v>458</v>
      </c>
      <c r="E9079" s="3">
        <v>18.600000000000001</v>
      </c>
      <c r="F9079">
        <v>20151217</v>
      </c>
      <c r="G9079" t="s">
        <v>7207</v>
      </c>
      <c r="H9079" t="s">
        <v>540</v>
      </c>
      <c r="I9079">
        <v>0</v>
      </c>
      <c r="J9079" t="s">
        <v>7024</v>
      </c>
      <c r="K9079" t="s">
        <v>290</v>
      </c>
      <c r="L9079" t="s">
        <v>285</v>
      </c>
      <c r="M9079" t="str">
        <f t="shared" si="677"/>
        <v>12</v>
      </c>
      <c r="N9079" t="s">
        <v>12</v>
      </c>
    </row>
    <row r="9080" spans="1:14" x14ac:dyDescent="0.25">
      <c r="A9080">
        <v>20151218</v>
      </c>
      <c r="B9080" t="str">
        <f t="shared" si="678"/>
        <v>061634</v>
      </c>
      <c r="C9080" t="str">
        <f t="shared" si="679"/>
        <v>78311</v>
      </c>
      <c r="D9080" t="s">
        <v>458</v>
      </c>
      <c r="E9080" s="3">
        <v>12.33</v>
      </c>
      <c r="F9080">
        <v>20151217</v>
      </c>
      <c r="G9080" t="s">
        <v>7207</v>
      </c>
      <c r="H9080" t="s">
        <v>540</v>
      </c>
      <c r="I9080">
        <v>0</v>
      </c>
      <c r="J9080" t="s">
        <v>7024</v>
      </c>
      <c r="K9080" t="s">
        <v>290</v>
      </c>
      <c r="L9080" t="s">
        <v>285</v>
      </c>
      <c r="M9080" t="str">
        <f t="shared" si="677"/>
        <v>12</v>
      </c>
      <c r="N9080" t="s">
        <v>12</v>
      </c>
    </row>
    <row r="9081" spans="1:14" x14ac:dyDescent="0.25">
      <c r="A9081">
        <v>20151218</v>
      </c>
      <c r="B9081" t="str">
        <f t="shared" si="678"/>
        <v>061634</v>
      </c>
      <c r="C9081" t="str">
        <f t="shared" si="679"/>
        <v>78311</v>
      </c>
      <c r="D9081" t="s">
        <v>458</v>
      </c>
      <c r="E9081" s="3">
        <v>10.23</v>
      </c>
      <c r="F9081">
        <v>20151217</v>
      </c>
      <c r="G9081" t="s">
        <v>7207</v>
      </c>
      <c r="H9081" t="s">
        <v>540</v>
      </c>
      <c r="I9081">
        <v>0</v>
      </c>
      <c r="J9081" t="s">
        <v>7024</v>
      </c>
      <c r="K9081" t="s">
        <v>290</v>
      </c>
      <c r="L9081" t="s">
        <v>285</v>
      </c>
      <c r="M9081" t="str">
        <f t="shared" si="677"/>
        <v>12</v>
      </c>
      <c r="N9081" t="s">
        <v>12</v>
      </c>
    </row>
    <row r="9082" spans="1:14" x14ac:dyDescent="0.25">
      <c r="A9082">
        <v>20151218</v>
      </c>
      <c r="B9082" t="str">
        <f t="shared" si="678"/>
        <v>061634</v>
      </c>
      <c r="C9082" t="str">
        <f t="shared" si="679"/>
        <v>78311</v>
      </c>
      <c r="D9082" t="s">
        <v>458</v>
      </c>
      <c r="E9082" s="3">
        <v>10.23</v>
      </c>
      <c r="F9082">
        <v>20151217</v>
      </c>
      <c r="G9082" t="s">
        <v>7207</v>
      </c>
      <c r="H9082" t="s">
        <v>540</v>
      </c>
      <c r="I9082">
        <v>0</v>
      </c>
      <c r="J9082" t="s">
        <v>7024</v>
      </c>
      <c r="K9082" t="s">
        <v>290</v>
      </c>
      <c r="L9082" t="s">
        <v>285</v>
      </c>
      <c r="M9082" t="str">
        <f t="shared" si="677"/>
        <v>12</v>
      </c>
      <c r="N9082" t="s">
        <v>12</v>
      </c>
    </row>
    <row r="9083" spans="1:14" x14ac:dyDescent="0.25">
      <c r="A9083">
        <v>20151218</v>
      </c>
      <c r="B9083" t="str">
        <f>"061635"</f>
        <v>061635</v>
      </c>
      <c r="C9083" t="str">
        <f>"80175"</f>
        <v>80175</v>
      </c>
      <c r="D9083" t="s">
        <v>5604</v>
      </c>
      <c r="E9083" s="3">
        <v>150</v>
      </c>
      <c r="F9083">
        <v>20151217</v>
      </c>
      <c r="G9083" t="s">
        <v>7320</v>
      </c>
      <c r="H9083" t="s">
        <v>3456</v>
      </c>
      <c r="I9083">
        <v>0</v>
      </c>
      <c r="J9083" t="s">
        <v>7024</v>
      </c>
      <c r="K9083" t="s">
        <v>290</v>
      </c>
      <c r="L9083" t="s">
        <v>285</v>
      </c>
      <c r="M9083" t="str">
        <f t="shared" si="677"/>
        <v>12</v>
      </c>
      <c r="N9083" t="s">
        <v>12</v>
      </c>
    </row>
    <row r="9084" spans="1:14" x14ac:dyDescent="0.25">
      <c r="A9084">
        <v>20151218</v>
      </c>
      <c r="B9084" t="str">
        <f>"061637"</f>
        <v>061637</v>
      </c>
      <c r="C9084" t="str">
        <f>"80425"</f>
        <v>80425</v>
      </c>
      <c r="D9084" t="s">
        <v>818</v>
      </c>
      <c r="E9084" s="3">
        <v>836</v>
      </c>
      <c r="F9084">
        <v>20151217</v>
      </c>
      <c r="G9084" t="s">
        <v>7364</v>
      </c>
      <c r="H9084" t="s">
        <v>820</v>
      </c>
      <c r="I9084">
        <v>0</v>
      </c>
      <c r="J9084" t="s">
        <v>7024</v>
      </c>
      <c r="K9084" t="s">
        <v>290</v>
      </c>
      <c r="L9084" t="s">
        <v>285</v>
      </c>
      <c r="M9084" t="str">
        <f t="shared" si="677"/>
        <v>12</v>
      </c>
      <c r="N9084" t="s">
        <v>12</v>
      </c>
    </row>
    <row r="9085" spans="1:14" x14ac:dyDescent="0.25">
      <c r="A9085">
        <v>20151218</v>
      </c>
      <c r="B9085" t="str">
        <f>"061646"</f>
        <v>061646</v>
      </c>
      <c r="C9085" t="str">
        <f>"84572"</f>
        <v>84572</v>
      </c>
      <c r="D9085" t="s">
        <v>7312</v>
      </c>
      <c r="E9085" s="3">
        <v>40</v>
      </c>
      <c r="F9085">
        <v>20151217</v>
      </c>
      <c r="G9085" t="s">
        <v>7285</v>
      </c>
      <c r="H9085" t="s">
        <v>7286</v>
      </c>
      <c r="I9085">
        <v>0</v>
      </c>
      <c r="J9085" t="s">
        <v>7024</v>
      </c>
      <c r="K9085" t="s">
        <v>290</v>
      </c>
      <c r="L9085" t="s">
        <v>285</v>
      </c>
      <c r="M9085" t="str">
        <f t="shared" si="677"/>
        <v>12</v>
      </c>
      <c r="N9085" t="s">
        <v>12</v>
      </c>
    </row>
    <row r="9086" spans="1:14" x14ac:dyDescent="0.25">
      <c r="A9086">
        <v>20151218</v>
      </c>
      <c r="B9086" t="str">
        <f>"061647"</f>
        <v>061647</v>
      </c>
      <c r="C9086" t="str">
        <f>"85951"</f>
        <v>85951</v>
      </c>
      <c r="D9086" t="s">
        <v>7365</v>
      </c>
      <c r="E9086" s="3">
        <v>150</v>
      </c>
      <c r="F9086">
        <v>20151217</v>
      </c>
      <c r="G9086" t="s">
        <v>7320</v>
      </c>
      <c r="H9086" t="s">
        <v>3456</v>
      </c>
      <c r="I9086">
        <v>0</v>
      </c>
      <c r="J9086" t="s">
        <v>7024</v>
      </c>
      <c r="K9086" t="s">
        <v>290</v>
      </c>
      <c r="L9086" t="s">
        <v>285</v>
      </c>
      <c r="M9086" t="str">
        <f t="shared" si="677"/>
        <v>12</v>
      </c>
      <c r="N9086" t="s">
        <v>12</v>
      </c>
    </row>
    <row r="9087" spans="1:14" x14ac:dyDescent="0.25">
      <c r="A9087">
        <v>20160107</v>
      </c>
      <c r="B9087" t="str">
        <f>"061670"</f>
        <v>061670</v>
      </c>
      <c r="C9087" t="str">
        <f>"74106"</f>
        <v>74106</v>
      </c>
      <c r="D9087" t="s">
        <v>4690</v>
      </c>
      <c r="E9087" s="3">
        <v>706.32</v>
      </c>
      <c r="F9087">
        <v>20160113</v>
      </c>
      <c r="G9087" t="s">
        <v>7366</v>
      </c>
      <c r="H9087" t="s">
        <v>3163</v>
      </c>
      <c r="I9087">
        <v>0</v>
      </c>
      <c r="J9087" t="s">
        <v>7024</v>
      </c>
      <c r="K9087" t="s">
        <v>290</v>
      </c>
      <c r="L9087" t="s">
        <v>17</v>
      </c>
      <c r="M9087" t="str">
        <f t="shared" ref="M9087:M9118" si="680">"01"</f>
        <v>01</v>
      </c>
      <c r="N9087" t="s">
        <v>12</v>
      </c>
    </row>
    <row r="9088" spans="1:14" x14ac:dyDescent="0.25">
      <c r="A9088">
        <v>20160111</v>
      </c>
      <c r="B9088" t="str">
        <f>"061677"</f>
        <v>061677</v>
      </c>
      <c r="C9088" t="str">
        <f>"09170"</f>
        <v>09170</v>
      </c>
      <c r="D9088" t="s">
        <v>596</v>
      </c>
      <c r="E9088" s="3">
        <v>336.65</v>
      </c>
      <c r="F9088">
        <v>20160108</v>
      </c>
      <c r="G9088" t="s">
        <v>7026</v>
      </c>
      <c r="H9088" t="s">
        <v>7367</v>
      </c>
      <c r="I9088">
        <v>0</v>
      </c>
      <c r="J9088" t="s">
        <v>7024</v>
      </c>
      <c r="K9088" t="s">
        <v>1643</v>
      </c>
      <c r="L9088" t="s">
        <v>285</v>
      </c>
      <c r="M9088" t="str">
        <f t="shared" si="680"/>
        <v>01</v>
      </c>
      <c r="N9088" t="s">
        <v>12</v>
      </c>
    </row>
    <row r="9089" spans="1:14" x14ac:dyDescent="0.25">
      <c r="A9089">
        <v>20160111</v>
      </c>
      <c r="B9089" t="str">
        <f>"061677"</f>
        <v>061677</v>
      </c>
      <c r="C9089" t="str">
        <f>"09170"</f>
        <v>09170</v>
      </c>
      <c r="D9089" t="s">
        <v>596</v>
      </c>
      <c r="E9089" s="3">
        <v>7.68</v>
      </c>
      <c r="F9089">
        <v>20160108</v>
      </c>
      <c r="G9089" t="s">
        <v>7292</v>
      </c>
      <c r="H9089" t="s">
        <v>7368</v>
      </c>
      <c r="I9089">
        <v>0</v>
      </c>
      <c r="J9089" t="s">
        <v>7024</v>
      </c>
      <c r="K9089" t="s">
        <v>290</v>
      </c>
      <c r="L9089" t="s">
        <v>285</v>
      </c>
      <c r="M9089" t="str">
        <f t="shared" si="680"/>
        <v>01</v>
      </c>
      <c r="N9089" t="s">
        <v>12</v>
      </c>
    </row>
    <row r="9090" spans="1:14" x14ac:dyDescent="0.25">
      <c r="A9090">
        <v>20160111</v>
      </c>
      <c r="B9090" t="str">
        <f>"061683"</f>
        <v>061683</v>
      </c>
      <c r="C9090" t="str">
        <f>"51346"</f>
        <v>51346</v>
      </c>
      <c r="D9090" t="s">
        <v>379</v>
      </c>
      <c r="E9090" s="3">
        <v>44</v>
      </c>
      <c r="F9090">
        <v>20160108</v>
      </c>
      <c r="G9090" t="s">
        <v>7290</v>
      </c>
      <c r="H9090" t="s">
        <v>7369</v>
      </c>
      <c r="I9090">
        <v>0</v>
      </c>
      <c r="J9090" t="s">
        <v>7024</v>
      </c>
      <c r="K9090" t="s">
        <v>95</v>
      </c>
      <c r="L9090" t="s">
        <v>285</v>
      </c>
      <c r="M9090" t="str">
        <f t="shared" si="680"/>
        <v>01</v>
      </c>
      <c r="N9090" t="s">
        <v>12</v>
      </c>
    </row>
    <row r="9091" spans="1:14" x14ac:dyDescent="0.25">
      <c r="A9091">
        <v>20160111</v>
      </c>
      <c r="B9091" t="str">
        <f>"061688"</f>
        <v>061688</v>
      </c>
      <c r="C9091" t="str">
        <f>"24354"</f>
        <v>24354</v>
      </c>
      <c r="D9091" t="s">
        <v>7370</v>
      </c>
      <c r="E9091" s="3">
        <v>145.59</v>
      </c>
      <c r="F9091">
        <v>20160108</v>
      </c>
      <c r="G9091" t="s">
        <v>7170</v>
      </c>
      <c r="H9091" t="s">
        <v>7371</v>
      </c>
      <c r="I9091">
        <v>0</v>
      </c>
      <c r="J9091" t="s">
        <v>7024</v>
      </c>
      <c r="K9091" t="s">
        <v>290</v>
      </c>
      <c r="L9091" t="s">
        <v>285</v>
      </c>
      <c r="M9091" t="str">
        <f t="shared" si="680"/>
        <v>01</v>
      </c>
      <c r="N9091" t="s">
        <v>12</v>
      </c>
    </row>
    <row r="9092" spans="1:14" x14ac:dyDescent="0.25">
      <c r="A9092">
        <v>20160111</v>
      </c>
      <c r="B9092" t="str">
        <f>"061692"</f>
        <v>061692</v>
      </c>
      <c r="C9092" t="str">
        <f>"27135"</f>
        <v>27135</v>
      </c>
      <c r="D9092" t="s">
        <v>842</v>
      </c>
      <c r="E9092" s="3">
        <v>162.21</v>
      </c>
      <c r="F9092">
        <v>20160108</v>
      </c>
      <c r="G9092" t="s">
        <v>7372</v>
      </c>
      <c r="H9092" t="s">
        <v>845</v>
      </c>
      <c r="I9092">
        <v>0</v>
      </c>
      <c r="J9092" t="s">
        <v>7024</v>
      </c>
      <c r="K9092" t="s">
        <v>290</v>
      </c>
      <c r="L9092" t="s">
        <v>285</v>
      </c>
      <c r="M9092" t="str">
        <f t="shared" si="680"/>
        <v>01</v>
      </c>
      <c r="N9092" t="s">
        <v>12</v>
      </c>
    </row>
    <row r="9093" spans="1:14" x14ac:dyDescent="0.25">
      <c r="A9093">
        <v>20160111</v>
      </c>
      <c r="B9093" t="str">
        <f>"061695"</f>
        <v>061695</v>
      </c>
      <c r="C9093" t="str">
        <f>"28680"</f>
        <v>28680</v>
      </c>
      <c r="D9093" t="s">
        <v>422</v>
      </c>
      <c r="E9093" s="3">
        <v>260</v>
      </c>
      <c r="F9093">
        <v>20160108</v>
      </c>
      <c r="G9093" t="s">
        <v>7041</v>
      </c>
      <c r="H9093" t="s">
        <v>7373</v>
      </c>
      <c r="I9093">
        <v>0</v>
      </c>
      <c r="J9093" t="s">
        <v>7024</v>
      </c>
      <c r="K9093" t="s">
        <v>290</v>
      </c>
      <c r="L9093" t="s">
        <v>285</v>
      </c>
      <c r="M9093" t="str">
        <f t="shared" si="680"/>
        <v>01</v>
      </c>
      <c r="N9093" t="s">
        <v>12</v>
      </c>
    </row>
    <row r="9094" spans="1:14" x14ac:dyDescent="0.25">
      <c r="A9094">
        <v>20160111</v>
      </c>
      <c r="B9094" t="str">
        <f>"061695"</f>
        <v>061695</v>
      </c>
      <c r="C9094" t="str">
        <f>"28680"</f>
        <v>28680</v>
      </c>
      <c r="D9094" t="s">
        <v>422</v>
      </c>
      <c r="E9094" s="3">
        <v>260</v>
      </c>
      <c r="F9094">
        <v>20160108</v>
      </c>
      <c r="G9094" t="s">
        <v>7041</v>
      </c>
      <c r="H9094" t="s">
        <v>7374</v>
      </c>
      <c r="I9094">
        <v>0</v>
      </c>
      <c r="J9094" t="s">
        <v>7024</v>
      </c>
      <c r="K9094" t="s">
        <v>290</v>
      </c>
      <c r="L9094" t="s">
        <v>285</v>
      </c>
      <c r="M9094" t="str">
        <f t="shared" si="680"/>
        <v>01</v>
      </c>
      <c r="N9094" t="s">
        <v>12</v>
      </c>
    </row>
    <row r="9095" spans="1:14" x14ac:dyDescent="0.25">
      <c r="A9095">
        <v>20160111</v>
      </c>
      <c r="B9095" t="str">
        <f t="shared" ref="B9095:B9100" si="681">"061705"</f>
        <v>061705</v>
      </c>
      <c r="C9095" t="str">
        <f t="shared" ref="C9095:C9100" si="682">"37500"</f>
        <v>37500</v>
      </c>
      <c r="D9095" t="s">
        <v>1652</v>
      </c>
      <c r="E9095" s="3">
        <v>102.74</v>
      </c>
      <c r="F9095">
        <v>20160108</v>
      </c>
      <c r="G9095" t="s">
        <v>7026</v>
      </c>
      <c r="H9095" t="s">
        <v>7375</v>
      </c>
      <c r="I9095">
        <v>0</v>
      </c>
      <c r="J9095" t="s">
        <v>7024</v>
      </c>
      <c r="K9095" t="s">
        <v>1643</v>
      </c>
      <c r="L9095" t="s">
        <v>285</v>
      </c>
      <c r="M9095" t="str">
        <f t="shared" si="680"/>
        <v>01</v>
      </c>
      <c r="N9095" t="s">
        <v>12</v>
      </c>
    </row>
    <row r="9096" spans="1:14" x14ac:dyDescent="0.25">
      <c r="A9096">
        <v>20160111</v>
      </c>
      <c r="B9096" t="str">
        <f t="shared" si="681"/>
        <v>061705</v>
      </c>
      <c r="C9096" t="str">
        <f t="shared" si="682"/>
        <v>37500</v>
      </c>
      <c r="D9096" t="s">
        <v>1652</v>
      </c>
      <c r="E9096" s="3">
        <v>48.8</v>
      </c>
      <c r="F9096">
        <v>20160108</v>
      </c>
      <c r="G9096" t="s">
        <v>7253</v>
      </c>
      <c r="H9096" t="s">
        <v>7376</v>
      </c>
      <c r="I9096">
        <v>0</v>
      </c>
      <c r="J9096" t="s">
        <v>7024</v>
      </c>
      <c r="K9096" t="s">
        <v>95</v>
      </c>
      <c r="L9096" t="s">
        <v>285</v>
      </c>
      <c r="M9096" t="str">
        <f t="shared" si="680"/>
        <v>01</v>
      </c>
      <c r="N9096" t="s">
        <v>12</v>
      </c>
    </row>
    <row r="9097" spans="1:14" x14ac:dyDescent="0.25">
      <c r="A9097">
        <v>20160111</v>
      </c>
      <c r="B9097" t="str">
        <f t="shared" si="681"/>
        <v>061705</v>
      </c>
      <c r="C9097" t="str">
        <f t="shared" si="682"/>
        <v>37500</v>
      </c>
      <c r="D9097" t="s">
        <v>1652</v>
      </c>
      <c r="E9097" s="3">
        <v>69.510000000000005</v>
      </c>
      <c r="F9097">
        <v>20160108</v>
      </c>
      <c r="G9097" t="s">
        <v>7253</v>
      </c>
      <c r="H9097" t="s">
        <v>7377</v>
      </c>
      <c r="I9097">
        <v>0</v>
      </c>
      <c r="J9097" t="s">
        <v>7024</v>
      </c>
      <c r="K9097" t="s">
        <v>95</v>
      </c>
      <c r="L9097" t="s">
        <v>285</v>
      </c>
      <c r="M9097" t="str">
        <f t="shared" si="680"/>
        <v>01</v>
      </c>
      <c r="N9097" t="s">
        <v>12</v>
      </c>
    </row>
    <row r="9098" spans="1:14" x14ac:dyDescent="0.25">
      <c r="A9098">
        <v>20160111</v>
      </c>
      <c r="B9098" t="str">
        <f t="shared" si="681"/>
        <v>061705</v>
      </c>
      <c r="C9098" t="str">
        <f t="shared" si="682"/>
        <v>37500</v>
      </c>
      <c r="D9098" t="s">
        <v>1652</v>
      </c>
      <c r="E9098" s="3">
        <v>85.15</v>
      </c>
      <c r="F9098">
        <v>20160108</v>
      </c>
      <c r="G9098" t="s">
        <v>7314</v>
      </c>
      <c r="H9098" t="s">
        <v>5822</v>
      </c>
      <c r="I9098">
        <v>0</v>
      </c>
      <c r="J9098" t="s">
        <v>7024</v>
      </c>
      <c r="K9098" t="s">
        <v>290</v>
      </c>
      <c r="L9098" t="s">
        <v>285</v>
      </c>
      <c r="M9098" t="str">
        <f t="shared" si="680"/>
        <v>01</v>
      </c>
      <c r="N9098" t="s">
        <v>12</v>
      </c>
    </row>
    <row r="9099" spans="1:14" x14ac:dyDescent="0.25">
      <c r="A9099">
        <v>20160111</v>
      </c>
      <c r="B9099" t="str">
        <f t="shared" si="681"/>
        <v>061705</v>
      </c>
      <c r="C9099" t="str">
        <f t="shared" si="682"/>
        <v>37500</v>
      </c>
      <c r="D9099" t="s">
        <v>1652</v>
      </c>
      <c r="E9099" s="3">
        <v>58.91</v>
      </c>
      <c r="F9099">
        <v>20160108</v>
      </c>
      <c r="G9099" t="s">
        <v>7080</v>
      </c>
      <c r="H9099" t="s">
        <v>3583</v>
      </c>
      <c r="I9099">
        <v>0</v>
      </c>
      <c r="J9099" t="s">
        <v>7024</v>
      </c>
      <c r="K9099" t="s">
        <v>33</v>
      </c>
      <c r="L9099" t="s">
        <v>285</v>
      </c>
      <c r="M9099" t="str">
        <f t="shared" si="680"/>
        <v>01</v>
      </c>
      <c r="N9099" t="s">
        <v>12</v>
      </c>
    </row>
    <row r="9100" spans="1:14" x14ac:dyDescent="0.25">
      <c r="A9100">
        <v>20160111</v>
      </c>
      <c r="B9100" t="str">
        <f t="shared" si="681"/>
        <v>061705</v>
      </c>
      <c r="C9100" t="str">
        <f t="shared" si="682"/>
        <v>37500</v>
      </c>
      <c r="D9100" t="s">
        <v>1652</v>
      </c>
      <c r="E9100" s="3">
        <v>16.920000000000002</v>
      </c>
      <c r="F9100">
        <v>20160108</v>
      </c>
      <c r="G9100" t="s">
        <v>7179</v>
      </c>
      <c r="H9100" t="s">
        <v>7377</v>
      </c>
      <c r="I9100">
        <v>0</v>
      </c>
      <c r="J9100" t="s">
        <v>7024</v>
      </c>
      <c r="K9100" t="s">
        <v>95</v>
      </c>
      <c r="L9100" t="s">
        <v>285</v>
      </c>
      <c r="M9100" t="str">
        <f t="shared" si="680"/>
        <v>01</v>
      </c>
      <c r="N9100" t="s">
        <v>12</v>
      </c>
    </row>
    <row r="9101" spans="1:14" x14ac:dyDescent="0.25">
      <c r="A9101">
        <v>20160111</v>
      </c>
      <c r="B9101" t="str">
        <f>"061722"</f>
        <v>061722</v>
      </c>
      <c r="C9101" t="str">
        <f>"58203"</f>
        <v>58203</v>
      </c>
      <c r="D9101" t="s">
        <v>2371</v>
      </c>
      <c r="E9101" s="3">
        <v>224.52</v>
      </c>
      <c r="F9101">
        <v>20160108</v>
      </c>
      <c r="G9101" t="s">
        <v>7026</v>
      </c>
      <c r="H9101" t="s">
        <v>7375</v>
      </c>
      <c r="I9101">
        <v>0</v>
      </c>
      <c r="J9101" t="s">
        <v>7024</v>
      </c>
      <c r="K9101" t="s">
        <v>1643</v>
      </c>
      <c r="L9101" t="s">
        <v>285</v>
      </c>
      <c r="M9101" t="str">
        <f t="shared" si="680"/>
        <v>01</v>
      </c>
      <c r="N9101" t="s">
        <v>12</v>
      </c>
    </row>
    <row r="9102" spans="1:14" x14ac:dyDescent="0.25">
      <c r="A9102">
        <v>20160111</v>
      </c>
      <c r="B9102" t="str">
        <f>"061722"</f>
        <v>061722</v>
      </c>
      <c r="C9102" t="str">
        <f>"58203"</f>
        <v>58203</v>
      </c>
      <c r="D9102" t="s">
        <v>2371</v>
      </c>
      <c r="E9102" s="3">
        <v>17.920000000000002</v>
      </c>
      <c r="F9102">
        <v>20160108</v>
      </c>
      <c r="G9102" t="s">
        <v>7094</v>
      </c>
      <c r="H9102" t="s">
        <v>7375</v>
      </c>
      <c r="I9102">
        <v>0</v>
      </c>
      <c r="J9102" t="s">
        <v>7024</v>
      </c>
      <c r="K9102" t="s">
        <v>1643</v>
      </c>
      <c r="L9102" t="s">
        <v>285</v>
      </c>
      <c r="M9102" t="str">
        <f t="shared" si="680"/>
        <v>01</v>
      </c>
      <c r="N9102" t="s">
        <v>12</v>
      </c>
    </row>
    <row r="9103" spans="1:14" x14ac:dyDescent="0.25">
      <c r="A9103">
        <v>20160111</v>
      </c>
      <c r="B9103" t="str">
        <f>"061729"</f>
        <v>061729</v>
      </c>
      <c r="C9103" t="str">
        <f>"65841"</f>
        <v>65841</v>
      </c>
      <c r="D9103" t="s">
        <v>7378</v>
      </c>
      <c r="E9103" s="3">
        <v>211.24</v>
      </c>
      <c r="F9103">
        <v>20160108</v>
      </c>
      <c r="G9103" t="s">
        <v>7197</v>
      </c>
      <c r="H9103" t="s">
        <v>7379</v>
      </c>
      <c r="I9103">
        <v>0</v>
      </c>
      <c r="J9103" t="s">
        <v>7024</v>
      </c>
      <c r="K9103" t="s">
        <v>33</v>
      </c>
      <c r="L9103" t="s">
        <v>285</v>
      </c>
      <c r="M9103" t="str">
        <f t="shared" si="680"/>
        <v>01</v>
      </c>
      <c r="N9103" t="s">
        <v>12</v>
      </c>
    </row>
    <row r="9104" spans="1:14" x14ac:dyDescent="0.25">
      <c r="A9104">
        <v>20160111</v>
      </c>
      <c r="B9104" t="str">
        <f>"061730"</f>
        <v>061730</v>
      </c>
      <c r="C9104" t="str">
        <f>"73875"</f>
        <v>73875</v>
      </c>
      <c r="D9104" t="s">
        <v>7380</v>
      </c>
      <c r="E9104" s="3">
        <v>578.74</v>
      </c>
      <c r="F9104">
        <v>20160108</v>
      </c>
      <c r="G9104" t="s">
        <v>7026</v>
      </c>
      <c r="H9104" t="s">
        <v>7381</v>
      </c>
      <c r="I9104">
        <v>0</v>
      </c>
      <c r="J9104" t="s">
        <v>7024</v>
      </c>
      <c r="K9104" t="s">
        <v>1643</v>
      </c>
      <c r="L9104" t="s">
        <v>285</v>
      </c>
      <c r="M9104" t="str">
        <f t="shared" si="680"/>
        <v>01</v>
      </c>
      <c r="N9104" t="s">
        <v>12</v>
      </c>
    </row>
    <row r="9105" spans="1:14" x14ac:dyDescent="0.25">
      <c r="A9105">
        <v>20160111</v>
      </c>
      <c r="B9105" t="str">
        <f>"061740"</f>
        <v>061740</v>
      </c>
      <c r="C9105" t="str">
        <f>"80598"</f>
        <v>80598</v>
      </c>
      <c r="D9105" t="s">
        <v>7309</v>
      </c>
      <c r="E9105" s="3">
        <v>37.9</v>
      </c>
      <c r="F9105">
        <v>20160108</v>
      </c>
      <c r="G9105" t="s">
        <v>7212</v>
      </c>
      <c r="H9105" t="s">
        <v>7382</v>
      </c>
      <c r="I9105">
        <v>0</v>
      </c>
      <c r="J9105" t="s">
        <v>7024</v>
      </c>
      <c r="K9105" t="s">
        <v>290</v>
      </c>
      <c r="L9105" t="s">
        <v>285</v>
      </c>
      <c r="M9105" t="str">
        <f t="shared" si="680"/>
        <v>01</v>
      </c>
      <c r="N9105" t="s">
        <v>12</v>
      </c>
    </row>
    <row r="9106" spans="1:14" x14ac:dyDescent="0.25">
      <c r="A9106">
        <v>20160111</v>
      </c>
      <c r="B9106" t="str">
        <f>"061740"</f>
        <v>061740</v>
      </c>
      <c r="C9106" t="str">
        <f>"80598"</f>
        <v>80598</v>
      </c>
      <c r="D9106" t="s">
        <v>7309</v>
      </c>
      <c r="E9106" s="3">
        <v>-37.9</v>
      </c>
      <c r="F9106">
        <v>20160111</v>
      </c>
      <c r="G9106" t="s">
        <v>7212</v>
      </c>
      <c r="H9106" t="s">
        <v>3560</v>
      </c>
      <c r="I9106">
        <v>0</v>
      </c>
      <c r="J9106" t="s">
        <v>7024</v>
      </c>
      <c r="K9106" t="s">
        <v>290</v>
      </c>
      <c r="L9106" t="s">
        <v>17</v>
      </c>
      <c r="M9106" t="str">
        <f t="shared" si="680"/>
        <v>01</v>
      </c>
      <c r="N9106" t="s">
        <v>12</v>
      </c>
    </row>
    <row r="9107" spans="1:14" x14ac:dyDescent="0.25">
      <c r="A9107">
        <v>20160111</v>
      </c>
      <c r="B9107" t="str">
        <f>"061741"</f>
        <v>061741</v>
      </c>
      <c r="C9107" t="str">
        <f>"80600"</f>
        <v>80600</v>
      </c>
      <c r="D9107" t="s">
        <v>2411</v>
      </c>
      <c r="E9107" s="3">
        <v>163.5</v>
      </c>
      <c r="F9107">
        <v>20160108</v>
      </c>
      <c r="G9107" t="s">
        <v>7049</v>
      </c>
      <c r="H9107" t="s">
        <v>7383</v>
      </c>
      <c r="I9107">
        <v>0</v>
      </c>
      <c r="J9107" t="s">
        <v>7024</v>
      </c>
      <c r="K9107" t="s">
        <v>33</v>
      </c>
      <c r="L9107" t="s">
        <v>285</v>
      </c>
      <c r="M9107" t="str">
        <f t="shared" si="680"/>
        <v>01</v>
      </c>
      <c r="N9107" t="s">
        <v>12</v>
      </c>
    </row>
    <row r="9108" spans="1:14" x14ac:dyDescent="0.25">
      <c r="A9108">
        <v>20160111</v>
      </c>
      <c r="B9108" t="str">
        <f>"061743"</f>
        <v>061743</v>
      </c>
      <c r="C9108" t="str">
        <f>"80755"</f>
        <v>80755</v>
      </c>
      <c r="D9108" t="s">
        <v>723</v>
      </c>
      <c r="E9108" s="3">
        <v>646</v>
      </c>
      <c r="F9108">
        <v>20160108</v>
      </c>
      <c r="G9108" t="s">
        <v>7147</v>
      </c>
      <c r="H9108" t="s">
        <v>7384</v>
      </c>
      <c r="I9108">
        <v>0</v>
      </c>
      <c r="J9108" t="s">
        <v>7024</v>
      </c>
      <c r="K9108" t="s">
        <v>290</v>
      </c>
      <c r="L9108" t="s">
        <v>285</v>
      </c>
      <c r="M9108" t="str">
        <f t="shared" si="680"/>
        <v>01</v>
      </c>
      <c r="N9108" t="s">
        <v>12</v>
      </c>
    </row>
    <row r="9109" spans="1:14" x14ac:dyDescent="0.25">
      <c r="A9109">
        <v>20160111</v>
      </c>
      <c r="B9109" t="str">
        <f t="shared" ref="B9109:B9117" si="683">"061746"</f>
        <v>061746</v>
      </c>
      <c r="C9109" t="str">
        <f t="shared" ref="C9109:C9117" si="684">"83022"</f>
        <v>83022</v>
      </c>
      <c r="D9109" t="s">
        <v>394</v>
      </c>
      <c r="E9109" s="3">
        <v>865.28</v>
      </c>
      <c r="F9109">
        <v>20160108</v>
      </c>
      <c r="G9109" t="s">
        <v>7290</v>
      </c>
      <c r="H9109" t="s">
        <v>7385</v>
      </c>
      <c r="I9109">
        <v>0</v>
      </c>
      <c r="J9109" t="s">
        <v>7024</v>
      </c>
      <c r="K9109" t="s">
        <v>95</v>
      </c>
      <c r="L9109" t="s">
        <v>285</v>
      </c>
      <c r="M9109" t="str">
        <f t="shared" si="680"/>
        <v>01</v>
      </c>
      <c r="N9109" t="s">
        <v>12</v>
      </c>
    </row>
    <row r="9110" spans="1:14" x14ac:dyDescent="0.25">
      <c r="A9110">
        <v>20160111</v>
      </c>
      <c r="B9110" t="str">
        <f t="shared" si="683"/>
        <v>061746</v>
      </c>
      <c r="C9110" t="str">
        <f t="shared" si="684"/>
        <v>83022</v>
      </c>
      <c r="D9110" t="s">
        <v>394</v>
      </c>
      <c r="E9110" s="3">
        <v>8.6</v>
      </c>
      <c r="F9110">
        <v>20160108</v>
      </c>
      <c r="G9110" t="s">
        <v>7147</v>
      </c>
      <c r="H9110" t="s">
        <v>7386</v>
      </c>
      <c r="I9110">
        <v>0</v>
      </c>
      <c r="J9110" t="s">
        <v>7024</v>
      </c>
      <c r="K9110" t="s">
        <v>290</v>
      </c>
      <c r="L9110" t="s">
        <v>285</v>
      </c>
      <c r="M9110" t="str">
        <f t="shared" si="680"/>
        <v>01</v>
      </c>
      <c r="N9110" t="s">
        <v>12</v>
      </c>
    </row>
    <row r="9111" spans="1:14" x14ac:dyDescent="0.25">
      <c r="A9111">
        <v>20160111</v>
      </c>
      <c r="B9111" t="str">
        <f t="shared" si="683"/>
        <v>061746</v>
      </c>
      <c r="C9111" t="str">
        <f t="shared" si="684"/>
        <v>83022</v>
      </c>
      <c r="D9111" t="s">
        <v>394</v>
      </c>
      <c r="E9111" s="3">
        <v>146</v>
      </c>
      <c r="F9111">
        <v>20160108</v>
      </c>
      <c r="G9111" t="s">
        <v>7110</v>
      </c>
      <c r="H9111" t="s">
        <v>7387</v>
      </c>
      <c r="I9111">
        <v>0</v>
      </c>
      <c r="J9111" t="s">
        <v>7024</v>
      </c>
      <c r="K9111" t="s">
        <v>290</v>
      </c>
      <c r="L9111" t="s">
        <v>285</v>
      </c>
      <c r="M9111" t="str">
        <f t="shared" si="680"/>
        <v>01</v>
      </c>
      <c r="N9111" t="s">
        <v>12</v>
      </c>
    </row>
    <row r="9112" spans="1:14" x14ac:dyDescent="0.25">
      <c r="A9112">
        <v>20160111</v>
      </c>
      <c r="B9112" t="str">
        <f t="shared" si="683"/>
        <v>061746</v>
      </c>
      <c r="C9112" t="str">
        <f t="shared" si="684"/>
        <v>83022</v>
      </c>
      <c r="D9112" t="s">
        <v>394</v>
      </c>
      <c r="E9112" s="3">
        <v>18.64</v>
      </c>
      <c r="F9112">
        <v>20160108</v>
      </c>
      <c r="G9112" t="s">
        <v>7082</v>
      </c>
      <c r="H9112" t="s">
        <v>3633</v>
      </c>
      <c r="I9112">
        <v>0</v>
      </c>
      <c r="J9112" t="s">
        <v>7024</v>
      </c>
      <c r="K9112" t="s">
        <v>95</v>
      </c>
      <c r="L9112" t="s">
        <v>285</v>
      </c>
      <c r="M9112" t="str">
        <f t="shared" si="680"/>
        <v>01</v>
      </c>
      <c r="N9112" t="s">
        <v>12</v>
      </c>
    </row>
    <row r="9113" spans="1:14" x14ac:dyDescent="0.25">
      <c r="A9113">
        <v>20160111</v>
      </c>
      <c r="B9113" t="str">
        <f t="shared" si="683"/>
        <v>061746</v>
      </c>
      <c r="C9113" t="str">
        <f t="shared" si="684"/>
        <v>83022</v>
      </c>
      <c r="D9113" t="s">
        <v>394</v>
      </c>
      <c r="E9113" s="3">
        <v>99.88</v>
      </c>
      <c r="F9113">
        <v>20160108</v>
      </c>
      <c r="G9113" t="s">
        <v>7026</v>
      </c>
      <c r="H9113" t="s">
        <v>7381</v>
      </c>
      <c r="I9113">
        <v>0</v>
      </c>
      <c r="J9113" t="s">
        <v>7024</v>
      </c>
      <c r="K9113" t="s">
        <v>1643</v>
      </c>
      <c r="L9113" t="s">
        <v>285</v>
      </c>
      <c r="M9113" t="str">
        <f t="shared" si="680"/>
        <v>01</v>
      </c>
      <c r="N9113" t="s">
        <v>12</v>
      </c>
    </row>
    <row r="9114" spans="1:14" x14ac:dyDescent="0.25">
      <c r="A9114">
        <v>20160111</v>
      </c>
      <c r="B9114" t="str">
        <f t="shared" si="683"/>
        <v>061746</v>
      </c>
      <c r="C9114" t="str">
        <f t="shared" si="684"/>
        <v>83022</v>
      </c>
      <c r="D9114" t="s">
        <v>394</v>
      </c>
      <c r="E9114" s="3">
        <v>74.12</v>
      </c>
      <c r="F9114">
        <v>20160108</v>
      </c>
      <c r="G9114" t="s">
        <v>7086</v>
      </c>
      <c r="H9114" t="s">
        <v>2378</v>
      </c>
      <c r="I9114">
        <v>0</v>
      </c>
      <c r="J9114" t="s">
        <v>7024</v>
      </c>
      <c r="K9114" t="s">
        <v>290</v>
      </c>
      <c r="L9114" t="s">
        <v>285</v>
      </c>
      <c r="M9114" t="str">
        <f t="shared" si="680"/>
        <v>01</v>
      </c>
      <c r="N9114" t="s">
        <v>12</v>
      </c>
    </row>
    <row r="9115" spans="1:14" x14ac:dyDescent="0.25">
      <c r="A9115">
        <v>20160111</v>
      </c>
      <c r="B9115" t="str">
        <f t="shared" si="683"/>
        <v>061746</v>
      </c>
      <c r="C9115" t="str">
        <f t="shared" si="684"/>
        <v>83022</v>
      </c>
      <c r="D9115" t="s">
        <v>394</v>
      </c>
      <c r="E9115" s="3">
        <v>287.68</v>
      </c>
      <c r="F9115">
        <v>20160108</v>
      </c>
      <c r="G9115" t="s">
        <v>7126</v>
      </c>
      <c r="H9115" t="s">
        <v>2563</v>
      </c>
      <c r="I9115">
        <v>0</v>
      </c>
      <c r="J9115" t="s">
        <v>7024</v>
      </c>
      <c r="K9115" t="s">
        <v>290</v>
      </c>
      <c r="L9115" t="s">
        <v>285</v>
      </c>
      <c r="M9115" t="str">
        <f t="shared" si="680"/>
        <v>01</v>
      </c>
      <c r="N9115" t="s">
        <v>12</v>
      </c>
    </row>
    <row r="9116" spans="1:14" x14ac:dyDescent="0.25">
      <c r="A9116">
        <v>20160111</v>
      </c>
      <c r="B9116" t="str">
        <f t="shared" si="683"/>
        <v>061746</v>
      </c>
      <c r="C9116" t="str">
        <f t="shared" si="684"/>
        <v>83022</v>
      </c>
      <c r="D9116" t="s">
        <v>394</v>
      </c>
      <c r="E9116" s="3">
        <v>34.880000000000003</v>
      </c>
      <c r="F9116">
        <v>20160108</v>
      </c>
      <c r="G9116" t="s">
        <v>7192</v>
      </c>
      <c r="H9116" t="s">
        <v>3631</v>
      </c>
      <c r="I9116">
        <v>0</v>
      </c>
      <c r="J9116" t="s">
        <v>7024</v>
      </c>
      <c r="K9116" t="s">
        <v>33</v>
      </c>
      <c r="L9116" t="s">
        <v>285</v>
      </c>
      <c r="M9116" t="str">
        <f t="shared" si="680"/>
        <v>01</v>
      </c>
      <c r="N9116" t="s">
        <v>12</v>
      </c>
    </row>
    <row r="9117" spans="1:14" x14ac:dyDescent="0.25">
      <c r="A9117">
        <v>20160111</v>
      </c>
      <c r="B9117" t="str">
        <f t="shared" si="683"/>
        <v>061746</v>
      </c>
      <c r="C9117" t="str">
        <f t="shared" si="684"/>
        <v>83022</v>
      </c>
      <c r="D9117" t="s">
        <v>394</v>
      </c>
      <c r="E9117" s="3">
        <v>158.37</v>
      </c>
      <c r="F9117">
        <v>20160108</v>
      </c>
      <c r="G9117" t="s">
        <v>7083</v>
      </c>
      <c r="H9117" t="s">
        <v>7388</v>
      </c>
      <c r="I9117">
        <v>0</v>
      </c>
      <c r="J9117" t="s">
        <v>7024</v>
      </c>
      <c r="K9117" t="s">
        <v>290</v>
      </c>
      <c r="L9117" t="s">
        <v>285</v>
      </c>
      <c r="M9117" t="str">
        <f t="shared" si="680"/>
        <v>01</v>
      </c>
      <c r="N9117" t="s">
        <v>12</v>
      </c>
    </row>
    <row r="9118" spans="1:14" x14ac:dyDescent="0.25">
      <c r="A9118">
        <v>20160113</v>
      </c>
      <c r="B9118" t="str">
        <f>"061764"</f>
        <v>061764</v>
      </c>
      <c r="C9118" t="str">
        <f>"33702"</f>
        <v>33702</v>
      </c>
      <c r="D9118" t="s">
        <v>769</v>
      </c>
      <c r="E9118" s="3">
        <v>120</v>
      </c>
      <c r="F9118">
        <v>20160113</v>
      </c>
      <c r="G9118" t="s">
        <v>7285</v>
      </c>
      <c r="H9118" t="s">
        <v>7286</v>
      </c>
      <c r="I9118">
        <v>0</v>
      </c>
      <c r="J9118" t="s">
        <v>7024</v>
      </c>
      <c r="K9118" t="s">
        <v>290</v>
      </c>
      <c r="L9118" t="s">
        <v>285</v>
      </c>
      <c r="M9118" t="str">
        <f t="shared" si="680"/>
        <v>01</v>
      </c>
      <c r="N9118" t="s">
        <v>12</v>
      </c>
    </row>
    <row r="9119" spans="1:14" x14ac:dyDescent="0.25">
      <c r="A9119">
        <v>20160122</v>
      </c>
      <c r="B9119" t="str">
        <f>"061788"</f>
        <v>061788</v>
      </c>
      <c r="C9119" t="str">
        <f>"05530"</f>
        <v>05530</v>
      </c>
      <c r="D9119" t="s">
        <v>631</v>
      </c>
      <c r="E9119" s="3">
        <v>255.5</v>
      </c>
      <c r="F9119">
        <v>20160121</v>
      </c>
      <c r="G9119" t="s">
        <v>7227</v>
      </c>
      <c r="H9119" t="s">
        <v>7389</v>
      </c>
      <c r="I9119">
        <v>0</v>
      </c>
      <c r="J9119" t="s">
        <v>7024</v>
      </c>
      <c r="K9119" t="s">
        <v>290</v>
      </c>
      <c r="L9119" t="s">
        <v>285</v>
      </c>
      <c r="M9119" t="str">
        <f t="shared" ref="M9119:M9150" si="685">"01"</f>
        <v>01</v>
      </c>
      <c r="N9119" t="s">
        <v>12</v>
      </c>
    </row>
    <row r="9120" spans="1:14" x14ac:dyDescent="0.25">
      <c r="A9120">
        <v>20160122</v>
      </c>
      <c r="B9120" t="str">
        <f>"061788"</f>
        <v>061788</v>
      </c>
      <c r="C9120" t="str">
        <f>"05530"</f>
        <v>05530</v>
      </c>
      <c r="D9120" t="s">
        <v>631</v>
      </c>
      <c r="E9120" s="3">
        <v>1166.25</v>
      </c>
      <c r="F9120">
        <v>20160121</v>
      </c>
      <c r="G9120" t="s">
        <v>7227</v>
      </c>
      <c r="H9120" t="s">
        <v>7390</v>
      </c>
      <c r="I9120">
        <v>0</v>
      </c>
      <c r="J9120" t="s">
        <v>7024</v>
      </c>
      <c r="K9120" t="s">
        <v>290</v>
      </c>
      <c r="L9120" t="s">
        <v>285</v>
      </c>
      <c r="M9120" t="str">
        <f t="shared" si="685"/>
        <v>01</v>
      </c>
      <c r="N9120" t="s">
        <v>12</v>
      </c>
    </row>
    <row r="9121" spans="1:14" x14ac:dyDescent="0.25">
      <c r="A9121">
        <v>20160122</v>
      </c>
      <c r="B9121" t="str">
        <f>"061791"</f>
        <v>061791</v>
      </c>
      <c r="C9121" t="str">
        <f>"72089"</f>
        <v>72089</v>
      </c>
      <c r="D9121" t="s">
        <v>743</v>
      </c>
      <c r="E9121" s="3">
        <v>110</v>
      </c>
      <c r="F9121">
        <v>20160121</v>
      </c>
      <c r="G9121" t="s">
        <v>7285</v>
      </c>
      <c r="H9121" t="s">
        <v>7391</v>
      </c>
      <c r="I9121">
        <v>0</v>
      </c>
      <c r="J9121" t="s">
        <v>7024</v>
      </c>
      <c r="K9121" t="s">
        <v>290</v>
      </c>
      <c r="L9121" t="s">
        <v>285</v>
      </c>
      <c r="M9121" t="str">
        <f t="shared" si="685"/>
        <v>01</v>
      </c>
      <c r="N9121" t="s">
        <v>12</v>
      </c>
    </row>
    <row r="9122" spans="1:14" x14ac:dyDescent="0.25">
      <c r="A9122">
        <v>20160122</v>
      </c>
      <c r="B9122" t="str">
        <f>"061791"</f>
        <v>061791</v>
      </c>
      <c r="C9122" t="str">
        <f>"72089"</f>
        <v>72089</v>
      </c>
      <c r="D9122" t="s">
        <v>743</v>
      </c>
      <c r="E9122" s="3">
        <v>110</v>
      </c>
      <c r="F9122">
        <v>20160121</v>
      </c>
      <c r="G9122" t="s">
        <v>7285</v>
      </c>
      <c r="H9122" t="s">
        <v>7391</v>
      </c>
      <c r="I9122">
        <v>0</v>
      </c>
      <c r="J9122" t="s">
        <v>7024</v>
      </c>
      <c r="K9122" t="s">
        <v>290</v>
      </c>
      <c r="L9122" t="s">
        <v>285</v>
      </c>
      <c r="M9122" t="str">
        <f t="shared" si="685"/>
        <v>01</v>
      </c>
      <c r="N9122" t="s">
        <v>12</v>
      </c>
    </row>
    <row r="9123" spans="1:14" x14ac:dyDescent="0.25">
      <c r="A9123">
        <v>20160122</v>
      </c>
      <c r="B9123" t="str">
        <f>"061796"</f>
        <v>061796</v>
      </c>
      <c r="C9123" t="str">
        <f>"10403"</f>
        <v>10403</v>
      </c>
      <c r="D9123" t="s">
        <v>337</v>
      </c>
      <c r="E9123" s="3">
        <v>110</v>
      </c>
      <c r="F9123">
        <v>20160121</v>
      </c>
      <c r="G9123" t="s">
        <v>7285</v>
      </c>
      <c r="H9123" t="s">
        <v>7391</v>
      </c>
      <c r="I9123">
        <v>0</v>
      </c>
      <c r="J9123" t="s">
        <v>7024</v>
      </c>
      <c r="K9123" t="s">
        <v>290</v>
      </c>
      <c r="L9123" t="s">
        <v>285</v>
      </c>
      <c r="M9123" t="str">
        <f t="shared" si="685"/>
        <v>01</v>
      </c>
      <c r="N9123" t="s">
        <v>12</v>
      </c>
    </row>
    <row r="9124" spans="1:14" x14ac:dyDescent="0.25">
      <c r="A9124">
        <v>20160122</v>
      </c>
      <c r="B9124" t="str">
        <f>"061796"</f>
        <v>061796</v>
      </c>
      <c r="C9124" t="str">
        <f>"10403"</f>
        <v>10403</v>
      </c>
      <c r="D9124" t="s">
        <v>337</v>
      </c>
      <c r="E9124" s="3">
        <v>55</v>
      </c>
      <c r="F9124">
        <v>20160121</v>
      </c>
      <c r="G9124" t="s">
        <v>7285</v>
      </c>
      <c r="H9124" t="s">
        <v>7392</v>
      </c>
      <c r="I9124">
        <v>0</v>
      </c>
      <c r="J9124" t="s">
        <v>7024</v>
      </c>
      <c r="K9124" t="s">
        <v>290</v>
      </c>
      <c r="L9124" t="s">
        <v>285</v>
      </c>
      <c r="M9124" t="str">
        <f t="shared" si="685"/>
        <v>01</v>
      </c>
      <c r="N9124" t="s">
        <v>12</v>
      </c>
    </row>
    <row r="9125" spans="1:14" x14ac:dyDescent="0.25">
      <c r="A9125">
        <v>20160122</v>
      </c>
      <c r="B9125" t="str">
        <f>"061797"</f>
        <v>061797</v>
      </c>
      <c r="C9125" t="str">
        <f>"10490"</f>
        <v>10490</v>
      </c>
      <c r="D9125" t="s">
        <v>786</v>
      </c>
      <c r="E9125" s="3">
        <v>110</v>
      </c>
      <c r="F9125">
        <v>20160121</v>
      </c>
      <c r="G9125" t="s">
        <v>7285</v>
      </c>
      <c r="H9125" t="s">
        <v>7391</v>
      </c>
      <c r="I9125">
        <v>0</v>
      </c>
      <c r="J9125" t="s">
        <v>7024</v>
      </c>
      <c r="K9125" t="s">
        <v>290</v>
      </c>
      <c r="L9125" t="s">
        <v>285</v>
      </c>
      <c r="M9125" t="str">
        <f t="shared" si="685"/>
        <v>01</v>
      </c>
      <c r="N9125" t="s">
        <v>12</v>
      </c>
    </row>
    <row r="9126" spans="1:14" x14ac:dyDescent="0.25">
      <c r="A9126">
        <v>20160122</v>
      </c>
      <c r="B9126" t="str">
        <f>"061797"</f>
        <v>061797</v>
      </c>
      <c r="C9126" t="str">
        <f>"10490"</f>
        <v>10490</v>
      </c>
      <c r="D9126" t="s">
        <v>786</v>
      </c>
      <c r="E9126" s="3">
        <v>55</v>
      </c>
      <c r="F9126">
        <v>20160121</v>
      </c>
      <c r="G9126" t="s">
        <v>7285</v>
      </c>
      <c r="H9126" t="s">
        <v>7392</v>
      </c>
      <c r="I9126">
        <v>0</v>
      </c>
      <c r="J9126" t="s">
        <v>7024</v>
      </c>
      <c r="K9126" t="s">
        <v>290</v>
      </c>
      <c r="L9126" t="s">
        <v>285</v>
      </c>
      <c r="M9126" t="str">
        <f t="shared" si="685"/>
        <v>01</v>
      </c>
      <c r="N9126" t="s">
        <v>12</v>
      </c>
    </row>
    <row r="9127" spans="1:14" x14ac:dyDescent="0.25">
      <c r="A9127">
        <v>20160122</v>
      </c>
      <c r="B9127" t="str">
        <f>"061801"</f>
        <v>061801</v>
      </c>
      <c r="C9127" t="str">
        <f>"08788"</f>
        <v>08788</v>
      </c>
      <c r="D9127" t="s">
        <v>302</v>
      </c>
      <c r="E9127" s="3">
        <v>3675</v>
      </c>
      <c r="F9127">
        <v>20160121</v>
      </c>
      <c r="G9127" t="s">
        <v>7107</v>
      </c>
      <c r="H9127" t="s">
        <v>7393</v>
      </c>
      <c r="I9127">
        <v>0</v>
      </c>
      <c r="J9127" t="s">
        <v>7024</v>
      </c>
      <c r="K9127" t="s">
        <v>95</v>
      </c>
      <c r="L9127" t="s">
        <v>285</v>
      </c>
      <c r="M9127" t="str">
        <f t="shared" si="685"/>
        <v>01</v>
      </c>
      <c r="N9127" t="s">
        <v>12</v>
      </c>
    </row>
    <row r="9128" spans="1:14" x14ac:dyDescent="0.25">
      <c r="A9128">
        <v>20160122</v>
      </c>
      <c r="B9128" t="str">
        <f>"061804"</f>
        <v>061804</v>
      </c>
      <c r="C9128" t="str">
        <f>"19073"</f>
        <v>19073</v>
      </c>
      <c r="D9128" t="s">
        <v>748</v>
      </c>
      <c r="E9128" s="3">
        <v>110</v>
      </c>
      <c r="F9128">
        <v>20160121</v>
      </c>
      <c r="G9128" t="s">
        <v>7285</v>
      </c>
      <c r="H9128" t="s">
        <v>7391</v>
      </c>
      <c r="I9128">
        <v>0</v>
      </c>
      <c r="J9128" t="s">
        <v>7024</v>
      </c>
      <c r="K9128" t="s">
        <v>290</v>
      </c>
      <c r="L9128" t="s">
        <v>285</v>
      </c>
      <c r="M9128" t="str">
        <f t="shared" si="685"/>
        <v>01</v>
      </c>
      <c r="N9128" t="s">
        <v>12</v>
      </c>
    </row>
    <row r="9129" spans="1:14" x14ac:dyDescent="0.25">
      <c r="A9129">
        <v>20160122</v>
      </c>
      <c r="B9129" t="str">
        <f>"061804"</f>
        <v>061804</v>
      </c>
      <c r="C9129" t="str">
        <f>"19073"</f>
        <v>19073</v>
      </c>
      <c r="D9129" t="s">
        <v>748</v>
      </c>
      <c r="E9129" s="3">
        <v>55</v>
      </c>
      <c r="F9129">
        <v>20160121</v>
      </c>
      <c r="G9129" t="s">
        <v>7285</v>
      </c>
      <c r="H9129" t="s">
        <v>7392</v>
      </c>
      <c r="I9129">
        <v>0</v>
      </c>
      <c r="J9129" t="s">
        <v>7024</v>
      </c>
      <c r="K9129" t="s">
        <v>290</v>
      </c>
      <c r="L9129" t="s">
        <v>285</v>
      </c>
      <c r="M9129" t="str">
        <f t="shared" si="685"/>
        <v>01</v>
      </c>
      <c r="N9129" t="s">
        <v>12</v>
      </c>
    </row>
    <row r="9130" spans="1:14" x14ac:dyDescent="0.25">
      <c r="A9130">
        <v>20160122</v>
      </c>
      <c r="B9130" t="str">
        <f>"061805"</f>
        <v>061805</v>
      </c>
      <c r="C9130" t="str">
        <f>"19092"</f>
        <v>19092</v>
      </c>
      <c r="D9130" t="s">
        <v>7394</v>
      </c>
      <c r="E9130" s="3">
        <v>110</v>
      </c>
      <c r="F9130">
        <v>20160121</v>
      </c>
      <c r="G9130" t="s">
        <v>7285</v>
      </c>
      <c r="H9130" t="s">
        <v>7395</v>
      </c>
      <c r="I9130">
        <v>0</v>
      </c>
      <c r="J9130" t="s">
        <v>7024</v>
      </c>
      <c r="K9130" t="s">
        <v>290</v>
      </c>
      <c r="L9130" t="s">
        <v>285</v>
      </c>
      <c r="M9130" t="str">
        <f t="shared" si="685"/>
        <v>01</v>
      </c>
      <c r="N9130" t="s">
        <v>12</v>
      </c>
    </row>
    <row r="9131" spans="1:14" x14ac:dyDescent="0.25">
      <c r="A9131">
        <v>20160122</v>
      </c>
      <c r="B9131" t="str">
        <f>"061805"</f>
        <v>061805</v>
      </c>
      <c r="C9131" t="str">
        <f>"19092"</f>
        <v>19092</v>
      </c>
      <c r="D9131" t="s">
        <v>7394</v>
      </c>
      <c r="E9131" s="3">
        <v>110</v>
      </c>
      <c r="F9131">
        <v>20160121</v>
      </c>
      <c r="G9131" t="s">
        <v>7285</v>
      </c>
      <c r="H9131" t="s">
        <v>7391</v>
      </c>
      <c r="I9131">
        <v>0</v>
      </c>
      <c r="J9131" t="s">
        <v>7024</v>
      </c>
      <c r="K9131" t="s">
        <v>290</v>
      </c>
      <c r="L9131" t="s">
        <v>285</v>
      </c>
      <c r="M9131" t="str">
        <f t="shared" si="685"/>
        <v>01</v>
      </c>
      <c r="N9131" t="s">
        <v>12</v>
      </c>
    </row>
    <row r="9132" spans="1:14" x14ac:dyDescent="0.25">
      <c r="A9132">
        <v>20160122</v>
      </c>
      <c r="B9132" t="str">
        <f>"061805"</f>
        <v>061805</v>
      </c>
      <c r="C9132" t="str">
        <f>"19092"</f>
        <v>19092</v>
      </c>
      <c r="D9132" t="s">
        <v>7394</v>
      </c>
      <c r="E9132" s="3">
        <v>55</v>
      </c>
      <c r="F9132">
        <v>20160121</v>
      </c>
      <c r="G9132" t="s">
        <v>7285</v>
      </c>
      <c r="H9132" t="s">
        <v>7392</v>
      </c>
      <c r="I9132">
        <v>0</v>
      </c>
      <c r="J9132" t="s">
        <v>7024</v>
      </c>
      <c r="K9132" t="s">
        <v>290</v>
      </c>
      <c r="L9132" t="s">
        <v>285</v>
      </c>
      <c r="M9132" t="str">
        <f t="shared" si="685"/>
        <v>01</v>
      </c>
      <c r="N9132" t="s">
        <v>12</v>
      </c>
    </row>
    <row r="9133" spans="1:14" x14ac:dyDescent="0.25">
      <c r="A9133">
        <v>20160122</v>
      </c>
      <c r="B9133" t="str">
        <f>"061809"</f>
        <v>061809</v>
      </c>
      <c r="C9133" t="str">
        <f>"51346"</f>
        <v>51346</v>
      </c>
      <c r="D9133" t="s">
        <v>379</v>
      </c>
      <c r="E9133" s="3">
        <v>32.5</v>
      </c>
      <c r="F9133">
        <v>20160121</v>
      </c>
      <c r="G9133" t="s">
        <v>7290</v>
      </c>
      <c r="H9133" t="s">
        <v>7396</v>
      </c>
      <c r="I9133">
        <v>0</v>
      </c>
      <c r="J9133" t="s">
        <v>7024</v>
      </c>
      <c r="K9133" t="s">
        <v>95</v>
      </c>
      <c r="L9133" t="s">
        <v>285</v>
      </c>
      <c r="M9133" t="str">
        <f t="shared" si="685"/>
        <v>01</v>
      </c>
      <c r="N9133" t="s">
        <v>12</v>
      </c>
    </row>
    <row r="9134" spans="1:14" x14ac:dyDescent="0.25">
      <c r="A9134">
        <v>20160122</v>
      </c>
      <c r="B9134" t="str">
        <f>"061809"</f>
        <v>061809</v>
      </c>
      <c r="C9134" t="str">
        <f>"51346"</f>
        <v>51346</v>
      </c>
      <c r="D9134" t="s">
        <v>379</v>
      </c>
      <c r="E9134" s="3">
        <v>97.5</v>
      </c>
      <c r="F9134">
        <v>20160121</v>
      </c>
      <c r="G9134" t="s">
        <v>7253</v>
      </c>
      <c r="H9134" t="s">
        <v>7397</v>
      </c>
      <c r="I9134">
        <v>0</v>
      </c>
      <c r="J9134" t="s">
        <v>7024</v>
      </c>
      <c r="K9134" t="s">
        <v>95</v>
      </c>
      <c r="L9134" t="s">
        <v>285</v>
      </c>
      <c r="M9134" t="str">
        <f t="shared" si="685"/>
        <v>01</v>
      </c>
      <c r="N9134" t="s">
        <v>12</v>
      </c>
    </row>
    <row r="9135" spans="1:14" x14ac:dyDescent="0.25">
      <c r="A9135">
        <v>20160122</v>
      </c>
      <c r="B9135" t="str">
        <f>"061812"</f>
        <v>061812</v>
      </c>
      <c r="C9135" t="str">
        <f>"21060"</f>
        <v>21060</v>
      </c>
      <c r="D9135" t="s">
        <v>344</v>
      </c>
      <c r="E9135" s="3">
        <v>110</v>
      </c>
      <c r="F9135">
        <v>20160121</v>
      </c>
      <c r="G9135" t="s">
        <v>7285</v>
      </c>
      <c r="H9135" t="s">
        <v>7391</v>
      </c>
      <c r="I9135">
        <v>0</v>
      </c>
      <c r="J9135" t="s">
        <v>7024</v>
      </c>
      <c r="K9135" t="s">
        <v>290</v>
      </c>
      <c r="L9135" t="s">
        <v>285</v>
      </c>
      <c r="M9135" t="str">
        <f t="shared" si="685"/>
        <v>01</v>
      </c>
      <c r="N9135" t="s">
        <v>12</v>
      </c>
    </row>
    <row r="9136" spans="1:14" x14ac:dyDescent="0.25">
      <c r="A9136">
        <v>20160122</v>
      </c>
      <c r="B9136" t="str">
        <f>"061812"</f>
        <v>061812</v>
      </c>
      <c r="C9136" t="str">
        <f>"21060"</f>
        <v>21060</v>
      </c>
      <c r="D9136" t="s">
        <v>344</v>
      </c>
      <c r="E9136" s="3">
        <v>55</v>
      </c>
      <c r="F9136">
        <v>20160121</v>
      </c>
      <c r="G9136" t="s">
        <v>7285</v>
      </c>
      <c r="H9136" t="s">
        <v>7392</v>
      </c>
      <c r="I9136">
        <v>0</v>
      </c>
      <c r="J9136" t="s">
        <v>7024</v>
      </c>
      <c r="K9136" t="s">
        <v>290</v>
      </c>
      <c r="L9136" t="s">
        <v>285</v>
      </c>
      <c r="M9136" t="str">
        <f t="shared" si="685"/>
        <v>01</v>
      </c>
      <c r="N9136" t="s">
        <v>12</v>
      </c>
    </row>
    <row r="9137" spans="1:14" x14ac:dyDescent="0.25">
      <c r="A9137">
        <v>20160122</v>
      </c>
      <c r="B9137" t="str">
        <f>"061813"</f>
        <v>061813</v>
      </c>
      <c r="C9137" t="str">
        <f>"21098"</f>
        <v>21098</v>
      </c>
      <c r="D9137" t="s">
        <v>2261</v>
      </c>
      <c r="E9137" s="3">
        <v>1112</v>
      </c>
      <c r="F9137">
        <v>20160121</v>
      </c>
      <c r="G9137" t="s">
        <v>7026</v>
      </c>
      <c r="H9137" t="s">
        <v>7398</v>
      </c>
      <c r="I9137">
        <v>0</v>
      </c>
      <c r="J9137" t="s">
        <v>7024</v>
      </c>
      <c r="K9137" t="s">
        <v>1643</v>
      </c>
      <c r="L9137" t="s">
        <v>285</v>
      </c>
      <c r="M9137" t="str">
        <f t="shared" si="685"/>
        <v>01</v>
      </c>
      <c r="N9137" t="s">
        <v>12</v>
      </c>
    </row>
    <row r="9138" spans="1:14" x14ac:dyDescent="0.25">
      <c r="A9138">
        <v>20160122</v>
      </c>
      <c r="B9138" t="str">
        <f>"061820"</f>
        <v>061820</v>
      </c>
      <c r="C9138" t="str">
        <f>"24860"</f>
        <v>24860</v>
      </c>
      <c r="D9138" t="s">
        <v>561</v>
      </c>
      <c r="E9138" s="3">
        <v>55</v>
      </c>
      <c r="F9138">
        <v>20160121</v>
      </c>
      <c r="G9138" t="s">
        <v>7285</v>
      </c>
      <c r="H9138" t="s">
        <v>7392</v>
      </c>
      <c r="I9138">
        <v>0</v>
      </c>
      <c r="J9138" t="s">
        <v>7024</v>
      </c>
      <c r="K9138" t="s">
        <v>290</v>
      </c>
      <c r="L9138" t="s">
        <v>285</v>
      </c>
      <c r="M9138" t="str">
        <f t="shared" si="685"/>
        <v>01</v>
      </c>
      <c r="N9138" t="s">
        <v>12</v>
      </c>
    </row>
    <row r="9139" spans="1:14" x14ac:dyDescent="0.25">
      <c r="A9139">
        <v>20160122</v>
      </c>
      <c r="B9139" t="str">
        <f>"061821"</f>
        <v>061821</v>
      </c>
      <c r="C9139" t="str">
        <f>"24910"</f>
        <v>24910</v>
      </c>
      <c r="D9139" t="s">
        <v>7399</v>
      </c>
      <c r="E9139" s="3">
        <v>55</v>
      </c>
      <c r="F9139">
        <v>20160121</v>
      </c>
      <c r="G9139" t="s">
        <v>7285</v>
      </c>
      <c r="H9139" t="s">
        <v>7391</v>
      </c>
      <c r="I9139">
        <v>0</v>
      </c>
      <c r="J9139" t="s">
        <v>7024</v>
      </c>
      <c r="K9139" t="s">
        <v>290</v>
      </c>
      <c r="L9139" t="s">
        <v>285</v>
      </c>
      <c r="M9139" t="str">
        <f t="shared" si="685"/>
        <v>01</v>
      </c>
      <c r="N9139" t="s">
        <v>12</v>
      </c>
    </row>
    <row r="9140" spans="1:14" x14ac:dyDescent="0.25">
      <c r="A9140">
        <v>20160122</v>
      </c>
      <c r="B9140" t="str">
        <f>"061823"</f>
        <v>061823</v>
      </c>
      <c r="C9140" t="str">
        <f>"25144"</f>
        <v>25144</v>
      </c>
      <c r="D9140" t="s">
        <v>3437</v>
      </c>
      <c r="E9140" s="3">
        <v>299.97000000000003</v>
      </c>
      <c r="F9140">
        <v>20160121</v>
      </c>
      <c r="G9140" t="s">
        <v>7400</v>
      </c>
      <c r="H9140" t="s">
        <v>7401</v>
      </c>
      <c r="I9140">
        <v>0</v>
      </c>
      <c r="J9140" t="s">
        <v>7024</v>
      </c>
      <c r="K9140" t="s">
        <v>290</v>
      </c>
      <c r="L9140" t="s">
        <v>285</v>
      </c>
      <c r="M9140" t="str">
        <f t="shared" si="685"/>
        <v>01</v>
      </c>
      <c r="N9140" t="s">
        <v>12</v>
      </c>
    </row>
    <row r="9141" spans="1:14" x14ac:dyDescent="0.25">
      <c r="A9141">
        <v>20160122</v>
      </c>
      <c r="B9141" t="str">
        <f>"061824"</f>
        <v>061824</v>
      </c>
      <c r="C9141" t="str">
        <f>"25100"</f>
        <v>25100</v>
      </c>
      <c r="D9141" t="s">
        <v>702</v>
      </c>
      <c r="E9141" s="3">
        <v>110</v>
      </c>
      <c r="F9141">
        <v>20160121</v>
      </c>
      <c r="G9141" t="s">
        <v>7285</v>
      </c>
      <c r="H9141" t="s">
        <v>7391</v>
      </c>
      <c r="I9141">
        <v>0</v>
      </c>
      <c r="J9141" t="s">
        <v>7024</v>
      </c>
      <c r="K9141" t="s">
        <v>290</v>
      </c>
      <c r="L9141" t="s">
        <v>285</v>
      </c>
      <c r="M9141" t="str">
        <f t="shared" si="685"/>
        <v>01</v>
      </c>
      <c r="N9141" t="s">
        <v>12</v>
      </c>
    </row>
    <row r="9142" spans="1:14" x14ac:dyDescent="0.25">
      <c r="A9142">
        <v>20160122</v>
      </c>
      <c r="B9142" t="str">
        <f>"061824"</f>
        <v>061824</v>
      </c>
      <c r="C9142" t="str">
        <f>"25100"</f>
        <v>25100</v>
      </c>
      <c r="D9142" t="s">
        <v>702</v>
      </c>
      <c r="E9142" s="3">
        <v>110</v>
      </c>
      <c r="F9142">
        <v>20160121</v>
      </c>
      <c r="G9142" t="s">
        <v>7285</v>
      </c>
      <c r="H9142" t="s">
        <v>7392</v>
      </c>
      <c r="I9142">
        <v>0</v>
      </c>
      <c r="J9142" t="s">
        <v>7024</v>
      </c>
      <c r="K9142" t="s">
        <v>290</v>
      </c>
      <c r="L9142" t="s">
        <v>285</v>
      </c>
      <c r="M9142" t="str">
        <f t="shared" si="685"/>
        <v>01</v>
      </c>
      <c r="N9142" t="s">
        <v>12</v>
      </c>
    </row>
    <row r="9143" spans="1:14" x14ac:dyDescent="0.25">
      <c r="A9143">
        <v>20160122</v>
      </c>
      <c r="B9143" t="str">
        <f>"061826"</f>
        <v>061826</v>
      </c>
      <c r="C9143" t="str">
        <f>"25230"</f>
        <v>25230</v>
      </c>
      <c r="D9143" t="s">
        <v>866</v>
      </c>
      <c r="E9143" s="3">
        <v>55</v>
      </c>
      <c r="F9143">
        <v>20160121</v>
      </c>
      <c r="G9143" t="s">
        <v>7285</v>
      </c>
      <c r="H9143" t="s">
        <v>7392</v>
      </c>
      <c r="I9143">
        <v>0</v>
      </c>
      <c r="J9143" t="s">
        <v>7024</v>
      </c>
      <c r="K9143" t="s">
        <v>290</v>
      </c>
      <c r="L9143" t="s">
        <v>285</v>
      </c>
      <c r="M9143" t="str">
        <f t="shared" si="685"/>
        <v>01</v>
      </c>
      <c r="N9143" t="s">
        <v>12</v>
      </c>
    </row>
    <row r="9144" spans="1:14" x14ac:dyDescent="0.25">
      <c r="A9144">
        <v>20160122</v>
      </c>
      <c r="B9144" t="str">
        <f>"061829"</f>
        <v>061829</v>
      </c>
      <c r="C9144" t="str">
        <f>"26899"</f>
        <v>26899</v>
      </c>
      <c r="D9144" t="s">
        <v>7402</v>
      </c>
      <c r="E9144" s="3">
        <v>110</v>
      </c>
      <c r="F9144">
        <v>20160121</v>
      </c>
      <c r="G9144" t="s">
        <v>7285</v>
      </c>
      <c r="H9144" t="s">
        <v>7391</v>
      </c>
      <c r="I9144">
        <v>0</v>
      </c>
      <c r="J9144" t="s">
        <v>7024</v>
      </c>
      <c r="K9144" t="s">
        <v>290</v>
      </c>
      <c r="L9144" t="s">
        <v>285</v>
      </c>
      <c r="M9144" t="str">
        <f t="shared" si="685"/>
        <v>01</v>
      </c>
      <c r="N9144" t="s">
        <v>12</v>
      </c>
    </row>
    <row r="9145" spans="1:14" x14ac:dyDescent="0.25">
      <c r="A9145">
        <v>20160122</v>
      </c>
      <c r="B9145" t="str">
        <f>"061831"</f>
        <v>061831</v>
      </c>
      <c r="C9145" t="str">
        <f>"28811"</f>
        <v>28811</v>
      </c>
      <c r="D9145" t="s">
        <v>757</v>
      </c>
      <c r="E9145" s="3">
        <v>110</v>
      </c>
      <c r="F9145">
        <v>20160121</v>
      </c>
      <c r="G9145" t="s">
        <v>7285</v>
      </c>
      <c r="H9145" t="s">
        <v>7395</v>
      </c>
      <c r="I9145">
        <v>0</v>
      </c>
      <c r="J9145" t="s">
        <v>7024</v>
      </c>
      <c r="K9145" t="s">
        <v>290</v>
      </c>
      <c r="L9145" t="s">
        <v>285</v>
      </c>
      <c r="M9145" t="str">
        <f t="shared" si="685"/>
        <v>01</v>
      </c>
      <c r="N9145" t="s">
        <v>12</v>
      </c>
    </row>
    <row r="9146" spans="1:14" x14ac:dyDescent="0.25">
      <c r="A9146">
        <v>20160122</v>
      </c>
      <c r="B9146" t="str">
        <f>"061833"</f>
        <v>061833</v>
      </c>
      <c r="C9146" t="str">
        <f>"30390"</f>
        <v>30390</v>
      </c>
      <c r="D9146" t="s">
        <v>3087</v>
      </c>
      <c r="E9146" s="3">
        <v>162.81</v>
      </c>
      <c r="F9146">
        <v>20160121</v>
      </c>
      <c r="G9146" t="s">
        <v>7292</v>
      </c>
      <c r="H9146" t="s">
        <v>2091</v>
      </c>
      <c r="I9146">
        <v>0</v>
      </c>
      <c r="J9146" t="s">
        <v>7024</v>
      </c>
      <c r="K9146" t="s">
        <v>290</v>
      </c>
      <c r="L9146" t="s">
        <v>285</v>
      </c>
      <c r="M9146" t="str">
        <f t="shared" si="685"/>
        <v>01</v>
      </c>
      <c r="N9146" t="s">
        <v>12</v>
      </c>
    </row>
    <row r="9147" spans="1:14" x14ac:dyDescent="0.25">
      <c r="A9147">
        <v>20160122</v>
      </c>
      <c r="B9147" t="str">
        <f>"061835"</f>
        <v>061835</v>
      </c>
      <c r="C9147" t="str">
        <f>"31210"</f>
        <v>31210</v>
      </c>
      <c r="D9147" t="s">
        <v>493</v>
      </c>
      <c r="E9147" s="3">
        <v>110</v>
      </c>
      <c r="F9147">
        <v>20160121</v>
      </c>
      <c r="G9147" t="s">
        <v>7285</v>
      </c>
      <c r="H9147" t="s">
        <v>7395</v>
      </c>
      <c r="I9147">
        <v>0</v>
      </c>
      <c r="J9147" t="s">
        <v>7024</v>
      </c>
      <c r="K9147" t="s">
        <v>290</v>
      </c>
      <c r="L9147" t="s">
        <v>285</v>
      </c>
      <c r="M9147" t="str">
        <f t="shared" si="685"/>
        <v>01</v>
      </c>
      <c r="N9147" t="s">
        <v>12</v>
      </c>
    </row>
    <row r="9148" spans="1:14" x14ac:dyDescent="0.25">
      <c r="A9148">
        <v>20160122</v>
      </c>
      <c r="B9148" t="str">
        <f>"061835"</f>
        <v>061835</v>
      </c>
      <c r="C9148" t="str">
        <f>"31210"</f>
        <v>31210</v>
      </c>
      <c r="D9148" t="s">
        <v>493</v>
      </c>
      <c r="E9148" s="3">
        <v>110</v>
      </c>
      <c r="F9148">
        <v>20160121</v>
      </c>
      <c r="G9148" t="s">
        <v>7285</v>
      </c>
      <c r="H9148" t="s">
        <v>7391</v>
      </c>
      <c r="I9148">
        <v>0</v>
      </c>
      <c r="J9148" t="s">
        <v>7024</v>
      </c>
      <c r="K9148" t="s">
        <v>290</v>
      </c>
      <c r="L9148" t="s">
        <v>285</v>
      </c>
      <c r="M9148" t="str">
        <f t="shared" si="685"/>
        <v>01</v>
      </c>
      <c r="N9148" t="s">
        <v>12</v>
      </c>
    </row>
    <row r="9149" spans="1:14" x14ac:dyDescent="0.25">
      <c r="A9149">
        <v>20160122</v>
      </c>
      <c r="B9149" t="str">
        <f>"061837"</f>
        <v>061837</v>
      </c>
      <c r="C9149" t="str">
        <f>"31310"</f>
        <v>31310</v>
      </c>
      <c r="D9149" t="s">
        <v>425</v>
      </c>
      <c r="E9149" s="3">
        <v>110</v>
      </c>
      <c r="F9149">
        <v>20160121</v>
      </c>
      <c r="G9149" t="s">
        <v>7285</v>
      </c>
      <c r="H9149" t="s">
        <v>7395</v>
      </c>
      <c r="I9149">
        <v>0</v>
      </c>
      <c r="J9149" t="s">
        <v>7024</v>
      </c>
      <c r="K9149" t="s">
        <v>290</v>
      </c>
      <c r="L9149" t="s">
        <v>285</v>
      </c>
      <c r="M9149" t="str">
        <f t="shared" si="685"/>
        <v>01</v>
      </c>
      <c r="N9149" t="s">
        <v>12</v>
      </c>
    </row>
    <row r="9150" spans="1:14" x14ac:dyDescent="0.25">
      <c r="A9150">
        <v>20160122</v>
      </c>
      <c r="B9150" t="str">
        <f>"061838"</f>
        <v>061838</v>
      </c>
      <c r="C9150" t="str">
        <f>"81632"</f>
        <v>81632</v>
      </c>
      <c r="D9150" t="s">
        <v>1351</v>
      </c>
      <c r="E9150" s="3">
        <v>70.86</v>
      </c>
      <c r="F9150">
        <v>20160121</v>
      </c>
      <c r="G9150" t="s">
        <v>7403</v>
      </c>
      <c r="H9150" t="s">
        <v>7404</v>
      </c>
      <c r="I9150">
        <v>0</v>
      </c>
      <c r="J9150" t="s">
        <v>7024</v>
      </c>
      <c r="K9150" t="s">
        <v>290</v>
      </c>
      <c r="L9150" t="s">
        <v>285</v>
      </c>
      <c r="M9150" t="str">
        <f t="shared" si="685"/>
        <v>01</v>
      </c>
      <c r="N9150" t="s">
        <v>12</v>
      </c>
    </row>
    <row r="9151" spans="1:14" x14ac:dyDescent="0.25">
      <c r="A9151">
        <v>20160122</v>
      </c>
      <c r="B9151" t="str">
        <f>"061839"</f>
        <v>061839</v>
      </c>
      <c r="C9151" t="str">
        <f>"34901"</f>
        <v>34901</v>
      </c>
      <c r="D9151" t="s">
        <v>431</v>
      </c>
      <c r="E9151" s="3">
        <v>110</v>
      </c>
      <c r="F9151">
        <v>20160121</v>
      </c>
      <c r="G9151" t="s">
        <v>7285</v>
      </c>
      <c r="H9151" t="s">
        <v>7395</v>
      </c>
      <c r="I9151">
        <v>0</v>
      </c>
      <c r="J9151" t="s">
        <v>7024</v>
      </c>
      <c r="K9151" t="s">
        <v>290</v>
      </c>
      <c r="L9151" t="s">
        <v>285</v>
      </c>
      <c r="M9151" t="str">
        <f t="shared" ref="M9151:M9182" si="686">"01"</f>
        <v>01</v>
      </c>
      <c r="N9151" t="s">
        <v>12</v>
      </c>
    </row>
    <row r="9152" spans="1:14" x14ac:dyDescent="0.25">
      <c r="A9152">
        <v>20160122</v>
      </c>
      <c r="B9152" t="str">
        <f>"061839"</f>
        <v>061839</v>
      </c>
      <c r="C9152" t="str">
        <f>"34901"</f>
        <v>34901</v>
      </c>
      <c r="D9152" t="s">
        <v>431</v>
      </c>
      <c r="E9152" s="3">
        <v>110</v>
      </c>
      <c r="F9152">
        <v>20160121</v>
      </c>
      <c r="G9152" t="s">
        <v>7285</v>
      </c>
      <c r="H9152" t="s">
        <v>7391</v>
      </c>
      <c r="I9152">
        <v>0</v>
      </c>
      <c r="J9152" t="s">
        <v>7024</v>
      </c>
      <c r="K9152" t="s">
        <v>290</v>
      </c>
      <c r="L9152" t="s">
        <v>285</v>
      </c>
      <c r="M9152" t="str">
        <f t="shared" si="686"/>
        <v>01</v>
      </c>
      <c r="N9152" t="s">
        <v>12</v>
      </c>
    </row>
    <row r="9153" spans="1:14" x14ac:dyDescent="0.25">
      <c r="A9153">
        <v>20160122</v>
      </c>
      <c r="B9153" t="str">
        <f>"061840"</f>
        <v>061840</v>
      </c>
      <c r="C9153" t="str">
        <f>"34957"</f>
        <v>34957</v>
      </c>
      <c r="D9153" t="s">
        <v>7405</v>
      </c>
      <c r="E9153" s="3">
        <v>55</v>
      </c>
      <c r="F9153">
        <v>20160121</v>
      </c>
      <c r="G9153" t="s">
        <v>7285</v>
      </c>
      <c r="H9153" t="s">
        <v>7392</v>
      </c>
      <c r="I9153">
        <v>0</v>
      </c>
      <c r="J9153" t="s">
        <v>7024</v>
      </c>
      <c r="K9153" t="s">
        <v>290</v>
      </c>
      <c r="L9153" t="s">
        <v>285</v>
      </c>
      <c r="M9153" t="str">
        <f t="shared" si="686"/>
        <v>01</v>
      </c>
      <c r="N9153" t="s">
        <v>12</v>
      </c>
    </row>
    <row r="9154" spans="1:14" x14ac:dyDescent="0.25">
      <c r="A9154">
        <v>20160122</v>
      </c>
      <c r="B9154" t="str">
        <f>"061841"</f>
        <v>061841</v>
      </c>
      <c r="C9154" t="str">
        <f>"37771"</f>
        <v>37771</v>
      </c>
      <c r="D9154" t="s">
        <v>7135</v>
      </c>
      <c r="E9154" s="3">
        <v>237.2</v>
      </c>
      <c r="F9154">
        <v>20160121</v>
      </c>
      <c r="G9154" t="s">
        <v>7094</v>
      </c>
      <c r="H9154" t="s">
        <v>5030</v>
      </c>
      <c r="I9154">
        <v>0</v>
      </c>
      <c r="J9154" t="s">
        <v>7024</v>
      </c>
      <c r="K9154" t="s">
        <v>1643</v>
      </c>
      <c r="L9154" t="s">
        <v>285</v>
      </c>
      <c r="M9154" t="str">
        <f t="shared" si="686"/>
        <v>01</v>
      </c>
      <c r="N9154" t="s">
        <v>12</v>
      </c>
    </row>
    <row r="9155" spans="1:14" x14ac:dyDescent="0.25">
      <c r="A9155">
        <v>20160122</v>
      </c>
      <c r="B9155" t="str">
        <f>"061842"</f>
        <v>061842</v>
      </c>
      <c r="C9155" t="str">
        <f>"37782"</f>
        <v>37782</v>
      </c>
      <c r="D9155" t="s">
        <v>7406</v>
      </c>
      <c r="E9155" s="3">
        <v>110</v>
      </c>
      <c r="F9155">
        <v>20160121</v>
      </c>
      <c r="G9155" t="s">
        <v>7285</v>
      </c>
      <c r="H9155" t="s">
        <v>7391</v>
      </c>
      <c r="I9155">
        <v>0</v>
      </c>
      <c r="J9155" t="s">
        <v>7024</v>
      </c>
      <c r="K9155" t="s">
        <v>290</v>
      </c>
      <c r="L9155" t="s">
        <v>285</v>
      </c>
      <c r="M9155" t="str">
        <f t="shared" si="686"/>
        <v>01</v>
      </c>
      <c r="N9155" t="s">
        <v>12</v>
      </c>
    </row>
    <row r="9156" spans="1:14" x14ac:dyDescent="0.25">
      <c r="A9156">
        <v>20160122</v>
      </c>
      <c r="B9156" t="str">
        <f>"061844"</f>
        <v>061844</v>
      </c>
      <c r="C9156" t="str">
        <f>"37896"</f>
        <v>37896</v>
      </c>
      <c r="D9156" t="s">
        <v>7407</v>
      </c>
      <c r="E9156" s="3">
        <v>110</v>
      </c>
      <c r="F9156">
        <v>20160123</v>
      </c>
      <c r="G9156" t="s">
        <v>7285</v>
      </c>
      <c r="H9156" t="s">
        <v>7395</v>
      </c>
      <c r="I9156">
        <v>0</v>
      </c>
      <c r="J9156" t="s">
        <v>7024</v>
      </c>
      <c r="K9156" t="s">
        <v>290</v>
      </c>
      <c r="L9156" t="s">
        <v>285</v>
      </c>
      <c r="M9156" t="str">
        <f t="shared" si="686"/>
        <v>01</v>
      </c>
      <c r="N9156" t="s">
        <v>12</v>
      </c>
    </row>
    <row r="9157" spans="1:14" x14ac:dyDescent="0.25">
      <c r="A9157">
        <v>20160122</v>
      </c>
      <c r="B9157" t="str">
        <f>"061844"</f>
        <v>061844</v>
      </c>
      <c r="C9157" t="str">
        <f>"37896"</f>
        <v>37896</v>
      </c>
      <c r="D9157" t="s">
        <v>7407</v>
      </c>
      <c r="E9157" s="3">
        <v>110</v>
      </c>
      <c r="F9157">
        <v>20160123</v>
      </c>
      <c r="G9157" t="s">
        <v>7285</v>
      </c>
      <c r="H9157" t="s">
        <v>7391</v>
      </c>
      <c r="I9157">
        <v>0</v>
      </c>
      <c r="J9157" t="s">
        <v>7024</v>
      </c>
      <c r="K9157" t="s">
        <v>290</v>
      </c>
      <c r="L9157" t="s">
        <v>285</v>
      </c>
      <c r="M9157" t="str">
        <f t="shared" si="686"/>
        <v>01</v>
      </c>
      <c r="N9157" t="s">
        <v>12</v>
      </c>
    </row>
    <row r="9158" spans="1:14" x14ac:dyDescent="0.25">
      <c r="A9158">
        <v>20160122</v>
      </c>
      <c r="B9158" t="str">
        <f>"061844"</f>
        <v>061844</v>
      </c>
      <c r="C9158" t="str">
        <f>"37896"</f>
        <v>37896</v>
      </c>
      <c r="D9158" t="s">
        <v>7407</v>
      </c>
      <c r="E9158" s="3">
        <v>110</v>
      </c>
      <c r="F9158">
        <v>20160123</v>
      </c>
      <c r="G9158" t="s">
        <v>7285</v>
      </c>
      <c r="H9158" t="s">
        <v>7391</v>
      </c>
      <c r="I9158">
        <v>0</v>
      </c>
      <c r="J9158" t="s">
        <v>7024</v>
      </c>
      <c r="K9158" t="s">
        <v>290</v>
      </c>
      <c r="L9158" t="s">
        <v>285</v>
      </c>
      <c r="M9158" t="str">
        <f t="shared" si="686"/>
        <v>01</v>
      </c>
      <c r="N9158" t="s">
        <v>12</v>
      </c>
    </row>
    <row r="9159" spans="1:14" x14ac:dyDescent="0.25">
      <c r="A9159">
        <v>20160122</v>
      </c>
      <c r="B9159" t="str">
        <f>"061845"</f>
        <v>061845</v>
      </c>
      <c r="C9159" t="str">
        <f>"39268"</f>
        <v>39268</v>
      </c>
      <c r="D9159" t="s">
        <v>870</v>
      </c>
      <c r="E9159" s="3">
        <v>110</v>
      </c>
      <c r="F9159">
        <v>20160121</v>
      </c>
      <c r="G9159" t="s">
        <v>7285</v>
      </c>
      <c r="H9159" t="s">
        <v>7391</v>
      </c>
      <c r="I9159">
        <v>0</v>
      </c>
      <c r="J9159" t="s">
        <v>7024</v>
      </c>
      <c r="K9159" t="s">
        <v>290</v>
      </c>
      <c r="L9159" t="s">
        <v>285</v>
      </c>
      <c r="M9159" t="str">
        <f t="shared" si="686"/>
        <v>01</v>
      </c>
      <c r="N9159" t="s">
        <v>12</v>
      </c>
    </row>
    <row r="9160" spans="1:14" x14ac:dyDescent="0.25">
      <c r="A9160">
        <v>20160122</v>
      </c>
      <c r="B9160" t="str">
        <f>"061846"</f>
        <v>061846</v>
      </c>
      <c r="C9160" t="str">
        <f>"39319"</f>
        <v>39319</v>
      </c>
      <c r="D9160" t="s">
        <v>953</v>
      </c>
      <c r="E9160" s="3">
        <v>110</v>
      </c>
      <c r="F9160">
        <v>20160121</v>
      </c>
      <c r="G9160" t="s">
        <v>7285</v>
      </c>
      <c r="H9160" t="s">
        <v>7391</v>
      </c>
      <c r="I9160">
        <v>0</v>
      </c>
      <c r="J9160" t="s">
        <v>7024</v>
      </c>
      <c r="K9160" t="s">
        <v>290</v>
      </c>
      <c r="L9160" t="s">
        <v>285</v>
      </c>
      <c r="M9160" t="str">
        <f t="shared" si="686"/>
        <v>01</v>
      </c>
      <c r="N9160" t="s">
        <v>12</v>
      </c>
    </row>
    <row r="9161" spans="1:14" x14ac:dyDescent="0.25">
      <c r="A9161">
        <v>20160122</v>
      </c>
      <c r="B9161" t="str">
        <f>"061847"</f>
        <v>061847</v>
      </c>
      <c r="C9161" t="str">
        <f>"40550"</f>
        <v>40550</v>
      </c>
      <c r="D9161" t="s">
        <v>435</v>
      </c>
      <c r="E9161" s="3">
        <v>46.52</v>
      </c>
      <c r="F9161">
        <v>20160121</v>
      </c>
      <c r="G9161" t="s">
        <v>7026</v>
      </c>
      <c r="H9161" t="s">
        <v>7304</v>
      </c>
      <c r="I9161">
        <v>0</v>
      </c>
      <c r="J9161" t="s">
        <v>7024</v>
      </c>
      <c r="K9161" t="s">
        <v>1643</v>
      </c>
      <c r="L9161" t="s">
        <v>285</v>
      </c>
      <c r="M9161" t="str">
        <f t="shared" si="686"/>
        <v>01</v>
      </c>
      <c r="N9161" t="s">
        <v>12</v>
      </c>
    </row>
    <row r="9162" spans="1:14" x14ac:dyDescent="0.25">
      <c r="A9162">
        <v>20160122</v>
      </c>
      <c r="B9162" t="str">
        <f>"061849"</f>
        <v>061849</v>
      </c>
      <c r="C9162" t="str">
        <f>"69010"</f>
        <v>69010</v>
      </c>
      <c r="D9162" t="s">
        <v>7408</v>
      </c>
      <c r="E9162" s="3">
        <v>382</v>
      </c>
      <c r="F9162">
        <v>20160121</v>
      </c>
      <c r="G9162" t="s">
        <v>7409</v>
      </c>
      <c r="H9162" t="s">
        <v>7410</v>
      </c>
      <c r="I9162">
        <v>0</v>
      </c>
      <c r="J9162" t="s">
        <v>7024</v>
      </c>
      <c r="K9162" t="s">
        <v>95</v>
      </c>
      <c r="L9162" t="s">
        <v>285</v>
      </c>
      <c r="M9162" t="str">
        <f t="shared" si="686"/>
        <v>01</v>
      </c>
      <c r="N9162" t="s">
        <v>12</v>
      </c>
    </row>
    <row r="9163" spans="1:14" x14ac:dyDescent="0.25">
      <c r="A9163">
        <v>20160122</v>
      </c>
      <c r="B9163" t="str">
        <f>"061850"</f>
        <v>061850</v>
      </c>
      <c r="C9163" t="str">
        <f>"45093"</f>
        <v>45093</v>
      </c>
      <c r="D9163" t="s">
        <v>538</v>
      </c>
      <c r="E9163" s="3">
        <v>278.08999999999997</v>
      </c>
      <c r="F9163">
        <v>20160122</v>
      </c>
      <c r="G9163" t="s">
        <v>7086</v>
      </c>
      <c r="H9163" t="s">
        <v>7411</v>
      </c>
      <c r="I9163">
        <v>0</v>
      </c>
      <c r="J9163" t="s">
        <v>7024</v>
      </c>
      <c r="K9163" t="s">
        <v>290</v>
      </c>
      <c r="L9163" t="s">
        <v>285</v>
      </c>
      <c r="M9163" t="str">
        <f t="shared" si="686"/>
        <v>01</v>
      </c>
      <c r="N9163" t="s">
        <v>12</v>
      </c>
    </row>
    <row r="9164" spans="1:14" x14ac:dyDescent="0.25">
      <c r="A9164">
        <v>20160122</v>
      </c>
      <c r="B9164" t="str">
        <f>"061856"</f>
        <v>061856</v>
      </c>
      <c r="C9164" t="str">
        <f>"47163"</f>
        <v>47163</v>
      </c>
      <c r="D9164" t="s">
        <v>5106</v>
      </c>
      <c r="E9164" s="3">
        <v>211.6</v>
      </c>
      <c r="F9164">
        <v>20160121</v>
      </c>
      <c r="G9164" t="s">
        <v>7412</v>
      </c>
      <c r="H9164" t="s">
        <v>7413</v>
      </c>
      <c r="I9164">
        <v>0</v>
      </c>
      <c r="J9164" t="s">
        <v>7024</v>
      </c>
      <c r="K9164" t="s">
        <v>2724</v>
      </c>
      <c r="L9164" t="s">
        <v>285</v>
      </c>
      <c r="M9164" t="str">
        <f t="shared" si="686"/>
        <v>01</v>
      </c>
      <c r="N9164" t="s">
        <v>12</v>
      </c>
    </row>
    <row r="9165" spans="1:14" x14ac:dyDescent="0.25">
      <c r="A9165">
        <v>20160122</v>
      </c>
      <c r="B9165" t="str">
        <f>"061858"</f>
        <v>061858</v>
      </c>
      <c r="C9165" t="str">
        <f>"48074"</f>
        <v>48074</v>
      </c>
      <c r="D9165" t="s">
        <v>502</v>
      </c>
      <c r="E9165" s="3">
        <v>110</v>
      </c>
      <c r="F9165">
        <v>20160121</v>
      </c>
      <c r="G9165" t="s">
        <v>7285</v>
      </c>
      <c r="H9165" t="s">
        <v>7395</v>
      </c>
      <c r="I9165">
        <v>0</v>
      </c>
      <c r="J9165" t="s">
        <v>7024</v>
      </c>
      <c r="K9165" t="s">
        <v>290</v>
      </c>
      <c r="L9165" t="s">
        <v>285</v>
      </c>
      <c r="M9165" t="str">
        <f t="shared" si="686"/>
        <v>01</v>
      </c>
      <c r="N9165" t="s">
        <v>12</v>
      </c>
    </row>
    <row r="9166" spans="1:14" x14ac:dyDescent="0.25">
      <c r="A9166">
        <v>20160122</v>
      </c>
      <c r="B9166" t="str">
        <f>"061858"</f>
        <v>061858</v>
      </c>
      <c r="C9166" t="str">
        <f>"48074"</f>
        <v>48074</v>
      </c>
      <c r="D9166" t="s">
        <v>502</v>
      </c>
      <c r="E9166" s="3">
        <v>55</v>
      </c>
      <c r="F9166">
        <v>20160121</v>
      </c>
      <c r="G9166" t="s">
        <v>7285</v>
      </c>
      <c r="H9166" t="s">
        <v>7392</v>
      </c>
      <c r="I9166">
        <v>0</v>
      </c>
      <c r="J9166" t="s">
        <v>7024</v>
      </c>
      <c r="K9166" t="s">
        <v>290</v>
      </c>
      <c r="L9166" t="s">
        <v>285</v>
      </c>
      <c r="M9166" t="str">
        <f t="shared" si="686"/>
        <v>01</v>
      </c>
      <c r="N9166" t="s">
        <v>12</v>
      </c>
    </row>
    <row r="9167" spans="1:14" x14ac:dyDescent="0.25">
      <c r="A9167">
        <v>20160122</v>
      </c>
      <c r="B9167" t="str">
        <f>"061859"</f>
        <v>061859</v>
      </c>
      <c r="C9167" t="str">
        <f>"48962"</f>
        <v>48962</v>
      </c>
      <c r="D9167" t="s">
        <v>7414</v>
      </c>
      <c r="E9167" s="3">
        <v>110</v>
      </c>
      <c r="F9167">
        <v>20160121</v>
      </c>
      <c r="G9167" t="s">
        <v>7285</v>
      </c>
      <c r="H9167" t="s">
        <v>7395</v>
      </c>
      <c r="I9167">
        <v>0</v>
      </c>
      <c r="J9167" t="s">
        <v>7024</v>
      </c>
      <c r="K9167" t="s">
        <v>290</v>
      </c>
      <c r="L9167" t="s">
        <v>285</v>
      </c>
      <c r="M9167" t="str">
        <f t="shared" si="686"/>
        <v>01</v>
      </c>
      <c r="N9167" t="s">
        <v>12</v>
      </c>
    </row>
    <row r="9168" spans="1:14" x14ac:dyDescent="0.25">
      <c r="A9168">
        <v>20160122</v>
      </c>
      <c r="B9168" t="str">
        <f>"061861"</f>
        <v>061861</v>
      </c>
      <c r="C9168" t="str">
        <f>"51335"</f>
        <v>51335</v>
      </c>
      <c r="D9168" t="s">
        <v>7415</v>
      </c>
      <c r="E9168" s="3">
        <v>110</v>
      </c>
      <c r="F9168">
        <v>20160121</v>
      </c>
      <c r="G9168" t="s">
        <v>7285</v>
      </c>
      <c r="H9168" t="s">
        <v>7391</v>
      </c>
      <c r="I9168">
        <v>0</v>
      </c>
      <c r="J9168" t="s">
        <v>7024</v>
      </c>
      <c r="K9168" t="s">
        <v>290</v>
      </c>
      <c r="L9168" t="s">
        <v>285</v>
      </c>
      <c r="M9168" t="str">
        <f t="shared" si="686"/>
        <v>01</v>
      </c>
      <c r="N9168" t="s">
        <v>12</v>
      </c>
    </row>
    <row r="9169" spans="1:14" x14ac:dyDescent="0.25">
      <c r="A9169">
        <v>20160122</v>
      </c>
      <c r="B9169" t="str">
        <f>"061865"</f>
        <v>061865</v>
      </c>
      <c r="C9169" t="str">
        <f>"53996"</f>
        <v>53996</v>
      </c>
      <c r="D9169" t="s">
        <v>777</v>
      </c>
      <c r="E9169" s="3">
        <v>55</v>
      </c>
      <c r="F9169">
        <v>20160121</v>
      </c>
      <c r="G9169" t="s">
        <v>7285</v>
      </c>
      <c r="H9169" t="s">
        <v>7392</v>
      </c>
      <c r="I9169">
        <v>0</v>
      </c>
      <c r="J9169" t="s">
        <v>7024</v>
      </c>
      <c r="K9169" t="s">
        <v>290</v>
      </c>
      <c r="L9169" t="s">
        <v>285</v>
      </c>
      <c r="M9169" t="str">
        <f t="shared" si="686"/>
        <v>01</v>
      </c>
      <c r="N9169" t="s">
        <v>12</v>
      </c>
    </row>
    <row r="9170" spans="1:14" x14ac:dyDescent="0.25">
      <c r="A9170">
        <v>20160122</v>
      </c>
      <c r="B9170" t="str">
        <f>"061866"</f>
        <v>061866</v>
      </c>
      <c r="C9170" t="str">
        <f>"55503"</f>
        <v>55503</v>
      </c>
      <c r="D9170" t="s">
        <v>812</v>
      </c>
      <c r="E9170" s="3">
        <v>110</v>
      </c>
      <c r="F9170">
        <v>20160121</v>
      </c>
      <c r="G9170" t="s">
        <v>7285</v>
      </c>
      <c r="H9170" t="s">
        <v>7391</v>
      </c>
      <c r="I9170">
        <v>0</v>
      </c>
      <c r="J9170" t="s">
        <v>7024</v>
      </c>
      <c r="K9170" t="s">
        <v>290</v>
      </c>
      <c r="L9170" t="s">
        <v>285</v>
      </c>
      <c r="M9170" t="str">
        <f t="shared" si="686"/>
        <v>01</v>
      </c>
      <c r="N9170" t="s">
        <v>12</v>
      </c>
    </row>
    <row r="9171" spans="1:14" x14ac:dyDescent="0.25">
      <c r="A9171">
        <v>20160122</v>
      </c>
      <c r="B9171" t="str">
        <f>"061869"</f>
        <v>061869</v>
      </c>
      <c r="C9171" t="str">
        <f>"56205"</f>
        <v>56205</v>
      </c>
      <c r="D9171" t="s">
        <v>7416</v>
      </c>
      <c r="E9171" s="3">
        <v>110</v>
      </c>
      <c r="F9171">
        <v>20160121</v>
      </c>
      <c r="G9171" t="s">
        <v>7285</v>
      </c>
      <c r="H9171" t="s">
        <v>7395</v>
      </c>
      <c r="I9171">
        <v>0</v>
      </c>
      <c r="J9171" t="s">
        <v>7024</v>
      </c>
      <c r="K9171" t="s">
        <v>290</v>
      </c>
      <c r="L9171" t="s">
        <v>285</v>
      </c>
      <c r="M9171" t="str">
        <f t="shared" si="686"/>
        <v>01</v>
      </c>
      <c r="N9171" t="s">
        <v>12</v>
      </c>
    </row>
    <row r="9172" spans="1:14" x14ac:dyDescent="0.25">
      <c r="A9172">
        <v>20160122</v>
      </c>
      <c r="B9172" t="str">
        <f>"061869"</f>
        <v>061869</v>
      </c>
      <c r="C9172" t="str">
        <f>"56205"</f>
        <v>56205</v>
      </c>
      <c r="D9172" t="s">
        <v>7416</v>
      </c>
      <c r="E9172" s="3">
        <v>55</v>
      </c>
      <c r="F9172">
        <v>20160121</v>
      </c>
      <c r="G9172" t="s">
        <v>7285</v>
      </c>
      <c r="H9172" t="s">
        <v>7392</v>
      </c>
      <c r="I9172">
        <v>0</v>
      </c>
      <c r="J9172" t="s">
        <v>7024</v>
      </c>
      <c r="K9172" t="s">
        <v>290</v>
      </c>
      <c r="L9172" t="s">
        <v>285</v>
      </c>
      <c r="M9172" t="str">
        <f t="shared" si="686"/>
        <v>01</v>
      </c>
      <c r="N9172" t="s">
        <v>12</v>
      </c>
    </row>
    <row r="9173" spans="1:14" x14ac:dyDescent="0.25">
      <c r="A9173">
        <v>20160122</v>
      </c>
      <c r="B9173" t="str">
        <f>"061871"</f>
        <v>061871</v>
      </c>
      <c r="C9173" t="str">
        <f>"56568"</f>
        <v>56568</v>
      </c>
      <c r="D9173" t="s">
        <v>7417</v>
      </c>
      <c r="E9173" s="3">
        <v>110</v>
      </c>
      <c r="F9173">
        <v>20160121</v>
      </c>
      <c r="G9173" t="s">
        <v>7285</v>
      </c>
      <c r="H9173" t="s">
        <v>7391</v>
      </c>
      <c r="I9173">
        <v>0</v>
      </c>
      <c r="J9173" t="s">
        <v>7024</v>
      </c>
      <c r="K9173" t="s">
        <v>290</v>
      </c>
      <c r="L9173" t="s">
        <v>285</v>
      </c>
      <c r="M9173" t="str">
        <f t="shared" si="686"/>
        <v>01</v>
      </c>
      <c r="N9173" t="s">
        <v>12</v>
      </c>
    </row>
    <row r="9174" spans="1:14" x14ac:dyDescent="0.25">
      <c r="A9174">
        <v>20160122</v>
      </c>
      <c r="B9174" t="str">
        <f>"061871"</f>
        <v>061871</v>
      </c>
      <c r="C9174" t="str">
        <f>"56568"</f>
        <v>56568</v>
      </c>
      <c r="D9174" t="s">
        <v>7417</v>
      </c>
      <c r="E9174" s="3">
        <v>110</v>
      </c>
      <c r="F9174">
        <v>20160121</v>
      </c>
      <c r="G9174" t="s">
        <v>7285</v>
      </c>
      <c r="H9174" t="s">
        <v>7392</v>
      </c>
      <c r="I9174">
        <v>0</v>
      </c>
      <c r="J9174" t="s">
        <v>7024</v>
      </c>
      <c r="K9174" t="s">
        <v>290</v>
      </c>
      <c r="L9174" t="s">
        <v>285</v>
      </c>
      <c r="M9174" t="str">
        <f t="shared" si="686"/>
        <v>01</v>
      </c>
      <c r="N9174" t="s">
        <v>12</v>
      </c>
    </row>
    <row r="9175" spans="1:14" x14ac:dyDescent="0.25">
      <c r="A9175">
        <v>20160122</v>
      </c>
      <c r="B9175" t="str">
        <f>"061873"</f>
        <v>061873</v>
      </c>
      <c r="C9175" t="str">
        <f>"57988"</f>
        <v>57988</v>
      </c>
      <c r="D9175" t="s">
        <v>390</v>
      </c>
      <c r="E9175" s="3">
        <v>110</v>
      </c>
      <c r="F9175">
        <v>20160121</v>
      </c>
      <c r="G9175" t="s">
        <v>7285</v>
      </c>
      <c r="H9175" t="s">
        <v>7391</v>
      </c>
      <c r="I9175">
        <v>0</v>
      </c>
      <c r="J9175" t="s">
        <v>7024</v>
      </c>
      <c r="K9175" t="s">
        <v>290</v>
      </c>
      <c r="L9175" t="s">
        <v>285</v>
      </c>
      <c r="M9175" t="str">
        <f t="shared" si="686"/>
        <v>01</v>
      </c>
      <c r="N9175" t="s">
        <v>12</v>
      </c>
    </row>
    <row r="9176" spans="1:14" x14ac:dyDescent="0.25">
      <c r="A9176">
        <v>20160122</v>
      </c>
      <c r="B9176" t="str">
        <f>"061874"</f>
        <v>061874</v>
      </c>
      <c r="C9176" t="str">
        <f>"58204"</f>
        <v>58204</v>
      </c>
      <c r="D9176" t="s">
        <v>1816</v>
      </c>
      <c r="E9176" s="3">
        <v>65.849999999999994</v>
      </c>
      <c r="F9176">
        <v>20160121</v>
      </c>
      <c r="G9176" t="s">
        <v>7083</v>
      </c>
      <c r="H9176" t="s">
        <v>7418</v>
      </c>
      <c r="I9176">
        <v>0</v>
      </c>
      <c r="J9176" t="s">
        <v>7024</v>
      </c>
      <c r="K9176" t="s">
        <v>290</v>
      </c>
      <c r="L9176" t="s">
        <v>285</v>
      </c>
      <c r="M9176" t="str">
        <f t="shared" si="686"/>
        <v>01</v>
      </c>
      <c r="N9176" t="s">
        <v>12</v>
      </c>
    </row>
    <row r="9177" spans="1:14" x14ac:dyDescent="0.25">
      <c r="A9177">
        <v>20160122</v>
      </c>
      <c r="B9177" t="str">
        <f>"061874"</f>
        <v>061874</v>
      </c>
      <c r="C9177" t="str">
        <f>"58204"</f>
        <v>58204</v>
      </c>
      <c r="D9177" t="s">
        <v>1816</v>
      </c>
      <c r="E9177" s="3">
        <v>20</v>
      </c>
      <c r="F9177">
        <v>20160121</v>
      </c>
      <c r="G9177" t="s">
        <v>7203</v>
      </c>
      <c r="H9177" t="s">
        <v>7419</v>
      </c>
      <c r="I9177">
        <v>0</v>
      </c>
      <c r="J9177" t="s">
        <v>7024</v>
      </c>
      <c r="K9177" t="s">
        <v>290</v>
      </c>
      <c r="L9177" t="s">
        <v>285</v>
      </c>
      <c r="M9177" t="str">
        <f t="shared" si="686"/>
        <v>01</v>
      </c>
      <c r="N9177" t="s">
        <v>12</v>
      </c>
    </row>
    <row r="9178" spans="1:14" x14ac:dyDescent="0.25">
      <c r="A9178">
        <v>20160122</v>
      </c>
      <c r="B9178" t="str">
        <f>"061876"</f>
        <v>061876</v>
      </c>
      <c r="C9178" t="str">
        <f>"60258"</f>
        <v>60258</v>
      </c>
      <c r="D9178" t="s">
        <v>7357</v>
      </c>
      <c r="E9178" s="3">
        <v>32.5</v>
      </c>
      <c r="F9178">
        <v>20160121</v>
      </c>
      <c r="G9178" t="s">
        <v>7140</v>
      </c>
      <c r="H9178" t="s">
        <v>7358</v>
      </c>
      <c r="I9178">
        <v>0</v>
      </c>
      <c r="J9178" t="s">
        <v>7024</v>
      </c>
      <c r="K9178" t="s">
        <v>290</v>
      </c>
      <c r="L9178" t="s">
        <v>285</v>
      </c>
      <c r="M9178" t="str">
        <f t="shared" si="686"/>
        <v>01</v>
      </c>
      <c r="N9178" t="s">
        <v>12</v>
      </c>
    </row>
    <row r="9179" spans="1:14" x14ac:dyDescent="0.25">
      <c r="A9179">
        <v>20160122</v>
      </c>
      <c r="B9179" t="str">
        <f>"061881"</f>
        <v>061881</v>
      </c>
      <c r="C9179" t="str">
        <f>"65106"</f>
        <v>65106</v>
      </c>
      <c r="D9179" t="s">
        <v>1568</v>
      </c>
      <c r="E9179" s="3">
        <v>397.96</v>
      </c>
      <c r="F9179">
        <v>20160121</v>
      </c>
      <c r="G9179" t="s">
        <v>7110</v>
      </c>
      <c r="H9179" t="s">
        <v>1346</v>
      </c>
      <c r="I9179">
        <v>0</v>
      </c>
      <c r="J9179" t="s">
        <v>7024</v>
      </c>
      <c r="K9179" t="s">
        <v>290</v>
      </c>
      <c r="L9179" t="s">
        <v>285</v>
      </c>
      <c r="M9179" t="str">
        <f t="shared" si="686"/>
        <v>01</v>
      </c>
      <c r="N9179" t="s">
        <v>12</v>
      </c>
    </row>
    <row r="9180" spans="1:14" x14ac:dyDescent="0.25">
      <c r="A9180">
        <v>20160122</v>
      </c>
      <c r="B9180" t="str">
        <f>"061881"</f>
        <v>061881</v>
      </c>
      <c r="C9180" t="str">
        <f>"65106"</f>
        <v>65106</v>
      </c>
      <c r="D9180" t="s">
        <v>1568</v>
      </c>
      <c r="E9180" s="3">
        <v>399.62</v>
      </c>
      <c r="F9180">
        <v>20160121</v>
      </c>
      <c r="G9180" t="s">
        <v>7083</v>
      </c>
      <c r="H9180" t="s">
        <v>7420</v>
      </c>
      <c r="I9180">
        <v>0</v>
      </c>
      <c r="J9180" t="s">
        <v>7024</v>
      </c>
      <c r="K9180" t="s">
        <v>290</v>
      </c>
      <c r="L9180" t="s">
        <v>285</v>
      </c>
      <c r="M9180" t="str">
        <f t="shared" si="686"/>
        <v>01</v>
      </c>
      <c r="N9180" t="s">
        <v>12</v>
      </c>
    </row>
    <row r="9181" spans="1:14" x14ac:dyDescent="0.25">
      <c r="A9181">
        <v>20160122</v>
      </c>
      <c r="B9181" t="str">
        <f>"061883"</f>
        <v>061883</v>
      </c>
      <c r="C9181" t="str">
        <f>"65780"</f>
        <v>65780</v>
      </c>
      <c r="D9181" t="s">
        <v>7211</v>
      </c>
      <c r="E9181" s="3">
        <v>365.18</v>
      </c>
      <c r="F9181">
        <v>20160121</v>
      </c>
      <c r="G9181" t="s">
        <v>7421</v>
      </c>
      <c r="H9181" t="s">
        <v>7422</v>
      </c>
      <c r="I9181">
        <v>0</v>
      </c>
      <c r="J9181" t="s">
        <v>7024</v>
      </c>
      <c r="K9181" t="s">
        <v>95</v>
      </c>
      <c r="L9181" t="s">
        <v>285</v>
      </c>
      <c r="M9181" t="str">
        <f t="shared" si="686"/>
        <v>01</v>
      </c>
      <c r="N9181" t="s">
        <v>12</v>
      </c>
    </row>
    <row r="9182" spans="1:14" x14ac:dyDescent="0.25">
      <c r="A9182">
        <v>20160122</v>
      </c>
      <c r="B9182" t="str">
        <f>"061887"</f>
        <v>061887</v>
      </c>
      <c r="C9182" t="str">
        <f>"69201"</f>
        <v>69201</v>
      </c>
      <c r="D9182" t="s">
        <v>1329</v>
      </c>
      <c r="E9182" s="3">
        <v>110</v>
      </c>
      <c r="F9182">
        <v>20160121</v>
      </c>
      <c r="G9182" t="s">
        <v>7285</v>
      </c>
      <c r="H9182" t="s">
        <v>7395</v>
      </c>
      <c r="I9182">
        <v>0</v>
      </c>
      <c r="J9182" t="s">
        <v>7024</v>
      </c>
      <c r="K9182" t="s">
        <v>290</v>
      </c>
      <c r="L9182" t="s">
        <v>285</v>
      </c>
      <c r="M9182" t="str">
        <f t="shared" si="686"/>
        <v>01</v>
      </c>
      <c r="N9182" t="s">
        <v>12</v>
      </c>
    </row>
    <row r="9183" spans="1:14" x14ac:dyDescent="0.25">
      <c r="A9183">
        <v>20160122</v>
      </c>
      <c r="B9183" t="str">
        <f>"061887"</f>
        <v>061887</v>
      </c>
      <c r="C9183" t="str">
        <f>"69201"</f>
        <v>69201</v>
      </c>
      <c r="D9183" t="s">
        <v>1329</v>
      </c>
      <c r="E9183" s="3">
        <v>220</v>
      </c>
      <c r="F9183">
        <v>20160121</v>
      </c>
      <c r="G9183" t="s">
        <v>7285</v>
      </c>
      <c r="H9183" t="s">
        <v>7391</v>
      </c>
      <c r="I9183">
        <v>0</v>
      </c>
      <c r="J9183" t="s">
        <v>7024</v>
      </c>
      <c r="K9183" t="s">
        <v>290</v>
      </c>
      <c r="L9183" t="s">
        <v>285</v>
      </c>
      <c r="M9183" t="str">
        <f t="shared" ref="M9183:M9211" si="687">"01"</f>
        <v>01</v>
      </c>
      <c r="N9183" t="s">
        <v>12</v>
      </c>
    </row>
    <row r="9184" spans="1:14" x14ac:dyDescent="0.25">
      <c r="A9184">
        <v>20160122</v>
      </c>
      <c r="B9184" t="str">
        <f>"061888"</f>
        <v>061888</v>
      </c>
      <c r="C9184" t="str">
        <f>"70090"</f>
        <v>70090</v>
      </c>
      <c r="D9184" t="s">
        <v>1009</v>
      </c>
      <c r="E9184" s="3">
        <v>55</v>
      </c>
      <c r="F9184">
        <v>20160121</v>
      </c>
      <c r="G9184" t="s">
        <v>7285</v>
      </c>
      <c r="H9184" t="s">
        <v>7392</v>
      </c>
      <c r="I9184">
        <v>0</v>
      </c>
      <c r="J9184" t="s">
        <v>7024</v>
      </c>
      <c r="K9184" t="s">
        <v>290</v>
      </c>
      <c r="L9184" t="s">
        <v>285</v>
      </c>
      <c r="M9184" t="str">
        <f t="shared" si="687"/>
        <v>01</v>
      </c>
      <c r="N9184" t="s">
        <v>12</v>
      </c>
    </row>
    <row r="9185" spans="1:14" x14ac:dyDescent="0.25">
      <c r="A9185">
        <v>20160122</v>
      </c>
      <c r="B9185" t="str">
        <f>"061899"</f>
        <v>061899</v>
      </c>
      <c r="C9185" t="str">
        <f>"80527"</f>
        <v>80527</v>
      </c>
      <c r="D9185" t="s">
        <v>877</v>
      </c>
      <c r="E9185" s="3">
        <v>110</v>
      </c>
      <c r="F9185">
        <v>20160122</v>
      </c>
      <c r="G9185" t="s">
        <v>7285</v>
      </c>
      <c r="H9185" t="s">
        <v>7395</v>
      </c>
      <c r="I9185">
        <v>0</v>
      </c>
      <c r="J9185" t="s">
        <v>7024</v>
      </c>
      <c r="K9185" t="s">
        <v>290</v>
      </c>
      <c r="L9185" t="s">
        <v>285</v>
      </c>
      <c r="M9185" t="str">
        <f t="shared" si="687"/>
        <v>01</v>
      </c>
      <c r="N9185" t="s">
        <v>12</v>
      </c>
    </row>
    <row r="9186" spans="1:14" x14ac:dyDescent="0.25">
      <c r="A9186">
        <v>20160122</v>
      </c>
      <c r="B9186" t="str">
        <f>"061899"</f>
        <v>061899</v>
      </c>
      <c r="C9186" t="str">
        <f>"80527"</f>
        <v>80527</v>
      </c>
      <c r="D9186" t="s">
        <v>877</v>
      </c>
      <c r="E9186" s="3">
        <v>110</v>
      </c>
      <c r="F9186">
        <v>20160122</v>
      </c>
      <c r="G9186" t="s">
        <v>7285</v>
      </c>
      <c r="H9186" t="s">
        <v>7391</v>
      </c>
      <c r="I9186">
        <v>0</v>
      </c>
      <c r="J9186" t="s">
        <v>7024</v>
      </c>
      <c r="K9186" t="s">
        <v>290</v>
      </c>
      <c r="L9186" t="s">
        <v>285</v>
      </c>
      <c r="M9186" t="str">
        <f t="shared" si="687"/>
        <v>01</v>
      </c>
      <c r="N9186" t="s">
        <v>12</v>
      </c>
    </row>
    <row r="9187" spans="1:14" x14ac:dyDescent="0.25">
      <c r="A9187">
        <v>20160122</v>
      </c>
      <c r="B9187" t="str">
        <f>"061899"</f>
        <v>061899</v>
      </c>
      <c r="C9187" t="str">
        <f>"80527"</f>
        <v>80527</v>
      </c>
      <c r="D9187" t="s">
        <v>877</v>
      </c>
      <c r="E9187" s="3">
        <v>55</v>
      </c>
      <c r="F9187">
        <v>20160122</v>
      </c>
      <c r="G9187" t="s">
        <v>7285</v>
      </c>
      <c r="H9187" t="s">
        <v>7392</v>
      </c>
      <c r="I9187">
        <v>0</v>
      </c>
      <c r="J9187" t="s">
        <v>7024</v>
      </c>
      <c r="K9187" t="s">
        <v>290</v>
      </c>
      <c r="L9187" t="s">
        <v>285</v>
      </c>
      <c r="M9187" t="str">
        <f t="shared" si="687"/>
        <v>01</v>
      </c>
      <c r="N9187" t="s">
        <v>12</v>
      </c>
    </row>
    <row r="9188" spans="1:14" x14ac:dyDescent="0.25">
      <c r="A9188">
        <v>20160122</v>
      </c>
      <c r="B9188" t="str">
        <f>"061901"</f>
        <v>061901</v>
      </c>
      <c r="C9188" t="str">
        <f>"82166"</f>
        <v>82166</v>
      </c>
      <c r="D9188" t="s">
        <v>1166</v>
      </c>
      <c r="E9188" s="3">
        <v>95</v>
      </c>
      <c r="F9188">
        <v>20160122</v>
      </c>
      <c r="G9188" t="s">
        <v>7199</v>
      </c>
      <c r="H9188" t="s">
        <v>7423</v>
      </c>
      <c r="I9188">
        <v>0</v>
      </c>
      <c r="J9188" t="s">
        <v>7024</v>
      </c>
      <c r="K9188" t="s">
        <v>290</v>
      </c>
      <c r="L9188" t="s">
        <v>285</v>
      </c>
      <c r="M9188" t="str">
        <f t="shared" si="687"/>
        <v>01</v>
      </c>
      <c r="N9188" t="s">
        <v>12</v>
      </c>
    </row>
    <row r="9189" spans="1:14" x14ac:dyDescent="0.25">
      <c r="A9189">
        <v>20160122</v>
      </c>
      <c r="B9189" t="str">
        <f>"061902"</f>
        <v>061902</v>
      </c>
      <c r="C9189" t="str">
        <f>"82482"</f>
        <v>82482</v>
      </c>
      <c r="D9189" t="s">
        <v>7424</v>
      </c>
      <c r="E9189" s="3">
        <v>110</v>
      </c>
      <c r="F9189">
        <v>20160122</v>
      </c>
      <c r="G9189" t="s">
        <v>7285</v>
      </c>
      <c r="H9189" t="s">
        <v>7395</v>
      </c>
      <c r="I9189">
        <v>0</v>
      </c>
      <c r="J9189" t="s">
        <v>7024</v>
      </c>
      <c r="K9189" t="s">
        <v>290</v>
      </c>
      <c r="L9189" t="s">
        <v>285</v>
      </c>
      <c r="M9189" t="str">
        <f t="shared" si="687"/>
        <v>01</v>
      </c>
      <c r="N9189" t="s">
        <v>12</v>
      </c>
    </row>
    <row r="9190" spans="1:14" x14ac:dyDescent="0.25">
      <c r="A9190">
        <v>20160122</v>
      </c>
      <c r="B9190" t="str">
        <f>"061902"</f>
        <v>061902</v>
      </c>
      <c r="C9190" t="str">
        <f>"82482"</f>
        <v>82482</v>
      </c>
      <c r="D9190" t="s">
        <v>7424</v>
      </c>
      <c r="E9190" s="3">
        <v>55</v>
      </c>
      <c r="F9190">
        <v>20160122</v>
      </c>
      <c r="G9190" t="s">
        <v>7285</v>
      </c>
      <c r="H9190" t="s">
        <v>7392</v>
      </c>
      <c r="I9190">
        <v>0</v>
      </c>
      <c r="J9190" t="s">
        <v>7024</v>
      </c>
      <c r="K9190" t="s">
        <v>290</v>
      </c>
      <c r="L9190" t="s">
        <v>285</v>
      </c>
      <c r="M9190" t="str">
        <f t="shared" si="687"/>
        <v>01</v>
      </c>
      <c r="N9190" t="s">
        <v>12</v>
      </c>
    </row>
    <row r="9191" spans="1:14" x14ac:dyDescent="0.25">
      <c r="A9191">
        <v>20160122</v>
      </c>
      <c r="B9191" t="str">
        <f>"061905"</f>
        <v>061905</v>
      </c>
      <c r="C9191" t="str">
        <f>"82865"</f>
        <v>82865</v>
      </c>
      <c r="D9191" t="s">
        <v>1107</v>
      </c>
      <c r="E9191" s="3">
        <v>55</v>
      </c>
      <c r="F9191">
        <v>20160122</v>
      </c>
      <c r="G9191" t="s">
        <v>7285</v>
      </c>
      <c r="H9191" t="s">
        <v>7392</v>
      </c>
      <c r="I9191">
        <v>0</v>
      </c>
      <c r="J9191" t="s">
        <v>7024</v>
      </c>
      <c r="K9191" t="s">
        <v>290</v>
      </c>
      <c r="L9191" t="s">
        <v>285</v>
      </c>
      <c r="M9191" t="str">
        <f t="shared" si="687"/>
        <v>01</v>
      </c>
      <c r="N9191" t="s">
        <v>12</v>
      </c>
    </row>
    <row r="9192" spans="1:14" x14ac:dyDescent="0.25">
      <c r="A9192">
        <v>20160122</v>
      </c>
      <c r="B9192" t="str">
        <f>"061909"</f>
        <v>061909</v>
      </c>
      <c r="C9192" t="str">
        <f>"84557"</f>
        <v>84557</v>
      </c>
      <c r="D9192" t="s">
        <v>693</v>
      </c>
      <c r="E9192" s="3">
        <v>55</v>
      </c>
      <c r="F9192">
        <v>20160122</v>
      </c>
      <c r="G9192" t="s">
        <v>7285</v>
      </c>
      <c r="H9192" t="s">
        <v>7392</v>
      </c>
      <c r="I9192">
        <v>0</v>
      </c>
      <c r="J9192" t="s">
        <v>7024</v>
      </c>
      <c r="K9192" t="s">
        <v>290</v>
      </c>
      <c r="L9192" t="s">
        <v>285</v>
      </c>
      <c r="M9192" t="str">
        <f t="shared" si="687"/>
        <v>01</v>
      </c>
      <c r="N9192" t="s">
        <v>12</v>
      </c>
    </row>
    <row r="9193" spans="1:14" x14ac:dyDescent="0.25">
      <c r="A9193">
        <v>20160122</v>
      </c>
      <c r="B9193" t="str">
        <f>"061910"</f>
        <v>061910</v>
      </c>
      <c r="C9193" t="str">
        <f>"84559"</f>
        <v>84559</v>
      </c>
      <c r="D9193" t="s">
        <v>524</v>
      </c>
      <c r="E9193" s="3">
        <v>110</v>
      </c>
      <c r="F9193">
        <v>20160122</v>
      </c>
      <c r="G9193" t="s">
        <v>7285</v>
      </c>
      <c r="H9193" t="s">
        <v>7391</v>
      </c>
      <c r="I9193">
        <v>0</v>
      </c>
      <c r="J9193" t="s">
        <v>7024</v>
      </c>
      <c r="K9193" t="s">
        <v>290</v>
      </c>
      <c r="L9193" t="s">
        <v>285</v>
      </c>
      <c r="M9193" t="str">
        <f t="shared" si="687"/>
        <v>01</v>
      </c>
      <c r="N9193" t="s">
        <v>12</v>
      </c>
    </row>
    <row r="9194" spans="1:14" x14ac:dyDescent="0.25">
      <c r="A9194">
        <v>20160129</v>
      </c>
      <c r="B9194" t="str">
        <f>"061913"</f>
        <v>061913</v>
      </c>
      <c r="C9194" t="str">
        <f>"01150"</f>
        <v>01150</v>
      </c>
      <c r="D9194" t="s">
        <v>7225</v>
      </c>
      <c r="E9194" s="3">
        <v>440</v>
      </c>
      <c r="F9194">
        <v>20160127</v>
      </c>
      <c r="G9194" t="s">
        <v>7147</v>
      </c>
      <c r="H9194" t="s">
        <v>7425</v>
      </c>
      <c r="I9194">
        <v>0</v>
      </c>
      <c r="J9194" t="s">
        <v>7024</v>
      </c>
      <c r="K9194" t="s">
        <v>290</v>
      </c>
      <c r="L9194" t="s">
        <v>285</v>
      </c>
      <c r="M9194" t="str">
        <f t="shared" si="687"/>
        <v>01</v>
      </c>
      <c r="N9194" t="s">
        <v>12</v>
      </c>
    </row>
    <row r="9195" spans="1:14" x14ac:dyDescent="0.25">
      <c r="A9195">
        <v>20160129</v>
      </c>
      <c r="B9195" t="str">
        <f>"061927"</f>
        <v>061927</v>
      </c>
      <c r="C9195" t="str">
        <f>"13855"</f>
        <v>13855</v>
      </c>
      <c r="D9195" t="s">
        <v>1347</v>
      </c>
      <c r="E9195" s="3">
        <v>27.16</v>
      </c>
      <c r="F9195">
        <v>20160128</v>
      </c>
      <c r="G9195" t="s">
        <v>7170</v>
      </c>
      <c r="H9195" t="s">
        <v>706</v>
      </c>
      <c r="I9195">
        <v>0</v>
      </c>
      <c r="J9195" t="s">
        <v>7024</v>
      </c>
      <c r="K9195" t="s">
        <v>290</v>
      </c>
      <c r="L9195" t="s">
        <v>285</v>
      </c>
      <c r="M9195" t="str">
        <f t="shared" si="687"/>
        <v>01</v>
      </c>
      <c r="N9195" t="s">
        <v>12</v>
      </c>
    </row>
    <row r="9196" spans="1:14" x14ac:dyDescent="0.25">
      <c r="A9196">
        <v>20160129</v>
      </c>
      <c r="B9196" t="str">
        <f>"061946"</f>
        <v>061946</v>
      </c>
      <c r="C9196" t="str">
        <f>"31345"</f>
        <v>31345</v>
      </c>
      <c r="D9196" t="s">
        <v>426</v>
      </c>
      <c r="E9196" s="3">
        <v>227.33</v>
      </c>
      <c r="F9196">
        <v>20160127</v>
      </c>
      <c r="G9196" t="s">
        <v>7062</v>
      </c>
      <c r="H9196" t="s">
        <v>7426</v>
      </c>
      <c r="I9196">
        <v>0</v>
      </c>
      <c r="J9196" t="s">
        <v>7024</v>
      </c>
      <c r="K9196" t="s">
        <v>290</v>
      </c>
      <c r="L9196" t="s">
        <v>285</v>
      </c>
      <c r="M9196" t="str">
        <f t="shared" si="687"/>
        <v>01</v>
      </c>
      <c r="N9196" t="s">
        <v>12</v>
      </c>
    </row>
    <row r="9197" spans="1:14" x14ac:dyDescent="0.25">
      <c r="A9197">
        <v>20160129</v>
      </c>
      <c r="B9197" t="str">
        <f>"061972"</f>
        <v>061972</v>
      </c>
      <c r="C9197" t="str">
        <f>"49748"</f>
        <v>49748</v>
      </c>
      <c r="D9197" t="s">
        <v>1885</v>
      </c>
      <c r="E9197" s="3">
        <v>122.11</v>
      </c>
      <c r="F9197">
        <v>20160128</v>
      </c>
      <c r="G9197" t="s">
        <v>7110</v>
      </c>
      <c r="H9197" t="s">
        <v>7427</v>
      </c>
      <c r="I9197">
        <v>0</v>
      </c>
      <c r="J9197" t="s">
        <v>7024</v>
      </c>
      <c r="K9197" t="s">
        <v>290</v>
      </c>
      <c r="L9197" t="s">
        <v>285</v>
      </c>
      <c r="M9197" t="str">
        <f t="shared" si="687"/>
        <v>01</v>
      </c>
      <c r="N9197" t="s">
        <v>12</v>
      </c>
    </row>
    <row r="9198" spans="1:14" x14ac:dyDescent="0.25">
      <c r="A9198">
        <v>20160129</v>
      </c>
      <c r="B9198" t="str">
        <f>"061983"</f>
        <v>061983</v>
      </c>
      <c r="C9198" t="str">
        <f>"54114"</f>
        <v>54114</v>
      </c>
      <c r="D9198" t="s">
        <v>7428</v>
      </c>
      <c r="E9198" s="3">
        <v>1063.73</v>
      </c>
      <c r="F9198">
        <v>20160128</v>
      </c>
      <c r="G9198" t="s">
        <v>7364</v>
      </c>
      <c r="H9198" t="s">
        <v>7429</v>
      </c>
      <c r="I9198">
        <v>0</v>
      </c>
      <c r="J9198" t="s">
        <v>7024</v>
      </c>
      <c r="K9198" t="s">
        <v>290</v>
      </c>
      <c r="L9198" t="s">
        <v>285</v>
      </c>
      <c r="M9198" t="str">
        <f t="shared" si="687"/>
        <v>01</v>
      </c>
      <c r="N9198" t="s">
        <v>12</v>
      </c>
    </row>
    <row r="9199" spans="1:14" x14ac:dyDescent="0.25">
      <c r="A9199">
        <v>20160129</v>
      </c>
      <c r="B9199" t="str">
        <f>"061989"</f>
        <v>061989</v>
      </c>
      <c r="C9199" t="str">
        <f>"56564"</f>
        <v>56564</v>
      </c>
      <c r="D9199" t="s">
        <v>1578</v>
      </c>
      <c r="E9199" s="3">
        <v>145.71</v>
      </c>
      <c r="F9199">
        <v>20160128</v>
      </c>
      <c r="G9199" t="s">
        <v>7026</v>
      </c>
      <c r="H9199" t="s">
        <v>2169</v>
      </c>
      <c r="I9199">
        <v>0</v>
      </c>
      <c r="J9199" t="s">
        <v>7024</v>
      </c>
      <c r="K9199" t="s">
        <v>1643</v>
      </c>
      <c r="L9199" t="s">
        <v>285</v>
      </c>
      <c r="M9199" t="str">
        <f t="shared" si="687"/>
        <v>01</v>
      </c>
      <c r="N9199" t="s">
        <v>12</v>
      </c>
    </row>
    <row r="9200" spans="1:14" x14ac:dyDescent="0.25">
      <c r="A9200">
        <v>20160129</v>
      </c>
      <c r="B9200" t="str">
        <f>"061989"</f>
        <v>061989</v>
      </c>
      <c r="C9200" t="str">
        <f>"56564"</f>
        <v>56564</v>
      </c>
      <c r="D9200" t="s">
        <v>1578</v>
      </c>
      <c r="E9200" s="3">
        <v>103.74</v>
      </c>
      <c r="F9200">
        <v>20160128</v>
      </c>
      <c r="G9200" t="s">
        <v>7026</v>
      </c>
      <c r="H9200" t="s">
        <v>2169</v>
      </c>
      <c r="I9200">
        <v>0</v>
      </c>
      <c r="J9200" t="s">
        <v>7024</v>
      </c>
      <c r="K9200" t="s">
        <v>1643</v>
      </c>
      <c r="L9200" t="s">
        <v>285</v>
      </c>
      <c r="M9200" t="str">
        <f t="shared" si="687"/>
        <v>01</v>
      </c>
      <c r="N9200" t="s">
        <v>12</v>
      </c>
    </row>
    <row r="9201" spans="1:14" x14ac:dyDescent="0.25">
      <c r="A9201">
        <v>20160129</v>
      </c>
      <c r="B9201" t="str">
        <f>"061989"</f>
        <v>061989</v>
      </c>
      <c r="C9201" t="str">
        <f>"56564"</f>
        <v>56564</v>
      </c>
      <c r="D9201" t="s">
        <v>1578</v>
      </c>
      <c r="E9201" s="3">
        <v>840.27</v>
      </c>
      <c r="F9201">
        <v>20160128</v>
      </c>
      <c r="G9201" t="s">
        <v>7094</v>
      </c>
      <c r="H9201" t="s">
        <v>2169</v>
      </c>
      <c r="I9201">
        <v>0</v>
      </c>
      <c r="J9201" t="s">
        <v>7024</v>
      </c>
      <c r="K9201" t="s">
        <v>1643</v>
      </c>
      <c r="L9201" t="s">
        <v>285</v>
      </c>
      <c r="M9201" t="str">
        <f t="shared" si="687"/>
        <v>01</v>
      </c>
      <c r="N9201" t="s">
        <v>12</v>
      </c>
    </row>
    <row r="9202" spans="1:14" x14ac:dyDescent="0.25">
      <c r="A9202">
        <v>20160129</v>
      </c>
      <c r="B9202" t="str">
        <f>"061996"</f>
        <v>061996</v>
      </c>
      <c r="C9202" t="str">
        <f>"60258"</f>
        <v>60258</v>
      </c>
      <c r="D9202" t="s">
        <v>7357</v>
      </c>
      <c r="E9202" s="3">
        <v>3682.5</v>
      </c>
      <c r="F9202">
        <v>20160128</v>
      </c>
      <c r="G9202" t="s">
        <v>7140</v>
      </c>
      <c r="H9202" t="s">
        <v>7047</v>
      </c>
      <c r="I9202">
        <v>0</v>
      </c>
      <c r="J9202" t="s">
        <v>7024</v>
      </c>
      <c r="K9202" t="s">
        <v>290</v>
      </c>
      <c r="L9202" t="s">
        <v>285</v>
      </c>
      <c r="M9202" t="str">
        <f t="shared" si="687"/>
        <v>01</v>
      </c>
      <c r="N9202" t="s">
        <v>12</v>
      </c>
    </row>
    <row r="9203" spans="1:14" x14ac:dyDescent="0.25">
      <c r="A9203">
        <v>20160129</v>
      </c>
      <c r="B9203" t="str">
        <f>"062011"</f>
        <v>062011</v>
      </c>
      <c r="C9203" t="str">
        <f>"65201"</f>
        <v>65201</v>
      </c>
      <c r="D9203" t="s">
        <v>322</v>
      </c>
      <c r="E9203" s="3">
        <v>35</v>
      </c>
      <c r="F9203">
        <v>20160128</v>
      </c>
      <c r="G9203" t="s">
        <v>7119</v>
      </c>
      <c r="H9203" t="s">
        <v>7430</v>
      </c>
      <c r="I9203">
        <v>0</v>
      </c>
      <c r="J9203" t="s">
        <v>7024</v>
      </c>
      <c r="K9203" t="s">
        <v>7068</v>
      </c>
      <c r="L9203" t="s">
        <v>285</v>
      </c>
      <c r="M9203" t="str">
        <f t="shared" si="687"/>
        <v>01</v>
      </c>
      <c r="N9203" t="s">
        <v>12</v>
      </c>
    </row>
    <row r="9204" spans="1:14" x14ac:dyDescent="0.25">
      <c r="A9204">
        <v>20160129</v>
      </c>
      <c r="B9204" t="str">
        <f>"062014"</f>
        <v>062014</v>
      </c>
      <c r="C9204" t="str">
        <f>"67624"</f>
        <v>67624</v>
      </c>
      <c r="D9204" t="s">
        <v>7040</v>
      </c>
      <c r="E9204" s="3">
        <v>9530</v>
      </c>
      <c r="F9204">
        <v>20160128</v>
      </c>
      <c r="G9204" t="s">
        <v>7041</v>
      </c>
      <c r="H9204" t="s">
        <v>7042</v>
      </c>
      <c r="I9204">
        <v>0</v>
      </c>
      <c r="J9204" t="s">
        <v>7024</v>
      </c>
      <c r="K9204" t="s">
        <v>290</v>
      </c>
      <c r="L9204" t="s">
        <v>285</v>
      </c>
      <c r="M9204" t="str">
        <f t="shared" si="687"/>
        <v>01</v>
      </c>
      <c r="N9204" t="s">
        <v>12</v>
      </c>
    </row>
    <row r="9205" spans="1:14" x14ac:dyDescent="0.25">
      <c r="A9205">
        <v>20160129</v>
      </c>
      <c r="B9205" t="str">
        <f>"062023"</f>
        <v>062023</v>
      </c>
      <c r="C9205" t="str">
        <f>"80755"</f>
        <v>80755</v>
      </c>
      <c r="D9205" t="s">
        <v>723</v>
      </c>
      <c r="E9205" s="3">
        <v>1495.65</v>
      </c>
      <c r="F9205">
        <v>20160128</v>
      </c>
      <c r="G9205" t="s">
        <v>7290</v>
      </c>
      <c r="H9205" t="s">
        <v>7431</v>
      </c>
      <c r="I9205">
        <v>0</v>
      </c>
      <c r="J9205" t="s">
        <v>7024</v>
      </c>
      <c r="K9205" t="s">
        <v>95</v>
      </c>
      <c r="L9205" t="s">
        <v>285</v>
      </c>
      <c r="M9205" t="str">
        <f t="shared" si="687"/>
        <v>01</v>
      </c>
      <c r="N9205" t="s">
        <v>12</v>
      </c>
    </row>
    <row r="9206" spans="1:14" x14ac:dyDescent="0.25">
      <c r="A9206">
        <v>20160129</v>
      </c>
      <c r="B9206" t="str">
        <f>"062023"</f>
        <v>062023</v>
      </c>
      <c r="C9206" t="str">
        <f>"80755"</f>
        <v>80755</v>
      </c>
      <c r="D9206" t="s">
        <v>723</v>
      </c>
      <c r="E9206" s="3">
        <v>361.5</v>
      </c>
      <c r="F9206">
        <v>20160128</v>
      </c>
      <c r="G9206" t="s">
        <v>7147</v>
      </c>
      <c r="H9206" t="s">
        <v>7432</v>
      </c>
      <c r="I9206">
        <v>0</v>
      </c>
      <c r="J9206" t="s">
        <v>7024</v>
      </c>
      <c r="K9206" t="s">
        <v>290</v>
      </c>
      <c r="L9206" t="s">
        <v>285</v>
      </c>
      <c r="M9206" t="str">
        <f t="shared" si="687"/>
        <v>01</v>
      </c>
      <c r="N9206" t="s">
        <v>12</v>
      </c>
    </row>
    <row r="9207" spans="1:14" x14ac:dyDescent="0.25">
      <c r="A9207">
        <v>20160129</v>
      </c>
      <c r="B9207" t="str">
        <f>"062026"</f>
        <v>062026</v>
      </c>
      <c r="C9207" t="str">
        <f>"83022"</f>
        <v>83022</v>
      </c>
      <c r="D9207" t="s">
        <v>394</v>
      </c>
      <c r="E9207" s="3">
        <v>39.590000000000003</v>
      </c>
      <c r="F9207">
        <v>20160128</v>
      </c>
      <c r="G9207" t="s">
        <v>7433</v>
      </c>
      <c r="H9207" t="s">
        <v>2779</v>
      </c>
      <c r="I9207">
        <v>0</v>
      </c>
      <c r="J9207" t="s">
        <v>7024</v>
      </c>
      <c r="K9207" t="s">
        <v>33</v>
      </c>
      <c r="L9207" t="s">
        <v>285</v>
      </c>
      <c r="M9207" t="str">
        <f t="shared" si="687"/>
        <v>01</v>
      </c>
      <c r="N9207" t="s">
        <v>12</v>
      </c>
    </row>
    <row r="9208" spans="1:14" x14ac:dyDescent="0.25">
      <c r="A9208">
        <v>20160129</v>
      </c>
      <c r="B9208" t="str">
        <f>"062026"</f>
        <v>062026</v>
      </c>
      <c r="C9208" t="str">
        <f>"83022"</f>
        <v>83022</v>
      </c>
      <c r="D9208" t="s">
        <v>394</v>
      </c>
      <c r="E9208" s="3">
        <v>206.27</v>
      </c>
      <c r="F9208">
        <v>20160128</v>
      </c>
      <c r="G9208" t="s">
        <v>7290</v>
      </c>
      <c r="H9208" t="s">
        <v>7396</v>
      </c>
      <c r="I9208">
        <v>0</v>
      </c>
      <c r="J9208" t="s">
        <v>7024</v>
      </c>
      <c r="K9208" t="s">
        <v>95</v>
      </c>
      <c r="L9208" t="s">
        <v>285</v>
      </c>
      <c r="M9208" t="str">
        <f t="shared" si="687"/>
        <v>01</v>
      </c>
      <c r="N9208" t="s">
        <v>12</v>
      </c>
    </row>
    <row r="9209" spans="1:14" x14ac:dyDescent="0.25">
      <c r="A9209">
        <v>20160129</v>
      </c>
      <c r="B9209" t="str">
        <f>"062026"</f>
        <v>062026</v>
      </c>
      <c r="C9209" t="str">
        <f>"83022"</f>
        <v>83022</v>
      </c>
      <c r="D9209" t="s">
        <v>394</v>
      </c>
      <c r="E9209" s="3">
        <v>24.87</v>
      </c>
      <c r="F9209">
        <v>20160128</v>
      </c>
      <c r="G9209" t="s">
        <v>7082</v>
      </c>
      <c r="H9209" t="s">
        <v>595</v>
      </c>
      <c r="I9209">
        <v>0</v>
      </c>
      <c r="J9209" t="s">
        <v>7024</v>
      </c>
      <c r="K9209" t="s">
        <v>95</v>
      </c>
      <c r="L9209" t="s">
        <v>285</v>
      </c>
      <c r="M9209" t="str">
        <f t="shared" si="687"/>
        <v>01</v>
      </c>
      <c r="N9209" t="s">
        <v>12</v>
      </c>
    </row>
    <row r="9210" spans="1:14" x14ac:dyDescent="0.25">
      <c r="A9210">
        <v>20160129</v>
      </c>
      <c r="B9210" t="str">
        <f>"062026"</f>
        <v>062026</v>
      </c>
      <c r="C9210" t="str">
        <f>"83022"</f>
        <v>83022</v>
      </c>
      <c r="D9210" t="s">
        <v>394</v>
      </c>
      <c r="E9210" s="3">
        <v>199</v>
      </c>
      <c r="F9210">
        <v>20160128</v>
      </c>
      <c r="G9210" t="s">
        <v>7026</v>
      </c>
      <c r="H9210" t="s">
        <v>7434</v>
      </c>
      <c r="I9210">
        <v>0</v>
      </c>
      <c r="J9210" t="s">
        <v>7024</v>
      </c>
      <c r="K9210" t="s">
        <v>1643</v>
      </c>
      <c r="L9210" t="s">
        <v>285</v>
      </c>
      <c r="M9210" t="str">
        <f t="shared" si="687"/>
        <v>01</v>
      </c>
      <c r="N9210" t="s">
        <v>12</v>
      </c>
    </row>
    <row r="9211" spans="1:14" x14ac:dyDescent="0.25">
      <c r="A9211">
        <v>20160129</v>
      </c>
      <c r="B9211" t="str">
        <f>"062026"</f>
        <v>062026</v>
      </c>
      <c r="C9211" t="str">
        <f>"83022"</f>
        <v>83022</v>
      </c>
      <c r="D9211" t="s">
        <v>394</v>
      </c>
      <c r="E9211" s="3">
        <v>44.37</v>
      </c>
      <c r="F9211">
        <v>20160128</v>
      </c>
      <c r="G9211" t="s">
        <v>7083</v>
      </c>
      <c r="H9211" t="s">
        <v>595</v>
      </c>
      <c r="I9211">
        <v>0</v>
      </c>
      <c r="J9211" t="s">
        <v>7024</v>
      </c>
      <c r="K9211" t="s">
        <v>290</v>
      </c>
      <c r="L9211" t="s">
        <v>285</v>
      </c>
      <c r="M9211" t="str">
        <f t="shared" si="687"/>
        <v>01</v>
      </c>
      <c r="N9211" t="s">
        <v>12</v>
      </c>
    </row>
    <row r="9212" spans="1:14" x14ac:dyDescent="0.25">
      <c r="A9212">
        <v>20160205</v>
      </c>
      <c r="B9212" t="str">
        <f>"062183"</f>
        <v>062183</v>
      </c>
      <c r="C9212" t="str">
        <f>"09170"</f>
        <v>09170</v>
      </c>
      <c r="D9212" t="s">
        <v>596</v>
      </c>
      <c r="E9212" s="3">
        <v>1610</v>
      </c>
      <c r="F9212">
        <v>20160203</v>
      </c>
      <c r="G9212" t="s">
        <v>7126</v>
      </c>
      <c r="H9212" t="s">
        <v>5105</v>
      </c>
      <c r="I9212">
        <v>0</v>
      </c>
      <c r="J9212" t="s">
        <v>7024</v>
      </c>
      <c r="K9212" t="s">
        <v>290</v>
      </c>
      <c r="L9212" t="s">
        <v>285</v>
      </c>
      <c r="M9212" t="str">
        <f t="shared" ref="M9212:M9243" si="688">"02"</f>
        <v>02</v>
      </c>
      <c r="N9212" t="s">
        <v>12</v>
      </c>
    </row>
    <row r="9213" spans="1:14" x14ac:dyDescent="0.25">
      <c r="A9213">
        <v>20160205</v>
      </c>
      <c r="B9213" t="str">
        <f>"062185"</f>
        <v>062185</v>
      </c>
      <c r="C9213" t="str">
        <f>"11759"</f>
        <v>11759</v>
      </c>
      <c r="D9213" t="s">
        <v>2089</v>
      </c>
      <c r="E9213" s="3">
        <v>1072.72</v>
      </c>
      <c r="F9213">
        <v>20160203</v>
      </c>
      <c r="G9213" t="s">
        <v>7192</v>
      </c>
      <c r="H9213" t="s">
        <v>2091</v>
      </c>
      <c r="I9213">
        <v>0</v>
      </c>
      <c r="J9213" t="s">
        <v>7024</v>
      </c>
      <c r="K9213" t="s">
        <v>33</v>
      </c>
      <c r="L9213" t="s">
        <v>285</v>
      </c>
      <c r="M9213" t="str">
        <f t="shared" si="688"/>
        <v>02</v>
      </c>
      <c r="N9213" t="s">
        <v>12</v>
      </c>
    </row>
    <row r="9214" spans="1:14" x14ac:dyDescent="0.25">
      <c r="A9214">
        <v>20160205</v>
      </c>
      <c r="B9214" t="str">
        <f>"062190"</f>
        <v>062190</v>
      </c>
      <c r="C9214" t="str">
        <f>"51346"</f>
        <v>51346</v>
      </c>
      <c r="D9214" t="s">
        <v>379</v>
      </c>
      <c r="E9214" s="3">
        <v>71.5</v>
      </c>
      <c r="F9214">
        <v>20160203</v>
      </c>
      <c r="G9214" t="s">
        <v>7435</v>
      </c>
      <c r="H9214" t="s">
        <v>7436</v>
      </c>
      <c r="I9214">
        <v>0</v>
      </c>
      <c r="J9214" t="s">
        <v>7024</v>
      </c>
      <c r="K9214" t="s">
        <v>33</v>
      </c>
      <c r="L9214" t="s">
        <v>285</v>
      </c>
      <c r="M9214" t="str">
        <f t="shared" si="688"/>
        <v>02</v>
      </c>
      <c r="N9214" t="s">
        <v>12</v>
      </c>
    </row>
    <row r="9215" spans="1:14" x14ac:dyDescent="0.25">
      <c r="A9215">
        <v>20160205</v>
      </c>
      <c r="B9215" t="str">
        <f>"062190"</f>
        <v>062190</v>
      </c>
      <c r="C9215" t="str">
        <f>"51346"</f>
        <v>51346</v>
      </c>
      <c r="D9215" t="s">
        <v>379</v>
      </c>
      <c r="E9215" s="3">
        <v>156</v>
      </c>
      <c r="F9215">
        <v>20160203</v>
      </c>
      <c r="G9215" t="s">
        <v>7082</v>
      </c>
      <c r="H9215" t="s">
        <v>7437</v>
      </c>
      <c r="I9215">
        <v>0</v>
      </c>
      <c r="J9215" t="s">
        <v>7024</v>
      </c>
      <c r="K9215" t="s">
        <v>95</v>
      </c>
      <c r="L9215" t="s">
        <v>285</v>
      </c>
      <c r="M9215" t="str">
        <f t="shared" si="688"/>
        <v>02</v>
      </c>
      <c r="N9215" t="s">
        <v>12</v>
      </c>
    </row>
    <row r="9216" spans="1:14" x14ac:dyDescent="0.25">
      <c r="A9216">
        <v>20160205</v>
      </c>
      <c r="B9216" t="str">
        <f>"062190"</f>
        <v>062190</v>
      </c>
      <c r="C9216" t="str">
        <f>"51346"</f>
        <v>51346</v>
      </c>
      <c r="D9216" t="s">
        <v>379</v>
      </c>
      <c r="E9216" s="3">
        <v>162</v>
      </c>
      <c r="F9216">
        <v>20160203</v>
      </c>
      <c r="G9216" t="s">
        <v>7082</v>
      </c>
      <c r="H9216" t="s">
        <v>7438</v>
      </c>
      <c r="I9216">
        <v>0</v>
      </c>
      <c r="J9216" t="s">
        <v>7024</v>
      </c>
      <c r="K9216" t="s">
        <v>95</v>
      </c>
      <c r="L9216" t="s">
        <v>285</v>
      </c>
      <c r="M9216" t="str">
        <f t="shared" si="688"/>
        <v>02</v>
      </c>
      <c r="N9216" t="s">
        <v>12</v>
      </c>
    </row>
    <row r="9217" spans="1:14" x14ac:dyDescent="0.25">
      <c r="A9217">
        <v>20160205</v>
      </c>
      <c r="B9217" t="str">
        <f>"062190"</f>
        <v>062190</v>
      </c>
      <c r="C9217" t="str">
        <f>"51346"</f>
        <v>51346</v>
      </c>
      <c r="D9217" t="s">
        <v>379</v>
      </c>
      <c r="E9217" s="3">
        <v>162</v>
      </c>
      <c r="F9217">
        <v>20160203</v>
      </c>
      <c r="G9217" t="s">
        <v>7082</v>
      </c>
      <c r="H9217" t="s">
        <v>7439</v>
      </c>
      <c r="I9217">
        <v>0</v>
      </c>
      <c r="J9217" t="s">
        <v>7024</v>
      </c>
      <c r="K9217" t="s">
        <v>95</v>
      </c>
      <c r="L9217" t="s">
        <v>285</v>
      </c>
      <c r="M9217" t="str">
        <f t="shared" si="688"/>
        <v>02</v>
      </c>
      <c r="N9217" t="s">
        <v>12</v>
      </c>
    </row>
    <row r="9218" spans="1:14" x14ac:dyDescent="0.25">
      <c r="A9218">
        <v>20160205</v>
      </c>
      <c r="B9218" t="str">
        <f>"062190"</f>
        <v>062190</v>
      </c>
      <c r="C9218" t="str">
        <f>"51346"</f>
        <v>51346</v>
      </c>
      <c r="D9218" t="s">
        <v>379</v>
      </c>
      <c r="E9218" s="3">
        <v>180</v>
      </c>
      <c r="F9218">
        <v>20160203</v>
      </c>
      <c r="G9218" t="s">
        <v>7026</v>
      </c>
      <c r="H9218" t="s">
        <v>7440</v>
      </c>
      <c r="I9218">
        <v>0</v>
      </c>
      <c r="J9218" t="s">
        <v>7024</v>
      </c>
      <c r="K9218" t="s">
        <v>1643</v>
      </c>
      <c r="L9218" t="s">
        <v>285</v>
      </c>
      <c r="M9218" t="str">
        <f t="shared" si="688"/>
        <v>02</v>
      </c>
      <c r="N9218" t="s">
        <v>12</v>
      </c>
    </row>
    <row r="9219" spans="1:14" x14ac:dyDescent="0.25">
      <c r="A9219">
        <v>20160205</v>
      </c>
      <c r="B9219" t="str">
        <f>"062193"</f>
        <v>062193</v>
      </c>
      <c r="C9219" t="str">
        <f>"21446"</f>
        <v>21446</v>
      </c>
      <c r="D9219" t="s">
        <v>1280</v>
      </c>
      <c r="E9219" s="3">
        <v>161.12</v>
      </c>
      <c r="F9219">
        <v>20160203</v>
      </c>
      <c r="G9219" t="s">
        <v>7023</v>
      </c>
      <c r="H9219" t="s">
        <v>958</v>
      </c>
      <c r="I9219">
        <v>0</v>
      </c>
      <c r="J9219" t="s">
        <v>7024</v>
      </c>
      <c r="K9219" t="s">
        <v>290</v>
      </c>
      <c r="L9219" t="s">
        <v>285</v>
      </c>
      <c r="M9219" t="str">
        <f t="shared" si="688"/>
        <v>02</v>
      </c>
      <c r="N9219" t="s">
        <v>12</v>
      </c>
    </row>
    <row r="9220" spans="1:14" x14ac:dyDescent="0.25">
      <c r="A9220">
        <v>20160205</v>
      </c>
      <c r="B9220" t="str">
        <f>"062193"</f>
        <v>062193</v>
      </c>
      <c r="C9220" t="str">
        <f>"21446"</f>
        <v>21446</v>
      </c>
      <c r="D9220" t="s">
        <v>1280</v>
      </c>
      <c r="E9220" s="3">
        <v>144.56</v>
      </c>
      <c r="F9220">
        <v>20160203</v>
      </c>
      <c r="G9220" t="s">
        <v>7023</v>
      </c>
      <c r="H9220" t="s">
        <v>958</v>
      </c>
      <c r="I9220">
        <v>0</v>
      </c>
      <c r="J9220" t="s">
        <v>7024</v>
      </c>
      <c r="K9220" t="s">
        <v>290</v>
      </c>
      <c r="L9220" t="s">
        <v>285</v>
      </c>
      <c r="M9220" t="str">
        <f t="shared" si="688"/>
        <v>02</v>
      </c>
      <c r="N9220" t="s">
        <v>12</v>
      </c>
    </row>
    <row r="9221" spans="1:14" x14ac:dyDescent="0.25">
      <c r="A9221">
        <v>20160205</v>
      </c>
      <c r="B9221" t="str">
        <f>"062194"</f>
        <v>062194</v>
      </c>
      <c r="C9221" t="str">
        <f>"22303"</f>
        <v>22303</v>
      </c>
      <c r="D9221" t="s">
        <v>7441</v>
      </c>
      <c r="E9221" s="3">
        <v>300</v>
      </c>
      <c r="F9221">
        <v>20160203</v>
      </c>
      <c r="G9221" t="s">
        <v>7292</v>
      </c>
      <c r="H9221" t="s">
        <v>7442</v>
      </c>
      <c r="I9221">
        <v>0</v>
      </c>
      <c r="J9221" t="s">
        <v>7024</v>
      </c>
      <c r="K9221" t="s">
        <v>290</v>
      </c>
      <c r="L9221" t="s">
        <v>285</v>
      </c>
      <c r="M9221" t="str">
        <f t="shared" si="688"/>
        <v>02</v>
      </c>
      <c r="N9221" t="s">
        <v>12</v>
      </c>
    </row>
    <row r="9222" spans="1:14" x14ac:dyDescent="0.25">
      <c r="A9222">
        <v>20160205</v>
      </c>
      <c r="B9222" t="str">
        <f>"062210"</f>
        <v>062210</v>
      </c>
      <c r="C9222" t="str">
        <f>"30947"</f>
        <v>30947</v>
      </c>
      <c r="D9222" t="s">
        <v>950</v>
      </c>
      <c r="E9222" s="3">
        <v>270</v>
      </c>
      <c r="F9222">
        <v>20160204</v>
      </c>
      <c r="G9222" t="s">
        <v>7212</v>
      </c>
      <c r="H9222" t="s">
        <v>951</v>
      </c>
      <c r="I9222">
        <v>0</v>
      </c>
      <c r="J9222" t="s">
        <v>7024</v>
      </c>
      <c r="K9222" t="s">
        <v>290</v>
      </c>
      <c r="L9222" t="s">
        <v>285</v>
      </c>
      <c r="M9222" t="str">
        <f t="shared" si="688"/>
        <v>02</v>
      </c>
      <c r="N9222" t="s">
        <v>12</v>
      </c>
    </row>
    <row r="9223" spans="1:14" x14ac:dyDescent="0.25">
      <c r="A9223">
        <v>20160205</v>
      </c>
      <c r="B9223" t="str">
        <f>"062210"</f>
        <v>062210</v>
      </c>
      <c r="C9223" t="str">
        <f>"30947"</f>
        <v>30947</v>
      </c>
      <c r="D9223" t="s">
        <v>950</v>
      </c>
      <c r="E9223" s="3">
        <v>1251</v>
      </c>
      <c r="F9223">
        <v>20160204</v>
      </c>
      <c r="G9223" t="s">
        <v>7212</v>
      </c>
      <c r="H9223" t="s">
        <v>952</v>
      </c>
      <c r="I9223">
        <v>0</v>
      </c>
      <c r="J9223" t="s">
        <v>7024</v>
      </c>
      <c r="K9223" t="s">
        <v>290</v>
      </c>
      <c r="L9223" t="s">
        <v>285</v>
      </c>
      <c r="M9223" t="str">
        <f t="shared" si="688"/>
        <v>02</v>
      </c>
      <c r="N9223" t="s">
        <v>12</v>
      </c>
    </row>
    <row r="9224" spans="1:14" x14ac:dyDescent="0.25">
      <c r="A9224">
        <v>20160205</v>
      </c>
      <c r="B9224" t="str">
        <f>"062210"</f>
        <v>062210</v>
      </c>
      <c r="C9224" t="str">
        <f>"30947"</f>
        <v>30947</v>
      </c>
      <c r="D9224" t="s">
        <v>950</v>
      </c>
      <c r="E9224" s="3">
        <v>180</v>
      </c>
      <c r="F9224">
        <v>20160204</v>
      </c>
      <c r="G9224" t="s">
        <v>7284</v>
      </c>
      <c r="H9224" t="s">
        <v>951</v>
      </c>
      <c r="I9224">
        <v>0</v>
      </c>
      <c r="J9224" t="s">
        <v>7024</v>
      </c>
      <c r="K9224" t="s">
        <v>290</v>
      </c>
      <c r="L9224" t="s">
        <v>285</v>
      </c>
      <c r="M9224" t="str">
        <f t="shared" si="688"/>
        <v>02</v>
      </c>
      <c r="N9224" t="s">
        <v>12</v>
      </c>
    </row>
    <row r="9225" spans="1:14" x14ac:dyDescent="0.25">
      <c r="A9225">
        <v>20160205</v>
      </c>
      <c r="B9225" t="str">
        <f>"062220"</f>
        <v>062220</v>
      </c>
      <c r="C9225" t="str">
        <f>"47163"</f>
        <v>47163</v>
      </c>
      <c r="D9225" t="s">
        <v>5106</v>
      </c>
      <c r="E9225" s="3">
        <v>113.85</v>
      </c>
      <c r="F9225">
        <v>20160204</v>
      </c>
      <c r="G9225" t="s">
        <v>7443</v>
      </c>
      <c r="H9225" t="s">
        <v>7444</v>
      </c>
      <c r="I9225">
        <v>0</v>
      </c>
      <c r="J9225" t="s">
        <v>7024</v>
      </c>
      <c r="K9225" t="s">
        <v>2724</v>
      </c>
      <c r="L9225" t="s">
        <v>285</v>
      </c>
      <c r="M9225" t="str">
        <f t="shared" si="688"/>
        <v>02</v>
      </c>
      <c r="N9225" t="s">
        <v>12</v>
      </c>
    </row>
    <row r="9226" spans="1:14" x14ac:dyDescent="0.25">
      <c r="A9226">
        <v>20160205</v>
      </c>
      <c r="B9226" t="str">
        <f>"062220"</f>
        <v>062220</v>
      </c>
      <c r="C9226" t="str">
        <f>"47163"</f>
        <v>47163</v>
      </c>
      <c r="D9226" t="s">
        <v>5106</v>
      </c>
      <c r="E9226" s="3">
        <v>113.85</v>
      </c>
      <c r="F9226">
        <v>20160204</v>
      </c>
      <c r="G9226" t="s">
        <v>7443</v>
      </c>
      <c r="H9226" t="s">
        <v>7444</v>
      </c>
      <c r="I9226">
        <v>0</v>
      </c>
      <c r="J9226" t="s">
        <v>7024</v>
      </c>
      <c r="K9226" t="s">
        <v>2724</v>
      </c>
      <c r="L9226" t="s">
        <v>285</v>
      </c>
      <c r="M9226" t="str">
        <f t="shared" si="688"/>
        <v>02</v>
      </c>
      <c r="N9226" t="s">
        <v>12</v>
      </c>
    </row>
    <row r="9227" spans="1:14" x14ac:dyDescent="0.25">
      <c r="A9227">
        <v>20160205</v>
      </c>
      <c r="B9227" t="str">
        <f>"062221"</f>
        <v>062221</v>
      </c>
      <c r="C9227" t="str">
        <f>"46850"</f>
        <v>46850</v>
      </c>
      <c r="D9227" t="s">
        <v>2677</v>
      </c>
      <c r="E9227" s="3">
        <v>237.87</v>
      </c>
      <c r="F9227">
        <v>20160204</v>
      </c>
      <c r="G9227" t="s">
        <v>7026</v>
      </c>
      <c r="H9227" t="s">
        <v>2679</v>
      </c>
      <c r="I9227">
        <v>0</v>
      </c>
      <c r="J9227" t="s">
        <v>7024</v>
      </c>
      <c r="K9227" t="s">
        <v>1643</v>
      </c>
      <c r="L9227" t="s">
        <v>285</v>
      </c>
      <c r="M9227" t="str">
        <f t="shared" si="688"/>
        <v>02</v>
      </c>
      <c r="N9227" t="s">
        <v>12</v>
      </c>
    </row>
    <row r="9228" spans="1:14" x14ac:dyDescent="0.25">
      <c r="A9228">
        <v>20160205</v>
      </c>
      <c r="B9228" t="str">
        <f>"062230"</f>
        <v>062230</v>
      </c>
      <c r="C9228" t="str">
        <f>"58204"</f>
        <v>58204</v>
      </c>
      <c r="D9228" t="s">
        <v>1816</v>
      </c>
      <c r="E9228" s="3">
        <v>9.9600000000000009</v>
      </c>
      <c r="F9228">
        <v>20160204</v>
      </c>
      <c r="G9228" t="s">
        <v>7110</v>
      </c>
      <c r="H9228" t="s">
        <v>7445</v>
      </c>
      <c r="I9228">
        <v>0</v>
      </c>
      <c r="J9228" t="s">
        <v>7024</v>
      </c>
      <c r="K9228" t="s">
        <v>290</v>
      </c>
      <c r="L9228" t="s">
        <v>285</v>
      </c>
      <c r="M9228" t="str">
        <f t="shared" si="688"/>
        <v>02</v>
      </c>
      <c r="N9228" t="s">
        <v>12</v>
      </c>
    </row>
    <row r="9229" spans="1:14" x14ac:dyDescent="0.25">
      <c r="A9229">
        <v>20160205</v>
      </c>
      <c r="B9229" t="str">
        <f>"062230"</f>
        <v>062230</v>
      </c>
      <c r="C9229" t="str">
        <f>"58204"</f>
        <v>58204</v>
      </c>
      <c r="D9229" t="s">
        <v>1816</v>
      </c>
      <c r="E9229" s="3">
        <v>87.39</v>
      </c>
      <c r="F9229">
        <v>20160204</v>
      </c>
      <c r="G9229" t="s">
        <v>7446</v>
      </c>
      <c r="H9229" t="s">
        <v>7447</v>
      </c>
      <c r="I9229">
        <v>0</v>
      </c>
      <c r="J9229" t="s">
        <v>7024</v>
      </c>
      <c r="K9229" t="s">
        <v>290</v>
      </c>
      <c r="L9229" t="s">
        <v>285</v>
      </c>
      <c r="M9229" t="str">
        <f t="shared" si="688"/>
        <v>02</v>
      </c>
      <c r="N9229" t="s">
        <v>12</v>
      </c>
    </row>
    <row r="9230" spans="1:14" x14ac:dyDescent="0.25">
      <c r="A9230">
        <v>20160205</v>
      </c>
      <c r="B9230" t="str">
        <f>"062230"</f>
        <v>062230</v>
      </c>
      <c r="C9230" t="str">
        <f>"58204"</f>
        <v>58204</v>
      </c>
      <c r="D9230" t="s">
        <v>1816</v>
      </c>
      <c r="E9230" s="3">
        <v>94.31</v>
      </c>
      <c r="F9230">
        <v>20160204</v>
      </c>
      <c r="G9230" t="s">
        <v>7403</v>
      </c>
      <c r="H9230" t="s">
        <v>7447</v>
      </c>
      <c r="I9230">
        <v>0</v>
      </c>
      <c r="J9230" t="s">
        <v>7024</v>
      </c>
      <c r="K9230" t="s">
        <v>290</v>
      </c>
      <c r="L9230" t="s">
        <v>285</v>
      </c>
      <c r="M9230" t="str">
        <f t="shared" si="688"/>
        <v>02</v>
      </c>
      <c r="N9230" t="s">
        <v>12</v>
      </c>
    </row>
    <row r="9231" spans="1:14" x14ac:dyDescent="0.25">
      <c r="A9231">
        <v>20160205</v>
      </c>
      <c r="B9231" t="str">
        <f>"062230"</f>
        <v>062230</v>
      </c>
      <c r="C9231" t="str">
        <f>"58204"</f>
        <v>58204</v>
      </c>
      <c r="D9231" t="s">
        <v>1816</v>
      </c>
      <c r="E9231" s="3">
        <v>50</v>
      </c>
      <c r="F9231">
        <v>20160204</v>
      </c>
      <c r="G9231" t="s">
        <v>7083</v>
      </c>
      <c r="H9231" t="s">
        <v>4622</v>
      </c>
      <c r="I9231">
        <v>0</v>
      </c>
      <c r="J9231" t="s">
        <v>7024</v>
      </c>
      <c r="K9231" t="s">
        <v>290</v>
      </c>
      <c r="L9231" t="s">
        <v>285</v>
      </c>
      <c r="M9231" t="str">
        <f t="shared" si="688"/>
        <v>02</v>
      </c>
      <c r="N9231" t="s">
        <v>12</v>
      </c>
    </row>
    <row r="9232" spans="1:14" x14ac:dyDescent="0.25">
      <c r="A9232">
        <v>20160205</v>
      </c>
      <c r="B9232" t="str">
        <f>"062231"</f>
        <v>062231</v>
      </c>
      <c r="C9232" t="str">
        <f>"58202"</f>
        <v>58202</v>
      </c>
      <c r="D9232" t="s">
        <v>2695</v>
      </c>
      <c r="E9232" s="3">
        <v>44.99</v>
      </c>
      <c r="F9232">
        <v>20160204</v>
      </c>
      <c r="G9232" t="s">
        <v>7082</v>
      </c>
      <c r="H9232" t="s">
        <v>7448</v>
      </c>
      <c r="I9232">
        <v>0</v>
      </c>
      <c r="J9232" t="s">
        <v>7024</v>
      </c>
      <c r="K9232" t="s">
        <v>95</v>
      </c>
      <c r="L9232" t="s">
        <v>285</v>
      </c>
      <c r="M9232" t="str">
        <f t="shared" si="688"/>
        <v>02</v>
      </c>
      <c r="N9232" t="s">
        <v>12</v>
      </c>
    </row>
    <row r="9233" spans="1:14" x14ac:dyDescent="0.25">
      <c r="A9233">
        <v>20160205</v>
      </c>
      <c r="B9233" t="str">
        <f>"062231"</f>
        <v>062231</v>
      </c>
      <c r="C9233" t="str">
        <f>"58202"</f>
        <v>58202</v>
      </c>
      <c r="D9233" t="s">
        <v>2695</v>
      </c>
      <c r="E9233" s="3">
        <v>50</v>
      </c>
      <c r="F9233">
        <v>20160204</v>
      </c>
      <c r="G9233" t="s">
        <v>7179</v>
      </c>
      <c r="H9233" t="s">
        <v>5408</v>
      </c>
      <c r="I9233">
        <v>0</v>
      </c>
      <c r="J9233" t="s">
        <v>7024</v>
      </c>
      <c r="K9233" t="s">
        <v>95</v>
      </c>
      <c r="L9233" t="s">
        <v>285</v>
      </c>
      <c r="M9233" t="str">
        <f t="shared" si="688"/>
        <v>02</v>
      </c>
      <c r="N9233" t="s">
        <v>12</v>
      </c>
    </row>
    <row r="9234" spans="1:14" x14ac:dyDescent="0.25">
      <c r="A9234">
        <v>20160205</v>
      </c>
      <c r="B9234" t="str">
        <f>"062231"</f>
        <v>062231</v>
      </c>
      <c r="C9234" t="str">
        <f>"58202"</f>
        <v>58202</v>
      </c>
      <c r="D9234" t="s">
        <v>2695</v>
      </c>
      <c r="E9234" s="3">
        <v>9.9600000000000009</v>
      </c>
      <c r="F9234">
        <v>20160204</v>
      </c>
      <c r="G9234" t="s">
        <v>7179</v>
      </c>
      <c r="H9234" t="s">
        <v>7449</v>
      </c>
      <c r="I9234">
        <v>0</v>
      </c>
      <c r="J9234" t="s">
        <v>7024</v>
      </c>
      <c r="K9234" t="s">
        <v>95</v>
      </c>
      <c r="L9234" t="s">
        <v>285</v>
      </c>
      <c r="M9234" t="str">
        <f t="shared" si="688"/>
        <v>02</v>
      </c>
      <c r="N9234" t="s">
        <v>12</v>
      </c>
    </row>
    <row r="9235" spans="1:14" x14ac:dyDescent="0.25">
      <c r="A9235">
        <v>20160205</v>
      </c>
      <c r="B9235" t="str">
        <f>"062237"</f>
        <v>062237</v>
      </c>
      <c r="C9235" t="str">
        <f>"65201"</f>
        <v>65201</v>
      </c>
      <c r="D9235" t="s">
        <v>322</v>
      </c>
      <c r="E9235" s="3">
        <v>35</v>
      </c>
      <c r="F9235">
        <v>20160204</v>
      </c>
      <c r="G9235" t="s">
        <v>7066</v>
      </c>
      <c r="H9235" t="s">
        <v>7450</v>
      </c>
      <c r="I9235">
        <v>0</v>
      </c>
      <c r="J9235" t="s">
        <v>7024</v>
      </c>
      <c r="K9235" t="s">
        <v>7068</v>
      </c>
      <c r="L9235" t="s">
        <v>285</v>
      </c>
      <c r="M9235" t="str">
        <f t="shared" si="688"/>
        <v>02</v>
      </c>
      <c r="N9235" t="s">
        <v>12</v>
      </c>
    </row>
    <row r="9236" spans="1:14" x14ac:dyDescent="0.25">
      <c r="A9236">
        <v>20160212</v>
      </c>
      <c r="B9236" t="str">
        <f>"062260"</f>
        <v>062260</v>
      </c>
      <c r="C9236" t="str">
        <f>"06465"</f>
        <v>06465</v>
      </c>
      <c r="D9236" t="s">
        <v>5615</v>
      </c>
      <c r="E9236" s="3">
        <v>27.5</v>
      </c>
      <c r="F9236">
        <v>20160211</v>
      </c>
      <c r="G9236" t="s">
        <v>7170</v>
      </c>
      <c r="H9236" t="s">
        <v>7451</v>
      </c>
      <c r="I9236">
        <v>0</v>
      </c>
      <c r="J9236" t="s">
        <v>7024</v>
      </c>
      <c r="K9236" t="s">
        <v>290</v>
      </c>
      <c r="L9236" t="s">
        <v>285</v>
      </c>
      <c r="M9236" t="str">
        <f t="shared" si="688"/>
        <v>02</v>
      </c>
      <c r="N9236" t="s">
        <v>12</v>
      </c>
    </row>
    <row r="9237" spans="1:14" x14ac:dyDescent="0.25">
      <c r="A9237">
        <v>20160212</v>
      </c>
      <c r="B9237" t="str">
        <f>"062260"</f>
        <v>062260</v>
      </c>
      <c r="C9237" t="str">
        <f>"06465"</f>
        <v>06465</v>
      </c>
      <c r="D9237" t="s">
        <v>5615</v>
      </c>
      <c r="E9237" s="3">
        <v>27.5</v>
      </c>
      <c r="F9237">
        <v>20160211</v>
      </c>
      <c r="G9237" t="s">
        <v>7207</v>
      </c>
      <c r="H9237" t="s">
        <v>7452</v>
      </c>
      <c r="I9237">
        <v>0</v>
      </c>
      <c r="J9237" t="s">
        <v>7024</v>
      </c>
      <c r="K9237" t="s">
        <v>290</v>
      </c>
      <c r="L9237" t="s">
        <v>285</v>
      </c>
      <c r="M9237" t="str">
        <f t="shared" si="688"/>
        <v>02</v>
      </c>
      <c r="N9237" t="s">
        <v>12</v>
      </c>
    </row>
    <row r="9238" spans="1:14" x14ac:dyDescent="0.25">
      <c r="A9238">
        <v>20160212</v>
      </c>
      <c r="B9238" t="str">
        <f>"062265"</f>
        <v>062265</v>
      </c>
      <c r="C9238" t="str">
        <f>"10020"</f>
        <v>10020</v>
      </c>
      <c r="D9238" t="s">
        <v>1018</v>
      </c>
      <c r="E9238" s="3">
        <v>610.20000000000005</v>
      </c>
      <c r="F9238">
        <v>20160211</v>
      </c>
      <c r="G9238" t="s">
        <v>7074</v>
      </c>
      <c r="H9238" t="s">
        <v>7453</v>
      </c>
      <c r="I9238">
        <v>0</v>
      </c>
      <c r="J9238" t="s">
        <v>7024</v>
      </c>
      <c r="K9238" t="s">
        <v>290</v>
      </c>
      <c r="L9238" t="s">
        <v>285</v>
      </c>
      <c r="M9238" t="str">
        <f t="shared" si="688"/>
        <v>02</v>
      </c>
      <c r="N9238" t="s">
        <v>12</v>
      </c>
    </row>
    <row r="9239" spans="1:14" x14ac:dyDescent="0.25">
      <c r="A9239">
        <v>20160212</v>
      </c>
      <c r="B9239" t="str">
        <f>"062268"</f>
        <v>062268</v>
      </c>
      <c r="C9239" t="str">
        <f>"08788"</f>
        <v>08788</v>
      </c>
      <c r="D9239" t="s">
        <v>302</v>
      </c>
      <c r="E9239" s="3">
        <v>451.08</v>
      </c>
      <c r="F9239">
        <v>20160211</v>
      </c>
      <c r="G9239" t="s">
        <v>7170</v>
      </c>
      <c r="H9239" t="s">
        <v>7454</v>
      </c>
      <c r="I9239">
        <v>0</v>
      </c>
      <c r="J9239" t="s">
        <v>7024</v>
      </c>
      <c r="K9239" t="s">
        <v>290</v>
      </c>
      <c r="L9239" t="s">
        <v>285</v>
      </c>
      <c r="M9239" t="str">
        <f t="shared" si="688"/>
        <v>02</v>
      </c>
      <c r="N9239" t="s">
        <v>12</v>
      </c>
    </row>
    <row r="9240" spans="1:14" x14ac:dyDescent="0.25">
      <c r="A9240">
        <v>20160212</v>
      </c>
      <c r="B9240" t="str">
        <f>"062268"</f>
        <v>062268</v>
      </c>
      <c r="C9240" t="str">
        <f>"08788"</f>
        <v>08788</v>
      </c>
      <c r="D9240" t="s">
        <v>302</v>
      </c>
      <c r="E9240" s="3">
        <v>1382.41</v>
      </c>
      <c r="F9240">
        <v>20160211</v>
      </c>
      <c r="G9240" t="s">
        <v>7207</v>
      </c>
      <c r="H9240" t="s">
        <v>976</v>
      </c>
      <c r="I9240">
        <v>0</v>
      </c>
      <c r="J9240" t="s">
        <v>7024</v>
      </c>
      <c r="K9240" t="s">
        <v>290</v>
      </c>
      <c r="L9240" t="s">
        <v>285</v>
      </c>
      <c r="M9240" t="str">
        <f t="shared" si="688"/>
        <v>02</v>
      </c>
      <c r="N9240" t="s">
        <v>12</v>
      </c>
    </row>
    <row r="9241" spans="1:14" x14ac:dyDescent="0.25">
      <c r="A9241">
        <v>20160212</v>
      </c>
      <c r="B9241" t="str">
        <f>"062268"</f>
        <v>062268</v>
      </c>
      <c r="C9241" t="str">
        <f>"08788"</f>
        <v>08788</v>
      </c>
      <c r="D9241" t="s">
        <v>302</v>
      </c>
      <c r="E9241" s="3">
        <v>2031.56</v>
      </c>
      <c r="F9241">
        <v>20160211</v>
      </c>
      <c r="G9241" t="s">
        <v>7107</v>
      </c>
      <c r="H9241" t="s">
        <v>978</v>
      </c>
      <c r="I9241">
        <v>0</v>
      </c>
      <c r="J9241" t="s">
        <v>7024</v>
      </c>
      <c r="K9241" t="s">
        <v>95</v>
      </c>
      <c r="L9241" t="s">
        <v>285</v>
      </c>
      <c r="M9241" t="str">
        <f t="shared" si="688"/>
        <v>02</v>
      </c>
      <c r="N9241" t="s">
        <v>12</v>
      </c>
    </row>
    <row r="9242" spans="1:14" x14ac:dyDescent="0.25">
      <c r="A9242">
        <v>20160212</v>
      </c>
      <c r="B9242" t="str">
        <f>"062270"</f>
        <v>062270</v>
      </c>
      <c r="C9242" t="str">
        <f>"19056"</f>
        <v>19056</v>
      </c>
      <c r="D9242" t="s">
        <v>864</v>
      </c>
      <c r="E9242" s="3">
        <v>135</v>
      </c>
      <c r="F9242">
        <v>20160211</v>
      </c>
      <c r="G9242" t="s">
        <v>7409</v>
      </c>
      <c r="H9242" t="s">
        <v>7455</v>
      </c>
      <c r="I9242">
        <v>0</v>
      </c>
      <c r="J9242" t="s">
        <v>7024</v>
      </c>
      <c r="K9242" t="s">
        <v>95</v>
      </c>
      <c r="L9242" t="s">
        <v>285</v>
      </c>
      <c r="M9242" t="str">
        <f t="shared" si="688"/>
        <v>02</v>
      </c>
      <c r="N9242" t="s">
        <v>12</v>
      </c>
    </row>
    <row r="9243" spans="1:14" x14ac:dyDescent="0.25">
      <c r="A9243">
        <v>20160212</v>
      </c>
      <c r="B9243" t="str">
        <f>"062276"</f>
        <v>062276</v>
      </c>
      <c r="C9243" t="str">
        <f>"16807"</f>
        <v>16807</v>
      </c>
      <c r="D9243" t="s">
        <v>1560</v>
      </c>
      <c r="E9243" s="3">
        <v>539</v>
      </c>
      <c r="F9243">
        <v>20160211</v>
      </c>
      <c r="G9243" t="s">
        <v>7026</v>
      </c>
      <c r="H9243" t="s">
        <v>7019</v>
      </c>
      <c r="I9243">
        <v>0</v>
      </c>
      <c r="J9243" t="s">
        <v>7024</v>
      </c>
      <c r="K9243" t="s">
        <v>1643</v>
      </c>
      <c r="L9243" t="s">
        <v>285</v>
      </c>
      <c r="M9243" t="str">
        <f t="shared" si="688"/>
        <v>02</v>
      </c>
      <c r="N9243" t="s">
        <v>12</v>
      </c>
    </row>
    <row r="9244" spans="1:14" x14ac:dyDescent="0.25">
      <c r="A9244">
        <v>20160212</v>
      </c>
      <c r="B9244" t="str">
        <f>"062276"</f>
        <v>062276</v>
      </c>
      <c r="C9244" t="str">
        <f>"16807"</f>
        <v>16807</v>
      </c>
      <c r="D9244" t="s">
        <v>1560</v>
      </c>
      <c r="E9244" s="3">
        <v>539</v>
      </c>
      <c r="F9244">
        <v>20160211</v>
      </c>
      <c r="G9244" t="s">
        <v>7026</v>
      </c>
      <c r="H9244" t="s">
        <v>7019</v>
      </c>
      <c r="I9244">
        <v>0</v>
      </c>
      <c r="J9244" t="s">
        <v>7024</v>
      </c>
      <c r="K9244" t="s">
        <v>1643</v>
      </c>
      <c r="L9244" t="s">
        <v>285</v>
      </c>
      <c r="M9244" t="str">
        <f t="shared" ref="M9244:M9275" si="689">"02"</f>
        <v>02</v>
      </c>
      <c r="N9244" t="s">
        <v>12</v>
      </c>
    </row>
    <row r="9245" spans="1:14" x14ac:dyDescent="0.25">
      <c r="A9245">
        <v>20160212</v>
      </c>
      <c r="B9245" t="str">
        <f>"062287"</f>
        <v>062287</v>
      </c>
      <c r="C9245" t="str">
        <f>"26899"</f>
        <v>26899</v>
      </c>
      <c r="D9245" t="s">
        <v>7402</v>
      </c>
      <c r="E9245" s="3">
        <v>55</v>
      </c>
      <c r="F9245">
        <v>20160211</v>
      </c>
      <c r="G9245" t="s">
        <v>7285</v>
      </c>
      <c r="H9245" t="s">
        <v>7392</v>
      </c>
      <c r="I9245">
        <v>0</v>
      </c>
      <c r="J9245" t="s">
        <v>7024</v>
      </c>
      <c r="K9245" t="s">
        <v>290</v>
      </c>
      <c r="L9245" t="s">
        <v>285</v>
      </c>
      <c r="M9245" t="str">
        <f t="shared" si="689"/>
        <v>02</v>
      </c>
      <c r="N9245" t="s">
        <v>12</v>
      </c>
    </row>
    <row r="9246" spans="1:14" x14ac:dyDescent="0.25">
      <c r="A9246">
        <v>20160212</v>
      </c>
      <c r="B9246" t="str">
        <f>"062290"</f>
        <v>062290</v>
      </c>
      <c r="C9246" t="str">
        <f>"28712"</f>
        <v>28712</v>
      </c>
      <c r="D9246" t="s">
        <v>7456</v>
      </c>
      <c r="E9246" s="3">
        <v>638.4</v>
      </c>
      <c r="F9246">
        <v>20160211</v>
      </c>
      <c r="G9246" t="s">
        <v>7192</v>
      </c>
      <c r="H9246" t="s">
        <v>7457</v>
      </c>
      <c r="I9246">
        <v>0</v>
      </c>
      <c r="J9246" t="s">
        <v>7024</v>
      </c>
      <c r="K9246" t="s">
        <v>33</v>
      </c>
      <c r="L9246" t="s">
        <v>285</v>
      </c>
      <c r="M9246" t="str">
        <f t="shared" si="689"/>
        <v>02</v>
      </c>
      <c r="N9246" t="s">
        <v>12</v>
      </c>
    </row>
    <row r="9247" spans="1:14" x14ac:dyDescent="0.25">
      <c r="A9247">
        <v>20160212</v>
      </c>
      <c r="B9247" t="str">
        <f>"062302"</f>
        <v>062302</v>
      </c>
      <c r="C9247" t="str">
        <f>"34661"</f>
        <v>34661</v>
      </c>
      <c r="D9247" t="s">
        <v>7458</v>
      </c>
      <c r="E9247" s="3">
        <v>667</v>
      </c>
      <c r="F9247">
        <v>20160211</v>
      </c>
      <c r="G9247" t="s">
        <v>7412</v>
      </c>
      <c r="H9247" t="s">
        <v>7413</v>
      </c>
      <c r="I9247">
        <v>0</v>
      </c>
      <c r="J9247" t="s">
        <v>7024</v>
      </c>
      <c r="K9247" t="s">
        <v>2724</v>
      </c>
      <c r="L9247" t="s">
        <v>285</v>
      </c>
      <c r="M9247" t="str">
        <f t="shared" si="689"/>
        <v>02</v>
      </c>
      <c r="N9247" t="s">
        <v>12</v>
      </c>
    </row>
    <row r="9248" spans="1:14" x14ac:dyDescent="0.25">
      <c r="A9248">
        <v>20160212</v>
      </c>
      <c r="B9248" t="str">
        <f>"062306"</f>
        <v>062306</v>
      </c>
      <c r="C9248" t="str">
        <f>"37500"</f>
        <v>37500</v>
      </c>
      <c r="D9248" t="s">
        <v>1652</v>
      </c>
      <c r="E9248" s="3">
        <v>13.5</v>
      </c>
      <c r="F9248">
        <v>20160211</v>
      </c>
      <c r="G9248" t="s">
        <v>7147</v>
      </c>
      <c r="H9248" t="s">
        <v>7459</v>
      </c>
      <c r="I9248">
        <v>0</v>
      </c>
      <c r="J9248" t="s">
        <v>7024</v>
      </c>
      <c r="K9248" t="s">
        <v>290</v>
      </c>
      <c r="L9248" t="s">
        <v>285</v>
      </c>
      <c r="M9248" t="str">
        <f t="shared" si="689"/>
        <v>02</v>
      </c>
      <c r="N9248" t="s">
        <v>12</v>
      </c>
    </row>
    <row r="9249" spans="1:14" x14ac:dyDescent="0.25">
      <c r="A9249">
        <v>20160212</v>
      </c>
      <c r="B9249" t="str">
        <f>"062306"</f>
        <v>062306</v>
      </c>
      <c r="C9249" t="str">
        <f>"37500"</f>
        <v>37500</v>
      </c>
      <c r="D9249" t="s">
        <v>1652</v>
      </c>
      <c r="E9249" s="3">
        <v>118.01</v>
      </c>
      <c r="F9249">
        <v>20160211</v>
      </c>
      <c r="G9249" t="s">
        <v>7143</v>
      </c>
      <c r="H9249" t="s">
        <v>7460</v>
      </c>
      <c r="I9249">
        <v>0</v>
      </c>
      <c r="J9249" t="s">
        <v>7024</v>
      </c>
      <c r="K9249" t="s">
        <v>290</v>
      </c>
      <c r="L9249" t="s">
        <v>285</v>
      </c>
      <c r="M9249" t="str">
        <f t="shared" si="689"/>
        <v>02</v>
      </c>
      <c r="N9249" t="s">
        <v>12</v>
      </c>
    </row>
    <row r="9250" spans="1:14" x14ac:dyDescent="0.25">
      <c r="A9250">
        <v>20160212</v>
      </c>
      <c r="B9250" t="str">
        <f>"062309"</f>
        <v>062309</v>
      </c>
      <c r="C9250" t="str">
        <f>"39405"</f>
        <v>39405</v>
      </c>
      <c r="D9250" t="s">
        <v>662</v>
      </c>
      <c r="E9250" s="3">
        <v>135</v>
      </c>
      <c r="F9250">
        <v>20160211</v>
      </c>
      <c r="G9250" t="s">
        <v>7409</v>
      </c>
      <c r="H9250" t="s">
        <v>7455</v>
      </c>
      <c r="I9250">
        <v>0</v>
      </c>
      <c r="J9250" t="s">
        <v>7024</v>
      </c>
      <c r="K9250" t="s">
        <v>95</v>
      </c>
      <c r="L9250" t="s">
        <v>285</v>
      </c>
      <c r="M9250" t="str">
        <f t="shared" si="689"/>
        <v>02</v>
      </c>
      <c r="N9250" t="s">
        <v>12</v>
      </c>
    </row>
    <row r="9251" spans="1:14" x14ac:dyDescent="0.25">
      <c r="A9251">
        <v>20160212</v>
      </c>
      <c r="B9251" t="str">
        <f>"062324"</f>
        <v>062324</v>
      </c>
      <c r="C9251" t="str">
        <f>"48470"</f>
        <v>48470</v>
      </c>
      <c r="D9251" t="s">
        <v>2335</v>
      </c>
      <c r="E9251" s="3">
        <v>112.95</v>
      </c>
      <c r="F9251">
        <v>20160212</v>
      </c>
      <c r="G9251" t="s">
        <v>7089</v>
      </c>
      <c r="H9251" t="s">
        <v>7264</v>
      </c>
      <c r="I9251">
        <v>0</v>
      </c>
      <c r="J9251" t="s">
        <v>7024</v>
      </c>
      <c r="K9251" t="s">
        <v>290</v>
      </c>
      <c r="L9251" t="s">
        <v>285</v>
      </c>
      <c r="M9251" t="str">
        <f t="shared" si="689"/>
        <v>02</v>
      </c>
      <c r="N9251" t="s">
        <v>12</v>
      </c>
    </row>
    <row r="9252" spans="1:14" x14ac:dyDescent="0.25">
      <c r="A9252">
        <v>20160212</v>
      </c>
      <c r="B9252" t="str">
        <f t="shared" ref="B9252:B9257" si="690">"062329"</f>
        <v>062329</v>
      </c>
      <c r="C9252" t="str">
        <f t="shared" ref="C9252:C9257" si="691">"52217"</f>
        <v>52217</v>
      </c>
      <c r="D9252" t="s">
        <v>577</v>
      </c>
      <c r="E9252" s="3">
        <v>695.99</v>
      </c>
      <c r="F9252">
        <v>20160212</v>
      </c>
      <c r="G9252" t="s">
        <v>7074</v>
      </c>
      <c r="H9252" t="s">
        <v>7461</v>
      </c>
      <c r="I9252">
        <v>0</v>
      </c>
      <c r="J9252" t="s">
        <v>7024</v>
      </c>
      <c r="K9252" t="s">
        <v>290</v>
      </c>
      <c r="L9252" t="s">
        <v>285</v>
      </c>
      <c r="M9252" t="str">
        <f t="shared" si="689"/>
        <v>02</v>
      </c>
      <c r="N9252" t="s">
        <v>12</v>
      </c>
    </row>
    <row r="9253" spans="1:14" x14ac:dyDescent="0.25">
      <c r="A9253">
        <v>20160212</v>
      </c>
      <c r="B9253" t="str">
        <f t="shared" si="690"/>
        <v>062329</v>
      </c>
      <c r="C9253" t="str">
        <f t="shared" si="691"/>
        <v>52217</v>
      </c>
      <c r="D9253" t="s">
        <v>577</v>
      </c>
      <c r="E9253" s="3">
        <v>705.64</v>
      </c>
      <c r="F9253">
        <v>20160212</v>
      </c>
      <c r="G9253" t="s">
        <v>7066</v>
      </c>
      <c r="H9253" t="s">
        <v>7462</v>
      </c>
      <c r="I9253">
        <v>0</v>
      </c>
      <c r="J9253" t="s">
        <v>7024</v>
      </c>
      <c r="K9253" t="s">
        <v>7068</v>
      </c>
      <c r="L9253" t="s">
        <v>285</v>
      </c>
      <c r="M9253" t="str">
        <f t="shared" si="689"/>
        <v>02</v>
      </c>
      <c r="N9253" t="s">
        <v>12</v>
      </c>
    </row>
    <row r="9254" spans="1:14" x14ac:dyDescent="0.25">
      <c r="A9254">
        <v>20160212</v>
      </c>
      <c r="B9254" t="str">
        <f t="shared" si="690"/>
        <v>062329</v>
      </c>
      <c r="C9254" t="str">
        <f t="shared" si="691"/>
        <v>52217</v>
      </c>
      <c r="D9254" t="s">
        <v>577</v>
      </c>
      <c r="E9254" s="3">
        <v>1112.28</v>
      </c>
      <c r="F9254">
        <v>20160212</v>
      </c>
      <c r="G9254" t="s">
        <v>7066</v>
      </c>
      <c r="H9254" t="s">
        <v>7462</v>
      </c>
      <c r="I9254">
        <v>0</v>
      </c>
      <c r="J9254" t="s">
        <v>7024</v>
      </c>
      <c r="K9254" t="s">
        <v>7068</v>
      </c>
      <c r="L9254" t="s">
        <v>285</v>
      </c>
      <c r="M9254" t="str">
        <f t="shared" si="689"/>
        <v>02</v>
      </c>
      <c r="N9254" t="s">
        <v>12</v>
      </c>
    </row>
    <row r="9255" spans="1:14" x14ac:dyDescent="0.25">
      <c r="A9255">
        <v>20160212</v>
      </c>
      <c r="B9255" t="str">
        <f t="shared" si="690"/>
        <v>062329</v>
      </c>
      <c r="C9255" t="str">
        <f t="shared" si="691"/>
        <v>52217</v>
      </c>
      <c r="D9255" t="s">
        <v>577</v>
      </c>
      <c r="E9255" s="3">
        <v>11.96</v>
      </c>
      <c r="F9255">
        <v>20160212</v>
      </c>
      <c r="G9255" t="s">
        <v>7066</v>
      </c>
      <c r="H9255" t="s">
        <v>7462</v>
      </c>
      <c r="I9255">
        <v>0</v>
      </c>
      <c r="J9255" t="s">
        <v>7024</v>
      </c>
      <c r="K9255" t="s">
        <v>7068</v>
      </c>
      <c r="L9255" t="s">
        <v>285</v>
      </c>
      <c r="M9255" t="str">
        <f t="shared" si="689"/>
        <v>02</v>
      </c>
      <c r="N9255" t="s">
        <v>12</v>
      </c>
    </row>
    <row r="9256" spans="1:14" x14ac:dyDescent="0.25">
      <c r="A9256">
        <v>20160212</v>
      </c>
      <c r="B9256" t="str">
        <f t="shared" si="690"/>
        <v>062329</v>
      </c>
      <c r="C9256" t="str">
        <f t="shared" si="691"/>
        <v>52217</v>
      </c>
      <c r="D9256" t="s">
        <v>577</v>
      </c>
      <c r="E9256" s="3">
        <v>17.940000000000001</v>
      </c>
      <c r="F9256">
        <v>20160212</v>
      </c>
      <c r="G9256" t="s">
        <v>7066</v>
      </c>
      <c r="H9256" t="s">
        <v>7462</v>
      </c>
      <c r="I9256">
        <v>0</v>
      </c>
      <c r="J9256" t="s">
        <v>7024</v>
      </c>
      <c r="K9256" t="s">
        <v>7068</v>
      </c>
      <c r="L9256" t="s">
        <v>285</v>
      </c>
      <c r="M9256" t="str">
        <f t="shared" si="689"/>
        <v>02</v>
      </c>
      <c r="N9256" t="s">
        <v>12</v>
      </c>
    </row>
    <row r="9257" spans="1:14" x14ac:dyDescent="0.25">
      <c r="A9257">
        <v>20160212</v>
      </c>
      <c r="B9257" t="str">
        <f t="shared" si="690"/>
        <v>062329</v>
      </c>
      <c r="C9257" t="str">
        <f t="shared" si="691"/>
        <v>52217</v>
      </c>
      <c r="D9257" t="s">
        <v>577</v>
      </c>
      <c r="E9257" s="3">
        <v>23.92</v>
      </c>
      <c r="F9257">
        <v>20160212</v>
      </c>
      <c r="G9257" t="s">
        <v>7066</v>
      </c>
      <c r="H9257" t="s">
        <v>7462</v>
      </c>
      <c r="I9257">
        <v>0</v>
      </c>
      <c r="J9257" t="s">
        <v>7024</v>
      </c>
      <c r="K9257" t="s">
        <v>7068</v>
      </c>
      <c r="L9257" t="s">
        <v>285</v>
      </c>
      <c r="M9257" t="str">
        <f t="shared" si="689"/>
        <v>02</v>
      </c>
      <c r="N9257" t="s">
        <v>12</v>
      </c>
    </row>
    <row r="9258" spans="1:14" x14ac:dyDescent="0.25">
      <c r="A9258">
        <v>20160212</v>
      </c>
      <c r="B9258" t="str">
        <f>"062332"</f>
        <v>062332</v>
      </c>
      <c r="C9258" t="str">
        <f>"54092"</f>
        <v>54092</v>
      </c>
      <c r="D9258" t="s">
        <v>7267</v>
      </c>
      <c r="E9258" s="3">
        <v>148.5</v>
      </c>
      <c r="F9258">
        <v>20160212</v>
      </c>
      <c r="G9258" t="s">
        <v>7026</v>
      </c>
      <c r="H9258" t="s">
        <v>7463</v>
      </c>
      <c r="I9258">
        <v>0</v>
      </c>
      <c r="J9258" t="s">
        <v>7024</v>
      </c>
      <c r="K9258" t="s">
        <v>1643</v>
      </c>
      <c r="L9258" t="s">
        <v>285</v>
      </c>
      <c r="M9258" t="str">
        <f t="shared" si="689"/>
        <v>02</v>
      </c>
      <c r="N9258" t="s">
        <v>12</v>
      </c>
    </row>
    <row r="9259" spans="1:14" x14ac:dyDescent="0.25">
      <c r="A9259">
        <v>20160212</v>
      </c>
      <c r="B9259" t="str">
        <f>"062337"</f>
        <v>062337</v>
      </c>
      <c r="C9259" t="str">
        <f>"56564"</f>
        <v>56564</v>
      </c>
      <c r="D9259" t="s">
        <v>1578</v>
      </c>
      <c r="E9259" s="3">
        <v>249.37</v>
      </c>
      <c r="F9259">
        <v>20160212</v>
      </c>
      <c r="G9259" t="s">
        <v>7082</v>
      </c>
      <c r="H9259" t="s">
        <v>7464</v>
      </c>
      <c r="I9259">
        <v>0</v>
      </c>
      <c r="J9259" t="s">
        <v>7024</v>
      </c>
      <c r="K9259" t="s">
        <v>95</v>
      </c>
      <c r="L9259" t="s">
        <v>285</v>
      </c>
      <c r="M9259" t="str">
        <f t="shared" si="689"/>
        <v>02</v>
      </c>
      <c r="N9259" t="s">
        <v>12</v>
      </c>
    </row>
    <row r="9260" spans="1:14" x14ac:dyDescent="0.25">
      <c r="A9260">
        <v>20160212</v>
      </c>
      <c r="B9260" t="str">
        <f>"062338"</f>
        <v>062338</v>
      </c>
      <c r="C9260" t="str">
        <f>"57299"</f>
        <v>57299</v>
      </c>
      <c r="D9260" t="s">
        <v>873</v>
      </c>
      <c r="E9260" s="3">
        <v>80</v>
      </c>
      <c r="F9260">
        <v>20160212</v>
      </c>
      <c r="G9260" t="s">
        <v>7119</v>
      </c>
      <c r="H9260" t="s">
        <v>7465</v>
      </c>
      <c r="I9260">
        <v>0</v>
      </c>
      <c r="J9260" t="s">
        <v>7024</v>
      </c>
      <c r="K9260" t="s">
        <v>7068</v>
      </c>
      <c r="L9260" t="s">
        <v>285</v>
      </c>
      <c r="M9260" t="str">
        <f t="shared" si="689"/>
        <v>02</v>
      </c>
      <c r="N9260" t="s">
        <v>12</v>
      </c>
    </row>
    <row r="9261" spans="1:14" x14ac:dyDescent="0.25">
      <c r="A9261">
        <v>20160212</v>
      </c>
      <c r="B9261" t="str">
        <f>"062347"</f>
        <v>062347</v>
      </c>
      <c r="C9261" t="str">
        <f>"63053"</f>
        <v>63053</v>
      </c>
      <c r="D9261" t="s">
        <v>2012</v>
      </c>
      <c r="E9261" s="3">
        <v>74</v>
      </c>
      <c r="F9261">
        <v>20160212</v>
      </c>
      <c r="G9261" t="s">
        <v>7086</v>
      </c>
      <c r="H9261" t="s">
        <v>7466</v>
      </c>
      <c r="I9261">
        <v>0</v>
      </c>
      <c r="J9261" t="s">
        <v>7024</v>
      </c>
      <c r="K9261" t="s">
        <v>290</v>
      </c>
      <c r="L9261" t="s">
        <v>285</v>
      </c>
      <c r="M9261" t="str">
        <f t="shared" si="689"/>
        <v>02</v>
      </c>
      <c r="N9261" t="s">
        <v>12</v>
      </c>
    </row>
    <row r="9262" spans="1:14" x14ac:dyDescent="0.25">
      <c r="A9262">
        <v>20160219</v>
      </c>
      <c r="B9262" t="str">
        <f>"062372"</f>
        <v>062372</v>
      </c>
      <c r="C9262" t="str">
        <f>"03450"</f>
        <v>03450</v>
      </c>
      <c r="D9262" t="s">
        <v>375</v>
      </c>
      <c r="E9262" s="3">
        <v>450.9</v>
      </c>
      <c r="F9262">
        <v>20160217</v>
      </c>
      <c r="G9262" t="s">
        <v>7149</v>
      </c>
      <c r="H9262" t="s">
        <v>7467</v>
      </c>
      <c r="I9262">
        <v>0</v>
      </c>
      <c r="J9262" t="s">
        <v>7024</v>
      </c>
      <c r="K9262" t="s">
        <v>290</v>
      </c>
      <c r="L9262" t="s">
        <v>285</v>
      </c>
      <c r="M9262" t="str">
        <f t="shared" si="689"/>
        <v>02</v>
      </c>
      <c r="N9262" t="s">
        <v>12</v>
      </c>
    </row>
    <row r="9263" spans="1:14" x14ac:dyDescent="0.25">
      <c r="A9263">
        <v>20160219</v>
      </c>
      <c r="B9263" t="str">
        <f>"062373"</f>
        <v>062373</v>
      </c>
      <c r="C9263" t="str">
        <f>"05530"</f>
        <v>05530</v>
      </c>
      <c r="D9263" t="s">
        <v>631</v>
      </c>
      <c r="E9263" s="3">
        <v>112.5</v>
      </c>
      <c r="F9263">
        <v>20160217</v>
      </c>
      <c r="G9263" t="s">
        <v>7227</v>
      </c>
      <c r="H9263" t="s">
        <v>7468</v>
      </c>
      <c r="I9263">
        <v>0</v>
      </c>
      <c r="J9263" t="s">
        <v>7024</v>
      </c>
      <c r="K9263" t="s">
        <v>290</v>
      </c>
      <c r="L9263" t="s">
        <v>285</v>
      </c>
      <c r="M9263" t="str">
        <f t="shared" si="689"/>
        <v>02</v>
      </c>
      <c r="N9263" t="s">
        <v>12</v>
      </c>
    </row>
    <row r="9264" spans="1:14" x14ac:dyDescent="0.25">
      <c r="A9264">
        <v>20160219</v>
      </c>
      <c r="B9264" t="str">
        <f>"062375"</f>
        <v>062375</v>
      </c>
      <c r="C9264" t="str">
        <f>"06762"</f>
        <v>06762</v>
      </c>
      <c r="D9264" t="s">
        <v>7469</v>
      </c>
      <c r="E9264" s="3">
        <v>225</v>
      </c>
      <c r="F9264">
        <v>20160217</v>
      </c>
      <c r="G9264" t="s">
        <v>7074</v>
      </c>
      <c r="H9264" t="s">
        <v>1174</v>
      </c>
      <c r="I9264">
        <v>0</v>
      </c>
      <c r="J9264" t="s">
        <v>7024</v>
      </c>
      <c r="K9264" t="s">
        <v>290</v>
      </c>
      <c r="L9264" t="s">
        <v>285</v>
      </c>
      <c r="M9264" t="str">
        <f t="shared" si="689"/>
        <v>02</v>
      </c>
      <c r="N9264" t="s">
        <v>12</v>
      </c>
    </row>
    <row r="9265" spans="1:14" x14ac:dyDescent="0.25">
      <c r="A9265">
        <v>20160219</v>
      </c>
      <c r="B9265" t="str">
        <f>"062381"</f>
        <v>062381</v>
      </c>
      <c r="C9265" t="str">
        <f>"10020"</f>
        <v>10020</v>
      </c>
      <c r="D9265" t="s">
        <v>1018</v>
      </c>
      <c r="E9265" s="3">
        <v>109.4</v>
      </c>
      <c r="F9265">
        <v>20160217</v>
      </c>
      <c r="G9265" t="s">
        <v>7074</v>
      </c>
      <c r="H9265" t="s">
        <v>1019</v>
      </c>
      <c r="I9265">
        <v>0</v>
      </c>
      <c r="J9265" t="s">
        <v>7024</v>
      </c>
      <c r="K9265" t="s">
        <v>290</v>
      </c>
      <c r="L9265" t="s">
        <v>285</v>
      </c>
      <c r="M9265" t="str">
        <f t="shared" si="689"/>
        <v>02</v>
      </c>
      <c r="N9265" t="s">
        <v>12</v>
      </c>
    </row>
    <row r="9266" spans="1:14" x14ac:dyDescent="0.25">
      <c r="A9266">
        <v>20160219</v>
      </c>
      <c r="B9266" t="str">
        <f>"062401"</f>
        <v>062401</v>
      </c>
      <c r="C9266" t="str">
        <f>"21280"</f>
        <v>21280</v>
      </c>
      <c r="D9266" t="s">
        <v>4130</v>
      </c>
      <c r="E9266" s="3">
        <v>1297</v>
      </c>
      <c r="F9266">
        <v>20160217</v>
      </c>
      <c r="G9266" t="s">
        <v>7124</v>
      </c>
      <c r="H9266" t="s">
        <v>7470</v>
      </c>
      <c r="I9266">
        <v>0</v>
      </c>
      <c r="J9266" t="s">
        <v>7024</v>
      </c>
      <c r="K9266" t="s">
        <v>290</v>
      </c>
      <c r="L9266" t="s">
        <v>285</v>
      </c>
      <c r="M9266" t="str">
        <f t="shared" si="689"/>
        <v>02</v>
      </c>
      <c r="N9266" t="s">
        <v>12</v>
      </c>
    </row>
    <row r="9267" spans="1:14" x14ac:dyDescent="0.25">
      <c r="A9267">
        <v>20160219</v>
      </c>
      <c r="B9267" t="str">
        <f>"062404"</f>
        <v>062404</v>
      </c>
      <c r="C9267" t="str">
        <f>"21380"</f>
        <v>21380</v>
      </c>
      <c r="D9267" t="s">
        <v>7471</v>
      </c>
      <c r="E9267" s="3">
        <v>352.55</v>
      </c>
      <c r="F9267">
        <v>20160218</v>
      </c>
      <c r="G9267" t="s">
        <v>7074</v>
      </c>
      <c r="H9267" t="s">
        <v>1033</v>
      </c>
      <c r="I9267">
        <v>0</v>
      </c>
      <c r="J9267" t="s">
        <v>7024</v>
      </c>
      <c r="K9267" t="s">
        <v>290</v>
      </c>
      <c r="L9267" t="s">
        <v>285</v>
      </c>
      <c r="M9267" t="str">
        <f t="shared" si="689"/>
        <v>02</v>
      </c>
      <c r="N9267" t="s">
        <v>12</v>
      </c>
    </row>
    <row r="9268" spans="1:14" x14ac:dyDescent="0.25">
      <c r="A9268">
        <v>20160219</v>
      </c>
      <c r="B9268" t="str">
        <f>"062404"</f>
        <v>062404</v>
      </c>
      <c r="C9268" t="str">
        <f>"21380"</f>
        <v>21380</v>
      </c>
      <c r="D9268" t="s">
        <v>7471</v>
      </c>
      <c r="E9268" s="3">
        <v>-352.55</v>
      </c>
      <c r="F9268">
        <v>20160301</v>
      </c>
      <c r="G9268" t="s">
        <v>7074</v>
      </c>
      <c r="H9268" t="s">
        <v>214</v>
      </c>
      <c r="I9268">
        <v>0</v>
      </c>
      <c r="J9268" t="s">
        <v>7024</v>
      </c>
      <c r="K9268" t="s">
        <v>290</v>
      </c>
      <c r="L9268" t="s">
        <v>17</v>
      </c>
      <c r="M9268" t="str">
        <f t="shared" si="689"/>
        <v>02</v>
      </c>
      <c r="N9268" t="s">
        <v>12</v>
      </c>
    </row>
    <row r="9269" spans="1:14" x14ac:dyDescent="0.25">
      <c r="A9269">
        <v>20160219</v>
      </c>
      <c r="B9269" t="str">
        <f>"062406"</f>
        <v>062406</v>
      </c>
      <c r="C9269" t="str">
        <f>"24207"</f>
        <v>24207</v>
      </c>
      <c r="D9269" t="s">
        <v>1656</v>
      </c>
      <c r="E9269" s="3">
        <v>407.6</v>
      </c>
      <c r="F9269">
        <v>20160217</v>
      </c>
      <c r="G9269" t="s">
        <v>7472</v>
      </c>
      <c r="H9269" t="s">
        <v>4134</v>
      </c>
      <c r="I9269">
        <v>0</v>
      </c>
      <c r="J9269" t="s">
        <v>7024</v>
      </c>
      <c r="K9269" t="s">
        <v>95</v>
      </c>
      <c r="L9269" t="s">
        <v>285</v>
      </c>
      <c r="M9269" t="str">
        <f t="shared" si="689"/>
        <v>02</v>
      </c>
      <c r="N9269" t="s">
        <v>12</v>
      </c>
    </row>
    <row r="9270" spans="1:14" x14ac:dyDescent="0.25">
      <c r="A9270">
        <v>20160219</v>
      </c>
      <c r="B9270" t="str">
        <f>"062407"</f>
        <v>062407</v>
      </c>
      <c r="C9270" t="str">
        <f>"24510"</f>
        <v>24510</v>
      </c>
      <c r="D9270" t="s">
        <v>4135</v>
      </c>
      <c r="E9270" s="3">
        <v>52</v>
      </c>
      <c r="F9270">
        <v>20160217</v>
      </c>
      <c r="G9270" t="s">
        <v>7086</v>
      </c>
      <c r="H9270" t="s">
        <v>4136</v>
      </c>
      <c r="I9270">
        <v>0</v>
      </c>
      <c r="J9270" t="s">
        <v>7024</v>
      </c>
      <c r="K9270" t="s">
        <v>290</v>
      </c>
      <c r="L9270" t="s">
        <v>285</v>
      </c>
      <c r="M9270" t="str">
        <f t="shared" si="689"/>
        <v>02</v>
      </c>
      <c r="N9270" t="s">
        <v>12</v>
      </c>
    </row>
    <row r="9271" spans="1:14" x14ac:dyDescent="0.25">
      <c r="A9271">
        <v>20160219</v>
      </c>
      <c r="B9271" t="str">
        <f>"062409"</f>
        <v>062409</v>
      </c>
      <c r="C9271" t="str">
        <f>"48954"</f>
        <v>48954</v>
      </c>
      <c r="D9271" t="s">
        <v>1025</v>
      </c>
      <c r="E9271" s="3">
        <v>745</v>
      </c>
      <c r="F9271">
        <v>20160218</v>
      </c>
      <c r="G9271" t="s">
        <v>7260</v>
      </c>
      <c r="H9271" t="s">
        <v>1027</v>
      </c>
      <c r="I9271">
        <v>0</v>
      </c>
      <c r="J9271" t="s">
        <v>7024</v>
      </c>
      <c r="K9271" t="s">
        <v>290</v>
      </c>
      <c r="L9271" t="s">
        <v>285</v>
      </c>
      <c r="M9271" t="str">
        <f t="shared" si="689"/>
        <v>02</v>
      </c>
      <c r="N9271" t="s">
        <v>12</v>
      </c>
    </row>
    <row r="9272" spans="1:14" x14ac:dyDescent="0.25">
      <c r="A9272">
        <v>20160219</v>
      </c>
      <c r="B9272" t="str">
        <f>"062412"</f>
        <v>062412</v>
      </c>
      <c r="C9272" t="str">
        <f>"27900"</f>
        <v>27900</v>
      </c>
      <c r="D9272" t="s">
        <v>1596</v>
      </c>
      <c r="E9272" s="3">
        <v>2590</v>
      </c>
      <c r="F9272">
        <v>20160217</v>
      </c>
      <c r="G9272" t="s">
        <v>7026</v>
      </c>
      <c r="H9272" t="s">
        <v>7473</v>
      </c>
      <c r="I9272">
        <v>0</v>
      </c>
      <c r="J9272" t="s">
        <v>7024</v>
      </c>
      <c r="K9272" t="s">
        <v>1643</v>
      </c>
      <c r="L9272" t="s">
        <v>285</v>
      </c>
      <c r="M9272" t="str">
        <f t="shared" si="689"/>
        <v>02</v>
      </c>
      <c r="N9272" t="s">
        <v>12</v>
      </c>
    </row>
    <row r="9273" spans="1:14" x14ac:dyDescent="0.25">
      <c r="A9273">
        <v>20160219</v>
      </c>
      <c r="B9273" t="str">
        <f>"062420"</f>
        <v>062420</v>
      </c>
      <c r="C9273" t="str">
        <f>"31210"</f>
        <v>31210</v>
      </c>
      <c r="D9273" t="s">
        <v>493</v>
      </c>
      <c r="E9273" s="3">
        <v>110</v>
      </c>
      <c r="F9273">
        <v>20160217</v>
      </c>
      <c r="G9273" t="s">
        <v>7285</v>
      </c>
      <c r="H9273" t="s">
        <v>7392</v>
      </c>
      <c r="I9273">
        <v>0</v>
      </c>
      <c r="J9273" t="s">
        <v>7024</v>
      </c>
      <c r="K9273" t="s">
        <v>290</v>
      </c>
      <c r="L9273" t="s">
        <v>285</v>
      </c>
      <c r="M9273" t="str">
        <f t="shared" si="689"/>
        <v>02</v>
      </c>
      <c r="N9273" t="s">
        <v>12</v>
      </c>
    </row>
    <row r="9274" spans="1:14" x14ac:dyDescent="0.25">
      <c r="A9274">
        <v>20160219</v>
      </c>
      <c r="B9274" t="str">
        <f>"062427"</f>
        <v>062427</v>
      </c>
      <c r="C9274" t="str">
        <f>"35100"</f>
        <v>35100</v>
      </c>
      <c r="D9274" t="s">
        <v>2505</v>
      </c>
      <c r="E9274" s="3">
        <v>562.88</v>
      </c>
      <c r="F9274">
        <v>20160217</v>
      </c>
      <c r="G9274" t="s">
        <v>7110</v>
      </c>
      <c r="H9274" t="s">
        <v>7474</v>
      </c>
      <c r="I9274">
        <v>0</v>
      </c>
      <c r="J9274" t="s">
        <v>7024</v>
      </c>
      <c r="K9274" t="s">
        <v>290</v>
      </c>
      <c r="L9274" t="s">
        <v>285</v>
      </c>
      <c r="M9274" t="str">
        <f t="shared" si="689"/>
        <v>02</v>
      </c>
      <c r="N9274" t="s">
        <v>12</v>
      </c>
    </row>
    <row r="9275" spans="1:14" x14ac:dyDescent="0.25">
      <c r="A9275">
        <v>20160219</v>
      </c>
      <c r="B9275" t="str">
        <f>"062432"</f>
        <v>062432</v>
      </c>
      <c r="C9275" t="str">
        <f>"39131"</f>
        <v>39131</v>
      </c>
      <c r="D9275" t="s">
        <v>7475</v>
      </c>
      <c r="E9275" s="3">
        <v>1024.5999999999999</v>
      </c>
      <c r="F9275">
        <v>20160217</v>
      </c>
      <c r="G9275" t="s">
        <v>7260</v>
      </c>
      <c r="H9275" t="s">
        <v>1027</v>
      </c>
      <c r="I9275">
        <v>0</v>
      </c>
      <c r="J9275" t="s">
        <v>7024</v>
      </c>
      <c r="K9275" t="s">
        <v>290</v>
      </c>
      <c r="L9275" t="s">
        <v>285</v>
      </c>
      <c r="M9275" t="str">
        <f t="shared" si="689"/>
        <v>02</v>
      </c>
      <c r="N9275" t="s">
        <v>12</v>
      </c>
    </row>
    <row r="9276" spans="1:14" x14ac:dyDescent="0.25">
      <c r="A9276">
        <v>20160219</v>
      </c>
      <c r="B9276" t="str">
        <f>"062446"</f>
        <v>062446</v>
      </c>
      <c r="C9276" t="str">
        <f>"49748"</f>
        <v>49748</v>
      </c>
      <c r="D9276" t="s">
        <v>1885</v>
      </c>
      <c r="E9276" s="3">
        <v>113.75</v>
      </c>
      <c r="F9276">
        <v>20160217</v>
      </c>
      <c r="G9276" t="s">
        <v>7476</v>
      </c>
      <c r="H9276" t="s">
        <v>7477</v>
      </c>
      <c r="I9276">
        <v>0</v>
      </c>
      <c r="J9276" t="s">
        <v>7024</v>
      </c>
      <c r="K9276" t="s">
        <v>290</v>
      </c>
      <c r="L9276" t="s">
        <v>285</v>
      </c>
      <c r="M9276" t="str">
        <f t="shared" ref="M9276:M9295" si="692">"02"</f>
        <v>02</v>
      </c>
      <c r="N9276" t="s">
        <v>12</v>
      </c>
    </row>
    <row r="9277" spans="1:14" x14ac:dyDescent="0.25">
      <c r="A9277">
        <v>20160219</v>
      </c>
      <c r="B9277" t="str">
        <f>"062448"</f>
        <v>062448</v>
      </c>
      <c r="C9277" t="str">
        <f>"49955"</f>
        <v>49955</v>
      </c>
      <c r="D9277" t="s">
        <v>918</v>
      </c>
      <c r="E9277" s="3">
        <v>408</v>
      </c>
      <c r="F9277">
        <v>20160218</v>
      </c>
      <c r="G9277" t="s">
        <v>7074</v>
      </c>
      <c r="H9277" t="s">
        <v>1033</v>
      </c>
      <c r="I9277">
        <v>0</v>
      </c>
      <c r="J9277" t="s">
        <v>7024</v>
      </c>
      <c r="K9277" t="s">
        <v>290</v>
      </c>
      <c r="L9277" t="s">
        <v>285</v>
      </c>
      <c r="M9277" t="str">
        <f t="shared" si="692"/>
        <v>02</v>
      </c>
      <c r="N9277" t="s">
        <v>12</v>
      </c>
    </row>
    <row r="9278" spans="1:14" x14ac:dyDescent="0.25">
      <c r="A9278">
        <v>20160219</v>
      </c>
      <c r="B9278" t="str">
        <f>"062460"</f>
        <v>062460</v>
      </c>
      <c r="C9278" t="str">
        <f>"57318"</f>
        <v>57318</v>
      </c>
      <c r="D9278" t="s">
        <v>389</v>
      </c>
      <c r="E9278" s="3">
        <v>80</v>
      </c>
      <c r="F9278">
        <v>20160218</v>
      </c>
      <c r="G9278" t="s">
        <v>7119</v>
      </c>
      <c r="H9278" t="s">
        <v>7478</v>
      </c>
      <c r="I9278">
        <v>0</v>
      </c>
      <c r="J9278" t="s">
        <v>7024</v>
      </c>
      <c r="K9278" t="s">
        <v>7068</v>
      </c>
      <c r="L9278" t="s">
        <v>285</v>
      </c>
      <c r="M9278" t="str">
        <f t="shared" si="692"/>
        <v>02</v>
      </c>
      <c r="N9278" t="s">
        <v>12</v>
      </c>
    </row>
    <row r="9279" spans="1:14" x14ac:dyDescent="0.25">
      <c r="A9279">
        <v>20160219</v>
      </c>
      <c r="B9279" t="str">
        <f>"062461"</f>
        <v>062461</v>
      </c>
      <c r="C9279" t="str">
        <f>"57299"</f>
        <v>57299</v>
      </c>
      <c r="D9279" t="s">
        <v>873</v>
      </c>
      <c r="E9279" s="3">
        <v>80</v>
      </c>
      <c r="F9279">
        <v>20160218</v>
      </c>
      <c r="G9279" t="s">
        <v>7119</v>
      </c>
      <c r="H9279" t="s">
        <v>7479</v>
      </c>
      <c r="I9279">
        <v>0</v>
      </c>
      <c r="J9279" t="s">
        <v>7024</v>
      </c>
      <c r="K9279" t="s">
        <v>7068</v>
      </c>
      <c r="L9279" t="s">
        <v>285</v>
      </c>
      <c r="M9279" t="str">
        <f t="shared" si="692"/>
        <v>02</v>
      </c>
      <c r="N9279" t="s">
        <v>12</v>
      </c>
    </row>
    <row r="9280" spans="1:14" x14ac:dyDescent="0.25">
      <c r="A9280">
        <v>20160219</v>
      </c>
      <c r="B9280" t="str">
        <f>"062464"</f>
        <v>062464</v>
      </c>
      <c r="C9280" t="str">
        <f>"58207"</f>
        <v>58207</v>
      </c>
      <c r="D9280" t="s">
        <v>296</v>
      </c>
      <c r="E9280" s="3">
        <v>56.98</v>
      </c>
      <c r="F9280">
        <v>20160218</v>
      </c>
      <c r="G9280" t="s">
        <v>7149</v>
      </c>
      <c r="H9280" t="s">
        <v>7480</v>
      </c>
      <c r="I9280">
        <v>0</v>
      </c>
      <c r="J9280" t="s">
        <v>7024</v>
      </c>
      <c r="K9280" t="s">
        <v>290</v>
      </c>
      <c r="L9280" t="s">
        <v>285</v>
      </c>
      <c r="M9280" t="str">
        <f t="shared" si="692"/>
        <v>02</v>
      </c>
      <c r="N9280" t="s">
        <v>12</v>
      </c>
    </row>
    <row r="9281" spans="1:14" x14ac:dyDescent="0.25">
      <c r="A9281">
        <v>20160219</v>
      </c>
      <c r="B9281" t="str">
        <f>"062464"</f>
        <v>062464</v>
      </c>
      <c r="C9281" t="str">
        <f>"58207"</f>
        <v>58207</v>
      </c>
      <c r="D9281" t="s">
        <v>296</v>
      </c>
      <c r="E9281" s="3">
        <v>74.94</v>
      </c>
      <c r="F9281">
        <v>20160218</v>
      </c>
      <c r="G9281" t="s">
        <v>7212</v>
      </c>
      <c r="H9281" t="s">
        <v>907</v>
      </c>
      <c r="I9281">
        <v>0</v>
      </c>
      <c r="J9281" t="s">
        <v>7024</v>
      </c>
      <c r="K9281" t="s">
        <v>290</v>
      </c>
      <c r="L9281" t="s">
        <v>285</v>
      </c>
      <c r="M9281" t="str">
        <f t="shared" si="692"/>
        <v>02</v>
      </c>
      <c r="N9281" t="s">
        <v>12</v>
      </c>
    </row>
    <row r="9282" spans="1:14" x14ac:dyDescent="0.25">
      <c r="A9282">
        <v>20160219</v>
      </c>
      <c r="B9282" t="str">
        <f>"062464"</f>
        <v>062464</v>
      </c>
      <c r="C9282" t="str">
        <f>"58207"</f>
        <v>58207</v>
      </c>
      <c r="D9282" t="s">
        <v>296</v>
      </c>
      <c r="E9282" s="3">
        <v>11.91</v>
      </c>
      <c r="F9282">
        <v>20160218</v>
      </c>
      <c r="G9282" t="s">
        <v>7285</v>
      </c>
      <c r="H9282" t="s">
        <v>594</v>
      </c>
      <c r="I9282">
        <v>0</v>
      </c>
      <c r="J9282" t="s">
        <v>7024</v>
      </c>
      <c r="K9282" t="s">
        <v>290</v>
      </c>
      <c r="L9282" t="s">
        <v>285</v>
      </c>
      <c r="M9282" t="str">
        <f t="shared" si="692"/>
        <v>02</v>
      </c>
      <c r="N9282" t="s">
        <v>12</v>
      </c>
    </row>
    <row r="9283" spans="1:14" x14ac:dyDescent="0.25">
      <c r="A9283">
        <v>20160219</v>
      </c>
      <c r="B9283" t="str">
        <f>"062465"</f>
        <v>062465</v>
      </c>
      <c r="C9283" t="str">
        <f>"58204"</f>
        <v>58204</v>
      </c>
      <c r="D9283" t="s">
        <v>1816</v>
      </c>
      <c r="E9283" s="3">
        <v>96.25</v>
      </c>
      <c r="F9283">
        <v>20160218</v>
      </c>
      <c r="G9283" t="s">
        <v>7124</v>
      </c>
      <c r="H9283" t="s">
        <v>7481</v>
      </c>
      <c r="I9283">
        <v>0</v>
      </c>
      <c r="J9283" t="s">
        <v>7024</v>
      </c>
      <c r="K9283" t="s">
        <v>290</v>
      </c>
      <c r="L9283" t="s">
        <v>285</v>
      </c>
      <c r="M9283" t="str">
        <f t="shared" si="692"/>
        <v>02</v>
      </c>
      <c r="N9283" t="s">
        <v>12</v>
      </c>
    </row>
    <row r="9284" spans="1:14" x14ac:dyDescent="0.25">
      <c r="A9284">
        <v>20160219</v>
      </c>
      <c r="B9284" t="str">
        <f>"062465"</f>
        <v>062465</v>
      </c>
      <c r="C9284" t="str">
        <f>"58204"</f>
        <v>58204</v>
      </c>
      <c r="D9284" t="s">
        <v>1816</v>
      </c>
      <c r="E9284" s="3">
        <v>45.94</v>
      </c>
      <c r="F9284">
        <v>20160218</v>
      </c>
      <c r="G9284" t="s">
        <v>7110</v>
      </c>
      <c r="H9284" t="s">
        <v>7482</v>
      </c>
      <c r="I9284">
        <v>0</v>
      </c>
      <c r="J9284" t="s">
        <v>7024</v>
      </c>
      <c r="K9284" t="s">
        <v>290</v>
      </c>
      <c r="L9284" t="s">
        <v>285</v>
      </c>
      <c r="M9284" t="str">
        <f t="shared" si="692"/>
        <v>02</v>
      </c>
      <c r="N9284" t="s">
        <v>12</v>
      </c>
    </row>
    <row r="9285" spans="1:14" x14ac:dyDescent="0.25">
      <c r="A9285">
        <v>20160219</v>
      </c>
      <c r="B9285" t="str">
        <f>"062465"</f>
        <v>062465</v>
      </c>
      <c r="C9285" t="str">
        <f>"58204"</f>
        <v>58204</v>
      </c>
      <c r="D9285" t="s">
        <v>1816</v>
      </c>
      <c r="E9285" s="3">
        <v>23.25</v>
      </c>
      <c r="F9285">
        <v>20160218</v>
      </c>
      <c r="G9285" t="s">
        <v>7086</v>
      </c>
      <c r="H9285" t="s">
        <v>1866</v>
      </c>
      <c r="I9285">
        <v>0</v>
      </c>
      <c r="J9285" t="s">
        <v>7024</v>
      </c>
      <c r="K9285" t="s">
        <v>290</v>
      </c>
      <c r="L9285" t="s">
        <v>285</v>
      </c>
      <c r="M9285" t="str">
        <f t="shared" si="692"/>
        <v>02</v>
      </c>
      <c r="N9285" t="s">
        <v>12</v>
      </c>
    </row>
    <row r="9286" spans="1:14" x14ac:dyDescent="0.25">
      <c r="A9286">
        <v>20160219</v>
      </c>
      <c r="B9286" t="str">
        <f>"062465"</f>
        <v>062465</v>
      </c>
      <c r="C9286" t="str">
        <f>"58204"</f>
        <v>58204</v>
      </c>
      <c r="D9286" t="s">
        <v>1816</v>
      </c>
      <c r="E9286" s="3">
        <v>39.75</v>
      </c>
      <c r="F9286">
        <v>20160218</v>
      </c>
      <c r="G9286" t="s">
        <v>7403</v>
      </c>
      <c r="H9286" t="s">
        <v>7483</v>
      </c>
      <c r="I9286">
        <v>0</v>
      </c>
      <c r="J9286" t="s">
        <v>7024</v>
      </c>
      <c r="K9286" t="s">
        <v>290</v>
      </c>
      <c r="L9286" t="s">
        <v>285</v>
      </c>
      <c r="M9286" t="str">
        <f t="shared" si="692"/>
        <v>02</v>
      </c>
      <c r="N9286" t="s">
        <v>12</v>
      </c>
    </row>
    <row r="9287" spans="1:14" x14ac:dyDescent="0.25">
      <c r="A9287">
        <v>20160219</v>
      </c>
      <c r="B9287" t="str">
        <f>"062465"</f>
        <v>062465</v>
      </c>
      <c r="C9287" t="str">
        <f>"58204"</f>
        <v>58204</v>
      </c>
      <c r="D9287" t="s">
        <v>1816</v>
      </c>
      <c r="E9287" s="3">
        <v>18.559999999999999</v>
      </c>
      <c r="F9287">
        <v>20160218</v>
      </c>
      <c r="G9287" t="s">
        <v>7083</v>
      </c>
      <c r="H9287" t="s">
        <v>7484</v>
      </c>
      <c r="I9287">
        <v>0</v>
      </c>
      <c r="J9287" t="s">
        <v>7024</v>
      </c>
      <c r="K9287" t="s">
        <v>290</v>
      </c>
      <c r="L9287" t="s">
        <v>285</v>
      </c>
      <c r="M9287" t="str">
        <f t="shared" si="692"/>
        <v>02</v>
      </c>
      <c r="N9287" t="s">
        <v>12</v>
      </c>
    </row>
    <row r="9288" spans="1:14" x14ac:dyDescent="0.25">
      <c r="A9288">
        <v>20160219</v>
      </c>
      <c r="B9288" t="str">
        <f>"062466"</f>
        <v>062466</v>
      </c>
      <c r="C9288" t="str">
        <f>"58201"</f>
        <v>58201</v>
      </c>
      <c r="D9288" t="s">
        <v>1690</v>
      </c>
      <c r="E9288" s="3">
        <v>12.5</v>
      </c>
      <c r="F9288">
        <v>20160218</v>
      </c>
      <c r="G9288" t="s">
        <v>7049</v>
      </c>
      <c r="H9288" t="s">
        <v>7485</v>
      </c>
      <c r="I9288">
        <v>0</v>
      </c>
      <c r="J9288" t="s">
        <v>7024</v>
      </c>
      <c r="K9288" t="s">
        <v>33</v>
      </c>
      <c r="L9288" t="s">
        <v>285</v>
      </c>
      <c r="M9288" t="str">
        <f t="shared" si="692"/>
        <v>02</v>
      </c>
      <c r="N9288" t="s">
        <v>12</v>
      </c>
    </row>
    <row r="9289" spans="1:14" x14ac:dyDescent="0.25">
      <c r="A9289">
        <v>20160219</v>
      </c>
      <c r="B9289" t="str">
        <f>"062468"</f>
        <v>062468</v>
      </c>
      <c r="C9289" t="str">
        <f>"59091"</f>
        <v>59091</v>
      </c>
      <c r="D9289" t="s">
        <v>513</v>
      </c>
      <c r="E9289" s="3">
        <v>80</v>
      </c>
      <c r="F9289">
        <v>20160218</v>
      </c>
      <c r="G9289" t="s">
        <v>7119</v>
      </c>
      <c r="H9289" t="s">
        <v>7479</v>
      </c>
      <c r="I9289">
        <v>0</v>
      </c>
      <c r="J9289" t="s">
        <v>7024</v>
      </c>
      <c r="K9289" t="s">
        <v>7068</v>
      </c>
      <c r="L9289" t="s">
        <v>285</v>
      </c>
      <c r="M9289" t="str">
        <f t="shared" si="692"/>
        <v>02</v>
      </c>
      <c r="N9289" t="s">
        <v>12</v>
      </c>
    </row>
    <row r="9290" spans="1:14" x14ac:dyDescent="0.25">
      <c r="A9290">
        <v>20160219</v>
      </c>
      <c r="B9290" t="str">
        <f>"062485"</f>
        <v>062485</v>
      </c>
      <c r="C9290" t="str">
        <f>"65106"</f>
        <v>65106</v>
      </c>
      <c r="D9290" t="s">
        <v>1568</v>
      </c>
      <c r="E9290" s="3">
        <v>14.4</v>
      </c>
      <c r="F9290">
        <v>20160218</v>
      </c>
      <c r="G9290" t="s">
        <v>7074</v>
      </c>
      <c r="H9290" t="s">
        <v>7486</v>
      </c>
      <c r="I9290">
        <v>0</v>
      </c>
      <c r="J9290" t="s">
        <v>7024</v>
      </c>
      <c r="K9290" t="s">
        <v>290</v>
      </c>
      <c r="L9290" t="s">
        <v>285</v>
      </c>
      <c r="M9290" t="str">
        <f t="shared" si="692"/>
        <v>02</v>
      </c>
      <c r="N9290" t="s">
        <v>12</v>
      </c>
    </row>
    <row r="9291" spans="1:14" x14ac:dyDescent="0.25">
      <c r="A9291">
        <v>20160219</v>
      </c>
      <c r="B9291" t="str">
        <f>"062485"</f>
        <v>062485</v>
      </c>
      <c r="C9291" t="str">
        <f>"65106"</f>
        <v>65106</v>
      </c>
      <c r="D9291" t="s">
        <v>1568</v>
      </c>
      <c r="E9291" s="3">
        <v>14.4</v>
      </c>
      <c r="F9291">
        <v>20160218</v>
      </c>
      <c r="G9291" t="s">
        <v>7260</v>
      </c>
      <c r="H9291" t="s">
        <v>7486</v>
      </c>
      <c r="I9291">
        <v>0</v>
      </c>
      <c r="J9291" t="s">
        <v>7024</v>
      </c>
      <c r="K9291" t="s">
        <v>290</v>
      </c>
      <c r="L9291" t="s">
        <v>285</v>
      </c>
      <c r="M9291" t="str">
        <f t="shared" si="692"/>
        <v>02</v>
      </c>
      <c r="N9291" t="s">
        <v>12</v>
      </c>
    </row>
    <row r="9292" spans="1:14" x14ac:dyDescent="0.25">
      <c r="A9292">
        <v>20160219</v>
      </c>
      <c r="B9292" t="str">
        <f>"062485"</f>
        <v>062485</v>
      </c>
      <c r="C9292" t="str">
        <f>"65106"</f>
        <v>65106</v>
      </c>
      <c r="D9292" t="s">
        <v>1568</v>
      </c>
      <c r="E9292" s="3">
        <v>86.76</v>
      </c>
      <c r="F9292">
        <v>20160218</v>
      </c>
      <c r="G9292" t="s">
        <v>7126</v>
      </c>
      <c r="H9292" t="s">
        <v>2563</v>
      </c>
      <c r="I9292">
        <v>0</v>
      </c>
      <c r="J9292" t="s">
        <v>7024</v>
      </c>
      <c r="K9292" t="s">
        <v>290</v>
      </c>
      <c r="L9292" t="s">
        <v>285</v>
      </c>
      <c r="M9292" t="str">
        <f t="shared" si="692"/>
        <v>02</v>
      </c>
      <c r="N9292" t="s">
        <v>12</v>
      </c>
    </row>
    <row r="9293" spans="1:14" x14ac:dyDescent="0.25">
      <c r="A9293">
        <v>20160219</v>
      </c>
      <c r="B9293" t="str">
        <f>"062485"</f>
        <v>062485</v>
      </c>
      <c r="C9293" t="str">
        <f>"65106"</f>
        <v>65106</v>
      </c>
      <c r="D9293" t="s">
        <v>1568</v>
      </c>
      <c r="E9293" s="3">
        <v>102.68</v>
      </c>
      <c r="F9293">
        <v>20160218</v>
      </c>
      <c r="G9293" t="s">
        <v>7083</v>
      </c>
      <c r="H9293" t="s">
        <v>7224</v>
      </c>
      <c r="I9293">
        <v>0</v>
      </c>
      <c r="J9293" t="s">
        <v>7024</v>
      </c>
      <c r="K9293" t="s">
        <v>290</v>
      </c>
      <c r="L9293" t="s">
        <v>285</v>
      </c>
      <c r="M9293" t="str">
        <f t="shared" si="692"/>
        <v>02</v>
      </c>
      <c r="N9293" t="s">
        <v>12</v>
      </c>
    </row>
    <row r="9294" spans="1:14" x14ac:dyDescent="0.25">
      <c r="A9294">
        <v>20160219</v>
      </c>
      <c r="B9294" t="str">
        <f>"062486"</f>
        <v>062486</v>
      </c>
      <c r="C9294" t="str">
        <f>"65201"</f>
        <v>65201</v>
      </c>
      <c r="D9294" t="s">
        <v>322</v>
      </c>
      <c r="E9294" s="3">
        <v>35</v>
      </c>
      <c r="F9294">
        <v>20160218</v>
      </c>
      <c r="G9294" t="s">
        <v>7066</v>
      </c>
      <c r="H9294" t="s">
        <v>7487</v>
      </c>
      <c r="I9294">
        <v>0</v>
      </c>
      <c r="J9294" t="s">
        <v>7024</v>
      </c>
      <c r="K9294" t="s">
        <v>7068</v>
      </c>
      <c r="L9294" t="s">
        <v>285</v>
      </c>
      <c r="M9294" t="str">
        <f t="shared" si="692"/>
        <v>02</v>
      </c>
      <c r="N9294" t="s">
        <v>12</v>
      </c>
    </row>
    <row r="9295" spans="1:14" x14ac:dyDescent="0.25">
      <c r="A9295">
        <v>20160219</v>
      </c>
      <c r="B9295" t="str">
        <f>"062506"</f>
        <v>062506</v>
      </c>
      <c r="C9295" t="str">
        <f>"82511"</f>
        <v>82511</v>
      </c>
      <c r="D9295" t="s">
        <v>547</v>
      </c>
      <c r="E9295" s="3">
        <v>125</v>
      </c>
      <c r="F9295">
        <v>20160218</v>
      </c>
      <c r="G9295" t="s">
        <v>7074</v>
      </c>
      <c r="H9295" t="s">
        <v>7488</v>
      </c>
      <c r="I9295">
        <v>0</v>
      </c>
      <c r="J9295" t="s">
        <v>7024</v>
      </c>
      <c r="K9295" t="s">
        <v>290</v>
      </c>
      <c r="L9295" t="s">
        <v>285</v>
      </c>
      <c r="M9295" t="str">
        <f t="shared" si="692"/>
        <v>02</v>
      </c>
      <c r="N9295" t="s">
        <v>12</v>
      </c>
    </row>
    <row r="9296" spans="1:14" x14ac:dyDescent="0.25">
      <c r="A9296">
        <v>20160301</v>
      </c>
      <c r="B9296" t="str">
        <f>"062513"</f>
        <v>062513</v>
      </c>
      <c r="C9296" t="str">
        <f>"14134"</f>
        <v>14134</v>
      </c>
      <c r="D9296" t="s">
        <v>4119</v>
      </c>
      <c r="E9296" s="3">
        <v>210</v>
      </c>
      <c r="F9296">
        <v>20160301</v>
      </c>
      <c r="G9296" t="s">
        <v>7082</v>
      </c>
      <c r="H9296" t="s">
        <v>4120</v>
      </c>
      <c r="I9296">
        <v>0</v>
      </c>
      <c r="J9296" t="s">
        <v>7024</v>
      </c>
      <c r="K9296" t="s">
        <v>95</v>
      </c>
      <c r="L9296" t="s">
        <v>285</v>
      </c>
      <c r="M9296" t="str">
        <f t="shared" ref="M9296:M9327" si="693">"03"</f>
        <v>03</v>
      </c>
      <c r="N9296" t="s">
        <v>12</v>
      </c>
    </row>
    <row r="9297" spans="1:14" x14ac:dyDescent="0.25">
      <c r="A9297">
        <v>20160304</v>
      </c>
      <c r="B9297" t="str">
        <f>"062518"</f>
        <v>062518</v>
      </c>
      <c r="C9297" t="str">
        <f>"00230"</f>
        <v>00230</v>
      </c>
      <c r="D9297" t="s">
        <v>7489</v>
      </c>
      <c r="E9297" s="3">
        <v>199</v>
      </c>
      <c r="F9297">
        <v>20160302</v>
      </c>
      <c r="G9297" t="s">
        <v>7026</v>
      </c>
      <c r="H9297" t="s">
        <v>7490</v>
      </c>
      <c r="I9297">
        <v>0</v>
      </c>
      <c r="J9297" t="s">
        <v>7024</v>
      </c>
      <c r="K9297" t="s">
        <v>1643</v>
      </c>
      <c r="L9297" t="s">
        <v>285</v>
      </c>
      <c r="M9297" t="str">
        <f t="shared" si="693"/>
        <v>03</v>
      </c>
      <c r="N9297" t="s">
        <v>12</v>
      </c>
    </row>
    <row r="9298" spans="1:14" x14ac:dyDescent="0.25">
      <c r="A9298">
        <v>20160304</v>
      </c>
      <c r="B9298" t="str">
        <f>"062523"</f>
        <v>062523</v>
      </c>
      <c r="C9298" t="str">
        <f>"05530"</f>
        <v>05530</v>
      </c>
      <c r="D9298" t="s">
        <v>631</v>
      </c>
      <c r="E9298" s="3">
        <v>347.5</v>
      </c>
      <c r="F9298">
        <v>20160302</v>
      </c>
      <c r="G9298" t="s">
        <v>7023</v>
      </c>
      <c r="H9298" t="s">
        <v>7491</v>
      </c>
      <c r="I9298">
        <v>0</v>
      </c>
      <c r="J9298" t="s">
        <v>7024</v>
      </c>
      <c r="K9298" t="s">
        <v>290</v>
      </c>
      <c r="L9298" t="s">
        <v>285</v>
      </c>
      <c r="M9298" t="str">
        <f t="shared" si="693"/>
        <v>03</v>
      </c>
      <c r="N9298" t="s">
        <v>12</v>
      </c>
    </row>
    <row r="9299" spans="1:14" x14ac:dyDescent="0.25">
      <c r="A9299">
        <v>20160304</v>
      </c>
      <c r="B9299" t="str">
        <f t="shared" ref="B9299:B9307" si="694">"062531"</f>
        <v>062531</v>
      </c>
      <c r="C9299" t="str">
        <f t="shared" ref="C9299:C9307" si="695">"09170"</f>
        <v>09170</v>
      </c>
      <c r="D9299" t="s">
        <v>596</v>
      </c>
      <c r="E9299" s="3">
        <v>91.99</v>
      </c>
      <c r="F9299">
        <v>20160302</v>
      </c>
      <c r="G9299" t="s">
        <v>7114</v>
      </c>
      <c r="H9299" t="s">
        <v>7492</v>
      </c>
      <c r="I9299">
        <v>0</v>
      </c>
      <c r="J9299" t="s">
        <v>7024</v>
      </c>
      <c r="K9299" t="s">
        <v>2724</v>
      </c>
      <c r="L9299" t="s">
        <v>285</v>
      </c>
      <c r="M9299" t="str">
        <f t="shared" si="693"/>
        <v>03</v>
      </c>
      <c r="N9299" t="s">
        <v>12</v>
      </c>
    </row>
    <row r="9300" spans="1:14" x14ac:dyDescent="0.25">
      <c r="A9300">
        <v>20160304</v>
      </c>
      <c r="B9300" t="str">
        <f t="shared" si="694"/>
        <v>062531</v>
      </c>
      <c r="C9300" t="str">
        <f t="shared" si="695"/>
        <v>09170</v>
      </c>
      <c r="D9300" t="s">
        <v>596</v>
      </c>
      <c r="E9300" s="3">
        <v>237.7</v>
      </c>
      <c r="F9300">
        <v>20160302</v>
      </c>
      <c r="G9300" t="s">
        <v>7114</v>
      </c>
      <c r="H9300" t="s">
        <v>7493</v>
      </c>
      <c r="I9300">
        <v>0</v>
      </c>
      <c r="J9300" t="s">
        <v>7024</v>
      </c>
      <c r="K9300" t="s">
        <v>2724</v>
      </c>
      <c r="L9300" t="s">
        <v>285</v>
      </c>
      <c r="M9300" t="str">
        <f t="shared" si="693"/>
        <v>03</v>
      </c>
      <c r="N9300" t="s">
        <v>12</v>
      </c>
    </row>
    <row r="9301" spans="1:14" x14ac:dyDescent="0.25">
      <c r="A9301">
        <v>20160304</v>
      </c>
      <c r="B9301" t="str">
        <f t="shared" si="694"/>
        <v>062531</v>
      </c>
      <c r="C9301" t="str">
        <f t="shared" si="695"/>
        <v>09170</v>
      </c>
      <c r="D9301" t="s">
        <v>596</v>
      </c>
      <c r="E9301" s="3">
        <v>59.97</v>
      </c>
      <c r="F9301">
        <v>20160302</v>
      </c>
      <c r="G9301" t="s">
        <v>7114</v>
      </c>
      <c r="H9301" t="s">
        <v>3714</v>
      </c>
      <c r="I9301">
        <v>0</v>
      </c>
      <c r="J9301" t="s">
        <v>7024</v>
      </c>
      <c r="K9301" t="s">
        <v>2724</v>
      </c>
      <c r="L9301" t="s">
        <v>285</v>
      </c>
      <c r="M9301" t="str">
        <f t="shared" si="693"/>
        <v>03</v>
      </c>
      <c r="N9301" t="s">
        <v>12</v>
      </c>
    </row>
    <row r="9302" spans="1:14" x14ac:dyDescent="0.25">
      <c r="A9302">
        <v>20160304</v>
      </c>
      <c r="B9302" t="str">
        <f t="shared" si="694"/>
        <v>062531</v>
      </c>
      <c r="C9302" t="str">
        <f t="shared" si="695"/>
        <v>09170</v>
      </c>
      <c r="D9302" t="s">
        <v>596</v>
      </c>
      <c r="E9302" s="3">
        <v>192.78</v>
      </c>
      <c r="F9302">
        <v>20160302</v>
      </c>
      <c r="G9302" t="s">
        <v>7494</v>
      </c>
      <c r="H9302" t="s">
        <v>7495</v>
      </c>
      <c r="I9302">
        <v>0</v>
      </c>
      <c r="J9302" t="s">
        <v>7024</v>
      </c>
      <c r="K9302" t="s">
        <v>2724</v>
      </c>
      <c r="L9302" t="s">
        <v>285</v>
      </c>
      <c r="M9302" t="str">
        <f t="shared" si="693"/>
        <v>03</v>
      </c>
      <c r="N9302" t="s">
        <v>12</v>
      </c>
    </row>
    <row r="9303" spans="1:14" x14ac:dyDescent="0.25">
      <c r="A9303">
        <v>20160304</v>
      </c>
      <c r="B9303" t="str">
        <f t="shared" si="694"/>
        <v>062531</v>
      </c>
      <c r="C9303" t="str">
        <f t="shared" si="695"/>
        <v>09170</v>
      </c>
      <c r="D9303" t="s">
        <v>596</v>
      </c>
      <c r="E9303" s="3">
        <v>300</v>
      </c>
      <c r="F9303">
        <v>20160302</v>
      </c>
      <c r="G9303" t="s">
        <v>7147</v>
      </c>
      <c r="H9303" t="s">
        <v>7496</v>
      </c>
      <c r="I9303">
        <v>0</v>
      </c>
      <c r="J9303" t="s">
        <v>7024</v>
      </c>
      <c r="K9303" t="s">
        <v>290</v>
      </c>
      <c r="L9303" t="s">
        <v>285</v>
      </c>
      <c r="M9303" t="str">
        <f t="shared" si="693"/>
        <v>03</v>
      </c>
      <c r="N9303" t="s">
        <v>12</v>
      </c>
    </row>
    <row r="9304" spans="1:14" x14ac:dyDescent="0.25">
      <c r="A9304">
        <v>20160304</v>
      </c>
      <c r="B9304" t="str">
        <f t="shared" si="694"/>
        <v>062531</v>
      </c>
      <c r="C9304" t="str">
        <f t="shared" si="695"/>
        <v>09170</v>
      </c>
      <c r="D9304" t="s">
        <v>596</v>
      </c>
      <c r="E9304" s="3">
        <v>253.72</v>
      </c>
      <c r="F9304">
        <v>20160302</v>
      </c>
      <c r="G9304" t="s">
        <v>7110</v>
      </c>
      <c r="H9304" t="s">
        <v>7497</v>
      </c>
      <c r="I9304">
        <v>0</v>
      </c>
      <c r="J9304" t="s">
        <v>7024</v>
      </c>
      <c r="K9304" t="s">
        <v>290</v>
      </c>
      <c r="L9304" t="s">
        <v>285</v>
      </c>
      <c r="M9304" t="str">
        <f t="shared" si="693"/>
        <v>03</v>
      </c>
      <c r="N9304" t="s">
        <v>12</v>
      </c>
    </row>
    <row r="9305" spans="1:14" x14ac:dyDescent="0.25">
      <c r="A9305">
        <v>20160304</v>
      </c>
      <c r="B9305" t="str">
        <f t="shared" si="694"/>
        <v>062531</v>
      </c>
      <c r="C9305" t="str">
        <f t="shared" si="695"/>
        <v>09170</v>
      </c>
      <c r="D9305" t="s">
        <v>596</v>
      </c>
      <c r="E9305" s="3">
        <v>16.98</v>
      </c>
      <c r="F9305">
        <v>20160302</v>
      </c>
      <c r="G9305" t="s">
        <v>7082</v>
      </c>
      <c r="H9305" t="s">
        <v>7498</v>
      </c>
      <c r="I9305">
        <v>0</v>
      </c>
      <c r="J9305" t="s">
        <v>7024</v>
      </c>
      <c r="K9305" t="s">
        <v>95</v>
      </c>
      <c r="L9305" t="s">
        <v>285</v>
      </c>
      <c r="M9305" t="str">
        <f t="shared" si="693"/>
        <v>03</v>
      </c>
      <c r="N9305" t="s">
        <v>12</v>
      </c>
    </row>
    <row r="9306" spans="1:14" x14ac:dyDescent="0.25">
      <c r="A9306">
        <v>20160304</v>
      </c>
      <c r="B9306" t="str">
        <f t="shared" si="694"/>
        <v>062531</v>
      </c>
      <c r="C9306" t="str">
        <f t="shared" si="695"/>
        <v>09170</v>
      </c>
      <c r="D9306" t="s">
        <v>596</v>
      </c>
      <c r="E9306" s="3">
        <v>17.98</v>
      </c>
      <c r="F9306">
        <v>20160302</v>
      </c>
      <c r="G9306" t="s">
        <v>7082</v>
      </c>
      <c r="H9306" t="s">
        <v>7498</v>
      </c>
      <c r="I9306">
        <v>0</v>
      </c>
      <c r="J9306" t="s">
        <v>7024</v>
      </c>
      <c r="K9306" t="s">
        <v>95</v>
      </c>
      <c r="L9306" t="s">
        <v>285</v>
      </c>
      <c r="M9306" t="str">
        <f t="shared" si="693"/>
        <v>03</v>
      </c>
      <c r="N9306" t="s">
        <v>12</v>
      </c>
    </row>
    <row r="9307" spans="1:14" x14ac:dyDescent="0.25">
      <c r="A9307">
        <v>20160304</v>
      </c>
      <c r="B9307" t="str">
        <f t="shared" si="694"/>
        <v>062531</v>
      </c>
      <c r="C9307" t="str">
        <f t="shared" si="695"/>
        <v>09170</v>
      </c>
      <c r="D9307" t="s">
        <v>596</v>
      </c>
      <c r="E9307" s="3">
        <v>81.319999999999993</v>
      </c>
      <c r="F9307">
        <v>20160302</v>
      </c>
      <c r="G9307" t="s">
        <v>7026</v>
      </c>
      <c r="H9307" t="s">
        <v>2679</v>
      </c>
      <c r="I9307">
        <v>0</v>
      </c>
      <c r="J9307" t="s">
        <v>7024</v>
      </c>
      <c r="K9307" t="s">
        <v>1643</v>
      </c>
      <c r="L9307" t="s">
        <v>285</v>
      </c>
      <c r="M9307" t="str">
        <f t="shared" si="693"/>
        <v>03</v>
      </c>
      <c r="N9307" t="s">
        <v>12</v>
      </c>
    </row>
    <row r="9308" spans="1:14" x14ac:dyDescent="0.25">
      <c r="A9308">
        <v>20160304</v>
      </c>
      <c r="B9308" t="str">
        <f>"062535"</f>
        <v>062535</v>
      </c>
      <c r="C9308" t="str">
        <f>"12000"</f>
        <v>12000</v>
      </c>
      <c r="D9308" t="s">
        <v>3765</v>
      </c>
      <c r="E9308" s="3">
        <v>2295</v>
      </c>
      <c r="F9308">
        <v>20160303</v>
      </c>
      <c r="G9308" t="s">
        <v>7026</v>
      </c>
      <c r="H9308" t="s">
        <v>7499</v>
      </c>
      <c r="I9308">
        <v>0</v>
      </c>
      <c r="J9308" t="s">
        <v>7024</v>
      </c>
      <c r="K9308" t="s">
        <v>1643</v>
      </c>
      <c r="L9308" t="s">
        <v>285</v>
      </c>
      <c r="M9308" t="str">
        <f t="shared" si="693"/>
        <v>03</v>
      </c>
      <c r="N9308" t="s">
        <v>12</v>
      </c>
    </row>
    <row r="9309" spans="1:14" x14ac:dyDescent="0.25">
      <c r="A9309">
        <v>20160304</v>
      </c>
      <c r="B9309" t="str">
        <f>"062549"</f>
        <v>062549</v>
      </c>
      <c r="C9309" t="str">
        <f>"25221"</f>
        <v>25221</v>
      </c>
      <c r="D9309" t="s">
        <v>2099</v>
      </c>
      <c r="E9309" s="3">
        <v>139.22999999999999</v>
      </c>
      <c r="F9309">
        <v>20160303</v>
      </c>
      <c r="G9309" t="s">
        <v>7192</v>
      </c>
      <c r="H9309" t="s">
        <v>2644</v>
      </c>
      <c r="I9309">
        <v>0</v>
      </c>
      <c r="J9309" t="s">
        <v>7024</v>
      </c>
      <c r="K9309" t="s">
        <v>33</v>
      </c>
      <c r="L9309" t="s">
        <v>285</v>
      </c>
      <c r="M9309" t="str">
        <f t="shared" si="693"/>
        <v>03</v>
      </c>
      <c r="N9309" t="s">
        <v>12</v>
      </c>
    </row>
    <row r="9310" spans="1:14" x14ac:dyDescent="0.25">
      <c r="A9310">
        <v>20160304</v>
      </c>
      <c r="B9310" t="str">
        <f>"062552"</f>
        <v>062552</v>
      </c>
      <c r="C9310" t="str">
        <f>"28680"</f>
        <v>28680</v>
      </c>
      <c r="D9310" t="s">
        <v>422</v>
      </c>
      <c r="E9310" s="3">
        <v>104</v>
      </c>
      <c r="F9310">
        <v>20160303</v>
      </c>
      <c r="G9310" t="s">
        <v>7023</v>
      </c>
      <c r="H9310" t="s">
        <v>1077</v>
      </c>
      <c r="I9310">
        <v>0</v>
      </c>
      <c r="J9310" t="s">
        <v>7024</v>
      </c>
      <c r="K9310" t="s">
        <v>290</v>
      </c>
      <c r="L9310" t="s">
        <v>285</v>
      </c>
      <c r="M9310" t="str">
        <f t="shared" si="693"/>
        <v>03</v>
      </c>
      <c r="N9310" t="s">
        <v>12</v>
      </c>
    </row>
    <row r="9311" spans="1:14" x14ac:dyDescent="0.25">
      <c r="A9311">
        <v>20160304</v>
      </c>
      <c r="B9311" t="str">
        <f>"062559"</f>
        <v>062559</v>
      </c>
      <c r="C9311" t="str">
        <f>"30585"</f>
        <v>30585</v>
      </c>
      <c r="D9311" t="s">
        <v>7500</v>
      </c>
      <c r="E9311" s="3">
        <v>1400</v>
      </c>
      <c r="F9311">
        <v>20160303</v>
      </c>
      <c r="G9311" t="s">
        <v>7501</v>
      </c>
      <c r="H9311" t="s">
        <v>7502</v>
      </c>
      <c r="I9311">
        <v>0</v>
      </c>
      <c r="J9311" t="s">
        <v>7024</v>
      </c>
      <c r="K9311" t="s">
        <v>290</v>
      </c>
      <c r="L9311" t="s">
        <v>285</v>
      </c>
      <c r="M9311" t="str">
        <f t="shared" si="693"/>
        <v>03</v>
      </c>
      <c r="N9311" t="s">
        <v>12</v>
      </c>
    </row>
    <row r="9312" spans="1:14" x14ac:dyDescent="0.25">
      <c r="A9312">
        <v>20160304</v>
      </c>
      <c r="B9312" t="str">
        <f>"062561"</f>
        <v>062561</v>
      </c>
      <c r="C9312" t="str">
        <f>"31345"</f>
        <v>31345</v>
      </c>
      <c r="D9312" t="s">
        <v>426</v>
      </c>
      <c r="E9312" s="3">
        <v>584</v>
      </c>
      <c r="F9312">
        <v>20160303</v>
      </c>
      <c r="G9312" t="s">
        <v>7026</v>
      </c>
      <c r="H9312" t="s">
        <v>7078</v>
      </c>
      <c r="I9312">
        <v>0</v>
      </c>
      <c r="J9312" t="s">
        <v>7024</v>
      </c>
      <c r="K9312" t="s">
        <v>1643</v>
      </c>
      <c r="L9312" t="s">
        <v>285</v>
      </c>
      <c r="M9312" t="str">
        <f t="shared" si="693"/>
        <v>03</v>
      </c>
      <c r="N9312" t="s">
        <v>12</v>
      </c>
    </row>
    <row r="9313" spans="1:14" x14ac:dyDescent="0.25">
      <c r="A9313">
        <v>20160304</v>
      </c>
      <c r="B9313" t="str">
        <f>"062564"</f>
        <v>062564</v>
      </c>
      <c r="C9313" t="str">
        <f>"34880"</f>
        <v>34880</v>
      </c>
      <c r="D9313" t="s">
        <v>150</v>
      </c>
      <c r="E9313" s="3">
        <v>1648.8</v>
      </c>
      <c r="F9313">
        <v>20160303</v>
      </c>
      <c r="G9313" t="s">
        <v>7062</v>
      </c>
      <c r="H9313" t="s">
        <v>7503</v>
      </c>
      <c r="I9313">
        <v>0</v>
      </c>
      <c r="J9313" t="s">
        <v>7024</v>
      </c>
      <c r="K9313" t="s">
        <v>290</v>
      </c>
      <c r="L9313" t="s">
        <v>285</v>
      </c>
      <c r="M9313" t="str">
        <f t="shared" si="693"/>
        <v>03</v>
      </c>
      <c r="N9313" t="s">
        <v>12</v>
      </c>
    </row>
    <row r="9314" spans="1:14" x14ac:dyDescent="0.25">
      <c r="A9314">
        <v>20160304</v>
      </c>
      <c r="B9314" t="str">
        <f>"062568"</f>
        <v>062568</v>
      </c>
      <c r="C9314" t="str">
        <f>"35746"</f>
        <v>35746</v>
      </c>
      <c r="D9314" t="s">
        <v>7504</v>
      </c>
      <c r="E9314" s="3">
        <v>804.59</v>
      </c>
      <c r="F9314">
        <v>20160303</v>
      </c>
      <c r="G9314" t="s">
        <v>7094</v>
      </c>
      <c r="H9314" t="s">
        <v>2091</v>
      </c>
      <c r="I9314">
        <v>0</v>
      </c>
      <c r="J9314" t="s">
        <v>7024</v>
      </c>
      <c r="K9314" t="s">
        <v>1643</v>
      </c>
      <c r="L9314" t="s">
        <v>285</v>
      </c>
      <c r="M9314" t="str">
        <f t="shared" si="693"/>
        <v>03</v>
      </c>
      <c r="N9314" t="s">
        <v>12</v>
      </c>
    </row>
    <row r="9315" spans="1:14" x14ac:dyDescent="0.25">
      <c r="A9315">
        <v>20160304</v>
      </c>
      <c r="B9315" t="str">
        <f>"062578"</f>
        <v>062578</v>
      </c>
      <c r="C9315" t="str">
        <f>"57791"</f>
        <v>57791</v>
      </c>
      <c r="D9315" t="s">
        <v>1878</v>
      </c>
      <c r="E9315" s="3">
        <v>79.17</v>
      </c>
      <c r="F9315">
        <v>20160303</v>
      </c>
      <c r="G9315" t="s">
        <v>7026</v>
      </c>
      <c r="H9315" t="s">
        <v>2125</v>
      </c>
      <c r="I9315">
        <v>0</v>
      </c>
      <c r="J9315" t="s">
        <v>7024</v>
      </c>
      <c r="K9315" t="s">
        <v>1643</v>
      </c>
      <c r="L9315" t="s">
        <v>285</v>
      </c>
      <c r="M9315" t="str">
        <f t="shared" si="693"/>
        <v>03</v>
      </c>
      <c r="N9315" t="s">
        <v>12</v>
      </c>
    </row>
    <row r="9316" spans="1:14" x14ac:dyDescent="0.25">
      <c r="A9316">
        <v>20160304</v>
      </c>
      <c r="B9316" t="str">
        <f>"062578"</f>
        <v>062578</v>
      </c>
      <c r="C9316" t="str">
        <f>"57791"</f>
        <v>57791</v>
      </c>
      <c r="D9316" t="s">
        <v>1878</v>
      </c>
      <c r="E9316" s="3">
        <v>28.94</v>
      </c>
      <c r="F9316">
        <v>20160303</v>
      </c>
      <c r="G9316" t="s">
        <v>7026</v>
      </c>
      <c r="H9316" t="s">
        <v>7505</v>
      </c>
      <c r="I9316">
        <v>0</v>
      </c>
      <c r="J9316" t="s">
        <v>7024</v>
      </c>
      <c r="K9316" t="s">
        <v>1643</v>
      </c>
      <c r="L9316" t="s">
        <v>285</v>
      </c>
      <c r="M9316" t="str">
        <f t="shared" si="693"/>
        <v>03</v>
      </c>
      <c r="N9316" t="s">
        <v>12</v>
      </c>
    </row>
    <row r="9317" spans="1:14" x14ac:dyDescent="0.25">
      <c r="A9317">
        <v>20160304</v>
      </c>
      <c r="B9317" t="str">
        <f>"062578"</f>
        <v>062578</v>
      </c>
      <c r="C9317" t="str">
        <f>"57791"</f>
        <v>57791</v>
      </c>
      <c r="D9317" t="s">
        <v>1878</v>
      </c>
      <c r="E9317" s="3">
        <v>6.61</v>
      </c>
      <c r="F9317">
        <v>20160303</v>
      </c>
      <c r="G9317" t="s">
        <v>7086</v>
      </c>
      <c r="H9317" t="s">
        <v>2125</v>
      </c>
      <c r="I9317">
        <v>0</v>
      </c>
      <c r="J9317" t="s">
        <v>7024</v>
      </c>
      <c r="K9317" t="s">
        <v>290</v>
      </c>
      <c r="L9317" t="s">
        <v>285</v>
      </c>
      <c r="M9317" t="str">
        <f t="shared" si="693"/>
        <v>03</v>
      </c>
      <c r="N9317" t="s">
        <v>12</v>
      </c>
    </row>
    <row r="9318" spans="1:14" x14ac:dyDescent="0.25">
      <c r="A9318">
        <v>20160304</v>
      </c>
      <c r="B9318" t="str">
        <f>"062578"</f>
        <v>062578</v>
      </c>
      <c r="C9318" t="str">
        <f>"57791"</f>
        <v>57791</v>
      </c>
      <c r="D9318" t="s">
        <v>1878</v>
      </c>
      <c r="E9318" s="3">
        <v>3.99</v>
      </c>
      <c r="F9318">
        <v>20160303</v>
      </c>
      <c r="G9318" t="s">
        <v>7086</v>
      </c>
      <c r="H9318" t="s">
        <v>7506</v>
      </c>
      <c r="I9318">
        <v>0</v>
      </c>
      <c r="J9318" t="s">
        <v>7024</v>
      </c>
      <c r="K9318" t="s">
        <v>290</v>
      </c>
      <c r="L9318" t="s">
        <v>285</v>
      </c>
      <c r="M9318" t="str">
        <f t="shared" si="693"/>
        <v>03</v>
      </c>
      <c r="N9318" t="s">
        <v>12</v>
      </c>
    </row>
    <row r="9319" spans="1:14" x14ac:dyDescent="0.25">
      <c r="A9319">
        <v>20160304</v>
      </c>
      <c r="B9319" t="str">
        <f>"062583"</f>
        <v>062583</v>
      </c>
      <c r="C9319" t="str">
        <f>"80056"</f>
        <v>80056</v>
      </c>
      <c r="D9319" t="s">
        <v>2751</v>
      </c>
      <c r="E9319" s="3">
        <v>90.41</v>
      </c>
      <c r="F9319">
        <v>20160303</v>
      </c>
      <c r="G9319" t="s">
        <v>7292</v>
      </c>
      <c r="H9319" t="s">
        <v>7507</v>
      </c>
      <c r="I9319">
        <v>0</v>
      </c>
      <c r="J9319" t="s">
        <v>7024</v>
      </c>
      <c r="K9319" t="s">
        <v>290</v>
      </c>
      <c r="L9319" t="s">
        <v>285</v>
      </c>
      <c r="M9319" t="str">
        <f t="shared" si="693"/>
        <v>03</v>
      </c>
      <c r="N9319" t="s">
        <v>12</v>
      </c>
    </row>
    <row r="9320" spans="1:14" x14ac:dyDescent="0.25">
      <c r="A9320">
        <v>20160304</v>
      </c>
      <c r="B9320" t="str">
        <f>"062595"</f>
        <v>062595</v>
      </c>
      <c r="C9320" t="str">
        <f>"56564"</f>
        <v>56564</v>
      </c>
      <c r="D9320" t="s">
        <v>1578</v>
      </c>
      <c r="E9320" s="3">
        <v>343.16</v>
      </c>
      <c r="F9320">
        <v>20160303</v>
      </c>
      <c r="G9320" t="s">
        <v>7026</v>
      </c>
      <c r="H9320" t="s">
        <v>2169</v>
      </c>
      <c r="I9320">
        <v>0</v>
      </c>
      <c r="J9320" t="s">
        <v>7024</v>
      </c>
      <c r="K9320" t="s">
        <v>1643</v>
      </c>
      <c r="L9320" t="s">
        <v>285</v>
      </c>
      <c r="M9320" t="str">
        <f t="shared" si="693"/>
        <v>03</v>
      </c>
      <c r="N9320" t="s">
        <v>12</v>
      </c>
    </row>
    <row r="9321" spans="1:14" x14ac:dyDescent="0.25">
      <c r="A9321">
        <v>20160304</v>
      </c>
      <c r="B9321" t="str">
        <f>"062597"</f>
        <v>062597</v>
      </c>
      <c r="C9321" t="str">
        <f>"57322"</f>
        <v>57322</v>
      </c>
      <c r="D9321" t="s">
        <v>957</v>
      </c>
      <c r="E9321" s="3">
        <v>32.6</v>
      </c>
      <c r="F9321">
        <v>20160303</v>
      </c>
      <c r="G9321" t="s">
        <v>7023</v>
      </c>
      <c r="H9321" t="s">
        <v>958</v>
      </c>
      <c r="I9321">
        <v>0</v>
      </c>
      <c r="J9321" t="s">
        <v>7024</v>
      </c>
      <c r="K9321" t="s">
        <v>290</v>
      </c>
      <c r="L9321" t="s">
        <v>285</v>
      </c>
      <c r="M9321" t="str">
        <f t="shared" si="693"/>
        <v>03</v>
      </c>
      <c r="N9321" t="s">
        <v>12</v>
      </c>
    </row>
    <row r="9322" spans="1:14" x14ac:dyDescent="0.25">
      <c r="A9322">
        <v>20160304</v>
      </c>
      <c r="B9322" t="str">
        <f>"062605"</f>
        <v>062605</v>
      </c>
      <c r="C9322" t="str">
        <f>"65180"</f>
        <v>65180</v>
      </c>
      <c r="D9322" t="s">
        <v>7508</v>
      </c>
      <c r="E9322" s="3">
        <v>104</v>
      </c>
      <c r="F9322">
        <v>20160303</v>
      </c>
      <c r="G9322" t="s">
        <v>7212</v>
      </c>
      <c r="H9322" t="s">
        <v>7509</v>
      </c>
      <c r="I9322">
        <v>0</v>
      </c>
      <c r="J9322" t="s">
        <v>7024</v>
      </c>
      <c r="K9322" t="s">
        <v>290</v>
      </c>
      <c r="L9322" t="s">
        <v>285</v>
      </c>
      <c r="M9322" t="str">
        <f t="shared" si="693"/>
        <v>03</v>
      </c>
      <c r="N9322" t="s">
        <v>12</v>
      </c>
    </row>
    <row r="9323" spans="1:14" x14ac:dyDescent="0.25">
      <c r="A9323">
        <v>20160304</v>
      </c>
      <c r="B9323" t="str">
        <f>"062609"</f>
        <v>062609</v>
      </c>
      <c r="C9323" t="str">
        <f>"65826"</f>
        <v>65826</v>
      </c>
      <c r="D9323" t="s">
        <v>2386</v>
      </c>
      <c r="E9323" s="3">
        <v>348.92</v>
      </c>
      <c r="F9323">
        <v>20160304</v>
      </c>
      <c r="G9323" t="s">
        <v>7049</v>
      </c>
      <c r="H9323" t="s">
        <v>595</v>
      </c>
      <c r="I9323">
        <v>0</v>
      </c>
      <c r="J9323" t="s">
        <v>7024</v>
      </c>
      <c r="K9323" t="s">
        <v>33</v>
      </c>
      <c r="L9323" t="s">
        <v>285</v>
      </c>
      <c r="M9323" t="str">
        <f t="shared" si="693"/>
        <v>03</v>
      </c>
      <c r="N9323" t="s">
        <v>12</v>
      </c>
    </row>
    <row r="9324" spans="1:14" x14ac:dyDescent="0.25">
      <c r="A9324">
        <v>20160304</v>
      </c>
      <c r="B9324" t="str">
        <f>"062610"</f>
        <v>062610</v>
      </c>
      <c r="C9324" t="str">
        <f>"08907"</f>
        <v>08907</v>
      </c>
      <c r="D9324" t="s">
        <v>7163</v>
      </c>
      <c r="E9324" s="3">
        <v>903</v>
      </c>
      <c r="F9324">
        <v>20160304</v>
      </c>
      <c r="G9324" t="s">
        <v>7066</v>
      </c>
      <c r="H9324" t="s">
        <v>7510</v>
      </c>
      <c r="I9324">
        <v>0</v>
      </c>
      <c r="J9324" t="s">
        <v>7024</v>
      </c>
      <c r="K9324" t="s">
        <v>7068</v>
      </c>
      <c r="L9324" t="s">
        <v>285</v>
      </c>
      <c r="M9324" t="str">
        <f t="shared" si="693"/>
        <v>03</v>
      </c>
      <c r="N9324" t="s">
        <v>12</v>
      </c>
    </row>
    <row r="9325" spans="1:14" x14ac:dyDescent="0.25">
      <c r="A9325">
        <v>20160304</v>
      </c>
      <c r="B9325" t="str">
        <f>"062617"</f>
        <v>062617</v>
      </c>
      <c r="C9325" t="str">
        <f>"24519"</f>
        <v>24519</v>
      </c>
      <c r="D9325" t="s">
        <v>7046</v>
      </c>
      <c r="E9325" s="3">
        <v>1800</v>
      </c>
      <c r="F9325">
        <v>20160303</v>
      </c>
      <c r="G9325" t="s">
        <v>7026</v>
      </c>
      <c r="H9325" t="s">
        <v>7511</v>
      </c>
      <c r="I9325">
        <v>0</v>
      </c>
      <c r="J9325" t="s">
        <v>7024</v>
      </c>
      <c r="K9325" t="s">
        <v>1643</v>
      </c>
      <c r="L9325" t="s">
        <v>285</v>
      </c>
      <c r="M9325" t="str">
        <f t="shared" si="693"/>
        <v>03</v>
      </c>
      <c r="N9325" t="s">
        <v>12</v>
      </c>
    </row>
    <row r="9326" spans="1:14" x14ac:dyDescent="0.25">
      <c r="A9326">
        <v>20160304</v>
      </c>
      <c r="B9326" t="str">
        <f>"062621"</f>
        <v>062621</v>
      </c>
      <c r="C9326" t="str">
        <f>"80755"</f>
        <v>80755</v>
      </c>
      <c r="D9326" t="s">
        <v>723</v>
      </c>
      <c r="E9326" s="3">
        <v>832</v>
      </c>
      <c r="F9326">
        <v>20160304</v>
      </c>
      <c r="G9326" t="s">
        <v>7372</v>
      </c>
      <c r="H9326" t="s">
        <v>7512</v>
      </c>
      <c r="I9326">
        <v>0</v>
      </c>
      <c r="J9326" t="s">
        <v>7024</v>
      </c>
      <c r="K9326" t="s">
        <v>290</v>
      </c>
      <c r="L9326" t="s">
        <v>285</v>
      </c>
      <c r="M9326" t="str">
        <f t="shared" si="693"/>
        <v>03</v>
      </c>
      <c r="N9326" t="s">
        <v>12</v>
      </c>
    </row>
    <row r="9327" spans="1:14" x14ac:dyDescent="0.25">
      <c r="A9327">
        <v>20160304</v>
      </c>
      <c r="B9327" t="str">
        <f>"062621"</f>
        <v>062621</v>
      </c>
      <c r="C9327" t="str">
        <f>"80755"</f>
        <v>80755</v>
      </c>
      <c r="D9327" t="s">
        <v>723</v>
      </c>
      <c r="E9327" s="3">
        <v>2931</v>
      </c>
      <c r="F9327">
        <v>20160304</v>
      </c>
      <c r="G9327" t="s">
        <v>7227</v>
      </c>
      <c r="H9327" t="s">
        <v>1405</v>
      </c>
      <c r="I9327">
        <v>0</v>
      </c>
      <c r="J9327" t="s">
        <v>7024</v>
      </c>
      <c r="K9327" t="s">
        <v>290</v>
      </c>
      <c r="L9327" t="s">
        <v>285</v>
      </c>
      <c r="M9327" t="str">
        <f t="shared" si="693"/>
        <v>03</v>
      </c>
      <c r="N9327" t="s">
        <v>12</v>
      </c>
    </row>
    <row r="9328" spans="1:14" x14ac:dyDescent="0.25">
      <c r="A9328">
        <v>20160304</v>
      </c>
      <c r="B9328" t="str">
        <f>"062621"</f>
        <v>062621</v>
      </c>
      <c r="C9328" t="str">
        <f>"80755"</f>
        <v>80755</v>
      </c>
      <c r="D9328" t="s">
        <v>723</v>
      </c>
      <c r="E9328" s="3">
        <v>500</v>
      </c>
      <c r="F9328">
        <v>20160304</v>
      </c>
      <c r="G9328" t="s">
        <v>7227</v>
      </c>
      <c r="H9328" t="s">
        <v>7513</v>
      </c>
      <c r="I9328">
        <v>0</v>
      </c>
      <c r="J9328" t="s">
        <v>7024</v>
      </c>
      <c r="K9328" t="s">
        <v>290</v>
      </c>
      <c r="L9328" t="s">
        <v>285</v>
      </c>
      <c r="M9328" t="str">
        <f t="shared" ref="M9328:M9359" si="696">"03"</f>
        <v>03</v>
      </c>
      <c r="N9328" t="s">
        <v>12</v>
      </c>
    </row>
    <row r="9329" spans="1:14" x14ac:dyDescent="0.25">
      <c r="A9329">
        <v>20160304</v>
      </c>
      <c r="B9329" t="str">
        <f>"062621"</f>
        <v>062621</v>
      </c>
      <c r="C9329" t="str">
        <f>"80755"</f>
        <v>80755</v>
      </c>
      <c r="D9329" t="s">
        <v>723</v>
      </c>
      <c r="E9329" s="3">
        <v>875</v>
      </c>
      <c r="F9329">
        <v>20160304</v>
      </c>
      <c r="G9329" t="s">
        <v>7227</v>
      </c>
      <c r="H9329" t="s">
        <v>7513</v>
      </c>
      <c r="I9329">
        <v>0</v>
      </c>
      <c r="J9329" t="s">
        <v>7024</v>
      </c>
      <c r="K9329" t="s">
        <v>290</v>
      </c>
      <c r="L9329" t="s">
        <v>285</v>
      </c>
      <c r="M9329" t="str">
        <f t="shared" si="696"/>
        <v>03</v>
      </c>
      <c r="N9329" t="s">
        <v>12</v>
      </c>
    </row>
    <row r="9330" spans="1:14" x14ac:dyDescent="0.25">
      <c r="A9330">
        <v>20160304</v>
      </c>
      <c r="B9330" t="str">
        <f>"062622"</f>
        <v>062622</v>
      </c>
      <c r="C9330" t="str">
        <f>"80756"</f>
        <v>80756</v>
      </c>
      <c r="D9330" t="s">
        <v>521</v>
      </c>
      <c r="E9330" s="3">
        <v>310</v>
      </c>
      <c r="F9330">
        <v>20160304</v>
      </c>
      <c r="G9330" t="s">
        <v>7026</v>
      </c>
      <c r="H9330" t="s">
        <v>7514</v>
      </c>
      <c r="I9330">
        <v>0</v>
      </c>
      <c r="J9330" t="s">
        <v>7024</v>
      </c>
      <c r="K9330" t="s">
        <v>1643</v>
      </c>
      <c r="L9330" t="s">
        <v>285</v>
      </c>
      <c r="M9330" t="str">
        <f t="shared" si="696"/>
        <v>03</v>
      </c>
      <c r="N9330" t="s">
        <v>12</v>
      </c>
    </row>
    <row r="9331" spans="1:14" x14ac:dyDescent="0.25">
      <c r="A9331">
        <v>20160304</v>
      </c>
      <c r="B9331" t="str">
        <f t="shared" ref="B9331:B9349" si="697">"062627"</f>
        <v>062627</v>
      </c>
      <c r="C9331" t="str">
        <f t="shared" ref="C9331:C9349" si="698">"83022"</f>
        <v>83022</v>
      </c>
      <c r="D9331" t="s">
        <v>394</v>
      </c>
      <c r="E9331" s="3">
        <v>490.46</v>
      </c>
      <c r="F9331">
        <v>20160304</v>
      </c>
      <c r="G9331" t="s">
        <v>7074</v>
      </c>
      <c r="H9331" t="s">
        <v>7515</v>
      </c>
      <c r="I9331">
        <v>0</v>
      </c>
      <c r="J9331" t="s">
        <v>7024</v>
      </c>
      <c r="K9331" t="s">
        <v>290</v>
      </c>
      <c r="L9331" t="s">
        <v>285</v>
      </c>
      <c r="M9331" t="str">
        <f t="shared" si="696"/>
        <v>03</v>
      </c>
      <c r="N9331" t="s">
        <v>12</v>
      </c>
    </row>
    <row r="9332" spans="1:14" x14ac:dyDescent="0.25">
      <c r="A9332">
        <v>20160304</v>
      </c>
      <c r="B9332" t="str">
        <f t="shared" si="697"/>
        <v>062627</v>
      </c>
      <c r="C9332" t="str">
        <f t="shared" si="698"/>
        <v>83022</v>
      </c>
      <c r="D9332" t="s">
        <v>394</v>
      </c>
      <c r="E9332" s="3">
        <v>217.93</v>
      </c>
      <c r="F9332">
        <v>20160304</v>
      </c>
      <c r="G9332" t="s">
        <v>7074</v>
      </c>
      <c r="H9332" t="s">
        <v>7486</v>
      </c>
      <c r="I9332">
        <v>0</v>
      </c>
      <c r="J9332" t="s">
        <v>7024</v>
      </c>
      <c r="K9332" t="s">
        <v>290</v>
      </c>
      <c r="L9332" t="s">
        <v>285</v>
      </c>
      <c r="M9332" t="str">
        <f t="shared" si="696"/>
        <v>03</v>
      </c>
      <c r="N9332" t="s">
        <v>12</v>
      </c>
    </row>
    <row r="9333" spans="1:14" x14ac:dyDescent="0.25">
      <c r="A9333">
        <v>20160304</v>
      </c>
      <c r="B9333" t="str">
        <f t="shared" si="697"/>
        <v>062627</v>
      </c>
      <c r="C9333" t="str">
        <f t="shared" si="698"/>
        <v>83022</v>
      </c>
      <c r="D9333" t="s">
        <v>394</v>
      </c>
      <c r="E9333" s="3">
        <v>187.17</v>
      </c>
      <c r="F9333">
        <v>20160304</v>
      </c>
      <c r="G9333" t="s">
        <v>7074</v>
      </c>
      <c r="H9333" t="s">
        <v>7486</v>
      </c>
      <c r="I9333">
        <v>0</v>
      </c>
      <c r="J9333" t="s">
        <v>7024</v>
      </c>
      <c r="K9333" t="s">
        <v>290</v>
      </c>
      <c r="L9333" t="s">
        <v>285</v>
      </c>
      <c r="M9333" t="str">
        <f t="shared" si="696"/>
        <v>03</v>
      </c>
      <c r="N9333" t="s">
        <v>12</v>
      </c>
    </row>
    <row r="9334" spans="1:14" x14ac:dyDescent="0.25">
      <c r="A9334">
        <v>20160304</v>
      </c>
      <c r="B9334" t="str">
        <f t="shared" si="697"/>
        <v>062627</v>
      </c>
      <c r="C9334" t="str">
        <f t="shared" si="698"/>
        <v>83022</v>
      </c>
      <c r="D9334" t="s">
        <v>394</v>
      </c>
      <c r="E9334" s="3">
        <v>256.35000000000002</v>
      </c>
      <c r="F9334">
        <v>20160304</v>
      </c>
      <c r="G9334" t="s">
        <v>7290</v>
      </c>
      <c r="H9334" t="s">
        <v>7516</v>
      </c>
      <c r="I9334">
        <v>0</v>
      </c>
      <c r="J9334" t="s">
        <v>7024</v>
      </c>
      <c r="K9334" t="s">
        <v>95</v>
      </c>
      <c r="L9334" t="s">
        <v>285</v>
      </c>
      <c r="M9334" t="str">
        <f t="shared" si="696"/>
        <v>03</v>
      </c>
      <c r="N9334" t="s">
        <v>12</v>
      </c>
    </row>
    <row r="9335" spans="1:14" x14ac:dyDescent="0.25">
      <c r="A9335">
        <v>20160304</v>
      </c>
      <c r="B9335" t="str">
        <f t="shared" si="697"/>
        <v>062627</v>
      </c>
      <c r="C9335" t="str">
        <f t="shared" si="698"/>
        <v>83022</v>
      </c>
      <c r="D9335" t="s">
        <v>394</v>
      </c>
      <c r="E9335" s="3">
        <v>217.93</v>
      </c>
      <c r="F9335">
        <v>20160304</v>
      </c>
      <c r="G9335" t="s">
        <v>7260</v>
      </c>
      <c r="H9335" t="s">
        <v>7486</v>
      </c>
      <c r="I9335">
        <v>0</v>
      </c>
      <c r="J9335" t="s">
        <v>7024</v>
      </c>
      <c r="K9335" t="s">
        <v>290</v>
      </c>
      <c r="L9335" t="s">
        <v>285</v>
      </c>
      <c r="M9335" t="str">
        <f t="shared" si="696"/>
        <v>03</v>
      </c>
      <c r="N9335" t="s">
        <v>12</v>
      </c>
    </row>
    <row r="9336" spans="1:14" x14ac:dyDescent="0.25">
      <c r="A9336">
        <v>20160304</v>
      </c>
      <c r="B9336" t="str">
        <f t="shared" si="697"/>
        <v>062627</v>
      </c>
      <c r="C9336" t="str">
        <f t="shared" si="698"/>
        <v>83022</v>
      </c>
      <c r="D9336" t="s">
        <v>394</v>
      </c>
      <c r="E9336" s="3">
        <v>187.17</v>
      </c>
      <c r="F9336">
        <v>20160304</v>
      </c>
      <c r="G9336" t="s">
        <v>7260</v>
      </c>
      <c r="H9336" t="s">
        <v>7486</v>
      </c>
      <c r="I9336">
        <v>0</v>
      </c>
      <c r="J9336" t="s">
        <v>7024</v>
      </c>
      <c r="K9336" t="s">
        <v>290</v>
      </c>
      <c r="L9336" t="s">
        <v>285</v>
      </c>
      <c r="M9336" t="str">
        <f t="shared" si="696"/>
        <v>03</v>
      </c>
      <c r="N9336" t="s">
        <v>12</v>
      </c>
    </row>
    <row r="9337" spans="1:14" x14ac:dyDescent="0.25">
      <c r="A9337">
        <v>20160304</v>
      </c>
      <c r="B9337" t="str">
        <f t="shared" si="697"/>
        <v>062627</v>
      </c>
      <c r="C9337" t="str">
        <f t="shared" si="698"/>
        <v>83022</v>
      </c>
      <c r="D9337" t="s">
        <v>394</v>
      </c>
      <c r="E9337" s="3">
        <v>21.94</v>
      </c>
      <c r="F9337">
        <v>20160304</v>
      </c>
      <c r="G9337" t="s">
        <v>7517</v>
      </c>
      <c r="H9337" t="s">
        <v>7518</v>
      </c>
      <c r="I9337">
        <v>0</v>
      </c>
      <c r="J9337" t="s">
        <v>7024</v>
      </c>
      <c r="K9337" t="s">
        <v>33</v>
      </c>
      <c r="L9337" t="s">
        <v>285</v>
      </c>
      <c r="M9337" t="str">
        <f t="shared" si="696"/>
        <v>03</v>
      </c>
      <c r="N9337" t="s">
        <v>12</v>
      </c>
    </row>
    <row r="9338" spans="1:14" x14ac:dyDescent="0.25">
      <c r="A9338">
        <v>20160304</v>
      </c>
      <c r="B9338" t="str">
        <f t="shared" si="697"/>
        <v>062627</v>
      </c>
      <c r="C9338" t="str">
        <f t="shared" si="698"/>
        <v>83022</v>
      </c>
      <c r="D9338" t="s">
        <v>394</v>
      </c>
      <c r="E9338" s="3">
        <v>87.76</v>
      </c>
      <c r="F9338">
        <v>20160304</v>
      </c>
      <c r="G9338" t="s">
        <v>7517</v>
      </c>
      <c r="H9338" t="s">
        <v>7518</v>
      </c>
      <c r="I9338">
        <v>0</v>
      </c>
      <c r="J9338" t="s">
        <v>7024</v>
      </c>
      <c r="K9338" t="s">
        <v>33</v>
      </c>
      <c r="L9338" t="s">
        <v>285</v>
      </c>
      <c r="M9338" t="str">
        <f t="shared" si="696"/>
        <v>03</v>
      </c>
      <c r="N9338" t="s">
        <v>12</v>
      </c>
    </row>
    <row r="9339" spans="1:14" x14ac:dyDescent="0.25">
      <c r="A9339">
        <v>20160304</v>
      </c>
      <c r="B9339" t="str">
        <f t="shared" si="697"/>
        <v>062627</v>
      </c>
      <c r="C9339" t="str">
        <f t="shared" si="698"/>
        <v>83022</v>
      </c>
      <c r="D9339" t="s">
        <v>394</v>
      </c>
      <c r="E9339" s="3">
        <v>56.48</v>
      </c>
      <c r="F9339">
        <v>20160304</v>
      </c>
      <c r="G9339" t="s">
        <v>7110</v>
      </c>
      <c r="H9339" t="s">
        <v>7519</v>
      </c>
      <c r="I9339">
        <v>0</v>
      </c>
      <c r="J9339" t="s">
        <v>7024</v>
      </c>
      <c r="K9339" t="s">
        <v>290</v>
      </c>
      <c r="L9339" t="s">
        <v>285</v>
      </c>
      <c r="M9339" t="str">
        <f t="shared" si="696"/>
        <v>03</v>
      </c>
      <c r="N9339" t="s">
        <v>12</v>
      </c>
    </row>
    <row r="9340" spans="1:14" x14ac:dyDescent="0.25">
      <c r="A9340">
        <v>20160304</v>
      </c>
      <c r="B9340" t="str">
        <f t="shared" si="697"/>
        <v>062627</v>
      </c>
      <c r="C9340" t="str">
        <f t="shared" si="698"/>
        <v>83022</v>
      </c>
      <c r="D9340" t="s">
        <v>394</v>
      </c>
      <c r="E9340" s="3">
        <v>125.38</v>
      </c>
      <c r="F9340">
        <v>20160304</v>
      </c>
      <c r="G9340" t="s">
        <v>7082</v>
      </c>
      <c r="H9340" t="s">
        <v>7520</v>
      </c>
      <c r="I9340">
        <v>0</v>
      </c>
      <c r="J9340" t="s">
        <v>7024</v>
      </c>
      <c r="K9340" t="s">
        <v>95</v>
      </c>
      <c r="L9340" t="s">
        <v>285</v>
      </c>
      <c r="M9340" t="str">
        <f t="shared" si="696"/>
        <v>03</v>
      </c>
      <c r="N9340" t="s">
        <v>12</v>
      </c>
    </row>
    <row r="9341" spans="1:14" x14ac:dyDescent="0.25">
      <c r="A9341">
        <v>20160304</v>
      </c>
      <c r="B9341" t="str">
        <f t="shared" si="697"/>
        <v>062627</v>
      </c>
      <c r="C9341" t="str">
        <f t="shared" si="698"/>
        <v>83022</v>
      </c>
      <c r="D9341" t="s">
        <v>394</v>
      </c>
      <c r="E9341" s="3">
        <v>26.94</v>
      </c>
      <c r="F9341">
        <v>20160304</v>
      </c>
      <c r="G9341" t="s">
        <v>7082</v>
      </c>
      <c r="H9341" t="s">
        <v>7520</v>
      </c>
      <c r="I9341">
        <v>0</v>
      </c>
      <c r="J9341" t="s">
        <v>7024</v>
      </c>
      <c r="K9341" t="s">
        <v>95</v>
      </c>
      <c r="L9341" t="s">
        <v>285</v>
      </c>
      <c r="M9341" t="str">
        <f t="shared" si="696"/>
        <v>03</v>
      </c>
      <c r="N9341" t="s">
        <v>12</v>
      </c>
    </row>
    <row r="9342" spans="1:14" x14ac:dyDescent="0.25">
      <c r="A9342">
        <v>20160304</v>
      </c>
      <c r="B9342" t="str">
        <f t="shared" si="697"/>
        <v>062627</v>
      </c>
      <c r="C9342" t="str">
        <f t="shared" si="698"/>
        <v>83022</v>
      </c>
      <c r="D9342" t="s">
        <v>394</v>
      </c>
      <c r="E9342" s="3">
        <v>19.98</v>
      </c>
      <c r="F9342">
        <v>20160304</v>
      </c>
      <c r="G9342" t="s">
        <v>7082</v>
      </c>
      <c r="H9342" t="s">
        <v>7521</v>
      </c>
      <c r="I9342">
        <v>0</v>
      </c>
      <c r="J9342" t="s">
        <v>7024</v>
      </c>
      <c r="K9342" t="s">
        <v>95</v>
      </c>
      <c r="L9342" t="s">
        <v>285</v>
      </c>
      <c r="M9342" t="str">
        <f t="shared" si="696"/>
        <v>03</v>
      </c>
      <c r="N9342" t="s">
        <v>12</v>
      </c>
    </row>
    <row r="9343" spans="1:14" x14ac:dyDescent="0.25">
      <c r="A9343">
        <v>20160304</v>
      </c>
      <c r="B9343" t="str">
        <f t="shared" si="697"/>
        <v>062627</v>
      </c>
      <c r="C9343" t="str">
        <f t="shared" si="698"/>
        <v>83022</v>
      </c>
      <c r="D9343" t="s">
        <v>394</v>
      </c>
      <c r="E9343" s="3">
        <v>88.58</v>
      </c>
      <c r="F9343">
        <v>20160304</v>
      </c>
      <c r="G9343" t="s">
        <v>7082</v>
      </c>
      <c r="H9343" t="s">
        <v>7522</v>
      </c>
      <c r="I9343">
        <v>0</v>
      </c>
      <c r="J9343" t="s">
        <v>7024</v>
      </c>
      <c r="K9343" t="s">
        <v>95</v>
      </c>
      <c r="L9343" t="s">
        <v>285</v>
      </c>
      <c r="M9343" t="str">
        <f t="shared" si="696"/>
        <v>03</v>
      </c>
      <c r="N9343" t="s">
        <v>12</v>
      </c>
    </row>
    <row r="9344" spans="1:14" x14ac:dyDescent="0.25">
      <c r="A9344">
        <v>20160304</v>
      </c>
      <c r="B9344" t="str">
        <f t="shared" si="697"/>
        <v>062627</v>
      </c>
      <c r="C9344" t="str">
        <f t="shared" si="698"/>
        <v>83022</v>
      </c>
      <c r="D9344" t="s">
        <v>394</v>
      </c>
      <c r="E9344" s="3">
        <v>95.67</v>
      </c>
      <c r="F9344">
        <v>20160304</v>
      </c>
      <c r="G9344" t="s">
        <v>7086</v>
      </c>
      <c r="H9344" t="s">
        <v>2378</v>
      </c>
      <c r="I9344">
        <v>0</v>
      </c>
      <c r="J9344" t="s">
        <v>7024</v>
      </c>
      <c r="K9344" t="s">
        <v>290</v>
      </c>
      <c r="L9344" t="s">
        <v>285</v>
      </c>
      <c r="M9344" t="str">
        <f t="shared" si="696"/>
        <v>03</v>
      </c>
      <c r="N9344" t="s">
        <v>12</v>
      </c>
    </row>
    <row r="9345" spans="1:14" x14ac:dyDescent="0.25">
      <c r="A9345">
        <v>20160304</v>
      </c>
      <c r="B9345" t="str">
        <f t="shared" si="697"/>
        <v>062627</v>
      </c>
      <c r="C9345" t="str">
        <f t="shared" si="698"/>
        <v>83022</v>
      </c>
      <c r="D9345" t="s">
        <v>394</v>
      </c>
      <c r="E9345" s="3">
        <v>77.03</v>
      </c>
      <c r="F9345">
        <v>20160304</v>
      </c>
      <c r="G9345" t="s">
        <v>7143</v>
      </c>
      <c r="H9345" t="s">
        <v>7523</v>
      </c>
      <c r="I9345">
        <v>0</v>
      </c>
      <c r="J9345" t="s">
        <v>7024</v>
      </c>
      <c r="K9345" t="s">
        <v>290</v>
      </c>
      <c r="L9345" t="s">
        <v>285</v>
      </c>
      <c r="M9345" t="str">
        <f t="shared" si="696"/>
        <v>03</v>
      </c>
      <c r="N9345" t="s">
        <v>12</v>
      </c>
    </row>
    <row r="9346" spans="1:14" x14ac:dyDescent="0.25">
      <c r="A9346">
        <v>20160304</v>
      </c>
      <c r="B9346" t="str">
        <f t="shared" si="697"/>
        <v>062627</v>
      </c>
      <c r="C9346" t="str">
        <f t="shared" si="698"/>
        <v>83022</v>
      </c>
      <c r="D9346" t="s">
        <v>394</v>
      </c>
      <c r="E9346" s="3">
        <v>117.74</v>
      </c>
      <c r="F9346">
        <v>20160304</v>
      </c>
      <c r="G9346" t="s">
        <v>7179</v>
      </c>
      <c r="H9346" t="s">
        <v>7524</v>
      </c>
      <c r="I9346">
        <v>0</v>
      </c>
      <c r="J9346" t="s">
        <v>7024</v>
      </c>
      <c r="K9346" t="s">
        <v>95</v>
      </c>
      <c r="L9346" t="s">
        <v>285</v>
      </c>
      <c r="M9346" t="str">
        <f t="shared" si="696"/>
        <v>03</v>
      </c>
      <c r="N9346" t="s">
        <v>12</v>
      </c>
    </row>
    <row r="9347" spans="1:14" x14ac:dyDescent="0.25">
      <c r="A9347">
        <v>20160304</v>
      </c>
      <c r="B9347" t="str">
        <f t="shared" si="697"/>
        <v>062627</v>
      </c>
      <c r="C9347" t="str">
        <f t="shared" si="698"/>
        <v>83022</v>
      </c>
      <c r="D9347" t="s">
        <v>394</v>
      </c>
      <c r="E9347" s="3">
        <v>248.58</v>
      </c>
      <c r="F9347">
        <v>20160304</v>
      </c>
      <c r="G9347" t="s">
        <v>7179</v>
      </c>
      <c r="H9347" t="s">
        <v>7525</v>
      </c>
      <c r="I9347">
        <v>0</v>
      </c>
      <c r="J9347" t="s">
        <v>7024</v>
      </c>
      <c r="K9347" t="s">
        <v>95</v>
      </c>
      <c r="L9347" t="s">
        <v>285</v>
      </c>
      <c r="M9347" t="str">
        <f t="shared" si="696"/>
        <v>03</v>
      </c>
      <c r="N9347" t="s">
        <v>12</v>
      </c>
    </row>
    <row r="9348" spans="1:14" x14ac:dyDescent="0.25">
      <c r="A9348">
        <v>20160304</v>
      </c>
      <c r="B9348" t="str">
        <f t="shared" si="697"/>
        <v>062627</v>
      </c>
      <c r="C9348" t="str">
        <f t="shared" si="698"/>
        <v>83022</v>
      </c>
      <c r="D9348" t="s">
        <v>394</v>
      </c>
      <c r="E9348" s="3">
        <v>166.24</v>
      </c>
      <c r="F9348">
        <v>20160304</v>
      </c>
      <c r="G9348" t="s">
        <v>7049</v>
      </c>
      <c r="H9348" t="s">
        <v>7526</v>
      </c>
      <c r="I9348">
        <v>0</v>
      </c>
      <c r="J9348" t="s">
        <v>7024</v>
      </c>
      <c r="K9348" t="s">
        <v>33</v>
      </c>
      <c r="L9348" t="s">
        <v>285</v>
      </c>
      <c r="M9348" t="str">
        <f t="shared" si="696"/>
        <v>03</v>
      </c>
      <c r="N9348" t="s">
        <v>12</v>
      </c>
    </row>
    <row r="9349" spans="1:14" x14ac:dyDescent="0.25">
      <c r="A9349">
        <v>20160304</v>
      </c>
      <c r="B9349" t="str">
        <f t="shared" si="697"/>
        <v>062627</v>
      </c>
      <c r="C9349" t="str">
        <f t="shared" si="698"/>
        <v>83022</v>
      </c>
      <c r="D9349" t="s">
        <v>394</v>
      </c>
      <c r="E9349" s="3">
        <v>75.84</v>
      </c>
      <c r="F9349">
        <v>20160304</v>
      </c>
      <c r="G9349" t="s">
        <v>7197</v>
      </c>
      <c r="H9349" t="s">
        <v>7527</v>
      </c>
      <c r="I9349">
        <v>0</v>
      </c>
      <c r="J9349" t="s">
        <v>7024</v>
      </c>
      <c r="K9349" t="s">
        <v>33</v>
      </c>
      <c r="L9349" t="s">
        <v>285</v>
      </c>
      <c r="M9349" t="str">
        <f t="shared" si="696"/>
        <v>03</v>
      </c>
      <c r="N9349" t="s">
        <v>12</v>
      </c>
    </row>
    <row r="9350" spans="1:14" x14ac:dyDescent="0.25">
      <c r="A9350">
        <v>20160311</v>
      </c>
      <c r="B9350" t="str">
        <f>"062642"</f>
        <v>062642</v>
      </c>
      <c r="C9350" t="str">
        <f>"11759"</f>
        <v>11759</v>
      </c>
      <c r="D9350" t="s">
        <v>2089</v>
      </c>
      <c r="E9350" s="3">
        <v>659.24</v>
      </c>
      <c r="F9350">
        <v>20160310</v>
      </c>
      <c r="G9350" t="s">
        <v>7192</v>
      </c>
      <c r="H9350" t="s">
        <v>2091</v>
      </c>
      <c r="I9350">
        <v>0</v>
      </c>
      <c r="J9350" t="s">
        <v>7024</v>
      </c>
      <c r="K9350" t="s">
        <v>33</v>
      </c>
      <c r="L9350" t="s">
        <v>285</v>
      </c>
      <c r="M9350" t="str">
        <f t="shared" si="696"/>
        <v>03</v>
      </c>
      <c r="N9350" t="s">
        <v>12</v>
      </c>
    </row>
    <row r="9351" spans="1:14" x14ac:dyDescent="0.25">
      <c r="A9351">
        <v>20160311</v>
      </c>
      <c r="B9351" t="str">
        <f>"062643"</f>
        <v>062643</v>
      </c>
      <c r="C9351" t="str">
        <f>"08788"</f>
        <v>08788</v>
      </c>
      <c r="D9351" t="s">
        <v>302</v>
      </c>
      <c r="E9351" s="3">
        <v>349</v>
      </c>
      <c r="F9351">
        <v>20160310</v>
      </c>
      <c r="G9351" t="s">
        <v>7074</v>
      </c>
      <c r="H9351" t="s">
        <v>7528</v>
      </c>
      <c r="I9351">
        <v>0</v>
      </c>
      <c r="J9351" t="s">
        <v>7024</v>
      </c>
      <c r="K9351" t="s">
        <v>290</v>
      </c>
      <c r="L9351" t="s">
        <v>285</v>
      </c>
      <c r="M9351" t="str">
        <f t="shared" si="696"/>
        <v>03</v>
      </c>
      <c r="N9351" t="s">
        <v>12</v>
      </c>
    </row>
    <row r="9352" spans="1:14" x14ac:dyDescent="0.25">
      <c r="A9352">
        <v>20160311</v>
      </c>
      <c r="B9352" t="str">
        <f>"062643"</f>
        <v>062643</v>
      </c>
      <c r="C9352" t="str">
        <f>"08788"</f>
        <v>08788</v>
      </c>
      <c r="D9352" t="s">
        <v>302</v>
      </c>
      <c r="E9352" s="3">
        <v>973.43</v>
      </c>
      <c r="F9352">
        <v>20160310</v>
      </c>
      <c r="G9352" t="s">
        <v>7260</v>
      </c>
      <c r="H9352" t="s">
        <v>1143</v>
      </c>
      <c r="I9352">
        <v>0</v>
      </c>
      <c r="J9352" t="s">
        <v>7024</v>
      </c>
      <c r="K9352" t="s">
        <v>290</v>
      </c>
      <c r="L9352" t="s">
        <v>285</v>
      </c>
      <c r="M9352" t="str">
        <f t="shared" si="696"/>
        <v>03</v>
      </c>
      <c r="N9352" t="s">
        <v>12</v>
      </c>
    </row>
    <row r="9353" spans="1:14" x14ac:dyDescent="0.25">
      <c r="A9353">
        <v>20160311</v>
      </c>
      <c r="B9353" t="str">
        <f>"062648"</f>
        <v>062648</v>
      </c>
      <c r="C9353" t="str">
        <f>"25230"</f>
        <v>25230</v>
      </c>
      <c r="D9353" t="s">
        <v>866</v>
      </c>
      <c r="E9353" s="3">
        <v>120</v>
      </c>
      <c r="F9353">
        <v>20160310</v>
      </c>
      <c r="G9353" t="s">
        <v>7285</v>
      </c>
      <c r="H9353" t="s">
        <v>7529</v>
      </c>
      <c r="I9353">
        <v>0</v>
      </c>
      <c r="J9353" t="s">
        <v>7024</v>
      </c>
      <c r="K9353" t="s">
        <v>290</v>
      </c>
      <c r="L9353" t="s">
        <v>285</v>
      </c>
      <c r="M9353" t="str">
        <f t="shared" si="696"/>
        <v>03</v>
      </c>
      <c r="N9353" t="s">
        <v>12</v>
      </c>
    </row>
    <row r="9354" spans="1:14" x14ac:dyDescent="0.25">
      <c r="A9354">
        <v>20160311</v>
      </c>
      <c r="B9354" t="str">
        <f>"062649"</f>
        <v>062649</v>
      </c>
      <c r="C9354" t="str">
        <f>"25871"</f>
        <v>25871</v>
      </c>
      <c r="D9354" t="s">
        <v>647</v>
      </c>
      <c r="E9354" s="3">
        <v>240.5</v>
      </c>
      <c r="F9354">
        <v>20160310</v>
      </c>
      <c r="G9354" t="s">
        <v>7143</v>
      </c>
      <c r="H9354" t="s">
        <v>7530</v>
      </c>
      <c r="I9354">
        <v>0</v>
      </c>
      <c r="J9354" t="s">
        <v>7024</v>
      </c>
      <c r="K9354" t="s">
        <v>290</v>
      </c>
      <c r="L9354" t="s">
        <v>285</v>
      </c>
      <c r="M9354" t="str">
        <f t="shared" si="696"/>
        <v>03</v>
      </c>
      <c r="N9354" t="s">
        <v>12</v>
      </c>
    </row>
    <row r="9355" spans="1:14" x14ac:dyDescent="0.25">
      <c r="A9355">
        <v>20160311</v>
      </c>
      <c r="B9355" t="str">
        <f>"062651"</f>
        <v>062651</v>
      </c>
      <c r="C9355" t="str">
        <f>"28680"</f>
        <v>28680</v>
      </c>
      <c r="D9355" t="s">
        <v>422</v>
      </c>
      <c r="E9355" s="3">
        <v>186.83</v>
      </c>
      <c r="F9355">
        <v>20160310</v>
      </c>
      <c r="G9355" t="s">
        <v>7260</v>
      </c>
      <c r="H9355" t="s">
        <v>7531</v>
      </c>
      <c r="I9355">
        <v>0</v>
      </c>
      <c r="J9355" t="s">
        <v>7024</v>
      </c>
      <c r="K9355" t="s">
        <v>290</v>
      </c>
      <c r="L9355" t="s">
        <v>285</v>
      </c>
      <c r="M9355" t="str">
        <f t="shared" si="696"/>
        <v>03</v>
      </c>
      <c r="N9355" t="s">
        <v>12</v>
      </c>
    </row>
    <row r="9356" spans="1:14" x14ac:dyDescent="0.25">
      <c r="A9356">
        <v>20160311</v>
      </c>
      <c r="B9356" t="str">
        <f>"062651"</f>
        <v>062651</v>
      </c>
      <c r="C9356" t="str">
        <f>"28680"</f>
        <v>28680</v>
      </c>
      <c r="D9356" t="s">
        <v>422</v>
      </c>
      <c r="E9356" s="3">
        <v>186.25</v>
      </c>
      <c r="F9356">
        <v>20160310</v>
      </c>
      <c r="G9356" t="s">
        <v>7260</v>
      </c>
      <c r="H9356" t="s">
        <v>7035</v>
      </c>
      <c r="I9356">
        <v>0</v>
      </c>
      <c r="J9356" t="s">
        <v>7024</v>
      </c>
      <c r="K9356" t="s">
        <v>290</v>
      </c>
      <c r="L9356" t="s">
        <v>285</v>
      </c>
      <c r="M9356" t="str">
        <f t="shared" si="696"/>
        <v>03</v>
      </c>
      <c r="N9356" t="s">
        <v>12</v>
      </c>
    </row>
    <row r="9357" spans="1:14" x14ac:dyDescent="0.25">
      <c r="A9357">
        <v>20160311</v>
      </c>
      <c r="B9357" t="str">
        <f>"062651"</f>
        <v>062651</v>
      </c>
      <c r="C9357" t="str">
        <f>"28680"</f>
        <v>28680</v>
      </c>
      <c r="D9357" t="s">
        <v>422</v>
      </c>
      <c r="E9357" s="3">
        <v>186.83</v>
      </c>
      <c r="F9357">
        <v>20160310</v>
      </c>
      <c r="G9357" t="s">
        <v>7260</v>
      </c>
      <c r="H9357" t="s">
        <v>7532</v>
      </c>
      <c r="I9357">
        <v>0</v>
      </c>
      <c r="J9357" t="s">
        <v>7024</v>
      </c>
      <c r="K9357" t="s">
        <v>290</v>
      </c>
      <c r="L9357" t="s">
        <v>285</v>
      </c>
      <c r="M9357" t="str">
        <f t="shared" si="696"/>
        <v>03</v>
      </c>
      <c r="N9357" t="s">
        <v>12</v>
      </c>
    </row>
    <row r="9358" spans="1:14" x14ac:dyDescent="0.25">
      <c r="A9358">
        <v>20160311</v>
      </c>
      <c r="B9358" t="str">
        <f>"062657"</f>
        <v>062657</v>
      </c>
      <c r="C9358" t="str">
        <f>"35746"</f>
        <v>35746</v>
      </c>
      <c r="D9358" t="s">
        <v>7504</v>
      </c>
      <c r="E9358" s="3">
        <v>893.67</v>
      </c>
      <c r="F9358">
        <v>20160310</v>
      </c>
      <c r="G9358" t="s">
        <v>7094</v>
      </c>
      <c r="H9358" t="s">
        <v>2091</v>
      </c>
      <c r="I9358">
        <v>0</v>
      </c>
      <c r="J9358" t="s">
        <v>7024</v>
      </c>
      <c r="K9358" t="s">
        <v>1643</v>
      </c>
      <c r="L9358" t="s">
        <v>285</v>
      </c>
      <c r="M9358" t="str">
        <f t="shared" si="696"/>
        <v>03</v>
      </c>
      <c r="N9358" t="s">
        <v>12</v>
      </c>
    </row>
    <row r="9359" spans="1:14" x14ac:dyDescent="0.25">
      <c r="A9359">
        <v>20160311</v>
      </c>
      <c r="B9359" t="str">
        <f t="shared" ref="B9359:B9365" si="699">"062658"</f>
        <v>062658</v>
      </c>
      <c r="C9359" t="str">
        <f t="shared" ref="C9359:C9365" si="700">"37500"</f>
        <v>37500</v>
      </c>
      <c r="D9359" t="s">
        <v>1652</v>
      </c>
      <c r="E9359" s="3">
        <v>11.92</v>
      </c>
      <c r="F9359">
        <v>20160310</v>
      </c>
      <c r="G9359" t="s">
        <v>7082</v>
      </c>
      <c r="H9359" t="s">
        <v>4607</v>
      </c>
      <c r="I9359">
        <v>0</v>
      </c>
      <c r="J9359" t="s">
        <v>7024</v>
      </c>
      <c r="K9359" t="s">
        <v>95</v>
      </c>
      <c r="L9359" t="s">
        <v>285</v>
      </c>
      <c r="M9359" t="str">
        <f t="shared" si="696"/>
        <v>03</v>
      </c>
      <c r="N9359" t="s">
        <v>12</v>
      </c>
    </row>
    <row r="9360" spans="1:14" x14ac:dyDescent="0.25">
      <c r="A9360">
        <v>20160311</v>
      </c>
      <c r="B9360" t="str">
        <f t="shared" si="699"/>
        <v>062658</v>
      </c>
      <c r="C9360" t="str">
        <f t="shared" si="700"/>
        <v>37500</v>
      </c>
      <c r="D9360" t="s">
        <v>1652</v>
      </c>
      <c r="E9360" s="3">
        <v>10</v>
      </c>
      <c r="F9360">
        <v>20160310</v>
      </c>
      <c r="G9360" t="s">
        <v>7082</v>
      </c>
      <c r="H9360" t="s">
        <v>4607</v>
      </c>
      <c r="I9360">
        <v>0</v>
      </c>
      <c r="J9360" t="s">
        <v>7024</v>
      </c>
      <c r="K9360" t="s">
        <v>95</v>
      </c>
      <c r="L9360" t="s">
        <v>285</v>
      </c>
      <c r="M9360" t="str">
        <f t="shared" ref="M9360:M9391" si="701">"03"</f>
        <v>03</v>
      </c>
      <c r="N9360" t="s">
        <v>12</v>
      </c>
    </row>
    <row r="9361" spans="1:14" x14ac:dyDescent="0.25">
      <c r="A9361">
        <v>20160311</v>
      </c>
      <c r="B9361" t="str">
        <f t="shared" si="699"/>
        <v>062658</v>
      </c>
      <c r="C9361" t="str">
        <f t="shared" si="700"/>
        <v>37500</v>
      </c>
      <c r="D9361" t="s">
        <v>1652</v>
      </c>
      <c r="E9361" s="3">
        <v>124.48</v>
      </c>
      <c r="F9361">
        <v>20160310</v>
      </c>
      <c r="G9361" t="s">
        <v>7026</v>
      </c>
      <c r="H9361" t="s">
        <v>5398</v>
      </c>
      <c r="I9361">
        <v>0</v>
      </c>
      <c r="J9361" t="s">
        <v>7024</v>
      </c>
      <c r="K9361" t="s">
        <v>1643</v>
      </c>
      <c r="L9361" t="s">
        <v>285</v>
      </c>
      <c r="M9361" t="str">
        <f t="shared" si="701"/>
        <v>03</v>
      </c>
      <c r="N9361" t="s">
        <v>12</v>
      </c>
    </row>
    <row r="9362" spans="1:14" x14ac:dyDescent="0.25">
      <c r="A9362">
        <v>20160311</v>
      </c>
      <c r="B9362" t="str">
        <f t="shared" si="699"/>
        <v>062658</v>
      </c>
      <c r="C9362" t="str">
        <f t="shared" si="700"/>
        <v>37500</v>
      </c>
      <c r="D9362" t="s">
        <v>1652</v>
      </c>
      <c r="E9362" s="3">
        <v>136.56</v>
      </c>
      <c r="F9362">
        <v>20160310</v>
      </c>
      <c r="G9362" t="s">
        <v>7026</v>
      </c>
      <c r="H9362" t="s">
        <v>7533</v>
      </c>
      <c r="I9362">
        <v>0</v>
      </c>
      <c r="J9362" t="s">
        <v>7024</v>
      </c>
      <c r="K9362" t="s">
        <v>1643</v>
      </c>
      <c r="L9362" t="s">
        <v>285</v>
      </c>
      <c r="M9362" t="str">
        <f t="shared" si="701"/>
        <v>03</v>
      </c>
      <c r="N9362" t="s">
        <v>12</v>
      </c>
    </row>
    <row r="9363" spans="1:14" x14ac:dyDescent="0.25">
      <c r="A9363">
        <v>20160311</v>
      </c>
      <c r="B9363" t="str">
        <f t="shared" si="699"/>
        <v>062658</v>
      </c>
      <c r="C9363" t="str">
        <f t="shared" si="700"/>
        <v>37500</v>
      </c>
      <c r="D9363" t="s">
        <v>1652</v>
      </c>
      <c r="E9363" s="3">
        <v>91.07</v>
      </c>
      <c r="F9363">
        <v>20160310</v>
      </c>
      <c r="G9363" t="s">
        <v>7314</v>
      </c>
      <c r="H9363" t="s">
        <v>7534</v>
      </c>
      <c r="I9363">
        <v>0</v>
      </c>
      <c r="J9363" t="s">
        <v>7024</v>
      </c>
      <c r="K9363" t="s">
        <v>290</v>
      </c>
      <c r="L9363" t="s">
        <v>285</v>
      </c>
      <c r="M9363" t="str">
        <f t="shared" si="701"/>
        <v>03</v>
      </c>
      <c r="N9363" t="s">
        <v>12</v>
      </c>
    </row>
    <row r="9364" spans="1:14" x14ac:dyDescent="0.25">
      <c r="A9364">
        <v>20160311</v>
      </c>
      <c r="B9364" t="str">
        <f t="shared" si="699"/>
        <v>062658</v>
      </c>
      <c r="C9364" t="str">
        <f t="shared" si="700"/>
        <v>37500</v>
      </c>
      <c r="D9364" t="s">
        <v>1652</v>
      </c>
      <c r="E9364" s="3">
        <v>97.67</v>
      </c>
      <c r="F9364">
        <v>20160310</v>
      </c>
      <c r="G9364" t="s">
        <v>7143</v>
      </c>
      <c r="H9364" t="s">
        <v>7535</v>
      </c>
      <c r="I9364">
        <v>0</v>
      </c>
      <c r="J9364" t="s">
        <v>7024</v>
      </c>
      <c r="K9364" t="s">
        <v>290</v>
      </c>
      <c r="L9364" t="s">
        <v>285</v>
      </c>
      <c r="M9364" t="str">
        <f t="shared" si="701"/>
        <v>03</v>
      </c>
      <c r="N9364" t="s">
        <v>12</v>
      </c>
    </row>
    <row r="9365" spans="1:14" x14ac:dyDescent="0.25">
      <c r="A9365">
        <v>20160311</v>
      </c>
      <c r="B9365" t="str">
        <f t="shared" si="699"/>
        <v>062658</v>
      </c>
      <c r="C9365" t="str">
        <f t="shared" si="700"/>
        <v>37500</v>
      </c>
      <c r="D9365" t="s">
        <v>1652</v>
      </c>
      <c r="E9365" s="3">
        <v>132.34</v>
      </c>
      <c r="F9365">
        <v>20160310</v>
      </c>
      <c r="G9365" t="s">
        <v>7083</v>
      </c>
      <c r="H9365" t="s">
        <v>7536</v>
      </c>
      <c r="I9365">
        <v>0</v>
      </c>
      <c r="J9365" t="s">
        <v>7024</v>
      </c>
      <c r="K9365" t="s">
        <v>290</v>
      </c>
      <c r="L9365" t="s">
        <v>285</v>
      </c>
      <c r="M9365" t="str">
        <f t="shared" si="701"/>
        <v>03</v>
      </c>
      <c r="N9365" t="s">
        <v>12</v>
      </c>
    </row>
    <row r="9366" spans="1:14" x14ac:dyDescent="0.25">
      <c r="A9366">
        <v>20160311</v>
      </c>
      <c r="B9366" t="str">
        <f>"062666"</f>
        <v>062666</v>
      </c>
      <c r="C9366" t="str">
        <f>"45496"</f>
        <v>45496</v>
      </c>
      <c r="D9366" t="s">
        <v>2327</v>
      </c>
      <c r="E9366" s="3">
        <v>5.39</v>
      </c>
      <c r="F9366">
        <v>20160310</v>
      </c>
      <c r="G9366" t="s">
        <v>7026</v>
      </c>
      <c r="H9366" t="s">
        <v>595</v>
      </c>
      <c r="I9366">
        <v>0</v>
      </c>
      <c r="J9366" t="s">
        <v>7024</v>
      </c>
      <c r="K9366" t="s">
        <v>1643</v>
      </c>
      <c r="L9366" t="s">
        <v>285</v>
      </c>
      <c r="M9366" t="str">
        <f t="shared" si="701"/>
        <v>03</v>
      </c>
      <c r="N9366" t="s">
        <v>12</v>
      </c>
    </row>
    <row r="9367" spans="1:14" x14ac:dyDescent="0.25">
      <c r="A9367">
        <v>20160311</v>
      </c>
      <c r="B9367" t="str">
        <f>"062666"</f>
        <v>062666</v>
      </c>
      <c r="C9367" t="str">
        <f>"45496"</f>
        <v>45496</v>
      </c>
      <c r="D9367" t="s">
        <v>2327</v>
      </c>
      <c r="E9367" s="3">
        <v>62.99</v>
      </c>
      <c r="F9367">
        <v>20160310</v>
      </c>
      <c r="G9367" t="s">
        <v>7026</v>
      </c>
      <c r="H9367" t="s">
        <v>7537</v>
      </c>
      <c r="I9367">
        <v>0</v>
      </c>
      <c r="J9367" t="s">
        <v>7024</v>
      </c>
      <c r="K9367" t="s">
        <v>1643</v>
      </c>
      <c r="L9367" t="s">
        <v>285</v>
      </c>
      <c r="M9367" t="str">
        <f t="shared" si="701"/>
        <v>03</v>
      </c>
      <c r="N9367" t="s">
        <v>12</v>
      </c>
    </row>
    <row r="9368" spans="1:14" x14ac:dyDescent="0.25">
      <c r="A9368">
        <v>20160311</v>
      </c>
      <c r="B9368" t="str">
        <f>"062669"</f>
        <v>062669</v>
      </c>
      <c r="C9368" t="str">
        <f>"49748"</f>
        <v>49748</v>
      </c>
      <c r="D9368" t="s">
        <v>1885</v>
      </c>
      <c r="E9368" s="3">
        <v>96.25</v>
      </c>
      <c r="F9368">
        <v>20160310</v>
      </c>
      <c r="G9368" t="s">
        <v>7083</v>
      </c>
      <c r="H9368" t="s">
        <v>7538</v>
      </c>
      <c r="I9368">
        <v>0</v>
      </c>
      <c r="J9368" t="s">
        <v>7024</v>
      </c>
      <c r="K9368" t="s">
        <v>290</v>
      </c>
      <c r="L9368" t="s">
        <v>285</v>
      </c>
      <c r="M9368" t="str">
        <f t="shared" si="701"/>
        <v>03</v>
      </c>
      <c r="N9368" t="s">
        <v>12</v>
      </c>
    </row>
    <row r="9369" spans="1:14" x14ac:dyDescent="0.25">
      <c r="A9369">
        <v>20160311</v>
      </c>
      <c r="B9369" t="str">
        <f>"062671"</f>
        <v>062671</v>
      </c>
      <c r="C9369" t="str">
        <f>"49950"</f>
        <v>49950</v>
      </c>
      <c r="D9369" t="s">
        <v>871</v>
      </c>
      <c r="E9369" s="3">
        <v>90</v>
      </c>
      <c r="F9369">
        <v>20160310</v>
      </c>
      <c r="G9369" t="s">
        <v>7409</v>
      </c>
      <c r="H9369" t="s">
        <v>7539</v>
      </c>
      <c r="I9369">
        <v>0</v>
      </c>
      <c r="J9369" t="s">
        <v>7024</v>
      </c>
      <c r="K9369" t="s">
        <v>95</v>
      </c>
      <c r="L9369" t="s">
        <v>285</v>
      </c>
      <c r="M9369" t="str">
        <f t="shared" si="701"/>
        <v>03</v>
      </c>
      <c r="N9369" t="s">
        <v>12</v>
      </c>
    </row>
    <row r="9370" spans="1:14" x14ac:dyDescent="0.25">
      <c r="A9370">
        <v>20160311</v>
      </c>
      <c r="B9370" t="str">
        <f>"062677"</f>
        <v>062677</v>
      </c>
      <c r="C9370" t="str">
        <f>"52217"</f>
        <v>52217</v>
      </c>
      <c r="D9370" t="s">
        <v>577</v>
      </c>
      <c r="E9370" s="3">
        <v>1344</v>
      </c>
      <c r="F9370">
        <v>20160310</v>
      </c>
      <c r="G9370" t="s">
        <v>7074</v>
      </c>
      <c r="H9370" t="s">
        <v>7540</v>
      </c>
      <c r="I9370">
        <v>0</v>
      </c>
      <c r="J9370" t="s">
        <v>7024</v>
      </c>
      <c r="K9370" t="s">
        <v>290</v>
      </c>
      <c r="L9370" t="s">
        <v>285</v>
      </c>
      <c r="M9370" t="str">
        <f t="shared" si="701"/>
        <v>03</v>
      </c>
      <c r="N9370" t="s">
        <v>12</v>
      </c>
    </row>
    <row r="9371" spans="1:14" x14ac:dyDescent="0.25">
      <c r="A9371">
        <v>20160311</v>
      </c>
      <c r="B9371" t="str">
        <f>"062677"</f>
        <v>062677</v>
      </c>
      <c r="C9371" t="str">
        <f>"52217"</f>
        <v>52217</v>
      </c>
      <c r="D9371" t="s">
        <v>577</v>
      </c>
      <c r="E9371" s="3">
        <v>264</v>
      </c>
      <c r="F9371">
        <v>20160310</v>
      </c>
      <c r="G9371" t="s">
        <v>7074</v>
      </c>
      <c r="H9371" t="s">
        <v>7541</v>
      </c>
      <c r="I9371">
        <v>0</v>
      </c>
      <c r="J9371" t="s">
        <v>7024</v>
      </c>
      <c r="K9371" t="s">
        <v>290</v>
      </c>
      <c r="L9371" t="s">
        <v>285</v>
      </c>
      <c r="M9371" t="str">
        <f t="shared" si="701"/>
        <v>03</v>
      </c>
      <c r="N9371" t="s">
        <v>12</v>
      </c>
    </row>
    <row r="9372" spans="1:14" x14ac:dyDescent="0.25">
      <c r="A9372">
        <v>20160311</v>
      </c>
      <c r="B9372" t="str">
        <f>"062677"</f>
        <v>062677</v>
      </c>
      <c r="C9372" t="str">
        <f>"52217"</f>
        <v>52217</v>
      </c>
      <c r="D9372" t="s">
        <v>577</v>
      </c>
      <c r="E9372" s="3">
        <v>41.86</v>
      </c>
      <c r="F9372">
        <v>20160310</v>
      </c>
      <c r="G9372" t="s">
        <v>7119</v>
      </c>
      <c r="H9372" t="s">
        <v>7462</v>
      </c>
      <c r="I9372">
        <v>0</v>
      </c>
      <c r="J9372" t="s">
        <v>7024</v>
      </c>
      <c r="K9372" t="s">
        <v>7068</v>
      </c>
      <c r="L9372" t="s">
        <v>285</v>
      </c>
      <c r="M9372" t="str">
        <f t="shared" si="701"/>
        <v>03</v>
      </c>
      <c r="N9372" t="s">
        <v>12</v>
      </c>
    </row>
    <row r="9373" spans="1:14" x14ac:dyDescent="0.25">
      <c r="A9373">
        <v>20160311</v>
      </c>
      <c r="B9373" t="str">
        <f>"062677"</f>
        <v>062677</v>
      </c>
      <c r="C9373" t="str">
        <f>"52217"</f>
        <v>52217</v>
      </c>
      <c r="D9373" t="s">
        <v>577</v>
      </c>
      <c r="E9373" s="3">
        <v>20.94</v>
      </c>
      <c r="F9373">
        <v>20160310</v>
      </c>
      <c r="G9373" t="s">
        <v>7119</v>
      </c>
      <c r="H9373" t="s">
        <v>7462</v>
      </c>
      <c r="I9373">
        <v>0</v>
      </c>
      <c r="J9373" t="s">
        <v>7024</v>
      </c>
      <c r="K9373" t="s">
        <v>7068</v>
      </c>
      <c r="L9373" t="s">
        <v>285</v>
      </c>
      <c r="M9373" t="str">
        <f t="shared" si="701"/>
        <v>03</v>
      </c>
      <c r="N9373" t="s">
        <v>12</v>
      </c>
    </row>
    <row r="9374" spans="1:14" x14ac:dyDescent="0.25">
      <c r="A9374">
        <v>20160311</v>
      </c>
      <c r="B9374" t="str">
        <f>"062682"</f>
        <v>062682</v>
      </c>
      <c r="C9374" t="str">
        <f>"54154"</f>
        <v>54154</v>
      </c>
      <c r="D9374" t="s">
        <v>7542</v>
      </c>
      <c r="E9374" s="3">
        <v>225</v>
      </c>
      <c r="F9374">
        <v>20160310</v>
      </c>
      <c r="G9374" t="s">
        <v>7231</v>
      </c>
      <c r="H9374" t="s">
        <v>7543</v>
      </c>
      <c r="I9374">
        <v>0</v>
      </c>
      <c r="J9374" t="s">
        <v>7024</v>
      </c>
      <c r="K9374" t="s">
        <v>290</v>
      </c>
      <c r="L9374" t="s">
        <v>285</v>
      </c>
      <c r="M9374" t="str">
        <f t="shared" si="701"/>
        <v>03</v>
      </c>
      <c r="N9374" t="s">
        <v>12</v>
      </c>
    </row>
    <row r="9375" spans="1:14" x14ac:dyDescent="0.25">
      <c r="A9375">
        <v>20160311</v>
      </c>
      <c r="B9375" t="str">
        <f>"062683"</f>
        <v>062683</v>
      </c>
      <c r="C9375" t="str">
        <f>"55795"</f>
        <v>55795</v>
      </c>
      <c r="D9375" t="s">
        <v>4604</v>
      </c>
      <c r="E9375" s="3">
        <v>332.62</v>
      </c>
      <c r="F9375">
        <v>20160310</v>
      </c>
      <c r="G9375" t="s">
        <v>7114</v>
      </c>
      <c r="H9375" t="s">
        <v>7544</v>
      </c>
      <c r="I9375">
        <v>0</v>
      </c>
      <c r="J9375" t="s">
        <v>7024</v>
      </c>
      <c r="K9375" t="s">
        <v>2724</v>
      </c>
      <c r="L9375" t="s">
        <v>285</v>
      </c>
      <c r="M9375" t="str">
        <f t="shared" si="701"/>
        <v>03</v>
      </c>
      <c r="N9375" t="s">
        <v>12</v>
      </c>
    </row>
    <row r="9376" spans="1:14" x14ac:dyDescent="0.25">
      <c r="A9376">
        <v>20160311</v>
      </c>
      <c r="B9376" t="str">
        <f>"062683"</f>
        <v>062683</v>
      </c>
      <c r="C9376" t="str">
        <f>"55795"</f>
        <v>55795</v>
      </c>
      <c r="D9376" t="s">
        <v>4604</v>
      </c>
      <c r="E9376" s="3">
        <v>27.25</v>
      </c>
      <c r="F9376">
        <v>20160310</v>
      </c>
      <c r="G9376" t="s">
        <v>7114</v>
      </c>
      <c r="H9376" t="s">
        <v>7545</v>
      </c>
      <c r="I9376">
        <v>0</v>
      </c>
      <c r="J9376" t="s">
        <v>7024</v>
      </c>
      <c r="K9376" t="s">
        <v>2724</v>
      </c>
      <c r="L9376" t="s">
        <v>285</v>
      </c>
      <c r="M9376" t="str">
        <f t="shared" si="701"/>
        <v>03</v>
      </c>
      <c r="N9376" t="s">
        <v>12</v>
      </c>
    </row>
    <row r="9377" spans="1:14" x14ac:dyDescent="0.25">
      <c r="A9377">
        <v>20160311</v>
      </c>
      <c r="B9377" t="str">
        <f>"062688"</f>
        <v>062688</v>
      </c>
      <c r="C9377" t="str">
        <f>"57318"</f>
        <v>57318</v>
      </c>
      <c r="D9377" t="s">
        <v>389</v>
      </c>
      <c r="E9377" s="3">
        <v>80</v>
      </c>
      <c r="F9377">
        <v>20160310</v>
      </c>
      <c r="G9377" t="s">
        <v>7119</v>
      </c>
      <c r="H9377" t="s">
        <v>7546</v>
      </c>
      <c r="I9377">
        <v>0</v>
      </c>
      <c r="J9377" t="s">
        <v>7024</v>
      </c>
      <c r="K9377" t="s">
        <v>7068</v>
      </c>
      <c r="L9377" t="s">
        <v>285</v>
      </c>
      <c r="M9377" t="str">
        <f t="shared" si="701"/>
        <v>03</v>
      </c>
      <c r="N9377" t="s">
        <v>12</v>
      </c>
    </row>
    <row r="9378" spans="1:14" x14ac:dyDescent="0.25">
      <c r="A9378">
        <v>20160311</v>
      </c>
      <c r="B9378" t="str">
        <f>"062688"</f>
        <v>062688</v>
      </c>
      <c r="C9378" t="str">
        <f>"57318"</f>
        <v>57318</v>
      </c>
      <c r="D9378" t="s">
        <v>389</v>
      </c>
      <c r="E9378" s="3">
        <v>80</v>
      </c>
      <c r="F9378">
        <v>20160310</v>
      </c>
      <c r="G9378" t="s">
        <v>7119</v>
      </c>
      <c r="H9378" t="s">
        <v>7547</v>
      </c>
      <c r="I9378">
        <v>0</v>
      </c>
      <c r="J9378" t="s">
        <v>7024</v>
      </c>
      <c r="K9378" t="s">
        <v>7068</v>
      </c>
      <c r="L9378" t="s">
        <v>285</v>
      </c>
      <c r="M9378" t="str">
        <f t="shared" si="701"/>
        <v>03</v>
      </c>
      <c r="N9378" t="s">
        <v>12</v>
      </c>
    </row>
    <row r="9379" spans="1:14" x14ac:dyDescent="0.25">
      <c r="A9379">
        <v>20160311</v>
      </c>
      <c r="B9379" t="str">
        <f>"062689"</f>
        <v>062689</v>
      </c>
      <c r="C9379" t="str">
        <f>"57299"</f>
        <v>57299</v>
      </c>
      <c r="D9379" t="s">
        <v>873</v>
      </c>
      <c r="E9379" s="3">
        <v>40</v>
      </c>
      <c r="F9379">
        <v>20160310</v>
      </c>
      <c r="G9379" t="s">
        <v>7119</v>
      </c>
      <c r="H9379" t="s">
        <v>7548</v>
      </c>
      <c r="I9379">
        <v>0</v>
      </c>
      <c r="J9379" t="s">
        <v>7024</v>
      </c>
      <c r="K9379" t="s">
        <v>7068</v>
      </c>
      <c r="L9379" t="s">
        <v>285</v>
      </c>
      <c r="M9379" t="str">
        <f t="shared" si="701"/>
        <v>03</v>
      </c>
      <c r="N9379" t="s">
        <v>12</v>
      </c>
    </row>
    <row r="9380" spans="1:14" x14ac:dyDescent="0.25">
      <c r="A9380">
        <v>20160311</v>
      </c>
      <c r="B9380" t="str">
        <f>"062689"</f>
        <v>062689</v>
      </c>
      <c r="C9380" t="str">
        <f>"57299"</f>
        <v>57299</v>
      </c>
      <c r="D9380" t="s">
        <v>873</v>
      </c>
      <c r="E9380" s="3">
        <v>80</v>
      </c>
      <c r="F9380">
        <v>20160310</v>
      </c>
      <c r="G9380" t="s">
        <v>7119</v>
      </c>
      <c r="H9380" t="s">
        <v>7549</v>
      </c>
      <c r="I9380">
        <v>0</v>
      </c>
      <c r="J9380" t="s">
        <v>7024</v>
      </c>
      <c r="K9380" t="s">
        <v>7068</v>
      </c>
      <c r="L9380" t="s">
        <v>285</v>
      </c>
      <c r="M9380" t="str">
        <f t="shared" si="701"/>
        <v>03</v>
      </c>
      <c r="N9380" t="s">
        <v>12</v>
      </c>
    </row>
    <row r="9381" spans="1:14" x14ac:dyDescent="0.25">
      <c r="A9381">
        <v>20160311</v>
      </c>
      <c r="B9381" t="str">
        <f>"062689"</f>
        <v>062689</v>
      </c>
      <c r="C9381" t="str">
        <f>"57299"</f>
        <v>57299</v>
      </c>
      <c r="D9381" t="s">
        <v>873</v>
      </c>
      <c r="E9381" s="3">
        <v>80</v>
      </c>
      <c r="F9381">
        <v>20160310</v>
      </c>
      <c r="G9381" t="s">
        <v>7119</v>
      </c>
      <c r="H9381" t="s">
        <v>7546</v>
      </c>
      <c r="I9381">
        <v>0</v>
      </c>
      <c r="J9381" t="s">
        <v>7024</v>
      </c>
      <c r="K9381" t="s">
        <v>7068</v>
      </c>
      <c r="L9381" t="s">
        <v>285</v>
      </c>
      <c r="M9381" t="str">
        <f t="shared" si="701"/>
        <v>03</v>
      </c>
      <c r="N9381" t="s">
        <v>12</v>
      </c>
    </row>
    <row r="9382" spans="1:14" x14ac:dyDescent="0.25">
      <c r="A9382">
        <v>20160311</v>
      </c>
      <c r="B9382" t="str">
        <f>"062689"</f>
        <v>062689</v>
      </c>
      <c r="C9382" t="str">
        <f>"57299"</f>
        <v>57299</v>
      </c>
      <c r="D9382" t="s">
        <v>873</v>
      </c>
      <c r="E9382" s="3">
        <v>40</v>
      </c>
      <c r="F9382">
        <v>20160310</v>
      </c>
      <c r="G9382" t="s">
        <v>7119</v>
      </c>
      <c r="H9382" t="s">
        <v>7547</v>
      </c>
      <c r="I9382">
        <v>0</v>
      </c>
      <c r="J9382" t="s">
        <v>7024</v>
      </c>
      <c r="K9382" t="s">
        <v>7068</v>
      </c>
      <c r="L9382" t="s">
        <v>285</v>
      </c>
      <c r="M9382" t="str">
        <f t="shared" si="701"/>
        <v>03</v>
      </c>
      <c r="N9382" t="s">
        <v>12</v>
      </c>
    </row>
    <row r="9383" spans="1:14" x14ac:dyDescent="0.25">
      <c r="A9383">
        <v>20160311</v>
      </c>
      <c r="B9383" t="str">
        <f>"062699"</f>
        <v>062699</v>
      </c>
      <c r="C9383" t="str">
        <f>"64610"</f>
        <v>64610</v>
      </c>
      <c r="D9383" t="s">
        <v>678</v>
      </c>
      <c r="E9383" s="3">
        <v>75.5</v>
      </c>
      <c r="F9383">
        <v>20160311</v>
      </c>
      <c r="G9383" t="s">
        <v>7147</v>
      </c>
      <c r="H9383" t="s">
        <v>1091</v>
      </c>
      <c r="I9383">
        <v>0</v>
      </c>
      <c r="J9383" t="s">
        <v>7024</v>
      </c>
      <c r="K9383" t="s">
        <v>290</v>
      </c>
      <c r="L9383" t="s">
        <v>285</v>
      </c>
      <c r="M9383" t="str">
        <f t="shared" si="701"/>
        <v>03</v>
      </c>
      <c r="N9383" t="s">
        <v>12</v>
      </c>
    </row>
    <row r="9384" spans="1:14" x14ac:dyDescent="0.25">
      <c r="A9384">
        <v>20160311</v>
      </c>
      <c r="B9384" t="str">
        <f>"062700"</f>
        <v>062700</v>
      </c>
      <c r="C9384" t="str">
        <f>"65220"</f>
        <v>65220</v>
      </c>
      <c r="D9384" t="s">
        <v>876</v>
      </c>
      <c r="E9384" s="3">
        <v>80</v>
      </c>
      <c r="F9384">
        <v>20160311</v>
      </c>
      <c r="G9384" t="s">
        <v>7119</v>
      </c>
      <c r="H9384" t="s">
        <v>7547</v>
      </c>
      <c r="I9384">
        <v>0</v>
      </c>
      <c r="J9384" t="s">
        <v>7024</v>
      </c>
      <c r="K9384" t="s">
        <v>7068</v>
      </c>
      <c r="L9384" t="s">
        <v>285</v>
      </c>
      <c r="M9384" t="str">
        <f t="shared" si="701"/>
        <v>03</v>
      </c>
      <c r="N9384" t="s">
        <v>12</v>
      </c>
    </row>
    <row r="9385" spans="1:14" x14ac:dyDescent="0.25">
      <c r="A9385">
        <v>20160311</v>
      </c>
      <c r="B9385" t="str">
        <f>"062705"</f>
        <v>062705</v>
      </c>
      <c r="C9385" t="str">
        <f>"72730"</f>
        <v>72730</v>
      </c>
      <c r="D9385" t="s">
        <v>1926</v>
      </c>
      <c r="E9385" s="3">
        <v>180.76</v>
      </c>
      <c r="F9385">
        <v>20160311</v>
      </c>
      <c r="G9385" t="s">
        <v>7231</v>
      </c>
      <c r="H9385" t="s">
        <v>7550</v>
      </c>
      <c r="I9385">
        <v>0</v>
      </c>
      <c r="J9385" t="s">
        <v>7024</v>
      </c>
      <c r="K9385" t="s">
        <v>290</v>
      </c>
      <c r="L9385" t="s">
        <v>285</v>
      </c>
      <c r="M9385" t="str">
        <f t="shared" si="701"/>
        <v>03</v>
      </c>
      <c r="N9385" t="s">
        <v>12</v>
      </c>
    </row>
    <row r="9386" spans="1:14" x14ac:dyDescent="0.25">
      <c r="A9386">
        <v>20160311</v>
      </c>
      <c r="B9386" t="str">
        <f>"062706"</f>
        <v>062706</v>
      </c>
      <c r="C9386" t="str">
        <f>"74131"</f>
        <v>74131</v>
      </c>
      <c r="D9386" t="s">
        <v>453</v>
      </c>
      <c r="E9386" s="3">
        <v>130</v>
      </c>
      <c r="F9386">
        <v>20160311</v>
      </c>
      <c r="G9386" t="s">
        <v>7212</v>
      </c>
      <c r="H9386" t="s">
        <v>1151</v>
      </c>
      <c r="I9386">
        <v>0</v>
      </c>
      <c r="J9386" t="s">
        <v>7024</v>
      </c>
      <c r="K9386" t="s">
        <v>290</v>
      </c>
      <c r="L9386" t="s">
        <v>285</v>
      </c>
      <c r="M9386" t="str">
        <f t="shared" si="701"/>
        <v>03</v>
      </c>
      <c r="N9386" t="s">
        <v>12</v>
      </c>
    </row>
    <row r="9387" spans="1:14" x14ac:dyDescent="0.25">
      <c r="A9387">
        <v>20160311</v>
      </c>
      <c r="B9387" t="str">
        <f>"062707"</f>
        <v>062707</v>
      </c>
      <c r="C9387" t="str">
        <f>"74180"</f>
        <v>74180</v>
      </c>
      <c r="D9387" t="s">
        <v>7551</v>
      </c>
      <c r="E9387" s="3">
        <v>223.48</v>
      </c>
      <c r="F9387">
        <v>20160311</v>
      </c>
      <c r="G9387" t="s">
        <v>7074</v>
      </c>
      <c r="H9387" t="s">
        <v>7552</v>
      </c>
      <c r="I9387">
        <v>0</v>
      </c>
      <c r="J9387" t="s">
        <v>7024</v>
      </c>
      <c r="K9387" t="s">
        <v>290</v>
      </c>
      <c r="L9387" t="s">
        <v>285</v>
      </c>
      <c r="M9387" t="str">
        <f t="shared" si="701"/>
        <v>03</v>
      </c>
      <c r="N9387" t="s">
        <v>12</v>
      </c>
    </row>
    <row r="9388" spans="1:14" x14ac:dyDescent="0.25">
      <c r="A9388">
        <v>20160311</v>
      </c>
      <c r="B9388" t="str">
        <f>"062707"</f>
        <v>062707</v>
      </c>
      <c r="C9388" t="str">
        <f>"74180"</f>
        <v>74180</v>
      </c>
      <c r="D9388" t="s">
        <v>7551</v>
      </c>
      <c r="E9388" s="3">
        <v>190.74</v>
      </c>
      <c r="F9388">
        <v>20160311</v>
      </c>
      <c r="G9388" t="s">
        <v>7227</v>
      </c>
      <c r="H9388" t="s">
        <v>7553</v>
      </c>
      <c r="I9388">
        <v>0</v>
      </c>
      <c r="J9388" t="s">
        <v>7024</v>
      </c>
      <c r="K9388" t="s">
        <v>290</v>
      </c>
      <c r="L9388" t="s">
        <v>285</v>
      </c>
      <c r="M9388" t="str">
        <f t="shared" si="701"/>
        <v>03</v>
      </c>
      <c r="N9388" t="s">
        <v>12</v>
      </c>
    </row>
    <row r="9389" spans="1:14" x14ac:dyDescent="0.25">
      <c r="A9389">
        <v>20160311</v>
      </c>
      <c r="B9389" t="str">
        <f>"062707"</f>
        <v>062707</v>
      </c>
      <c r="C9389" t="str">
        <f>"74180"</f>
        <v>74180</v>
      </c>
      <c r="D9389" t="s">
        <v>7551</v>
      </c>
      <c r="E9389" s="3">
        <v>223.48</v>
      </c>
      <c r="F9389">
        <v>20160311</v>
      </c>
      <c r="G9389" t="s">
        <v>7260</v>
      </c>
      <c r="H9389" t="s">
        <v>7554</v>
      </c>
      <c r="I9389">
        <v>0</v>
      </c>
      <c r="J9389" t="s">
        <v>7024</v>
      </c>
      <c r="K9389" t="s">
        <v>290</v>
      </c>
      <c r="L9389" t="s">
        <v>285</v>
      </c>
      <c r="M9389" t="str">
        <f t="shared" si="701"/>
        <v>03</v>
      </c>
      <c r="N9389" t="s">
        <v>12</v>
      </c>
    </row>
    <row r="9390" spans="1:14" x14ac:dyDescent="0.25">
      <c r="A9390">
        <v>20160318</v>
      </c>
      <c r="B9390" t="str">
        <f>"062723"</f>
        <v>062723</v>
      </c>
      <c r="C9390" t="str">
        <f>"04985"</f>
        <v>04985</v>
      </c>
      <c r="D9390" t="s">
        <v>7555</v>
      </c>
      <c r="E9390" s="3">
        <v>1902.77</v>
      </c>
      <c r="F9390">
        <v>20160316</v>
      </c>
      <c r="G9390" t="s">
        <v>7049</v>
      </c>
      <c r="H9390" t="s">
        <v>7556</v>
      </c>
      <c r="I9390">
        <v>0</v>
      </c>
      <c r="J9390" t="s">
        <v>7024</v>
      </c>
      <c r="K9390" t="s">
        <v>33</v>
      </c>
      <c r="L9390" t="s">
        <v>285</v>
      </c>
      <c r="M9390" t="str">
        <f t="shared" si="701"/>
        <v>03</v>
      </c>
      <c r="N9390" t="s">
        <v>12</v>
      </c>
    </row>
    <row r="9391" spans="1:14" x14ac:dyDescent="0.25">
      <c r="A9391">
        <v>20160318</v>
      </c>
      <c r="B9391" t="str">
        <f t="shared" ref="B9391:B9397" si="702">"062735"</f>
        <v>062735</v>
      </c>
      <c r="C9391" t="str">
        <f t="shared" ref="C9391:C9397" si="703">"20433"</f>
        <v>20433</v>
      </c>
      <c r="D9391" t="s">
        <v>413</v>
      </c>
      <c r="E9391" s="3">
        <v>80</v>
      </c>
      <c r="F9391">
        <v>20160316</v>
      </c>
      <c r="G9391" t="s">
        <v>7557</v>
      </c>
      <c r="H9391" t="s">
        <v>7478</v>
      </c>
      <c r="I9391">
        <v>0</v>
      </c>
      <c r="J9391" t="s">
        <v>7024</v>
      </c>
      <c r="K9391" t="s">
        <v>7068</v>
      </c>
      <c r="L9391" t="s">
        <v>285</v>
      </c>
      <c r="M9391" t="str">
        <f t="shared" si="701"/>
        <v>03</v>
      </c>
      <c r="N9391" t="s">
        <v>12</v>
      </c>
    </row>
    <row r="9392" spans="1:14" x14ac:dyDescent="0.25">
      <c r="A9392">
        <v>20160318</v>
      </c>
      <c r="B9392" t="str">
        <f t="shared" si="702"/>
        <v>062735</v>
      </c>
      <c r="C9392" t="str">
        <f t="shared" si="703"/>
        <v>20433</v>
      </c>
      <c r="D9392" t="s">
        <v>413</v>
      </c>
      <c r="E9392" s="3">
        <v>80</v>
      </c>
      <c r="F9392">
        <v>20160316</v>
      </c>
      <c r="G9392" t="s">
        <v>7557</v>
      </c>
      <c r="H9392" t="s">
        <v>7479</v>
      </c>
      <c r="I9392">
        <v>0</v>
      </c>
      <c r="J9392" t="s">
        <v>7024</v>
      </c>
      <c r="K9392" t="s">
        <v>7068</v>
      </c>
      <c r="L9392" t="s">
        <v>285</v>
      </c>
      <c r="M9392" t="str">
        <f t="shared" ref="M9392:M9423" si="704">"03"</f>
        <v>03</v>
      </c>
      <c r="N9392" t="s">
        <v>12</v>
      </c>
    </row>
    <row r="9393" spans="1:14" x14ac:dyDescent="0.25">
      <c r="A9393">
        <v>20160318</v>
      </c>
      <c r="B9393" t="str">
        <f t="shared" si="702"/>
        <v>062735</v>
      </c>
      <c r="C9393" t="str">
        <f t="shared" si="703"/>
        <v>20433</v>
      </c>
      <c r="D9393" t="s">
        <v>413</v>
      </c>
      <c r="E9393" s="3">
        <v>40</v>
      </c>
      <c r="F9393">
        <v>20160316</v>
      </c>
      <c r="G9393" t="s">
        <v>7557</v>
      </c>
      <c r="H9393" t="s">
        <v>7548</v>
      </c>
      <c r="I9393">
        <v>0</v>
      </c>
      <c r="J9393" t="s">
        <v>7024</v>
      </c>
      <c r="K9393" t="s">
        <v>7068</v>
      </c>
      <c r="L9393" t="s">
        <v>285</v>
      </c>
      <c r="M9393" t="str">
        <f t="shared" si="704"/>
        <v>03</v>
      </c>
      <c r="N9393" t="s">
        <v>12</v>
      </c>
    </row>
    <row r="9394" spans="1:14" x14ac:dyDescent="0.25">
      <c r="A9394">
        <v>20160318</v>
      </c>
      <c r="B9394" t="str">
        <f t="shared" si="702"/>
        <v>062735</v>
      </c>
      <c r="C9394" t="str">
        <f t="shared" si="703"/>
        <v>20433</v>
      </c>
      <c r="D9394" t="s">
        <v>413</v>
      </c>
      <c r="E9394" s="3">
        <v>80</v>
      </c>
      <c r="F9394">
        <v>20160316</v>
      </c>
      <c r="G9394" t="s">
        <v>7557</v>
      </c>
      <c r="H9394" t="s">
        <v>7549</v>
      </c>
      <c r="I9394">
        <v>0</v>
      </c>
      <c r="J9394" t="s">
        <v>7024</v>
      </c>
      <c r="K9394" t="s">
        <v>7068</v>
      </c>
      <c r="L9394" t="s">
        <v>285</v>
      </c>
      <c r="M9394" t="str">
        <f t="shared" si="704"/>
        <v>03</v>
      </c>
      <c r="N9394" t="s">
        <v>12</v>
      </c>
    </row>
    <row r="9395" spans="1:14" x14ac:dyDescent="0.25">
      <c r="A9395">
        <v>20160318</v>
      </c>
      <c r="B9395" t="str">
        <f t="shared" si="702"/>
        <v>062735</v>
      </c>
      <c r="C9395" t="str">
        <f t="shared" si="703"/>
        <v>20433</v>
      </c>
      <c r="D9395" t="s">
        <v>413</v>
      </c>
      <c r="E9395" s="3">
        <v>80</v>
      </c>
      <c r="F9395">
        <v>20160316</v>
      </c>
      <c r="G9395" t="s">
        <v>7557</v>
      </c>
      <c r="H9395" t="s">
        <v>7546</v>
      </c>
      <c r="I9395">
        <v>0</v>
      </c>
      <c r="J9395" t="s">
        <v>7024</v>
      </c>
      <c r="K9395" t="s">
        <v>7068</v>
      </c>
      <c r="L9395" t="s">
        <v>285</v>
      </c>
      <c r="M9395" t="str">
        <f t="shared" si="704"/>
        <v>03</v>
      </c>
      <c r="N9395" t="s">
        <v>12</v>
      </c>
    </row>
    <row r="9396" spans="1:14" x14ac:dyDescent="0.25">
      <c r="A9396">
        <v>20160318</v>
      </c>
      <c r="B9396" t="str">
        <f t="shared" si="702"/>
        <v>062735</v>
      </c>
      <c r="C9396" t="str">
        <f t="shared" si="703"/>
        <v>20433</v>
      </c>
      <c r="D9396" t="s">
        <v>413</v>
      </c>
      <c r="E9396" s="3">
        <v>80</v>
      </c>
      <c r="F9396">
        <v>20160316</v>
      </c>
      <c r="G9396" t="s">
        <v>7557</v>
      </c>
      <c r="H9396" t="s">
        <v>7547</v>
      </c>
      <c r="I9396">
        <v>0</v>
      </c>
      <c r="J9396" t="s">
        <v>7024</v>
      </c>
      <c r="K9396" t="s">
        <v>7068</v>
      </c>
      <c r="L9396" t="s">
        <v>285</v>
      </c>
      <c r="M9396" t="str">
        <f t="shared" si="704"/>
        <v>03</v>
      </c>
      <c r="N9396" t="s">
        <v>12</v>
      </c>
    </row>
    <row r="9397" spans="1:14" x14ac:dyDescent="0.25">
      <c r="A9397">
        <v>20160318</v>
      </c>
      <c r="B9397" t="str">
        <f t="shared" si="702"/>
        <v>062735</v>
      </c>
      <c r="C9397" t="str">
        <f t="shared" si="703"/>
        <v>20433</v>
      </c>
      <c r="D9397" t="s">
        <v>413</v>
      </c>
      <c r="E9397" s="3">
        <v>80</v>
      </c>
      <c r="F9397">
        <v>20160316</v>
      </c>
      <c r="G9397" t="s">
        <v>7557</v>
      </c>
      <c r="H9397" t="s">
        <v>7558</v>
      </c>
      <c r="I9397">
        <v>0</v>
      </c>
      <c r="J9397" t="s">
        <v>7024</v>
      </c>
      <c r="K9397" t="s">
        <v>7068</v>
      </c>
      <c r="L9397" t="s">
        <v>285</v>
      </c>
      <c r="M9397" t="str">
        <f t="shared" si="704"/>
        <v>03</v>
      </c>
      <c r="N9397" t="s">
        <v>12</v>
      </c>
    </row>
    <row r="9398" spans="1:14" x14ac:dyDescent="0.25">
      <c r="A9398">
        <v>20160318</v>
      </c>
      <c r="B9398" t="str">
        <f>"062747"</f>
        <v>062747</v>
      </c>
      <c r="C9398" t="str">
        <f>"30585"</f>
        <v>30585</v>
      </c>
      <c r="D9398" t="s">
        <v>7500</v>
      </c>
      <c r="E9398" s="3">
        <v>422.5</v>
      </c>
      <c r="F9398">
        <v>20160316</v>
      </c>
      <c r="G9398" t="s">
        <v>7443</v>
      </c>
      <c r="H9398" t="s">
        <v>4605</v>
      </c>
      <c r="I9398">
        <v>0</v>
      </c>
      <c r="J9398" t="s">
        <v>7024</v>
      </c>
      <c r="K9398" t="s">
        <v>2724</v>
      </c>
      <c r="L9398" t="s">
        <v>285</v>
      </c>
      <c r="M9398" t="str">
        <f t="shared" si="704"/>
        <v>03</v>
      </c>
      <c r="N9398" t="s">
        <v>12</v>
      </c>
    </row>
    <row r="9399" spans="1:14" x14ac:dyDescent="0.25">
      <c r="A9399">
        <v>20160318</v>
      </c>
      <c r="B9399" t="str">
        <f>"062748"</f>
        <v>062748</v>
      </c>
      <c r="C9399" t="str">
        <f>"31345"</f>
        <v>31345</v>
      </c>
      <c r="D9399" t="s">
        <v>426</v>
      </c>
      <c r="E9399" s="3">
        <v>2254</v>
      </c>
      <c r="F9399">
        <v>20160316</v>
      </c>
      <c r="G9399" t="s">
        <v>7260</v>
      </c>
      <c r="H9399" t="s">
        <v>7045</v>
      </c>
      <c r="I9399">
        <v>0</v>
      </c>
      <c r="J9399" t="s">
        <v>7024</v>
      </c>
      <c r="K9399" t="s">
        <v>290</v>
      </c>
      <c r="L9399" t="s">
        <v>285</v>
      </c>
      <c r="M9399" t="str">
        <f t="shared" si="704"/>
        <v>03</v>
      </c>
      <c r="N9399" t="s">
        <v>12</v>
      </c>
    </row>
    <row r="9400" spans="1:14" x14ac:dyDescent="0.25">
      <c r="A9400">
        <v>20160318</v>
      </c>
      <c r="B9400" t="str">
        <f>"062753"</f>
        <v>062753</v>
      </c>
      <c r="C9400" t="str">
        <f>"39422"</f>
        <v>39422</v>
      </c>
      <c r="D9400" t="s">
        <v>1141</v>
      </c>
      <c r="E9400" s="3">
        <v>410</v>
      </c>
      <c r="F9400">
        <v>20160316</v>
      </c>
      <c r="G9400" t="s">
        <v>7372</v>
      </c>
      <c r="H9400" t="s">
        <v>1167</v>
      </c>
      <c r="I9400">
        <v>0</v>
      </c>
      <c r="J9400" t="s">
        <v>7024</v>
      </c>
      <c r="K9400" t="s">
        <v>290</v>
      </c>
      <c r="L9400" t="s">
        <v>285</v>
      </c>
      <c r="M9400" t="str">
        <f t="shared" si="704"/>
        <v>03</v>
      </c>
      <c r="N9400" t="s">
        <v>12</v>
      </c>
    </row>
    <row r="9401" spans="1:14" x14ac:dyDescent="0.25">
      <c r="A9401">
        <v>20160318</v>
      </c>
      <c r="B9401" t="str">
        <f>"062754"</f>
        <v>062754</v>
      </c>
      <c r="C9401" t="str">
        <f>"39906"</f>
        <v>39906</v>
      </c>
      <c r="D9401" t="s">
        <v>7559</v>
      </c>
      <c r="E9401" s="3">
        <v>678.15</v>
      </c>
      <c r="F9401">
        <v>20160316</v>
      </c>
      <c r="G9401" t="s">
        <v>7372</v>
      </c>
      <c r="H9401" t="s">
        <v>1167</v>
      </c>
      <c r="I9401">
        <v>0</v>
      </c>
      <c r="J9401" t="s">
        <v>7024</v>
      </c>
      <c r="K9401" t="s">
        <v>290</v>
      </c>
      <c r="L9401" t="s">
        <v>285</v>
      </c>
      <c r="M9401" t="str">
        <f t="shared" si="704"/>
        <v>03</v>
      </c>
      <c r="N9401" t="s">
        <v>12</v>
      </c>
    </row>
    <row r="9402" spans="1:14" x14ac:dyDescent="0.25">
      <c r="A9402">
        <v>20160318</v>
      </c>
      <c r="B9402" t="str">
        <f>"062756"</f>
        <v>062756</v>
      </c>
      <c r="C9402" t="str">
        <f>"40816"</f>
        <v>40816</v>
      </c>
      <c r="D9402" t="s">
        <v>4505</v>
      </c>
      <c r="E9402" s="3">
        <v>100</v>
      </c>
      <c r="F9402">
        <v>20160316</v>
      </c>
      <c r="G9402" t="s">
        <v>7560</v>
      </c>
      <c r="H9402" t="s">
        <v>4507</v>
      </c>
      <c r="I9402">
        <v>0</v>
      </c>
      <c r="J9402" t="s">
        <v>7024</v>
      </c>
      <c r="K9402" t="s">
        <v>290</v>
      </c>
      <c r="L9402" t="s">
        <v>285</v>
      </c>
      <c r="M9402" t="str">
        <f t="shared" si="704"/>
        <v>03</v>
      </c>
      <c r="N9402" t="s">
        <v>12</v>
      </c>
    </row>
    <row r="9403" spans="1:14" x14ac:dyDescent="0.25">
      <c r="A9403">
        <v>20160318</v>
      </c>
      <c r="B9403" t="str">
        <f>"062774"</f>
        <v>062774</v>
      </c>
      <c r="C9403" t="str">
        <f>"54321"</f>
        <v>54321</v>
      </c>
      <c r="D9403" t="s">
        <v>7561</v>
      </c>
      <c r="E9403" s="3">
        <v>1126.3499999999999</v>
      </c>
      <c r="F9403">
        <v>20160316</v>
      </c>
      <c r="G9403" t="s">
        <v>7026</v>
      </c>
      <c r="H9403" t="s">
        <v>7562</v>
      </c>
      <c r="I9403">
        <v>0</v>
      </c>
      <c r="J9403" t="s">
        <v>7024</v>
      </c>
      <c r="K9403" t="s">
        <v>1643</v>
      </c>
      <c r="L9403" t="s">
        <v>285</v>
      </c>
      <c r="M9403" t="str">
        <f t="shared" si="704"/>
        <v>03</v>
      </c>
      <c r="N9403" t="s">
        <v>12</v>
      </c>
    </row>
    <row r="9404" spans="1:14" x14ac:dyDescent="0.25">
      <c r="A9404">
        <v>20160318</v>
      </c>
      <c r="B9404" t="str">
        <f>"062778"</f>
        <v>062778</v>
      </c>
      <c r="C9404" t="str">
        <f>"57322"</f>
        <v>57322</v>
      </c>
      <c r="D9404" t="s">
        <v>957</v>
      </c>
      <c r="E9404" s="3">
        <v>20</v>
      </c>
      <c r="F9404">
        <v>20160317</v>
      </c>
      <c r="G9404" t="s">
        <v>7023</v>
      </c>
      <c r="H9404" t="s">
        <v>1163</v>
      </c>
      <c r="I9404">
        <v>0</v>
      </c>
      <c r="J9404" t="s">
        <v>7024</v>
      </c>
      <c r="K9404" t="s">
        <v>290</v>
      </c>
      <c r="L9404" t="s">
        <v>285</v>
      </c>
      <c r="M9404" t="str">
        <f t="shared" si="704"/>
        <v>03</v>
      </c>
      <c r="N9404" t="s">
        <v>12</v>
      </c>
    </row>
    <row r="9405" spans="1:14" x14ac:dyDescent="0.25">
      <c r="A9405">
        <v>20160318</v>
      </c>
      <c r="B9405" t="str">
        <f>"062781"</f>
        <v>062781</v>
      </c>
      <c r="C9405" t="str">
        <f>"58204"</f>
        <v>58204</v>
      </c>
      <c r="D9405" t="s">
        <v>1816</v>
      </c>
      <c r="E9405" s="3">
        <v>133.63</v>
      </c>
      <c r="F9405">
        <v>20160317</v>
      </c>
      <c r="G9405" t="s">
        <v>7086</v>
      </c>
      <c r="H9405" t="s">
        <v>2378</v>
      </c>
      <c r="I9405">
        <v>0</v>
      </c>
      <c r="J9405" t="s">
        <v>7024</v>
      </c>
      <c r="K9405" t="s">
        <v>290</v>
      </c>
      <c r="L9405" t="s">
        <v>285</v>
      </c>
      <c r="M9405" t="str">
        <f t="shared" si="704"/>
        <v>03</v>
      </c>
      <c r="N9405" t="s">
        <v>12</v>
      </c>
    </row>
    <row r="9406" spans="1:14" x14ac:dyDescent="0.25">
      <c r="A9406">
        <v>20160318</v>
      </c>
      <c r="B9406" t="str">
        <f>"062782"</f>
        <v>062782</v>
      </c>
      <c r="C9406" t="str">
        <f>"58203"</f>
        <v>58203</v>
      </c>
      <c r="D9406" t="s">
        <v>2371</v>
      </c>
      <c r="E9406" s="3">
        <v>219.25</v>
      </c>
      <c r="F9406">
        <v>20160317</v>
      </c>
      <c r="G9406" t="s">
        <v>7026</v>
      </c>
      <c r="H9406" t="s">
        <v>5398</v>
      </c>
      <c r="I9406">
        <v>0</v>
      </c>
      <c r="J9406" t="s">
        <v>7024</v>
      </c>
      <c r="K9406" t="s">
        <v>1643</v>
      </c>
      <c r="L9406" t="s">
        <v>285</v>
      </c>
      <c r="M9406" t="str">
        <f t="shared" si="704"/>
        <v>03</v>
      </c>
      <c r="N9406" t="s">
        <v>12</v>
      </c>
    </row>
    <row r="9407" spans="1:14" x14ac:dyDescent="0.25">
      <c r="A9407">
        <v>20160318</v>
      </c>
      <c r="B9407" t="str">
        <f>"062782"</f>
        <v>062782</v>
      </c>
      <c r="C9407" t="str">
        <f>"58203"</f>
        <v>58203</v>
      </c>
      <c r="D9407" t="s">
        <v>2371</v>
      </c>
      <c r="E9407" s="3">
        <v>60.08</v>
      </c>
      <c r="F9407">
        <v>20160317</v>
      </c>
      <c r="G9407" t="s">
        <v>7094</v>
      </c>
      <c r="H9407" t="s">
        <v>7563</v>
      </c>
      <c r="I9407">
        <v>0</v>
      </c>
      <c r="J9407" t="s">
        <v>7024</v>
      </c>
      <c r="K9407" t="s">
        <v>1643</v>
      </c>
      <c r="L9407" t="s">
        <v>285</v>
      </c>
      <c r="M9407" t="str">
        <f t="shared" si="704"/>
        <v>03</v>
      </c>
      <c r="N9407" t="s">
        <v>12</v>
      </c>
    </row>
    <row r="9408" spans="1:14" x14ac:dyDescent="0.25">
      <c r="A9408">
        <v>20160318</v>
      </c>
      <c r="B9408" t="str">
        <f t="shared" ref="B9408:B9414" si="705">"062794"</f>
        <v>062794</v>
      </c>
      <c r="C9408" t="str">
        <f t="shared" ref="C9408:C9414" si="706">"65106"</f>
        <v>65106</v>
      </c>
      <c r="D9408" t="s">
        <v>1568</v>
      </c>
      <c r="E9408" s="3">
        <v>15.09</v>
      </c>
      <c r="F9408">
        <v>20160317</v>
      </c>
      <c r="G9408" t="s">
        <v>7074</v>
      </c>
      <c r="H9408" t="s">
        <v>7564</v>
      </c>
      <c r="I9408">
        <v>0</v>
      </c>
      <c r="J9408" t="s">
        <v>7024</v>
      </c>
      <c r="K9408" t="s">
        <v>290</v>
      </c>
      <c r="L9408" t="s">
        <v>285</v>
      </c>
      <c r="M9408" t="str">
        <f t="shared" si="704"/>
        <v>03</v>
      </c>
      <c r="N9408" t="s">
        <v>12</v>
      </c>
    </row>
    <row r="9409" spans="1:14" x14ac:dyDescent="0.25">
      <c r="A9409">
        <v>20160318</v>
      </c>
      <c r="B9409" t="str">
        <f t="shared" si="705"/>
        <v>062794</v>
      </c>
      <c r="C9409" t="str">
        <f t="shared" si="706"/>
        <v>65106</v>
      </c>
      <c r="D9409" t="s">
        <v>1568</v>
      </c>
      <c r="E9409" s="3">
        <v>98.59</v>
      </c>
      <c r="F9409">
        <v>20160317</v>
      </c>
      <c r="G9409" t="s">
        <v>7074</v>
      </c>
      <c r="H9409" t="s">
        <v>7565</v>
      </c>
      <c r="I9409">
        <v>0</v>
      </c>
      <c r="J9409" t="s">
        <v>7024</v>
      </c>
      <c r="K9409" t="s">
        <v>290</v>
      </c>
      <c r="L9409" t="s">
        <v>285</v>
      </c>
      <c r="M9409" t="str">
        <f t="shared" si="704"/>
        <v>03</v>
      </c>
      <c r="N9409" t="s">
        <v>12</v>
      </c>
    </row>
    <row r="9410" spans="1:14" x14ac:dyDescent="0.25">
      <c r="A9410">
        <v>20160318</v>
      </c>
      <c r="B9410" t="str">
        <f t="shared" si="705"/>
        <v>062794</v>
      </c>
      <c r="C9410" t="str">
        <f t="shared" si="706"/>
        <v>65106</v>
      </c>
      <c r="D9410" t="s">
        <v>1568</v>
      </c>
      <c r="E9410" s="3">
        <v>15.09</v>
      </c>
      <c r="F9410">
        <v>20160317</v>
      </c>
      <c r="G9410" t="s">
        <v>7260</v>
      </c>
      <c r="H9410" t="s">
        <v>7564</v>
      </c>
      <c r="I9410">
        <v>0</v>
      </c>
      <c r="J9410" t="s">
        <v>7024</v>
      </c>
      <c r="K9410" t="s">
        <v>290</v>
      </c>
      <c r="L9410" t="s">
        <v>285</v>
      </c>
      <c r="M9410" t="str">
        <f t="shared" si="704"/>
        <v>03</v>
      </c>
      <c r="N9410" t="s">
        <v>12</v>
      </c>
    </row>
    <row r="9411" spans="1:14" x14ac:dyDescent="0.25">
      <c r="A9411">
        <v>20160318</v>
      </c>
      <c r="B9411" t="str">
        <f t="shared" si="705"/>
        <v>062794</v>
      </c>
      <c r="C9411" t="str">
        <f t="shared" si="706"/>
        <v>65106</v>
      </c>
      <c r="D9411" t="s">
        <v>1568</v>
      </c>
      <c r="E9411" s="3">
        <v>98.59</v>
      </c>
      <c r="F9411">
        <v>20160317</v>
      </c>
      <c r="G9411" t="s">
        <v>7260</v>
      </c>
      <c r="H9411" t="s">
        <v>7566</v>
      </c>
      <c r="I9411">
        <v>0</v>
      </c>
      <c r="J9411" t="s">
        <v>7024</v>
      </c>
      <c r="K9411" t="s">
        <v>290</v>
      </c>
      <c r="L9411" t="s">
        <v>285</v>
      </c>
      <c r="M9411" t="str">
        <f t="shared" si="704"/>
        <v>03</v>
      </c>
      <c r="N9411" t="s">
        <v>12</v>
      </c>
    </row>
    <row r="9412" spans="1:14" x14ac:dyDescent="0.25">
      <c r="A9412">
        <v>20160318</v>
      </c>
      <c r="B9412" t="str">
        <f t="shared" si="705"/>
        <v>062794</v>
      </c>
      <c r="C9412" t="str">
        <f t="shared" si="706"/>
        <v>65106</v>
      </c>
      <c r="D9412" t="s">
        <v>1568</v>
      </c>
      <c r="E9412" s="3">
        <v>69.33</v>
      </c>
      <c r="F9412">
        <v>20160317</v>
      </c>
      <c r="G9412" t="s">
        <v>7143</v>
      </c>
      <c r="H9412" t="s">
        <v>7567</v>
      </c>
      <c r="I9412">
        <v>0</v>
      </c>
      <c r="J9412" t="s">
        <v>7024</v>
      </c>
      <c r="K9412" t="s">
        <v>290</v>
      </c>
      <c r="L9412" t="s">
        <v>285</v>
      </c>
      <c r="M9412" t="str">
        <f t="shared" si="704"/>
        <v>03</v>
      </c>
      <c r="N9412" t="s">
        <v>12</v>
      </c>
    </row>
    <row r="9413" spans="1:14" x14ac:dyDescent="0.25">
      <c r="A9413">
        <v>20160318</v>
      </c>
      <c r="B9413" t="str">
        <f t="shared" si="705"/>
        <v>062794</v>
      </c>
      <c r="C9413" t="str">
        <f t="shared" si="706"/>
        <v>65106</v>
      </c>
      <c r="D9413" t="s">
        <v>1568</v>
      </c>
      <c r="E9413" s="3">
        <v>604.73</v>
      </c>
      <c r="F9413">
        <v>20160317</v>
      </c>
      <c r="G9413" t="s">
        <v>7143</v>
      </c>
      <c r="H9413" t="s">
        <v>7535</v>
      </c>
      <c r="I9413">
        <v>0</v>
      </c>
      <c r="J9413" t="s">
        <v>7024</v>
      </c>
      <c r="K9413" t="s">
        <v>290</v>
      </c>
      <c r="L9413" t="s">
        <v>285</v>
      </c>
      <c r="M9413" t="str">
        <f t="shared" si="704"/>
        <v>03</v>
      </c>
      <c r="N9413" t="s">
        <v>12</v>
      </c>
    </row>
    <row r="9414" spans="1:14" x14ac:dyDescent="0.25">
      <c r="A9414">
        <v>20160318</v>
      </c>
      <c r="B9414" t="str">
        <f t="shared" si="705"/>
        <v>062794</v>
      </c>
      <c r="C9414" t="str">
        <f t="shared" si="706"/>
        <v>65106</v>
      </c>
      <c r="D9414" t="s">
        <v>1568</v>
      </c>
      <c r="E9414" s="3">
        <v>91.29</v>
      </c>
      <c r="F9414">
        <v>20160317</v>
      </c>
      <c r="G9414" t="s">
        <v>7083</v>
      </c>
      <c r="H9414" t="s">
        <v>7568</v>
      </c>
      <c r="I9414">
        <v>0</v>
      </c>
      <c r="J9414" t="s">
        <v>7024</v>
      </c>
      <c r="K9414" t="s">
        <v>290</v>
      </c>
      <c r="L9414" t="s">
        <v>285</v>
      </c>
      <c r="M9414" t="str">
        <f t="shared" si="704"/>
        <v>03</v>
      </c>
      <c r="N9414" t="s">
        <v>12</v>
      </c>
    </row>
    <row r="9415" spans="1:14" x14ac:dyDescent="0.25">
      <c r="A9415">
        <v>20160318</v>
      </c>
      <c r="B9415" t="str">
        <f>"062795"</f>
        <v>062795</v>
      </c>
      <c r="C9415" t="str">
        <f>"65202"</f>
        <v>65202</v>
      </c>
      <c r="D9415" t="s">
        <v>7189</v>
      </c>
      <c r="E9415" s="3">
        <v>40</v>
      </c>
      <c r="F9415">
        <v>20160317</v>
      </c>
      <c r="G9415" t="s">
        <v>7569</v>
      </c>
      <c r="H9415" t="s">
        <v>7570</v>
      </c>
      <c r="I9415">
        <v>0</v>
      </c>
      <c r="J9415" t="s">
        <v>7024</v>
      </c>
      <c r="K9415" t="s">
        <v>7068</v>
      </c>
      <c r="L9415" t="s">
        <v>285</v>
      </c>
      <c r="M9415" t="str">
        <f t="shared" si="704"/>
        <v>03</v>
      </c>
      <c r="N9415" t="s">
        <v>12</v>
      </c>
    </row>
    <row r="9416" spans="1:14" x14ac:dyDescent="0.25">
      <c r="A9416">
        <v>20160318</v>
      </c>
      <c r="B9416" t="str">
        <f>"062795"</f>
        <v>062795</v>
      </c>
      <c r="C9416" t="str">
        <f>"65202"</f>
        <v>65202</v>
      </c>
      <c r="D9416" t="s">
        <v>7189</v>
      </c>
      <c r="E9416" s="3">
        <v>40</v>
      </c>
      <c r="F9416">
        <v>20160317</v>
      </c>
      <c r="G9416" t="s">
        <v>7569</v>
      </c>
      <c r="H9416" t="s">
        <v>7571</v>
      </c>
      <c r="I9416">
        <v>0</v>
      </c>
      <c r="J9416" t="s">
        <v>7024</v>
      </c>
      <c r="K9416" t="s">
        <v>7068</v>
      </c>
      <c r="L9416" t="s">
        <v>285</v>
      </c>
      <c r="M9416" t="str">
        <f t="shared" si="704"/>
        <v>03</v>
      </c>
      <c r="N9416" t="s">
        <v>12</v>
      </c>
    </row>
    <row r="9417" spans="1:14" x14ac:dyDescent="0.25">
      <c r="A9417">
        <v>20160318</v>
      </c>
      <c r="B9417" t="str">
        <f>"062795"</f>
        <v>062795</v>
      </c>
      <c r="C9417" t="str">
        <f>"65202"</f>
        <v>65202</v>
      </c>
      <c r="D9417" t="s">
        <v>7189</v>
      </c>
      <c r="E9417" s="3">
        <v>60</v>
      </c>
      <c r="F9417">
        <v>20160317</v>
      </c>
      <c r="G9417" t="s">
        <v>7569</v>
      </c>
      <c r="H9417" t="s">
        <v>7572</v>
      </c>
      <c r="I9417">
        <v>0</v>
      </c>
      <c r="J9417" t="s">
        <v>7024</v>
      </c>
      <c r="K9417" t="s">
        <v>7068</v>
      </c>
      <c r="L9417" t="s">
        <v>285</v>
      </c>
      <c r="M9417" t="str">
        <f t="shared" si="704"/>
        <v>03</v>
      </c>
      <c r="N9417" t="s">
        <v>12</v>
      </c>
    </row>
    <row r="9418" spans="1:14" x14ac:dyDescent="0.25">
      <c r="A9418">
        <v>20160318</v>
      </c>
      <c r="B9418" t="str">
        <f>"062795"</f>
        <v>062795</v>
      </c>
      <c r="C9418" t="str">
        <f>"65202"</f>
        <v>65202</v>
      </c>
      <c r="D9418" t="s">
        <v>7189</v>
      </c>
      <c r="E9418" s="3">
        <v>40</v>
      </c>
      <c r="F9418">
        <v>20160317</v>
      </c>
      <c r="G9418" t="s">
        <v>7569</v>
      </c>
      <c r="H9418" t="s">
        <v>7573</v>
      </c>
      <c r="I9418">
        <v>0</v>
      </c>
      <c r="J9418" t="s">
        <v>7024</v>
      </c>
      <c r="K9418" t="s">
        <v>7068</v>
      </c>
      <c r="L9418" t="s">
        <v>285</v>
      </c>
      <c r="M9418" t="str">
        <f t="shared" si="704"/>
        <v>03</v>
      </c>
      <c r="N9418" t="s">
        <v>12</v>
      </c>
    </row>
    <row r="9419" spans="1:14" x14ac:dyDescent="0.25">
      <c r="A9419">
        <v>20160318</v>
      </c>
      <c r="B9419" t="str">
        <f>"062795"</f>
        <v>062795</v>
      </c>
      <c r="C9419" t="str">
        <f>"65202"</f>
        <v>65202</v>
      </c>
      <c r="D9419" t="s">
        <v>7189</v>
      </c>
      <c r="E9419" s="3">
        <v>40</v>
      </c>
      <c r="F9419">
        <v>20160317</v>
      </c>
      <c r="G9419" t="s">
        <v>7569</v>
      </c>
      <c r="H9419" t="s">
        <v>7574</v>
      </c>
      <c r="I9419">
        <v>0</v>
      </c>
      <c r="J9419" t="s">
        <v>7024</v>
      </c>
      <c r="K9419" t="s">
        <v>7068</v>
      </c>
      <c r="L9419" t="s">
        <v>285</v>
      </c>
      <c r="M9419" t="str">
        <f t="shared" si="704"/>
        <v>03</v>
      </c>
      <c r="N9419" t="s">
        <v>12</v>
      </c>
    </row>
    <row r="9420" spans="1:14" x14ac:dyDescent="0.25">
      <c r="A9420">
        <v>20160318</v>
      </c>
      <c r="B9420" t="str">
        <f>"062796"</f>
        <v>062796</v>
      </c>
      <c r="C9420" t="str">
        <f>"65220"</f>
        <v>65220</v>
      </c>
      <c r="D9420" t="s">
        <v>876</v>
      </c>
      <c r="E9420" s="3">
        <v>80</v>
      </c>
      <c r="F9420">
        <v>20160317</v>
      </c>
      <c r="G9420" t="s">
        <v>7557</v>
      </c>
      <c r="H9420" t="s">
        <v>7478</v>
      </c>
      <c r="I9420">
        <v>0</v>
      </c>
      <c r="J9420" t="s">
        <v>7024</v>
      </c>
      <c r="K9420" t="s">
        <v>7068</v>
      </c>
      <c r="L9420" t="s">
        <v>285</v>
      </c>
      <c r="M9420" t="str">
        <f t="shared" si="704"/>
        <v>03</v>
      </c>
      <c r="N9420" t="s">
        <v>12</v>
      </c>
    </row>
    <row r="9421" spans="1:14" x14ac:dyDescent="0.25">
      <c r="A9421">
        <v>20160318</v>
      </c>
      <c r="B9421" t="str">
        <f>"062796"</f>
        <v>062796</v>
      </c>
      <c r="C9421" t="str">
        <f>"65220"</f>
        <v>65220</v>
      </c>
      <c r="D9421" t="s">
        <v>876</v>
      </c>
      <c r="E9421" s="3">
        <v>80</v>
      </c>
      <c r="F9421">
        <v>20160317</v>
      </c>
      <c r="G9421" t="s">
        <v>7557</v>
      </c>
      <c r="H9421" t="s">
        <v>7549</v>
      </c>
      <c r="I9421">
        <v>0</v>
      </c>
      <c r="J9421" t="s">
        <v>7024</v>
      </c>
      <c r="K9421" t="s">
        <v>7068</v>
      </c>
      <c r="L9421" t="s">
        <v>285</v>
      </c>
      <c r="M9421" t="str">
        <f t="shared" si="704"/>
        <v>03</v>
      </c>
      <c r="N9421" t="s">
        <v>12</v>
      </c>
    </row>
    <row r="9422" spans="1:14" x14ac:dyDescent="0.25">
      <c r="A9422">
        <v>20160318</v>
      </c>
      <c r="B9422" t="str">
        <f>"062796"</f>
        <v>062796</v>
      </c>
      <c r="C9422" t="str">
        <f>"65220"</f>
        <v>65220</v>
      </c>
      <c r="D9422" t="s">
        <v>876</v>
      </c>
      <c r="E9422" s="3">
        <v>80</v>
      </c>
      <c r="F9422">
        <v>20160317</v>
      </c>
      <c r="G9422" t="s">
        <v>7557</v>
      </c>
      <c r="H9422" t="s">
        <v>7546</v>
      </c>
      <c r="I9422">
        <v>0</v>
      </c>
      <c r="J9422" t="s">
        <v>7024</v>
      </c>
      <c r="K9422" t="s">
        <v>7068</v>
      </c>
      <c r="L9422" t="s">
        <v>285</v>
      </c>
      <c r="M9422" t="str">
        <f t="shared" si="704"/>
        <v>03</v>
      </c>
      <c r="N9422" t="s">
        <v>12</v>
      </c>
    </row>
    <row r="9423" spans="1:14" x14ac:dyDescent="0.25">
      <c r="A9423">
        <v>20160318</v>
      </c>
      <c r="B9423" t="str">
        <f>"062796"</f>
        <v>062796</v>
      </c>
      <c r="C9423" t="str">
        <f>"65220"</f>
        <v>65220</v>
      </c>
      <c r="D9423" t="s">
        <v>876</v>
      </c>
      <c r="E9423" s="3">
        <v>80</v>
      </c>
      <c r="F9423">
        <v>20160317</v>
      </c>
      <c r="G9423" t="s">
        <v>7557</v>
      </c>
      <c r="H9423" t="s">
        <v>7547</v>
      </c>
      <c r="I9423">
        <v>0</v>
      </c>
      <c r="J9423" t="s">
        <v>7024</v>
      </c>
      <c r="K9423" t="s">
        <v>7068</v>
      </c>
      <c r="L9423" t="s">
        <v>285</v>
      </c>
      <c r="M9423" t="str">
        <f t="shared" si="704"/>
        <v>03</v>
      </c>
      <c r="N9423" t="s">
        <v>12</v>
      </c>
    </row>
    <row r="9424" spans="1:14" x14ac:dyDescent="0.25">
      <c r="A9424">
        <v>20160318</v>
      </c>
      <c r="B9424" t="str">
        <f>"062796"</f>
        <v>062796</v>
      </c>
      <c r="C9424" t="str">
        <f>"65220"</f>
        <v>65220</v>
      </c>
      <c r="D9424" t="s">
        <v>876</v>
      </c>
      <c r="E9424" s="3">
        <v>80</v>
      </c>
      <c r="F9424">
        <v>20160317</v>
      </c>
      <c r="G9424" t="s">
        <v>7557</v>
      </c>
      <c r="H9424" t="s">
        <v>7558</v>
      </c>
      <c r="I9424">
        <v>0</v>
      </c>
      <c r="J9424" t="s">
        <v>7024</v>
      </c>
      <c r="K9424" t="s">
        <v>7068</v>
      </c>
      <c r="L9424" t="s">
        <v>285</v>
      </c>
      <c r="M9424" t="str">
        <f t="shared" ref="M9424:M9455" si="707">"03"</f>
        <v>03</v>
      </c>
      <c r="N9424" t="s">
        <v>12</v>
      </c>
    </row>
    <row r="9425" spans="1:14" x14ac:dyDescent="0.25">
      <c r="A9425">
        <v>20160318</v>
      </c>
      <c r="B9425" t="str">
        <f>"062809"</f>
        <v>062809</v>
      </c>
      <c r="C9425" t="str">
        <f>"79661"</f>
        <v>79661</v>
      </c>
      <c r="D9425" t="s">
        <v>2403</v>
      </c>
      <c r="E9425" s="3">
        <v>207</v>
      </c>
      <c r="F9425">
        <v>20160317</v>
      </c>
      <c r="G9425" t="s">
        <v>7124</v>
      </c>
      <c r="H9425" t="s">
        <v>7575</v>
      </c>
      <c r="I9425">
        <v>0</v>
      </c>
      <c r="J9425" t="s">
        <v>7024</v>
      </c>
      <c r="K9425" t="s">
        <v>290</v>
      </c>
      <c r="L9425" t="s">
        <v>285</v>
      </c>
      <c r="M9425" t="str">
        <f t="shared" si="707"/>
        <v>03</v>
      </c>
      <c r="N9425" t="s">
        <v>12</v>
      </c>
    </row>
    <row r="9426" spans="1:14" x14ac:dyDescent="0.25">
      <c r="A9426">
        <v>20160318</v>
      </c>
      <c r="B9426" t="str">
        <f>"062812"</f>
        <v>062812</v>
      </c>
      <c r="C9426" t="str">
        <f>"80598"</f>
        <v>80598</v>
      </c>
      <c r="D9426" t="s">
        <v>7309</v>
      </c>
      <c r="E9426" s="3">
        <v>332.47</v>
      </c>
      <c r="F9426">
        <v>20160317</v>
      </c>
      <c r="G9426" t="s">
        <v>7212</v>
      </c>
      <c r="H9426" t="s">
        <v>7576</v>
      </c>
      <c r="I9426">
        <v>0</v>
      </c>
      <c r="J9426" t="s">
        <v>7024</v>
      </c>
      <c r="K9426" t="s">
        <v>290</v>
      </c>
      <c r="L9426" t="s">
        <v>285</v>
      </c>
      <c r="M9426" t="str">
        <f t="shared" si="707"/>
        <v>03</v>
      </c>
      <c r="N9426" t="s">
        <v>12</v>
      </c>
    </row>
    <row r="9427" spans="1:14" x14ac:dyDescent="0.25">
      <c r="A9427">
        <v>20160318</v>
      </c>
      <c r="B9427" t="str">
        <f>"062820"</f>
        <v>062820</v>
      </c>
      <c r="C9427" t="str">
        <f>"84370"</f>
        <v>84370</v>
      </c>
      <c r="D9427" t="s">
        <v>329</v>
      </c>
      <c r="E9427" s="3">
        <v>88.88</v>
      </c>
      <c r="F9427">
        <v>20160317</v>
      </c>
      <c r="G9427" t="s">
        <v>7170</v>
      </c>
      <c r="H9427" t="s">
        <v>7577</v>
      </c>
      <c r="I9427">
        <v>0</v>
      </c>
      <c r="J9427" t="s">
        <v>7024</v>
      </c>
      <c r="K9427" t="s">
        <v>290</v>
      </c>
      <c r="L9427" t="s">
        <v>285</v>
      </c>
      <c r="M9427" t="str">
        <f t="shared" si="707"/>
        <v>03</v>
      </c>
      <c r="N9427" t="s">
        <v>12</v>
      </c>
    </row>
    <row r="9428" spans="1:14" x14ac:dyDescent="0.25">
      <c r="A9428">
        <v>20160324</v>
      </c>
      <c r="B9428" t="str">
        <f>"062826"</f>
        <v>062826</v>
      </c>
      <c r="C9428" t="str">
        <f>"11219"</f>
        <v>11219</v>
      </c>
      <c r="D9428" t="s">
        <v>7043</v>
      </c>
      <c r="E9428" s="3">
        <v>916</v>
      </c>
      <c r="F9428">
        <v>20160322</v>
      </c>
      <c r="G9428" t="s">
        <v>7446</v>
      </c>
      <c r="H9428" t="s">
        <v>7578</v>
      </c>
      <c r="I9428">
        <v>0</v>
      </c>
      <c r="J9428" t="s">
        <v>7024</v>
      </c>
      <c r="K9428" t="s">
        <v>290</v>
      </c>
      <c r="L9428" t="s">
        <v>285</v>
      </c>
      <c r="M9428" t="str">
        <f t="shared" si="707"/>
        <v>03</v>
      </c>
      <c r="N9428" t="s">
        <v>12</v>
      </c>
    </row>
    <row r="9429" spans="1:14" x14ac:dyDescent="0.25">
      <c r="A9429">
        <v>20160324</v>
      </c>
      <c r="B9429" t="str">
        <f>"062831"</f>
        <v>062831</v>
      </c>
      <c r="C9429" t="str">
        <f>"20430"</f>
        <v>20430</v>
      </c>
      <c r="D9429" t="s">
        <v>5970</v>
      </c>
      <c r="E9429" s="3">
        <v>960</v>
      </c>
      <c r="F9429">
        <v>20160322</v>
      </c>
      <c r="G9429" t="s">
        <v>7579</v>
      </c>
      <c r="H9429" t="s">
        <v>7580</v>
      </c>
      <c r="I9429">
        <v>0</v>
      </c>
      <c r="J9429" t="s">
        <v>7024</v>
      </c>
      <c r="K9429" t="s">
        <v>290</v>
      </c>
      <c r="L9429" t="s">
        <v>285</v>
      </c>
      <c r="M9429" t="str">
        <f t="shared" si="707"/>
        <v>03</v>
      </c>
      <c r="N9429" t="s">
        <v>12</v>
      </c>
    </row>
    <row r="9430" spans="1:14" x14ac:dyDescent="0.25">
      <c r="A9430">
        <v>20160324</v>
      </c>
      <c r="B9430" t="str">
        <f>"062841"</f>
        <v>062841</v>
      </c>
      <c r="C9430" t="str">
        <f>"25853"</f>
        <v>25853</v>
      </c>
      <c r="D9430" t="s">
        <v>532</v>
      </c>
      <c r="E9430" s="3">
        <v>1800</v>
      </c>
      <c r="F9430">
        <v>20160322</v>
      </c>
      <c r="G9430" t="s">
        <v>7041</v>
      </c>
      <c r="H9430" t="s">
        <v>7042</v>
      </c>
      <c r="I9430">
        <v>0</v>
      </c>
      <c r="J9430" t="s">
        <v>7024</v>
      </c>
      <c r="K9430" t="s">
        <v>290</v>
      </c>
      <c r="L9430" t="s">
        <v>285</v>
      </c>
      <c r="M9430" t="str">
        <f t="shared" si="707"/>
        <v>03</v>
      </c>
      <c r="N9430" t="s">
        <v>12</v>
      </c>
    </row>
    <row r="9431" spans="1:14" x14ac:dyDescent="0.25">
      <c r="A9431">
        <v>20160324</v>
      </c>
      <c r="B9431" t="str">
        <f>"062842"</f>
        <v>062842</v>
      </c>
      <c r="C9431" t="str">
        <f>"26204"</f>
        <v>26204</v>
      </c>
      <c r="D9431" t="s">
        <v>7581</v>
      </c>
      <c r="E9431" s="3">
        <v>627</v>
      </c>
      <c r="F9431">
        <v>20160322</v>
      </c>
      <c r="G9431" t="s">
        <v>7443</v>
      </c>
      <c r="H9431" t="s">
        <v>4605</v>
      </c>
      <c r="I9431">
        <v>0</v>
      </c>
      <c r="J9431" t="s">
        <v>7024</v>
      </c>
      <c r="K9431" t="s">
        <v>2724</v>
      </c>
      <c r="L9431" t="s">
        <v>285</v>
      </c>
      <c r="M9431" t="str">
        <f t="shared" si="707"/>
        <v>03</v>
      </c>
      <c r="N9431" t="s">
        <v>12</v>
      </c>
    </row>
    <row r="9432" spans="1:14" x14ac:dyDescent="0.25">
      <c r="A9432">
        <v>20160324</v>
      </c>
      <c r="B9432" t="str">
        <f>"062846"</f>
        <v>062846</v>
      </c>
      <c r="C9432" t="str">
        <f>"29763"</f>
        <v>29763</v>
      </c>
      <c r="D9432" t="s">
        <v>761</v>
      </c>
      <c r="E9432" s="3">
        <v>79</v>
      </c>
      <c r="F9432">
        <v>20160322</v>
      </c>
      <c r="G9432" t="s">
        <v>7582</v>
      </c>
      <c r="H9432" t="s">
        <v>7583</v>
      </c>
      <c r="I9432">
        <v>0</v>
      </c>
      <c r="J9432" t="s">
        <v>7024</v>
      </c>
      <c r="K9432" t="s">
        <v>290</v>
      </c>
      <c r="L9432" t="s">
        <v>285</v>
      </c>
      <c r="M9432" t="str">
        <f t="shared" si="707"/>
        <v>03</v>
      </c>
      <c r="N9432" t="s">
        <v>12</v>
      </c>
    </row>
    <row r="9433" spans="1:14" x14ac:dyDescent="0.25">
      <c r="A9433">
        <v>20160324</v>
      </c>
      <c r="B9433" t="str">
        <f>"062846"</f>
        <v>062846</v>
      </c>
      <c r="C9433" t="str">
        <f>"29763"</f>
        <v>29763</v>
      </c>
      <c r="D9433" t="s">
        <v>761</v>
      </c>
      <c r="E9433" s="3">
        <v>189.96</v>
      </c>
      <c r="F9433">
        <v>20160322</v>
      </c>
      <c r="G9433" t="s">
        <v>7582</v>
      </c>
      <c r="H9433" t="s">
        <v>7584</v>
      </c>
      <c r="I9433">
        <v>0</v>
      </c>
      <c r="J9433" t="s">
        <v>7024</v>
      </c>
      <c r="K9433" t="s">
        <v>290</v>
      </c>
      <c r="L9433" t="s">
        <v>285</v>
      </c>
      <c r="M9433" t="str">
        <f t="shared" si="707"/>
        <v>03</v>
      </c>
      <c r="N9433" t="s">
        <v>12</v>
      </c>
    </row>
    <row r="9434" spans="1:14" x14ac:dyDescent="0.25">
      <c r="A9434">
        <v>20160324</v>
      </c>
      <c r="B9434" t="str">
        <f>"062849"</f>
        <v>062849</v>
      </c>
      <c r="C9434" t="str">
        <f>"30501"</f>
        <v>30501</v>
      </c>
      <c r="D9434" t="s">
        <v>7585</v>
      </c>
      <c r="E9434" s="3">
        <v>200</v>
      </c>
      <c r="F9434">
        <v>20160322</v>
      </c>
      <c r="G9434" t="s">
        <v>7582</v>
      </c>
      <c r="H9434" t="s">
        <v>7586</v>
      </c>
      <c r="I9434">
        <v>0</v>
      </c>
      <c r="J9434" t="s">
        <v>7024</v>
      </c>
      <c r="K9434" t="s">
        <v>290</v>
      </c>
      <c r="L9434" t="s">
        <v>285</v>
      </c>
      <c r="M9434" t="str">
        <f t="shared" si="707"/>
        <v>03</v>
      </c>
      <c r="N9434" t="s">
        <v>12</v>
      </c>
    </row>
    <row r="9435" spans="1:14" x14ac:dyDescent="0.25">
      <c r="A9435">
        <v>20160324</v>
      </c>
      <c r="B9435" t="str">
        <f>"062862"</f>
        <v>062862</v>
      </c>
      <c r="C9435" t="str">
        <f>"45521"</f>
        <v>45521</v>
      </c>
      <c r="D9435" t="s">
        <v>7587</v>
      </c>
      <c r="E9435" s="3">
        <v>548</v>
      </c>
      <c r="F9435">
        <v>20160323</v>
      </c>
      <c r="G9435" t="s">
        <v>7443</v>
      </c>
      <c r="H9435" t="s">
        <v>4605</v>
      </c>
      <c r="I9435">
        <v>0</v>
      </c>
      <c r="J9435" t="s">
        <v>7024</v>
      </c>
      <c r="K9435" t="s">
        <v>2724</v>
      </c>
      <c r="L9435" t="s">
        <v>285</v>
      </c>
      <c r="M9435" t="str">
        <f t="shared" si="707"/>
        <v>03</v>
      </c>
      <c r="N9435" t="s">
        <v>12</v>
      </c>
    </row>
    <row r="9436" spans="1:14" x14ac:dyDescent="0.25">
      <c r="A9436">
        <v>20160324</v>
      </c>
      <c r="B9436" t="str">
        <f>"062871"</f>
        <v>062871</v>
      </c>
      <c r="C9436" t="str">
        <f>"58202"</f>
        <v>58202</v>
      </c>
      <c r="D9436" t="s">
        <v>2695</v>
      </c>
      <c r="E9436" s="3">
        <v>115.2</v>
      </c>
      <c r="F9436">
        <v>20160323</v>
      </c>
      <c r="G9436" t="s">
        <v>7082</v>
      </c>
      <c r="H9436" t="s">
        <v>4790</v>
      </c>
      <c r="I9436">
        <v>0</v>
      </c>
      <c r="J9436" t="s">
        <v>7024</v>
      </c>
      <c r="K9436" t="s">
        <v>95</v>
      </c>
      <c r="L9436" t="s">
        <v>285</v>
      </c>
      <c r="M9436" t="str">
        <f t="shared" si="707"/>
        <v>03</v>
      </c>
      <c r="N9436" t="s">
        <v>12</v>
      </c>
    </row>
    <row r="9437" spans="1:14" x14ac:dyDescent="0.25">
      <c r="A9437">
        <v>20160324</v>
      </c>
      <c r="B9437" t="str">
        <f>"062879"</f>
        <v>062879</v>
      </c>
      <c r="C9437" t="str">
        <f>"67624"</f>
        <v>67624</v>
      </c>
      <c r="D9437" t="s">
        <v>7040</v>
      </c>
      <c r="E9437" s="3">
        <v>7514</v>
      </c>
      <c r="F9437">
        <v>20160323</v>
      </c>
      <c r="G9437" t="s">
        <v>7041</v>
      </c>
      <c r="H9437" t="s">
        <v>7042</v>
      </c>
      <c r="I9437">
        <v>0</v>
      </c>
      <c r="J9437" t="s">
        <v>7024</v>
      </c>
      <c r="K9437" t="s">
        <v>290</v>
      </c>
      <c r="L9437" t="s">
        <v>285</v>
      </c>
      <c r="M9437" t="str">
        <f t="shared" si="707"/>
        <v>03</v>
      </c>
      <c r="N9437" t="s">
        <v>12</v>
      </c>
    </row>
    <row r="9438" spans="1:14" x14ac:dyDescent="0.25">
      <c r="A9438">
        <v>20160324</v>
      </c>
      <c r="B9438" t="str">
        <f t="shared" ref="B9438:B9448" si="708">"062883"</f>
        <v>062883</v>
      </c>
      <c r="C9438" t="str">
        <f t="shared" ref="C9438:C9448" si="709">"78311"</f>
        <v>78311</v>
      </c>
      <c r="D9438" t="s">
        <v>458</v>
      </c>
      <c r="E9438" s="3">
        <v>17.25</v>
      </c>
      <c r="F9438">
        <v>20160323</v>
      </c>
      <c r="G9438" t="s">
        <v>7074</v>
      </c>
      <c r="H9438" t="s">
        <v>1033</v>
      </c>
      <c r="I9438">
        <v>0</v>
      </c>
      <c r="J9438" t="s">
        <v>7024</v>
      </c>
      <c r="K9438" t="s">
        <v>290</v>
      </c>
      <c r="L9438" t="s">
        <v>285</v>
      </c>
      <c r="M9438" t="str">
        <f t="shared" si="707"/>
        <v>03</v>
      </c>
      <c r="N9438" t="s">
        <v>12</v>
      </c>
    </row>
    <row r="9439" spans="1:14" x14ac:dyDescent="0.25">
      <c r="A9439">
        <v>20160324</v>
      </c>
      <c r="B9439" t="str">
        <f t="shared" si="708"/>
        <v>062883</v>
      </c>
      <c r="C9439" t="str">
        <f t="shared" si="709"/>
        <v>78311</v>
      </c>
      <c r="D9439" t="s">
        <v>458</v>
      </c>
      <c r="E9439" s="3">
        <v>16.61</v>
      </c>
      <c r="F9439">
        <v>20160323</v>
      </c>
      <c r="G9439" t="s">
        <v>7074</v>
      </c>
      <c r="H9439" t="s">
        <v>1033</v>
      </c>
      <c r="I9439">
        <v>0</v>
      </c>
      <c r="J9439" t="s">
        <v>7024</v>
      </c>
      <c r="K9439" t="s">
        <v>290</v>
      </c>
      <c r="L9439" t="s">
        <v>285</v>
      </c>
      <c r="M9439" t="str">
        <f t="shared" si="707"/>
        <v>03</v>
      </c>
      <c r="N9439" t="s">
        <v>12</v>
      </c>
    </row>
    <row r="9440" spans="1:14" x14ac:dyDescent="0.25">
      <c r="A9440">
        <v>20160324</v>
      </c>
      <c r="B9440" t="str">
        <f t="shared" si="708"/>
        <v>062883</v>
      </c>
      <c r="C9440" t="str">
        <f t="shared" si="709"/>
        <v>78311</v>
      </c>
      <c r="D9440" t="s">
        <v>458</v>
      </c>
      <c r="E9440" s="3">
        <v>14.66</v>
      </c>
      <c r="F9440">
        <v>20160323</v>
      </c>
      <c r="G9440" t="s">
        <v>7074</v>
      </c>
      <c r="H9440" t="s">
        <v>1033</v>
      </c>
      <c r="I9440">
        <v>0</v>
      </c>
      <c r="J9440" t="s">
        <v>7024</v>
      </c>
      <c r="K9440" t="s">
        <v>290</v>
      </c>
      <c r="L9440" t="s">
        <v>285</v>
      </c>
      <c r="M9440" t="str">
        <f t="shared" si="707"/>
        <v>03</v>
      </c>
      <c r="N9440" t="s">
        <v>12</v>
      </c>
    </row>
    <row r="9441" spans="1:14" x14ac:dyDescent="0.25">
      <c r="A9441">
        <v>20160324</v>
      </c>
      <c r="B9441" t="str">
        <f t="shared" si="708"/>
        <v>062883</v>
      </c>
      <c r="C9441" t="str">
        <f t="shared" si="709"/>
        <v>78311</v>
      </c>
      <c r="D9441" t="s">
        <v>458</v>
      </c>
      <c r="E9441" s="3">
        <v>8.09</v>
      </c>
      <c r="F9441">
        <v>20160323</v>
      </c>
      <c r="G9441" t="s">
        <v>7074</v>
      </c>
      <c r="H9441" t="s">
        <v>1033</v>
      </c>
      <c r="I9441">
        <v>0</v>
      </c>
      <c r="J9441" t="s">
        <v>7024</v>
      </c>
      <c r="K9441" t="s">
        <v>290</v>
      </c>
      <c r="L9441" t="s">
        <v>285</v>
      </c>
      <c r="M9441" t="str">
        <f t="shared" si="707"/>
        <v>03</v>
      </c>
      <c r="N9441" t="s">
        <v>12</v>
      </c>
    </row>
    <row r="9442" spans="1:14" x14ac:dyDescent="0.25">
      <c r="A9442">
        <v>20160324</v>
      </c>
      <c r="B9442" t="str">
        <f t="shared" si="708"/>
        <v>062883</v>
      </c>
      <c r="C9442" t="str">
        <f t="shared" si="709"/>
        <v>78311</v>
      </c>
      <c r="D9442" t="s">
        <v>458</v>
      </c>
      <c r="E9442" s="3">
        <v>7.95</v>
      </c>
      <c r="F9442">
        <v>20160323</v>
      </c>
      <c r="G9442" t="s">
        <v>7074</v>
      </c>
      <c r="H9442" t="s">
        <v>1033</v>
      </c>
      <c r="I9442">
        <v>0</v>
      </c>
      <c r="J9442" t="s">
        <v>7024</v>
      </c>
      <c r="K9442" t="s">
        <v>290</v>
      </c>
      <c r="L9442" t="s">
        <v>285</v>
      </c>
      <c r="M9442" t="str">
        <f t="shared" si="707"/>
        <v>03</v>
      </c>
      <c r="N9442" t="s">
        <v>12</v>
      </c>
    </row>
    <row r="9443" spans="1:14" x14ac:dyDescent="0.25">
      <c r="A9443">
        <v>20160324</v>
      </c>
      <c r="B9443" t="str">
        <f t="shared" si="708"/>
        <v>062883</v>
      </c>
      <c r="C9443" t="str">
        <f t="shared" si="709"/>
        <v>78311</v>
      </c>
      <c r="D9443" t="s">
        <v>458</v>
      </c>
      <c r="E9443" s="3">
        <v>8.7899999999999991</v>
      </c>
      <c r="F9443">
        <v>20160323</v>
      </c>
      <c r="G9443" t="s">
        <v>7074</v>
      </c>
      <c r="H9443" t="s">
        <v>1033</v>
      </c>
      <c r="I9443">
        <v>0</v>
      </c>
      <c r="J9443" t="s">
        <v>7024</v>
      </c>
      <c r="K9443" t="s">
        <v>290</v>
      </c>
      <c r="L9443" t="s">
        <v>285</v>
      </c>
      <c r="M9443" t="str">
        <f t="shared" si="707"/>
        <v>03</v>
      </c>
      <c r="N9443" t="s">
        <v>12</v>
      </c>
    </row>
    <row r="9444" spans="1:14" x14ac:dyDescent="0.25">
      <c r="A9444">
        <v>20160324</v>
      </c>
      <c r="B9444" t="str">
        <f t="shared" si="708"/>
        <v>062883</v>
      </c>
      <c r="C9444" t="str">
        <f t="shared" si="709"/>
        <v>78311</v>
      </c>
      <c r="D9444" t="s">
        <v>458</v>
      </c>
      <c r="E9444" s="3">
        <v>9.0299999999999994</v>
      </c>
      <c r="F9444">
        <v>20160323</v>
      </c>
      <c r="G9444" t="s">
        <v>7260</v>
      </c>
      <c r="H9444" t="s">
        <v>1027</v>
      </c>
      <c r="I9444">
        <v>0</v>
      </c>
      <c r="J9444" t="s">
        <v>7024</v>
      </c>
      <c r="K9444" t="s">
        <v>290</v>
      </c>
      <c r="L9444" t="s">
        <v>285</v>
      </c>
      <c r="M9444" t="str">
        <f t="shared" si="707"/>
        <v>03</v>
      </c>
      <c r="N9444" t="s">
        <v>12</v>
      </c>
    </row>
    <row r="9445" spans="1:14" x14ac:dyDescent="0.25">
      <c r="A9445">
        <v>20160324</v>
      </c>
      <c r="B9445" t="str">
        <f t="shared" si="708"/>
        <v>062883</v>
      </c>
      <c r="C9445" t="str">
        <f t="shared" si="709"/>
        <v>78311</v>
      </c>
      <c r="D9445" t="s">
        <v>458</v>
      </c>
      <c r="E9445" s="3">
        <v>8.11</v>
      </c>
      <c r="F9445">
        <v>20160323</v>
      </c>
      <c r="G9445" t="s">
        <v>7260</v>
      </c>
      <c r="H9445" t="s">
        <v>1027</v>
      </c>
      <c r="I9445">
        <v>0</v>
      </c>
      <c r="J9445" t="s">
        <v>7024</v>
      </c>
      <c r="K9445" t="s">
        <v>290</v>
      </c>
      <c r="L9445" t="s">
        <v>285</v>
      </c>
      <c r="M9445" t="str">
        <f t="shared" si="707"/>
        <v>03</v>
      </c>
      <c r="N9445" t="s">
        <v>12</v>
      </c>
    </row>
    <row r="9446" spans="1:14" x14ac:dyDescent="0.25">
      <c r="A9446">
        <v>20160324</v>
      </c>
      <c r="B9446" t="str">
        <f t="shared" si="708"/>
        <v>062883</v>
      </c>
      <c r="C9446" t="str">
        <f t="shared" si="709"/>
        <v>78311</v>
      </c>
      <c r="D9446" t="s">
        <v>458</v>
      </c>
      <c r="E9446" s="3">
        <v>19.41</v>
      </c>
      <c r="F9446">
        <v>20160323</v>
      </c>
      <c r="G9446" t="s">
        <v>7260</v>
      </c>
      <c r="H9446" t="s">
        <v>1027</v>
      </c>
      <c r="I9446">
        <v>0</v>
      </c>
      <c r="J9446" t="s">
        <v>7024</v>
      </c>
      <c r="K9446" t="s">
        <v>290</v>
      </c>
      <c r="L9446" t="s">
        <v>285</v>
      </c>
      <c r="M9446" t="str">
        <f t="shared" si="707"/>
        <v>03</v>
      </c>
      <c r="N9446" t="s">
        <v>12</v>
      </c>
    </row>
    <row r="9447" spans="1:14" x14ac:dyDescent="0.25">
      <c r="A9447">
        <v>20160324</v>
      </c>
      <c r="B9447" t="str">
        <f t="shared" si="708"/>
        <v>062883</v>
      </c>
      <c r="C9447" t="str">
        <f t="shared" si="709"/>
        <v>78311</v>
      </c>
      <c r="D9447" t="s">
        <v>458</v>
      </c>
      <c r="E9447" s="3">
        <v>18.559999999999999</v>
      </c>
      <c r="F9447">
        <v>20160323</v>
      </c>
      <c r="G9447" t="s">
        <v>7260</v>
      </c>
      <c r="H9447" t="s">
        <v>1027</v>
      </c>
      <c r="I9447">
        <v>0</v>
      </c>
      <c r="J9447" t="s">
        <v>7024</v>
      </c>
      <c r="K9447" t="s">
        <v>290</v>
      </c>
      <c r="L9447" t="s">
        <v>285</v>
      </c>
      <c r="M9447" t="str">
        <f t="shared" si="707"/>
        <v>03</v>
      </c>
      <c r="N9447" t="s">
        <v>12</v>
      </c>
    </row>
    <row r="9448" spans="1:14" x14ac:dyDescent="0.25">
      <c r="A9448">
        <v>20160324</v>
      </c>
      <c r="B9448" t="str">
        <f t="shared" si="708"/>
        <v>062883</v>
      </c>
      <c r="C9448" t="str">
        <f t="shared" si="709"/>
        <v>78311</v>
      </c>
      <c r="D9448" t="s">
        <v>458</v>
      </c>
      <c r="E9448" s="3">
        <v>17.34</v>
      </c>
      <c r="F9448">
        <v>20160323</v>
      </c>
      <c r="G9448" t="s">
        <v>7260</v>
      </c>
      <c r="H9448" t="s">
        <v>1027</v>
      </c>
      <c r="I9448">
        <v>0</v>
      </c>
      <c r="J9448" t="s">
        <v>7024</v>
      </c>
      <c r="K9448" t="s">
        <v>290</v>
      </c>
      <c r="L9448" t="s">
        <v>285</v>
      </c>
      <c r="M9448" t="str">
        <f t="shared" si="707"/>
        <v>03</v>
      </c>
      <c r="N9448" t="s">
        <v>12</v>
      </c>
    </row>
    <row r="9449" spans="1:14" x14ac:dyDescent="0.25">
      <c r="A9449">
        <v>20160324</v>
      </c>
      <c r="B9449" t="str">
        <f>"062885"</f>
        <v>062885</v>
      </c>
      <c r="C9449" t="str">
        <f>"80550"</f>
        <v>80550</v>
      </c>
      <c r="D9449" t="s">
        <v>7588</v>
      </c>
      <c r="E9449" s="3">
        <v>44</v>
      </c>
      <c r="F9449">
        <v>20160323</v>
      </c>
      <c r="G9449" t="s">
        <v>7110</v>
      </c>
      <c r="H9449" t="s">
        <v>7589</v>
      </c>
      <c r="I9449">
        <v>0</v>
      </c>
      <c r="J9449" t="s">
        <v>7024</v>
      </c>
      <c r="K9449" t="s">
        <v>290</v>
      </c>
      <c r="L9449" t="s">
        <v>285</v>
      </c>
      <c r="M9449" t="str">
        <f t="shared" si="707"/>
        <v>03</v>
      </c>
      <c r="N9449" t="s">
        <v>12</v>
      </c>
    </row>
    <row r="9450" spans="1:14" x14ac:dyDescent="0.25">
      <c r="A9450">
        <v>20160324</v>
      </c>
      <c r="B9450" t="str">
        <f>"062885"</f>
        <v>062885</v>
      </c>
      <c r="C9450" t="str">
        <f>"80550"</f>
        <v>80550</v>
      </c>
      <c r="D9450" t="s">
        <v>7588</v>
      </c>
      <c r="E9450" s="3">
        <v>68</v>
      </c>
      <c r="F9450">
        <v>20160323</v>
      </c>
      <c r="G9450" t="s">
        <v>7082</v>
      </c>
      <c r="H9450" t="s">
        <v>7589</v>
      </c>
      <c r="I9450">
        <v>0</v>
      </c>
      <c r="J9450" t="s">
        <v>7024</v>
      </c>
      <c r="K9450" t="s">
        <v>95</v>
      </c>
      <c r="L9450" t="s">
        <v>285</v>
      </c>
      <c r="M9450" t="str">
        <f t="shared" si="707"/>
        <v>03</v>
      </c>
      <c r="N9450" t="s">
        <v>12</v>
      </c>
    </row>
    <row r="9451" spans="1:14" x14ac:dyDescent="0.25">
      <c r="A9451">
        <v>20160324</v>
      </c>
      <c r="B9451" t="str">
        <f>"062885"</f>
        <v>062885</v>
      </c>
      <c r="C9451" t="str">
        <f>"80550"</f>
        <v>80550</v>
      </c>
      <c r="D9451" t="s">
        <v>7588</v>
      </c>
      <c r="E9451" s="3">
        <v>380</v>
      </c>
      <c r="F9451">
        <v>20160323</v>
      </c>
      <c r="G9451" t="s">
        <v>7026</v>
      </c>
      <c r="H9451" t="s">
        <v>7589</v>
      </c>
      <c r="I9451">
        <v>0</v>
      </c>
      <c r="J9451" t="s">
        <v>7024</v>
      </c>
      <c r="K9451" t="s">
        <v>1643</v>
      </c>
      <c r="L9451" t="s">
        <v>285</v>
      </c>
      <c r="M9451" t="str">
        <f t="shared" si="707"/>
        <v>03</v>
      </c>
      <c r="N9451" t="s">
        <v>12</v>
      </c>
    </row>
    <row r="9452" spans="1:14" x14ac:dyDescent="0.25">
      <c r="A9452">
        <v>20160324</v>
      </c>
      <c r="B9452" t="str">
        <f>"062885"</f>
        <v>062885</v>
      </c>
      <c r="C9452" t="str">
        <f>"80550"</f>
        <v>80550</v>
      </c>
      <c r="D9452" t="s">
        <v>7588</v>
      </c>
      <c r="E9452" s="3">
        <v>244</v>
      </c>
      <c r="F9452">
        <v>20160323</v>
      </c>
      <c r="G9452" t="s">
        <v>7049</v>
      </c>
      <c r="H9452" t="s">
        <v>7589</v>
      </c>
      <c r="I9452">
        <v>0</v>
      </c>
      <c r="J9452" t="s">
        <v>7024</v>
      </c>
      <c r="K9452" t="s">
        <v>33</v>
      </c>
      <c r="L9452" t="s">
        <v>285</v>
      </c>
      <c r="M9452" t="str">
        <f t="shared" si="707"/>
        <v>03</v>
      </c>
      <c r="N9452" t="s">
        <v>12</v>
      </c>
    </row>
    <row r="9453" spans="1:14" x14ac:dyDescent="0.25">
      <c r="A9453">
        <v>20160324</v>
      </c>
      <c r="B9453" t="str">
        <f t="shared" ref="B9453:B9469" si="710">"062887"</f>
        <v>062887</v>
      </c>
      <c r="C9453" t="str">
        <f t="shared" ref="C9453:C9469" si="711">"83022"</f>
        <v>83022</v>
      </c>
      <c r="D9453" t="s">
        <v>394</v>
      </c>
      <c r="E9453" s="3">
        <v>110.64</v>
      </c>
      <c r="F9453">
        <v>20160323</v>
      </c>
      <c r="G9453" t="s">
        <v>7074</v>
      </c>
      <c r="H9453" t="s">
        <v>7590</v>
      </c>
      <c r="I9453">
        <v>0</v>
      </c>
      <c r="J9453" t="s">
        <v>7024</v>
      </c>
      <c r="K9453" t="s">
        <v>290</v>
      </c>
      <c r="L9453" t="s">
        <v>285</v>
      </c>
      <c r="M9453" t="str">
        <f t="shared" si="707"/>
        <v>03</v>
      </c>
      <c r="N9453" t="s">
        <v>12</v>
      </c>
    </row>
    <row r="9454" spans="1:14" x14ac:dyDescent="0.25">
      <c r="A9454">
        <v>20160324</v>
      </c>
      <c r="B9454" t="str">
        <f t="shared" si="710"/>
        <v>062887</v>
      </c>
      <c r="C9454" t="str">
        <f t="shared" si="711"/>
        <v>83022</v>
      </c>
      <c r="D9454" t="s">
        <v>394</v>
      </c>
      <c r="E9454" s="3">
        <v>200.61</v>
      </c>
      <c r="F9454">
        <v>20160323</v>
      </c>
      <c r="G9454" t="s">
        <v>7074</v>
      </c>
      <c r="H9454" t="s">
        <v>7591</v>
      </c>
      <c r="I9454">
        <v>0</v>
      </c>
      <c r="J9454" t="s">
        <v>7024</v>
      </c>
      <c r="K9454" t="s">
        <v>290</v>
      </c>
      <c r="L9454" t="s">
        <v>285</v>
      </c>
      <c r="M9454" t="str">
        <f t="shared" si="707"/>
        <v>03</v>
      </c>
      <c r="N9454" t="s">
        <v>12</v>
      </c>
    </row>
    <row r="9455" spans="1:14" x14ac:dyDescent="0.25">
      <c r="A9455">
        <v>20160324</v>
      </c>
      <c r="B9455" t="str">
        <f t="shared" si="710"/>
        <v>062887</v>
      </c>
      <c r="C9455" t="str">
        <f t="shared" si="711"/>
        <v>83022</v>
      </c>
      <c r="D9455" t="s">
        <v>394</v>
      </c>
      <c r="E9455" s="3">
        <v>110.63</v>
      </c>
      <c r="F9455">
        <v>20160323</v>
      </c>
      <c r="G9455" t="s">
        <v>7260</v>
      </c>
      <c r="H9455" t="s">
        <v>7590</v>
      </c>
      <c r="I9455">
        <v>0</v>
      </c>
      <c r="J9455" t="s">
        <v>7024</v>
      </c>
      <c r="K9455" t="s">
        <v>290</v>
      </c>
      <c r="L9455" t="s">
        <v>285</v>
      </c>
      <c r="M9455" t="str">
        <f t="shared" si="707"/>
        <v>03</v>
      </c>
      <c r="N9455" t="s">
        <v>12</v>
      </c>
    </row>
    <row r="9456" spans="1:14" x14ac:dyDescent="0.25">
      <c r="A9456">
        <v>20160324</v>
      </c>
      <c r="B9456" t="str">
        <f t="shared" si="710"/>
        <v>062887</v>
      </c>
      <c r="C9456" t="str">
        <f t="shared" si="711"/>
        <v>83022</v>
      </c>
      <c r="D9456" t="s">
        <v>394</v>
      </c>
      <c r="E9456" s="3">
        <v>200.6</v>
      </c>
      <c r="F9456">
        <v>20160323</v>
      </c>
      <c r="G9456" t="s">
        <v>7260</v>
      </c>
      <c r="H9456" t="s">
        <v>7591</v>
      </c>
      <c r="I9456">
        <v>0</v>
      </c>
      <c r="J9456" t="s">
        <v>7024</v>
      </c>
      <c r="K9456" t="s">
        <v>290</v>
      </c>
      <c r="L9456" t="s">
        <v>285</v>
      </c>
      <c r="M9456" t="str">
        <f t="shared" ref="M9456:M9489" si="712">"03"</f>
        <v>03</v>
      </c>
      <c r="N9456" t="s">
        <v>12</v>
      </c>
    </row>
    <row r="9457" spans="1:14" x14ac:dyDescent="0.25">
      <c r="A9457">
        <v>20160324</v>
      </c>
      <c r="B9457" t="str">
        <f t="shared" si="710"/>
        <v>062887</v>
      </c>
      <c r="C9457" t="str">
        <f t="shared" si="711"/>
        <v>83022</v>
      </c>
      <c r="D9457" t="s">
        <v>394</v>
      </c>
      <c r="E9457" s="3">
        <v>179.57</v>
      </c>
      <c r="F9457">
        <v>20160323</v>
      </c>
      <c r="G9457" t="s">
        <v>7212</v>
      </c>
      <c r="H9457" t="s">
        <v>7592</v>
      </c>
      <c r="I9457">
        <v>0</v>
      </c>
      <c r="J9457" t="s">
        <v>7024</v>
      </c>
      <c r="K9457" t="s">
        <v>290</v>
      </c>
      <c r="L9457" t="s">
        <v>285</v>
      </c>
      <c r="M9457" t="str">
        <f t="shared" si="712"/>
        <v>03</v>
      </c>
      <c r="N9457" t="s">
        <v>12</v>
      </c>
    </row>
    <row r="9458" spans="1:14" x14ac:dyDescent="0.25">
      <c r="A9458">
        <v>20160324</v>
      </c>
      <c r="B9458" t="str">
        <f t="shared" si="710"/>
        <v>062887</v>
      </c>
      <c r="C9458" t="str">
        <f t="shared" si="711"/>
        <v>83022</v>
      </c>
      <c r="D9458" t="s">
        <v>394</v>
      </c>
      <c r="E9458" s="3">
        <v>28.92</v>
      </c>
      <c r="F9458">
        <v>20160323</v>
      </c>
      <c r="G9458" t="s">
        <v>7082</v>
      </c>
      <c r="H9458" t="s">
        <v>4615</v>
      </c>
      <c r="I9458">
        <v>0</v>
      </c>
      <c r="J9458" t="s">
        <v>7024</v>
      </c>
      <c r="K9458" t="s">
        <v>95</v>
      </c>
      <c r="L9458" t="s">
        <v>285</v>
      </c>
      <c r="M9458" t="str">
        <f t="shared" si="712"/>
        <v>03</v>
      </c>
      <c r="N9458" t="s">
        <v>12</v>
      </c>
    </row>
    <row r="9459" spans="1:14" x14ac:dyDescent="0.25">
      <c r="A9459">
        <v>20160324</v>
      </c>
      <c r="B9459" t="str">
        <f t="shared" si="710"/>
        <v>062887</v>
      </c>
      <c r="C9459" t="str">
        <f t="shared" si="711"/>
        <v>83022</v>
      </c>
      <c r="D9459" t="s">
        <v>394</v>
      </c>
      <c r="E9459" s="3">
        <v>50</v>
      </c>
      <c r="F9459">
        <v>20160323</v>
      </c>
      <c r="G9459" t="s">
        <v>7082</v>
      </c>
      <c r="H9459" t="s">
        <v>7593</v>
      </c>
      <c r="I9459">
        <v>0</v>
      </c>
      <c r="J9459" t="s">
        <v>7024</v>
      </c>
      <c r="K9459" t="s">
        <v>95</v>
      </c>
      <c r="L9459" t="s">
        <v>285</v>
      </c>
      <c r="M9459" t="str">
        <f t="shared" si="712"/>
        <v>03</v>
      </c>
      <c r="N9459" t="s">
        <v>12</v>
      </c>
    </row>
    <row r="9460" spans="1:14" x14ac:dyDescent="0.25">
      <c r="A9460">
        <v>20160324</v>
      </c>
      <c r="B9460" t="str">
        <f t="shared" si="710"/>
        <v>062887</v>
      </c>
      <c r="C9460" t="str">
        <f t="shared" si="711"/>
        <v>83022</v>
      </c>
      <c r="D9460" t="s">
        <v>394</v>
      </c>
      <c r="E9460" s="3">
        <v>2.91</v>
      </c>
      <c r="F9460">
        <v>20160323</v>
      </c>
      <c r="G9460" t="s">
        <v>7082</v>
      </c>
      <c r="H9460" t="s">
        <v>4618</v>
      </c>
      <c r="I9460">
        <v>0</v>
      </c>
      <c r="J9460" t="s">
        <v>7024</v>
      </c>
      <c r="K9460" t="s">
        <v>95</v>
      </c>
      <c r="L9460" t="s">
        <v>285</v>
      </c>
      <c r="M9460" t="str">
        <f t="shared" si="712"/>
        <v>03</v>
      </c>
      <c r="N9460" t="s">
        <v>12</v>
      </c>
    </row>
    <row r="9461" spans="1:14" x14ac:dyDescent="0.25">
      <c r="A9461">
        <v>20160324</v>
      </c>
      <c r="B9461" t="str">
        <f t="shared" si="710"/>
        <v>062887</v>
      </c>
      <c r="C9461" t="str">
        <f t="shared" si="711"/>
        <v>83022</v>
      </c>
      <c r="D9461" t="s">
        <v>394</v>
      </c>
      <c r="E9461" s="3">
        <v>126.42</v>
      </c>
      <c r="F9461">
        <v>20160323</v>
      </c>
      <c r="G9461" t="s">
        <v>7082</v>
      </c>
      <c r="H9461" t="s">
        <v>4618</v>
      </c>
      <c r="I9461">
        <v>0</v>
      </c>
      <c r="J9461" t="s">
        <v>7024</v>
      </c>
      <c r="K9461" t="s">
        <v>95</v>
      </c>
      <c r="L9461" t="s">
        <v>285</v>
      </c>
      <c r="M9461" t="str">
        <f t="shared" si="712"/>
        <v>03</v>
      </c>
      <c r="N9461" t="s">
        <v>12</v>
      </c>
    </row>
    <row r="9462" spans="1:14" x14ac:dyDescent="0.25">
      <c r="A9462">
        <v>20160324</v>
      </c>
      <c r="B9462" t="str">
        <f t="shared" si="710"/>
        <v>062887</v>
      </c>
      <c r="C9462" t="str">
        <f t="shared" si="711"/>
        <v>83022</v>
      </c>
      <c r="D9462" t="s">
        <v>394</v>
      </c>
      <c r="E9462" s="3">
        <v>15.12</v>
      </c>
      <c r="F9462">
        <v>20160323</v>
      </c>
      <c r="G9462" t="s">
        <v>7082</v>
      </c>
      <c r="H9462" t="s">
        <v>4790</v>
      </c>
      <c r="I9462">
        <v>0</v>
      </c>
      <c r="J9462" t="s">
        <v>7024</v>
      </c>
      <c r="K9462" t="s">
        <v>95</v>
      </c>
      <c r="L9462" t="s">
        <v>285</v>
      </c>
      <c r="M9462" t="str">
        <f t="shared" si="712"/>
        <v>03</v>
      </c>
      <c r="N9462" t="s">
        <v>12</v>
      </c>
    </row>
    <row r="9463" spans="1:14" x14ac:dyDescent="0.25">
      <c r="A9463">
        <v>20160324</v>
      </c>
      <c r="B9463" t="str">
        <f t="shared" si="710"/>
        <v>062887</v>
      </c>
      <c r="C9463" t="str">
        <f t="shared" si="711"/>
        <v>83022</v>
      </c>
      <c r="D9463" t="s">
        <v>394</v>
      </c>
      <c r="E9463" s="3">
        <v>54.8</v>
      </c>
      <c r="F9463">
        <v>20160323</v>
      </c>
      <c r="G9463" t="s">
        <v>7026</v>
      </c>
      <c r="H9463" t="s">
        <v>7594</v>
      </c>
      <c r="I9463">
        <v>0</v>
      </c>
      <c r="J9463" t="s">
        <v>7024</v>
      </c>
      <c r="K9463" t="s">
        <v>1643</v>
      </c>
      <c r="L9463" t="s">
        <v>285</v>
      </c>
      <c r="M9463" t="str">
        <f t="shared" si="712"/>
        <v>03</v>
      </c>
      <c r="N9463" t="s">
        <v>12</v>
      </c>
    </row>
    <row r="9464" spans="1:14" x14ac:dyDescent="0.25">
      <c r="A9464">
        <v>20160324</v>
      </c>
      <c r="B9464" t="str">
        <f t="shared" si="710"/>
        <v>062887</v>
      </c>
      <c r="C9464" t="str">
        <f t="shared" si="711"/>
        <v>83022</v>
      </c>
      <c r="D9464" t="s">
        <v>394</v>
      </c>
      <c r="E9464" s="3">
        <v>13.96</v>
      </c>
      <c r="F9464">
        <v>20160323</v>
      </c>
      <c r="G9464" t="s">
        <v>7126</v>
      </c>
      <c r="H9464" t="s">
        <v>7595</v>
      </c>
      <c r="I9464">
        <v>0</v>
      </c>
      <c r="J9464" t="s">
        <v>7024</v>
      </c>
      <c r="K9464" t="s">
        <v>290</v>
      </c>
      <c r="L9464" t="s">
        <v>285</v>
      </c>
      <c r="M9464" t="str">
        <f t="shared" si="712"/>
        <v>03</v>
      </c>
      <c r="N9464" t="s">
        <v>12</v>
      </c>
    </row>
    <row r="9465" spans="1:14" x14ac:dyDescent="0.25">
      <c r="A9465">
        <v>20160324</v>
      </c>
      <c r="B9465" t="str">
        <f t="shared" si="710"/>
        <v>062887</v>
      </c>
      <c r="C9465" t="str">
        <f t="shared" si="711"/>
        <v>83022</v>
      </c>
      <c r="D9465" t="s">
        <v>394</v>
      </c>
      <c r="E9465" s="3">
        <v>121.79</v>
      </c>
      <c r="F9465">
        <v>20160323</v>
      </c>
      <c r="G9465" t="s">
        <v>7231</v>
      </c>
      <c r="H9465" t="s">
        <v>7596</v>
      </c>
      <c r="I9465">
        <v>0</v>
      </c>
      <c r="J9465" t="s">
        <v>7024</v>
      </c>
      <c r="K9465" t="s">
        <v>290</v>
      </c>
      <c r="L9465" t="s">
        <v>285</v>
      </c>
      <c r="M9465" t="str">
        <f t="shared" si="712"/>
        <v>03</v>
      </c>
      <c r="N9465" t="s">
        <v>12</v>
      </c>
    </row>
    <row r="9466" spans="1:14" x14ac:dyDescent="0.25">
      <c r="A9466">
        <v>20160324</v>
      </c>
      <c r="B9466" t="str">
        <f t="shared" si="710"/>
        <v>062887</v>
      </c>
      <c r="C9466" t="str">
        <f t="shared" si="711"/>
        <v>83022</v>
      </c>
      <c r="D9466" t="s">
        <v>394</v>
      </c>
      <c r="E9466" s="3">
        <v>77.58</v>
      </c>
      <c r="F9466">
        <v>20160323</v>
      </c>
      <c r="G9466" t="s">
        <v>7143</v>
      </c>
      <c r="H9466" t="s">
        <v>7523</v>
      </c>
      <c r="I9466">
        <v>0</v>
      </c>
      <c r="J9466" t="s">
        <v>7024</v>
      </c>
      <c r="K9466" t="s">
        <v>290</v>
      </c>
      <c r="L9466" t="s">
        <v>285</v>
      </c>
      <c r="M9466" t="str">
        <f t="shared" si="712"/>
        <v>03</v>
      </c>
      <c r="N9466" t="s">
        <v>12</v>
      </c>
    </row>
    <row r="9467" spans="1:14" x14ac:dyDescent="0.25">
      <c r="A9467">
        <v>20160324</v>
      </c>
      <c r="B9467" t="str">
        <f t="shared" si="710"/>
        <v>062887</v>
      </c>
      <c r="C9467" t="str">
        <f t="shared" si="711"/>
        <v>83022</v>
      </c>
      <c r="D9467" t="s">
        <v>394</v>
      </c>
      <c r="E9467" s="3">
        <v>15.03</v>
      </c>
      <c r="F9467">
        <v>20160323</v>
      </c>
      <c r="G9467" t="s">
        <v>7083</v>
      </c>
      <c r="H9467" t="s">
        <v>7597</v>
      </c>
      <c r="I9467">
        <v>0</v>
      </c>
      <c r="J9467" t="s">
        <v>7024</v>
      </c>
      <c r="K9467" t="s">
        <v>290</v>
      </c>
      <c r="L9467" t="s">
        <v>285</v>
      </c>
      <c r="M9467" t="str">
        <f t="shared" si="712"/>
        <v>03</v>
      </c>
      <c r="N9467" t="s">
        <v>12</v>
      </c>
    </row>
    <row r="9468" spans="1:14" x14ac:dyDescent="0.25">
      <c r="A9468">
        <v>20160324</v>
      </c>
      <c r="B9468" t="str">
        <f t="shared" si="710"/>
        <v>062887</v>
      </c>
      <c r="C9468" t="str">
        <f t="shared" si="711"/>
        <v>83022</v>
      </c>
      <c r="D9468" t="s">
        <v>394</v>
      </c>
      <c r="E9468" s="3">
        <v>55.97</v>
      </c>
      <c r="F9468">
        <v>20160323</v>
      </c>
      <c r="G9468" t="s">
        <v>7049</v>
      </c>
      <c r="H9468" t="s">
        <v>7598</v>
      </c>
      <c r="I9468">
        <v>0</v>
      </c>
      <c r="J9468" t="s">
        <v>7024</v>
      </c>
      <c r="K9468" t="s">
        <v>33</v>
      </c>
      <c r="L9468" t="s">
        <v>285</v>
      </c>
      <c r="M9468" t="str">
        <f t="shared" si="712"/>
        <v>03</v>
      </c>
      <c r="N9468" t="s">
        <v>12</v>
      </c>
    </row>
    <row r="9469" spans="1:14" x14ac:dyDescent="0.25">
      <c r="A9469">
        <v>20160324</v>
      </c>
      <c r="B9469" t="str">
        <f t="shared" si="710"/>
        <v>062887</v>
      </c>
      <c r="C9469" t="str">
        <f t="shared" si="711"/>
        <v>83022</v>
      </c>
      <c r="D9469" t="s">
        <v>394</v>
      </c>
      <c r="E9469" s="3">
        <v>29.08</v>
      </c>
      <c r="F9469">
        <v>20160323</v>
      </c>
      <c r="G9469" t="s">
        <v>7599</v>
      </c>
      <c r="H9469" t="s">
        <v>7600</v>
      </c>
      <c r="I9469">
        <v>0</v>
      </c>
      <c r="J9469" t="s">
        <v>7024</v>
      </c>
      <c r="K9469" t="s">
        <v>7068</v>
      </c>
      <c r="L9469" t="s">
        <v>285</v>
      </c>
      <c r="M9469" t="str">
        <f t="shared" si="712"/>
        <v>03</v>
      </c>
      <c r="N9469" t="s">
        <v>12</v>
      </c>
    </row>
    <row r="9470" spans="1:14" x14ac:dyDescent="0.25">
      <c r="A9470">
        <v>20160331</v>
      </c>
      <c r="B9470" t="str">
        <f>"062902"</f>
        <v>062902</v>
      </c>
      <c r="C9470" t="str">
        <f>"01150"</f>
        <v>01150</v>
      </c>
      <c r="D9470" t="s">
        <v>7225</v>
      </c>
      <c r="E9470" s="3">
        <v>2394.7199999999998</v>
      </c>
      <c r="F9470">
        <v>20160329</v>
      </c>
      <c r="G9470" t="s">
        <v>7582</v>
      </c>
      <c r="H9470" t="s">
        <v>7601</v>
      </c>
      <c r="I9470">
        <v>0</v>
      </c>
      <c r="J9470" t="s">
        <v>7024</v>
      </c>
      <c r="K9470" t="s">
        <v>290</v>
      </c>
      <c r="L9470" t="s">
        <v>285</v>
      </c>
      <c r="M9470" t="str">
        <f t="shared" si="712"/>
        <v>03</v>
      </c>
      <c r="N9470" t="s">
        <v>12</v>
      </c>
    </row>
    <row r="9471" spans="1:14" x14ac:dyDescent="0.25">
      <c r="A9471">
        <v>20160331</v>
      </c>
      <c r="B9471" t="str">
        <f>"062902"</f>
        <v>062902</v>
      </c>
      <c r="C9471" t="str">
        <f>"01150"</f>
        <v>01150</v>
      </c>
      <c r="D9471" t="s">
        <v>7225</v>
      </c>
      <c r="E9471" s="3">
        <v>272</v>
      </c>
      <c r="F9471">
        <v>20160329</v>
      </c>
      <c r="G9471" t="s">
        <v>7147</v>
      </c>
      <c r="H9471" t="s">
        <v>7602</v>
      </c>
      <c r="I9471">
        <v>0</v>
      </c>
      <c r="J9471" t="s">
        <v>7024</v>
      </c>
      <c r="K9471" t="s">
        <v>290</v>
      </c>
      <c r="L9471" t="s">
        <v>285</v>
      </c>
      <c r="M9471" t="str">
        <f t="shared" si="712"/>
        <v>03</v>
      </c>
      <c r="N9471" t="s">
        <v>12</v>
      </c>
    </row>
    <row r="9472" spans="1:14" x14ac:dyDescent="0.25">
      <c r="A9472">
        <v>20160331</v>
      </c>
      <c r="B9472" t="str">
        <f>"062911"</f>
        <v>062911</v>
      </c>
      <c r="C9472" t="str">
        <f>"09170"</f>
        <v>09170</v>
      </c>
      <c r="D9472" t="s">
        <v>596</v>
      </c>
      <c r="E9472" s="3">
        <v>705.1</v>
      </c>
      <c r="F9472">
        <v>20160329</v>
      </c>
      <c r="G9472" t="s">
        <v>7074</v>
      </c>
      <c r="H9472" t="s">
        <v>1033</v>
      </c>
      <c r="I9472">
        <v>0</v>
      </c>
      <c r="J9472" t="s">
        <v>7024</v>
      </c>
      <c r="K9472" t="s">
        <v>290</v>
      </c>
      <c r="L9472" t="s">
        <v>285</v>
      </c>
      <c r="M9472" t="str">
        <f t="shared" si="712"/>
        <v>03</v>
      </c>
      <c r="N9472" t="s">
        <v>12</v>
      </c>
    </row>
    <row r="9473" spans="1:14" x14ac:dyDescent="0.25">
      <c r="A9473">
        <v>20160331</v>
      </c>
      <c r="B9473" t="str">
        <f>"062912"</f>
        <v>062912</v>
      </c>
      <c r="C9473" t="str">
        <f>"10020"</f>
        <v>10020</v>
      </c>
      <c r="D9473" t="s">
        <v>1018</v>
      </c>
      <c r="E9473" s="3">
        <v>2566.7600000000002</v>
      </c>
      <c r="F9473">
        <v>20160329</v>
      </c>
      <c r="G9473" t="s">
        <v>7074</v>
      </c>
      <c r="H9473" t="s">
        <v>7603</v>
      </c>
      <c r="I9473">
        <v>0</v>
      </c>
      <c r="J9473" t="s">
        <v>7024</v>
      </c>
      <c r="K9473" t="s">
        <v>290</v>
      </c>
      <c r="L9473" t="s">
        <v>285</v>
      </c>
      <c r="M9473" t="str">
        <f t="shared" si="712"/>
        <v>03</v>
      </c>
      <c r="N9473" t="s">
        <v>12</v>
      </c>
    </row>
    <row r="9474" spans="1:14" x14ac:dyDescent="0.25">
      <c r="A9474">
        <v>20160331</v>
      </c>
      <c r="B9474" t="str">
        <f>"062917"</f>
        <v>062917</v>
      </c>
      <c r="C9474" t="str">
        <f>"10527"</f>
        <v>10527</v>
      </c>
      <c r="D9474" t="s">
        <v>7604</v>
      </c>
      <c r="E9474" s="3">
        <v>481.44</v>
      </c>
      <c r="F9474">
        <v>20160330</v>
      </c>
      <c r="G9474" t="s">
        <v>7023</v>
      </c>
      <c r="H9474" t="s">
        <v>1268</v>
      </c>
      <c r="I9474">
        <v>0</v>
      </c>
      <c r="J9474" t="s">
        <v>7024</v>
      </c>
      <c r="K9474" t="s">
        <v>290</v>
      </c>
      <c r="L9474" t="s">
        <v>285</v>
      </c>
      <c r="M9474" t="str">
        <f t="shared" si="712"/>
        <v>03</v>
      </c>
      <c r="N9474" t="s">
        <v>12</v>
      </c>
    </row>
    <row r="9475" spans="1:14" x14ac:dyDescent="0.25">
      <c r="A9475">
        <v>20160331</v>
      </c>
      <c r="B9475" t="str">
        <f>"062932"</f>
        <v>062932</v>
      </c>
      <c r="C9475" t="str">
        <f>"25283"</f>
        <v>25283</v>
      </c>
      <c r="D9475" t="s">
        <v>7605</v>
      </c>
      <c r="E9475" s="3">
        <v>420</v>
      </c>
      <c r="F9475">
        <v>20160329</v>
      </c>
      <c r="G9475" t="s">
        <v>7582</v>
      </c>
      <c r="H9475" t="s">
        <v>7606</v>
      </c>
      <c r="I9475">
        <v>0</v>
      </c>
      <c r="J9475" t="s">
        <v>7024</v>
      </c>
      <c r="K9475" t="s">
        <v>290</v>
      </c>
      <c r="L9475" t="s">
        <v>285</v>
      </c>
      <c r="M9475" t="str">
        <f t="shared" si="712"/>
        <v>03</v>
      </c>
      <c r="N9475" t="s">
        <v>12</v>
      </c>
    </row>
    <row r="9476" spans="1:14" x14ac:dyDescent="0.25">
      <c r="A9476">
        <v>20160331</v>
      </c>
      <c r="B9476" t="str">
        <f>"062933"</f>
        <v>062933</v>
      </c>
      <c r="C9476" t="str">
        <f>"25871"</f>
        <v>25871</v>
      </c>
      <c r="D9476" t="s">
        <v>647</v>
      </c>
      <c r="E9476" s="3">
        <v>47.49</v>
      </c>
      <c r="F9476">
        <v>20160329</v>
      </c>
      <c r="G9476" t="s">
        <v>7147</v>
      </c>
      <c r="H9476" t="s">
        <v>1367</v>
      </c>
      <c r="I9476">
        <v>0</v>
      </c>
      <c r="J9476" t="s">
        <v>7024</v>
      </c>
      <c r="K9476" t="s">
        <v>290</v>
      </c>
      <c r="L9476" t="s">
        <v>285</v>
      </c>
      <c r="M9476" t="str">
        <f t="shared" si="712"/>
        <v>03</v>
      </c>
      <c r="N9476" t="s">
        <v>12</v>
      </c>
    </row>
    <row r="9477" spans="1:14" x14ac:dyDescent="0.25">
      <c r="A9477">
        <v>20160331</v>
      </c>
      <c r="B9477" t="str">
        <f>"062945"</f>
        <v>062945</v>
      </c>
      <c r="C9477" t="str">
        <f>"45093"</f>
        <v>45093</v>
      </c>
      <c r="D9477" t="s">
        <v>538</v>
      </c>
      <c r="E9477" s="3">
        <v>136.04</v>
      </c>
      <c r="F9477">
        <v>20160330</v>
      </c>
      <c r="G9477" t="s">
        <v>7126</v>
      </c>
      <c r="H9477" t="s">
        <v>4050</v>
      </c>
      <c r="I9477">
        <v>0</v>
      </c>
      <c r="J9477" t="s">
        <v>7024</v>
      </c>
      <c r="K9477" t="s">
        <v>290</v>
      </c>
      <c r="L9477" t="s">
        <v>285</v>
      </c>
      <c r="M9477" t="str">
        <f t="shared" si="712"/>
        <v>03</v>
      </c>
      <c r="N9477" t="s">
        <v>12</v>
      </c>
    </row>
    <row r="9478" spans="1:14" x14ac:dyDescent="0.25">
      <c r="A9478">
        <v>20160331</v>
      </c>
      <c r="B9478" t="str">
        <f>"062948"</f>
        <v>062948</v>
      </c>
      <c r="C9478" t="str">
        <f>"49445"</f>
        <v>49445</v>
      </c>
      <c r="D9478" t="s">
        <v>575</v>
      </c>
      <c r="E9478" s="3">
        <v>184.8</v>
      </c>
      <c r="F9478">
        <v>20160330</v>
      </c>
      <c r="G9478" t="s">
        <v>7207</v>
      </c>
      <c r="H9478" t="s">
        <v>7607</v>
      </c>
      <c r="I9478">
        <v>0</v>
      </c>
      <c r="J9478" t="s">
        <v>7024</v>
      </c>
      <c r="K9478" t="s">
        <v>290</v>
      </c>
      <c r="L9478" t="s">
        <v>285</v>
      </c>
      <c r="M9478" t="str">
        <f t="shared" si="712"/>
        <v>03</v>
      </c>
      <c r="N9478" t="s">
        <v>12</v>
      </c>
    </row>
    <row r="9479" spans="1:14" x14ac:dyDescent="0.25">
      <c r="A9479">
        <v>20160331</v>
      </c>
      <c r="B9479" t="str">
        <f>"062948"</f>
        <v>062948</v>
      </c>
      <c r="C9479" t="str">
        <f>"49445"</f>
        <v>49445</v>
      </c>
      <c r="D9479" t="s">
        <v>575</v>
      </c>
      <c r="E9479" s="3">
        <v>165.2</v>
      </c>
      <c r="F9479">
        <v>20160330</v>
      </c>
      <c r="G9479" t="s">
        <v>7207</v>
      </c>
      <c r="H9479" t="s">
        <v>7608</v>
      </c>
      <c r="I9479">
        <v>0</v>
      </c>
      <c r="J9479" t="s">
        <v>7024</v>
      </c>
      <c r="K9479" t="s">
        <v>290</v>
      </c>
      <c r="L9479" t="s">
        <v>285</v>
      </c>
      <c r="M9479" t="str">
        <f t="shared" si="712"/>
        <v>03</v>
      </c>
      <c r="N9479" t="s">
        <v>12</v>
      </c>
    </row>
    <row r="9480" spans="1:14" x14ac:dyDescent="0.25">
      <c r="A9480">
        <v>20160331</v>
      </c>
      <c r="B9480" t="str">
        <f>"062948"</f>
        <v>062948</v>
      </c>
      <c r="C9480" t="str">
        <f>"49445"</f>
        <v>49445</v>
      </c>
      <c r="D9480" t="s">
        <v>575</v>
      </c>
      <c r="E9480" s="3">
        <v>63.8</v>
      </c>
      <c r="F9480">
        <v>20160330</v>
      </c>
      <c r="G9480" t="s">
        <v>7372</v>
      </c>
      <c r="H9480" t="s">
        <v>7608</v>
      </c>
      <c r="I9480">
        <v>0</v>
      </c>
      <c r="J9480" t="s">
        <v>7024</v>
      </c>
      <c r="K9480" t="s">
        <v>290</v>
      </c>
      <c r="L9480" t="s">
        <v>285</v>
      </c>
      <c r="M9480" t="str">
        <f t="shared" si="712"/>
        <v>03</v>
      </c>
      <c r="N9480" t="s">
        <v>12</v>
      </c>
    </row>
    <row r="9481" spans="1:14" x14ac:dyDescent="0.25">
      <c r="A9481">
        <v>20160331</v>
      </c>
      <c r="B9481" t="str">
        <f>"062956"</f>
        <v>062956</v>
      </c>
      <c r="C9481" t="str">
        <f>"58207"</f>
        <v>58207</v>
      </c>
      <c r="D9481" t="s">
        <v>296</v>
      </c>
      <c r="E9481" s="3">
        <v>155.96</v>
      </c>
      <c r="F9481">
        <v>20160330</v>
      </c>
      <c r="G9481" t="s">
        <v>7149</v>
      </c>
      <c r="H9481" t="s">
        <v>7609</v>
      </c>
      <c r="I9481">
        <v>0</v>
      </c>
      <c r="J9481" t="s">
        <v>7024</v>
      </c>
      <c r="K9481" t="s">
        <v>290</v>
      </c>
      <c r="L9481" t="s">
        <v>285</v>
      </c>
      <c r="M9481" t="str">
        <f t="shared" si="712"/>
        <v>03</v>
      </c>
      <c r="N9481" t="s">
        <v>12</v>
      </c>
    </row>
    <row r="9482" spans="1:14" x14ac:dyDescent="0.25">
      <c r="A9482">
        <v>20160331</v>
      </c>
      <c r="B9482" t="str">
        <f>"062957"</f>
        <v>062957</v>
      </c>
      <c r="C9482" t="str">
        <f>"58204"</f>
        <v>58204</v>
      </c>
      <c r="D9482" t="s">
        <v>1816</v>
      </c>
      <c r="E9482" s="3">
        <v>128.38999999999999</v>
      </c>
      <c r="F9482">
        <v>20160330</v>
      </c>
      <c r="G9482" t="s">
        <v>7110</v>
      </c>
      <c r="H9482" t="s">
        <v>7610</v>
      </c>
      <c r="I9482">
        <v>0</v>
      </c>
      <c r="J9482" t="s">
        <v>7024</v>
      </c>
      <c r="K9482" t="s">
        <v>290</v>
      </c>
      <c r="L9482" t="s">
        <v>285</v>
      </c>
      <c r="M9482" t="str">
        <f t="shared" si="712"/>
        <v>03</v>
      </c>
      <c r="N9482" t="s">
        <v>12</v>
      </c>
    </row>
    <row r="9483" spans="1:14" x14ac:dyDescent="0.25">
      <c r="A9483">
        <v>20160331</v>
      </c>
      <c r="B9483" t="str">
        <f>"062957"</f>
        <v>062957</v>
      </c>
      <c r="C9483" t="str">
        <f>"58204"</f>
        <v>58204</v>
      </c>
      <c r="D9483" t="s">
        <v>1816</v>
      </c>
      <c r="E9483" s="3">
        <v>83.28</v>
      </c>
      <c r="F9483">
        <v>20160330</v>
      </c>
      <c r="G9483" t="s">
        <v>7199</v>
      </c>
      <c r="H9483" t="s">
        <v>7611</v>
      </c>
      <c r="I9483">
        <v>0</v>
      </c>
      <c r="J9483" t="s">
        <v>7024</v>
      </c>
      <c r="K9483" t="s">
        <v>290</v>
      </c>
      <c r="L9483" t="s">
        <v>285</v>
      </c>
      <c r="M9483" t="str">
        <f t="shared" si="712"/>
        <v>03</v>
      </c>
      <c r="N9483" t="s">
        <v>12</v>
      </c>
    </row>
    <row r="9484" spans="1:14" x14ac:dyDescent="0.25">
      <c r="A9484">
        <v>20160331</v>
      </c>
      <c r="B9484" t="str">
        <f>"062971"</f>
        <v>062971</v>
      </c>
      <c r="C9484" t="str">
        <f>"73540"</f>
        <v>73540</v>
      </c>
      <c r="D9484" t="s">
        <v>1714</v>
      </c>
      <c r="E9484" s="3">
        <v>1400</v>
      </c>
      <c r="F9484">
        <v>20160330</v>
      </c>
      <c r="G9484" t="s">
        <v>7100</v>
      </c>
      <c r="H9484" t="s">
        <v>7612</v>
      </c>
      <c r="I9484">
        <v>0</v>
      </c>
      <c r="J9484" t="s">
        <v>7024</v>
      </c>
      <c r="K9484" t="s">
        <v>290</v>
      </c>
      <c r="L9484" t="s">
        <v>285</v>
      </c>
      <c r="M9484" t="str">
        <f t="shared" si="712"/>
        <v>03</v>
      </c>
      <c r="N9484" t="s">
        <v>12</v>
      </c>
    </row>
    <row r="9485" spans="1:14" x14ac:dyDescent="0.25">
      <c r="A9485">
        <v>20160331</v>
      </c>
      <c r="B9485" t="str">
        <f>"062974"</f>
        <v>062974</v>
      </c>
      <c r="C9485" t="str">
        <f>"74131"</f>
        <v>74131</v>
      </c>
      <c r="D9485" t="s">
        <v>453</v>
      </c>
      <c r="E9485" s="3">
        <v>180</v>
      </c>
      <c r="F9485">
        <v>20160330</v>
      </c>
      <c r="G9485" t="s">
        <v>7212</v>
      </c>
      <c r="H9485" t="s">
        <v>7213</v>
      </c>
      <c r="I9485">
        <v>0</v>
      </c>
      <c r="J9485" t="s">
        <v>7024</v>
      </c>
      <c r="K9485" t="s">
        <v>290</v>
      </c>
      <c r="L9485" t="s">
        <v>285</v>
      </c>
      <c r="M9485" t="str">
        <f t="shared" si="712"/>
        <v>03</v>
      </c>
      <c r="N9485" t="s">
        <v>12</v>
      </c>
    </row>
    <row r="9486" spans="1:14" x14ac:dyDescent="0.25">
      <c r="A9486">
        <v>20160331</v>
      </c>
      <c r="B9486" t="str">
        <f>"062979"</f>
        <v>062979</v>
      </c>
      <c r="C9486" t="str">
        <f>"70641"</f>
        <v>70641</v>
      </c>
      <c r="D9486" t="s">
        <v>6012</v>
      </c>
      <c r="E9486" s="3">
        <v>7237.06</v>
      </c>
      <c r="F9486">
        <v>20160330</v>
      </c>
      <c r="G9486" t="s">
        <v>7613</v>
      </c>
      <c r="H9486" t="s">
        <v>7614</v>
      </c>
      <c r="I9486">
        <v>0</v>
      </c>
      <c r="J9486" t="s">
        <v>7024</v>
      </c>
      <c r="K9486" t="s">
        <v>290</v>
      </c>
      <c r="L9486" t="s">
        <v>285</v>
      </c>
      <c r="M9486" t="str">
        <f t="shared" si="712"/>
        <v>03</v>
      </c>
      <c r="N9486" t="s">
        <v>12</v>
      </c>
    </row>
    <row r="9487" spans="1:14" x14ac:dyDescent="0.25">
      <c r="A9487">
        <v>20160331</v>
      </c>
      <c r="B9487" t="str">
        <f>"062983"</f>
        <v>062983</v>
      </c>
      <c r="C9487" t="str">
        <f>"80755"</f>
        <v>80755</v>
      </c>
      <c r="D9487" t="s">
        <v>723</v>
      </c>
      <c r="E9487" s="3">
        <v>903.55</v>
      </c>
      <c r="F9487">
        <v>20160330</v>
      </c>
      <c r="G9487" t="s">
        <v>7290</v>
      </c>
      <c r="H9487" t="s">
        <v>7615</v>
      </c>
      <c r="I9487">
        <v>0</v>
      </c>
      <c r="J9487" t="s">
        <v>7024</v>
      </c>
      <c r="K9487" t="s">
        <v>95</v>
      </c>
      <c r="L9487" t="s">
        <v>285</v>
      </c>
      <c r="M9487" t="str">
        <f t="shared" si="712"/>
        <v>03</v>
      </c>
      <c r="N9487" t="s">
        <v>12</v>
      </c>
    </row>
    <row r="9488" spans="1:14" x14ac:dyDescent="0.25">
      <c r="A9488">
        <v>20160331</v>
      </c>
      <c r="B9488" t="str">
        <f>"062983"</f>
        <v>062983</v>
      </c>
      <c r="C9488" t="str">
        <f>"80755"</f>
        <v>80755</v>
      </c>
      <c r="D9488" t="s">
        <v>723</v>
      </c>
      <c r="E9488" s="3">
        <v>121.5</v>
      </c>
      <c r="F9488">
        <v>20160330</v>
      </c>
      <c r="G9488" t="s">
        <v>7372</v>
      </c>
      <c r="H9488" t="s">
        <v>7616</v>
      </c>
      <c r="I9488">
        <v>0</v>
      </c>
      <c r="J9488" t="s">
        <v>7024</v>
      </c>
      <c r="K9488" t="s">
        <v>290</v>
      </c>
      <c r="L9488" t="s">
        <v>285</v>
      </c>
      <c r="M9488" t="str">
        <f t="shared" si="712"/>
        <v>03</v>
      </c>
      <c r="N9488" t="s">
        <v>12</v>
      </c>
    </row>
    <row r="9489" spans="1:14" x14ac:dyDescent="0.25">
      <c r="A9489">
        <v>20160331</v>
      </c>
      <c r="B9489" t="str">
        <f>"062983"</f>
        <v>062983</v>
      </c>
      <c r="C9489" t="str">
        <f>"80755"</f>
        <v>80755</v>
      </c>
      <c r="D9489" t="s">
        <v>723</v>
      </c>
      <c r="E9489" s="3">
        <v>625</v>
      </c>
      <c r="F9489">
        <v>20160330</v>
      </c>
      <c r="G9489" t="s">
        <v>7227</v>
      </c>
      <c r="H9489" t="s">
        <v>7513</v>
      </c>
      <c r="I9489">
        <v>0</v>
      </c>
      <c r="J9489" t="s">
        <v>7024</v>
      </c>
      <c r="K9489" t="s">
        <v>290</v>
      </c>
      <c r="L9489" t="s">
        <v>285</v>
      </c>
      <c r="M9489" t="str">
        <f t="shared" si="712"/>
        <v>03</v>
      </c>
      <c r="N9489" t="s">
        <v>12</v>
      </c>
    </row>
    <row r="9490" spans="1:14" x14ac:dyDescent="0.25">
      <c r="A9490">
        <v>20160407</v>
      </c>
      <c r="B9490" t="str">
        <f>"062992"</f>
        <v>062992</v>
      </c>
      <c r="C9490" t="str">
        <f>"06463"</f>
        <v>06463</v>
      </c>
      <c r="D9490" t="s">
        <v>1011</v>
      </c>
      <c r="E9490" s="3">
        <v>120</v>
      </c>
      <c r="F9490">
        <v>20160406</v>
      </c>
      <c r="G9490" t="s">
        <v>7409</v>
      </c>
      <c r="H9490" t="s">
        <v>7617</v>
      </c>
      <c r="I9490">
        <v>0</v>
      </c>
      <c r="J9490" t="s">
        <v>7024</v>
      </c>
      <c r="K9490" t="s">
        <v>95</v>
      </c>
      <c r="L9490" t="s">
        <v>285</v>
      </c>
      <c r="M9490" t="str">
        <f t="shared" ref="M9490:M9521" si="713">"04"</f>
        <v>04</v>
      </c>
      <c r="N9490" t="s">
        <v>12</v>
      </c>
    </row>
    <row r="9491" spans="1:14" x14ac:dyDescent="0.25">
      <c r="A9491">
        <v>20160407</v>
      </c>
      <c r="B9491" t="str">
        <f>"062997"</f>
        <v>062997</v>
      </c>
      <c r="C9491" t="str">
        <f>"21060"</f>
        <v>21060</v>
      </c>
      <c r="D9491" t="s">
        <v>344</v>
      </c>
      <c r="E9491" s="3">
        <v>90</v>
      </c>
      <c r="F9491">
        <v>20160406</v>
      </c>
      <c r="G9491" t="s">
        <v>7409</v>
      </c>
      <c r="H9491" t="s">
        <v>7539</v>
      </c>
      <c r="I9491">
        <v>0</v>
      </c>
      <c r="J9491" t="s">
        <v>7024</v>
      </c>
      <c r="K9491" t="s">
        <v>95</v>
      </c>
      <c r="L9491" t="s">
        <v>285</v>
      </c>
      <c r="M9491" t="str">
        <f t="shared" si="713"/>
        <v>04</v>
      </c>
      <c r="N9491" t="s">
        <v>12</v>
      </c>
    </row>
    <row r="9492" spans="1:14" x14ac:dyDescent="0.25">
      <c r="A9492">
        <v>20160407</v>
      </c>
      <c r="B9492" t="str">
        <f>"062998"</f>
        <v>062998</v>
      </c>
      <c r="C9492" t="str">
        <f>"21295"</f>
        <v>21295</v>
      </c>
      <c r="D9492" t="s">
        <v>792</v>
      </c>
      <c r="E9492" s="3">
        <v>25</v>
      </c>
      <c r="F9492">
        <v>20160406</v>
      </c>
      <c r="G9492" t="s">
        <v>7212</v>
      </c>
      <c r="H9492" t="s">
        <v>7592</v>
      </c>
      <c r="I9492">
        <v>0</v>
      </c>
      <c r="J9492" t="s">
        <v>7024</v>
      </c>
      <c r="K9492" t="s">
        <v>290</v>
      </c>
      <c r="L9492" t="s">
        <v>285</v>
      </c>
      <c r="M9492" t="str">
        <f t="shared" si="713"/>
        <v>04</v>
      </c>
      <c r="N9492" t="s">
        <v>12</v>
      </c>
    </row>
    <row r="9493" spans="1:14" x14ac:dyDescent="0.25">
      <c r="A9493">
        <v>20160407</v>
      </c>
      <c r="B9493" t="str">
        <f>"063005"</f>
        <v>063005</v>
      </c>
      <c r="C9493" t="str">
        <f>"37647"</f>
        <v>37647</v>
      </c>
      <c r="D9493" t="s">
        <v>803</v>
      </c>
      <c r="E9493" s="3">
        <v>60</v>
      </c>
      <c r="F9493">
        <v>20160406</v>
      </c>
      <c r="G9493" t="s">
        <v>7212</v>
      </c>
      <c r="H9493" t="s">
        <v>7592</v>
      </c>
      <c r="I9493">
        <v>0</v>
      </c>
      <c r="J9493" t="s">
        <v>7024</v>
      </c>
      <c r="K9493" t="s">
        <v>290</v>
      </c>
      <c r="L9493" t="s">
        <v>285</v>
      </c>
      <c r="M9493" t="str">
        <f t="shared" si="713"/>
        <v>04</v>
      </c>
      <c r="N9493" t="s">
        <v>12</v>
      </c>
    </row>
    <row r="9494" spans="1:14" x14ac:dyDescent="0.25">
      <c r="A9494">
        <v>20160407</v>
      </c>
      <c r="B9494" t="str">
        <f>"063006"</f>
        <v>063006</v>
      </c>
      <c r="C9494" t="str">
        <f>"39108"</f>
        <v>39108</v>
      </c>
      <c r="D9494" t="s">
        <v>913</v>
      </c>
      <c r="E9494" s="3">
        <v>60</v>
      </c>
      <c r="F9494">
        <v>20160406</v>
      </c>
      <c r="G9494" t="s">
        <v>7212</v>
      </c>
      <c r="H9494" t="s">
        <v>7592</v>
      </c>
      <c r="I9494">
        <v>0</v>
      </c>
      <c r="J9494" t="s">
        <v>7024</v>
      </c>
      <c r="K9494" t="s">
        <v>290</v>
      </c>
      <c r="L9494" t="s">
        <v>285</v>
      </c>
      <c r="M9494" t="str">
        <f t="shared" si="713"/>
        <v>04</v>
      </c>
      <c r="N9494" t="s">
        <v>12</v>
      </c>
    </row>
    <row r="9495" spans="1:14" x14ac:dyDescent="0.25">
      <c r="A9495">
        <v>20160407</v>
      </c>
      <c r="B9495" t="str">
        <f>"063007"</f>
        <v>063007</v>
      </c>
      <c r="C9495" t="str">
        <f>"40570"</f>
        <v>40570</v>
      </c>
      <c r="D9495" t="s">
        <v>915</v>
      </c>
      <c r="E9495" s="3">
        <v>25</v>
      </c>
      <c r="F9495">
        <v>20160406</v>
      </c>
      <c r="G9495" t="s">
        <v>7212</v>
      </c>
      <c r="H9495" t="s">
        <v>7592</v>
      </c>
      <c r="I9495">
        <v>0</v>
      </c>
      <c r="J9495" t="s">
        <v>7024</v>
      </c>
      <c r="K9495" t="s">
        <v>290</v>
      </c>
      <c r="L9495" t="s">
        <v>285</v>
      </c>
      <c r="M9495" t="str">
        <f t="shared" si="713"/>
        <v>04</v>
      </c>
      <c r="N9495" t="s">
        <v>12</v>
      </c>
    </row>
    <row r="9496" spans="1:14" x14ac:dyDescent="0.25">
      <c r="A9496">
        <v>20160407</v>
      </c>
      <c r="B9496" t="str">
        <f>"063009"</f>
        <v>063009</v>
      </c>
      <c r="C9496" t="str">
        <f>"40790"</f>
        <v>40790</v>
      </c>
      <c r="D9496" t="s">
        <v>572</v>
      </c>
      <c r="E9496" s="3">
        <v>60</v>
      </c>
      <c r="F9496">
        <v>20160406</v>
      </c>
      <c r="G9496" t="s">
        <v>7212</v>
      </c>
      <c r="H9496" t="s">
        <v>7592</v>
      </c>
      <c r="I9496">
        <v>0</v>
      </c>
      <c r="J9496" t="s">
        <v>7024</v>
      </c>
      <c r="K9496" t="s">
        <v>290</v>
      </c>
      <c r="L9496" t="s">
        <v>285</v>
      </c>
      <c r="M9496" t="str">
        <f t="shared" si="713"/>
        <v>04</v>
      </c>
      <c r="N9496" t="s">
        <v>12</v>
      </c>
    </row>
    <row r="9497" spans="1:14" x14ac:dyDescent="0.25">
      <c r="A9497">
        <v>20160407</v>
      </c>
      <c r="B9497" t="str">
        <f>"063012"</f>
        <v>063012</v>
      </c>
      <c r="C9497" t="str">
        <f>"46224"</f>
        <v>46224</v>
      </c>
      <c r="D9497" t="s">
        <v>1005</v>
      </c>
      <c r="E9497" s="3">
        <v>120</v>
      </c>
      <c r="F9497">
        <v>20160406</v>
      </c>
      <c r="G9497" t="s">
        <v>7409</v>
      </c>
      <c r="H9497" t="s">
        <v>7617</v>
      </c>
      <c r="I9497">
        <v>0</v>
      </c>
      <c r="J9497" t="s">
        <v>7024</v>
      </c>
      <c r="K9497" t="s">
        <v>95</v>
      </c>
      <c r="L9497" t="s">
        <v>285</v>
      </c>
      <c r="M9497" t="str">
        <f t="shared" si="713"/>
        <v>04</v>
      </c>
      <c r="N9497" t="s">
        <v>12</v>
      </c>
    </row>
    <row r="9498" spans="1:14" x14ac:dyDescent="0.25">
      <c r="A9498">
        <v>20160407</v>
      </c>
      <c r="B9498" t="str">
        <f>"063014"</f>
        <v>063014</v>
      </c>
      <c r="C9498" t="str">
        <f>"51920"</f>
        <v>51920</v>
      </c>
      <c r="D9498" t="s">
        <v>920</v>
      </c>
      <c r="E9498" s="3">
        <v>120</v>
      </c>
      <c r="F9498">
        <v>20160406</v>
      </c>
      <c r="G9498" t="s">
        <v>7409</v>
      </c>
      <c r="H9498" t="s">
        <v>7617</v>
      </c>
      <c r="I9498">
        <v>0</v>
      </c>
      <c r="J9498" t="s">
        <v>7024</v>
      </c>
      <c r="K9498" t="s">
        <v>95</v>
      </c>
      <c r="L9498" t="s">
        <v>285</v>
      </c>
      <c r="M9498" t="str">
        <f t="shared" si="713"/>
        <v>04</v>
      </c>
      <c r="N9498" t="s">
        <v>12</v>
      </c>
    </row>
    <row r="9499" spans="1:14" x14ac:dyDescent="0.25">
      <c r="A9499">
        <v>20160407</v>
      </c>
      <c r="B9499" t="str">
        <f>"063016"</f>
        <v>063016</v>
      </c>
      <c r="C9499" t="str">
        <f>"54558"</f>
        <v>54558</v>
      </c>
      <c r="D9499" t="s">
        <v>583</v>
      </c>
      <c r="E9499" s="3">
        <v>90</v>
      </c>
      <c r="F9499">
        <v>20160406</v>
      </c>
      <c r="G9499" t="s">
        <v>7212</v>
      </c>
      <c r="H9499" t="s">
        <v>7592</v>
      </c>
      <c r="I9499">
        <v>0</v>
      </c>
      <c r="J9499" t="s">
        <v>7024</v>
      </c>
      <c r="K9499" t="s">
        <v>290</v>
      </c>
      <c r="L9499" t="s">
        <v>285</v>
      </c>
      <c r="M9499" t="str">
        <f t="shared" si="713"/>
        <v>04</v>
      </c>
      <c r="N9499" t="s">
        <v>12</v>
      </c>
    </row>
    <row r="9500" spans="1:14" x14ac:dyDescent="0.25">
      <c r="A9500">
        <v>20160407</v>
      </c>
      <c r="B9500" t="str">
        <f>"063017"</f>
        <v>063017</v>
      </c>
      <c r="C9500" t="str">
        <f>"55503"</f>
        <v>55503</v>
      </c>
      <c r="D9500" t="s">
        <v>812</v>
      </c>
      <c r="E9500" s="3">
        <v>90</v>
      </c>
      <c r="F9500">
        <v>20160406</v>
      </c>
      <c r="G9500" t="s">
        <v>7409</v>
      </c>
      <c r="H9500" t="s">
        <v>7539</v>
      </c>
      <c r="I9500">
        <v>0</v>
      </c>
      <c r="J9500" t="s">
        <v>7024</v>
      </c>
      <c r="K9500" t="s">
        <v>95</v>
      </c>
      <c r="L9500" t="s">
        <v>285</v>
      </c>
      <c r="M9500" t="str">
        <f t="shared" si="713"/>
        <v>04</v>
      </c>
      <c r="N9500" t="s">
        <v>12</v>
      </c>
    </row>
    <row r="9501" spans="1:14" x14ac:dyDescent="0.25">
      <c r="A9501">
        <v>20160407</v>
      </c>
      <c r="B9501" t="str">
        <f>"063023"</f>
        <v>063023</v>
      </c>
      <c r="C9501" t="str">
        <f>"65220"</f>
        <v>65220</v>
      </c>
      <c r="D9501" t="s">
        <v>876</v>
      </c>
      <c r="E9501" s="3">
        <v>120</v>
      </c>
      <c r="F9501">
        <v>20160406</v>
      </c>
      <c r="G9501" t="s">
        <v>7409</v>
      </c>
      <c r="H9501" t="s">
        <v>7539</v>
      </c>
      <c r="I9501">
        <v>0</v>
      </c>
      <c r="J9501" t="s">
        <v>7024</v>
      </c>
      <c r="K9501" t="s">
        <v>95</v>
      </c>
      <c r="L9501" t="s">
        <v>285</v>
      </c>
      <c r="M9501" t="str">
        <f t="shared" si="713"/>
        <v>04</v>
      </c>
      <c r="N9501" t="s">
        <v>12</v>
      </c>
    </row>
    <row r="9502" spans="1:14" x14ac:dyDescent="0.25">
      <c r="A9502">
        <v>20160407</v>
      </c>
      <c r="B9502" t="str">
        <f>"063024"</f>
        <v>063024</v>
      </c>
      <c r="C9502" t="str">
        <f>"65240"</f>
        <v>65240</v>
      </c>
      <c r="D9502" t="s">
        <v>7307</v>
      </c>
      <c r="E9502" s="3">
        <v>120</v>
      </c>
      <c r="F9502">
        <v>20160406</v>
      </c>
      <c r="G9502" t="s">
        <v>7409</v>
      </c>
      <c r="H9502" t="s">
        <v>7539</v>
      </c>
      <c r="I9502">
        <v>0</v>
      </c>
      <c r="J9502" t="s">
        <v>7024</v>
      </c>
      <c r="K9502" t="s">
        <v>95</v>
      </c>
      <c r="L9502" t="s">
        <v>285</v>
      </c>
      <c r="M9502" t="str">
        <f t="shared" si="713"/>
        <v>04</v>
      </c>
      <c r="N9502" t="s">
        <v>12</v>
      </c>
    </row>
    <row r="9503" spans="1:14" x14ac:dyDescent="0.25">
      <c r="A9503">
        <v>20160407</v>
      </c>
      <c r="B9503" t="str">
        <f>"063025"</f>
        <v>063025</v>
      </c>
      <c r="C9503" t="str">
        <f>"65388"</f>
        <v>65388</v>
      </c>
      <c r="D9503" t="s">
        <v>1279</v>
      </c>
      <c r="E9503" s="3">
        <v>120</v>
      </c>
      <c r="F9503">
        <v>20160406</v>
      </c>
      <c r="G9503" t="s">
        <v>7409</v>
      </c>
      <c r="H9503" t="s">
        <v>7617</v>
      </c>
      <c r="I9503">
        <v>0</v>
      </c>
      <c r="J9503" t="s">
        <v>7024</v>
      </c>
      <c r="K9503" t="s">
        <v>95</v>
      </c>
      <c r="L9503" t="s">
        <v>285</v>
      </c>
      <c r="M9503" t="str">
        <f t="shared" si="713"/>
        <v>04</v>
      </c>
      <c r="N9503" t="s">
        <v>12</v>
      </c>
    </row>
    <row r="9504" spans="1:14" x14ac:dyDescent="0.25">
      <c r="A9504">
        <v>20160415</v>
      </c>
      <c r="B9504" t="str">
        <f>"063042"</f>
        <v>063042</v>
      </c>
      <c r="C9504" t="str">
        <f>"10418"</f>
        <v>10418</v>
      </c>
      <c r="D9504" t="s">
        <v>7618</v>
      </c>
      <c r="E9504" s="3">
        <v>4818.72</v>
      </c>
      <c r="F9504">
        <v>20160412</v>
      </c>
      <c r="G9504" t="s">
        <v>7143</v>
      </c>
      <c r="H9504" t="s">
        <v>7619</v>
      </c>
      <c r="I9504">
        <v>0</v>
      </c>
      <c r="J9504" t="s">
        <v>7024</v>
      </c>
      <c r="K9504" t="s">
        <v>290</v>
      </c>
      <c r="L9504" t="s">
        <v>285</v>
      </c>
      <c r="M9504" t="str">
        <f t="shared" si="713"/>
        <v>04</v>
      </c>
      <c r="N9504" t="s">
        <v>12</v>
      </c>
    </row>
    <row r="9505" spans="1:14" x14ac:dyDescent="0.25">
      <c r="A9505">
        <v>20160415</v>
      </c>
      <c r="B9505" t="str">
        <f>"063042"</f>
        <v>063042</v>
      </c>
      <c r="C9505" t="str">
        <f>"10418"</f>
        <v>10418</v>
      </c>
      <c r="D9505" t="s">
        <v>7618</v>
      </c>
      <c r="E9505" s="3">
        <v>721.36</v>
      </c>
      <c r="F9505">
        <v>20160412</v>
      </c>
      <c r="G9505" t="s">
        <v>7143</v>
      </c>
      <c r="H9505" t="s">
        <v>7619</v>
      </c>
      <c r="I9505">
        <v>0</v>
      </c>
      <c r="J9505" t="s">
        <v>7024</v>
      </c>
      <c r="K9505" t="s">
        <v>290</v>
      </c>
      <c r="L9505" t="s">
        <v>285</v>
      </c>
      <c r="M9505" t="str">
        <f t="shared" si="713"/>
        <v>04</v>
      </c>
      <c r="N9505" t="s">
        <v>12</v>
      </c>
    </row>
    <row r="9506" spans="1:14" x14ac:dyDescent="0.25">
      <c r="A9506">
        <v>20160415</v>
      </c>
      <c r="B9506" t="str">
        <f>"063044"</f>
        <v>063044</v>
      </c>
      <c r="C9506" t="str">
        <f>"11220"</f>
        <v>11220</v>
      </c>
      <c r="D9506" t="s">
        <v>7620</v>
      </c>
      <c r="E9506" s="3">
        <v>1680</v>
      </c>
      <c r="F9506">
        <v>20160412</v>
      </c>
      <c r="G9506" t="s">
        <v>7143</v>
      </c>
      <c r="H9506" t="s">
        <v>7621</v>
      </c>
      <c r="I9506">
        <v>0</v>
      </c>
      <c r="J9506" t="s">
        <v>7024</v>
      </c>
      <c r="K9506" t="s">
        <v>290</v>
      </c>
      <c r="L9506" t="s">
        <v>285</v>
      </c>
      <c r="M9506" t="str">
        <f t="shared" si="713"/>
        <v>04</v>
      </c>
      <c r="N9506" t="s">
        <v>12</v>
      </c>
    </row>
    <row r="9507" spans="1:14" x14ac:dyDescent="0.25">
      <c r="A9507">
        <v>20160415</v>
      </c>
      <c r="B9507" t="str">
        <f>"063058"</f>
        <v>063058</v>
      </c>
      <c r="C9507" t="str">
        <f>"51346"</f>
        <v>51346</v>
      </c>
      <c r="D9507" t="s">
        <v>379</v>
      </c>
      <c r="E9507" s="3">
        <v>32.5</v>
      </c>
      <c r="F9507">
        <v>20160412</v>
      </c>
      <c r="G9507" t="s">
        <v>7290</v>
      </c>
      <c r="H9507" t="s">
        <v>7622</v>
      </c>
      <c r="I9507">
        <v>0</v>
      </c>
      <c r="J9507" t="s">
        <v>7024</v>
      </c>
      <c r="K9507" t="s">
        <v>95</v>
      </c>
      <c r="L9507" t="s">
        <v>285</v>
      </c>
      <c r="M9507" t="str">
        <f t="shared" si="713"/>
        <v>04</v>
      </c>
      <c r="N9507" t="s">
        <v>12</v>
      </c>
    </row>
    <row r="9508" spans="1:14" x14ac:dyDescent="0.25">
      <c r="A9508">
        <v>20160415</v>
      </c>
      <c r="B9508" t="str">
        <f>"063058"</f>
        <v>063058</v>
      </c>
      <c r="C9508" t="str">
        <f>"51346"</f>
        <v>51346</v>
      </c>
      <c r="D9508" t="s">
        <v>379</v>
      </c>
      <c r="E9508" s="3">
        <v>130</v>
      </c>
      <c r="F9508">
        <v>20160412</v>
      </c>
      <c r="G9508" t="s">
        <v>7582</v>
      </c>
      <c r="H9508" t="s">
        <v>7586</v>
      </c>
      <c r="I9508">
        <v>0</v>
      </c>
      <c r="J9508" t="s">
        <v>7024</v>
      </c>
      <c r="K9508" t="s">
        <v>290</v>
      </c>
      <c r="L9508" t="s">
        <v>285</v>
      </c>
      <c r="M9508" t="str">
        <f t="shared" si="713"/>
        <v>04</v>
      </c>
      <c r="N9508" t="s">
        <v>12</v>
      </c>
    </row>
    <row r="9509" spans="1:14" x14ac:dyDescent="0.25">
      <c r="A9509">
        <v>20160415</v>
      </c>
      <c r="B9509" t="str">
        <f>"063058"</f>
        <v>063058</v>
      </c>
      <c r="C9509" t="str">
        <f>"51346"</f>
        <v>51346</v>
      </c>
      <c r="D9509" t="s">
        <v>379</v>
      </c>
      <c r="E9509" s="3">
        <v>104</v>
      </c>
      <c r="F9509">
        <v>20160412</v>
      </c>
      <c r="G9509" t="s">
        <v>7623</v>
      </c>
      <c r="H9509" t="s">
        <v>7624</v>
      </c>
      <c r="I9509">
        <v>0</v>
      </c>
      <c r="J9509" t="s">
        <v>7024</v>
      </c>
      <c r="K9509" t="s">
        <v>95</v>
      </c>
      <c r="L9509" t="s">
        <v>285</v>
      </c>
      <c r="M9509" t="str">
        <f t="shared" si="713"/>
        <v>04</v>
      </c>
      <c r="N9509" t="s">
        <v>12</v>
      </c>
    </row>
    <row r="9510" spans="1:14" x14ac:dyDescent="0.25">
      <c r="A9510">
        <v>20160415</v>
      </c>
      <c r="B9510" t="str">
        <f>"063058"</f>
        <v>063058</v>
      </c>
      <c r="C9510" t="str">
        <f>"51346"</f>
        <v>51346</v>
      </c>
      <c r="D9510" t="s">
        <v>379</v>
      </c>
      <c r="E9510" s="3">
        <v>19.5</v>
      </c>
      <c r="F9510">
        <v>20160412</v>
      </c>
      <c r="G9510" t="s">
        <v>7044</v>
      </c>
      <c r="H9510" t="s">
        <v>7625</v>
      </c>
      <c r="I9510">
        <v>0</v>
      </c>
      <c r="J9510" t="s">
        <v>7024</v>
      </c>
      <c r="K9510" t="s">
        <v>290</v>
      </c>
      <c r="L9510" t="s">
        <v>285</v>
      </c>
      <c r="M9510" t="str">
        <f t="shared" si="713"/>
        <v>04</v>
      </c>
      <c r="N9510" t="s">
        <v>12</v>
      </c>
    </row>
    <row r="9511" spans="1:14" x14ac:dyDescent="0.25">
      <c r="A9511">
        <v>20160415</v>
      </c>
      <c r="B9511" t="str">
        <f>"063064"</f>
        <v>063064</v>
      </c>
      <c r="C9511" t="str">
        <f>"23754"</f>
        <v>23754</v>
      </c>
      <c r="D9511" t="s">
        <v>794</v>
      </c>
      <c r="E9511" s="3">
        <v>588.88</v>
      </c>
      <c r="F9511">
        <v>20160412</v>
      </c>
      <c r="G9511" t="s">
        <v>7126</v>
      </c>
      <c r="H9511" t="s">
        <v>7626</v>
      </c>
      <c r="I9511">
        <v>0</v>
      </c>
      <c r="J9511" t="s">
        <v>7024</v>
      </c>
      <c r="K9511" t="s">
        <v>290</v>
      </c>
      <c r="L9511" t="s">
        <v>285</v>
      </c>
      <c r="M9511" t="str">
        <f t="shared" si="713"/>
        <v>04</v>
      </c>
      <c r="N9511" t="s">
        <v>12</v>
      </c>
    </row>
    <row r="9512" spans="1:14" x14ac:dyDescent="0.25">
      <c r="A9512">
        <v>20160415</v>
      </c>
      <c r="B9512" t="str">
        <f>"063070"</f>
        <v>063070</v>
      </c>
      <c r="C9512" t="str">
        <f>"27900"</f>
        <v>27900</v>
      </c>
      <c r="D9512" t="s">
        <v>1596</v>
      </c>
      <c r="E9512" s="3">
        <v>2630</v>
      </c>
      <c r="F9512">
        <v>20160412</v>
      </c>
      <c r="G9512" t="s">
        <v>7026</v>
      </c>
      <c r="H9512" t="s">
        <v>7627</v>
      </c>
      <c r="I9512">
        <v>0</v>
      </c>
      <c r="J9512" t="s">
        <v>7024</v>
      </c>
      <c r="K9512" t="s">
        <v>1643</v>
      </c>
      <c r="L9512" t="s">
        <v>285</v>
      </c>
      <c r="M9512" t="str">
        <f t="shared" si="713"/>
        <v>04</v>
      </c>
      <c r="N9512" t="s">
        <v>12</v>
      </c>
    </row>
    <row r="9513" spans="1:14" x14ac:dyDescent="0.25">
      <c r="A9513">
        <v>20160415</v>
      </c>
      <c r="B9513" t="str">
        <f>"063071"</f>
        <v>063071</v>
      </c>
      <c r="C9513" t="str">
        <f>"28680"</f>
        <v>28680</v>
      </c>
      <c r="D9513" t="s">
        <v>422</v>
      </c>
      <c r="E9513" s="3">
        <v>104</v>
      </c>
      <c r="F9513">
        <v>20160412</v>
      </c>
      <c r="G9513" t="s">
        <v>7074</v>
      </c>
      <c r="H9513" t="s">
        <v>990</v>
      </c>
      <c r="I9513">
        <v>0</v>
      </c>
      <c r="J9513" t="s">
        <v>7024</v>
      </c>
      <c r="K9513" t="s">
        <v>290</v>
      </c>
      <c r="L9513" t="s">
        <v>285</v>
      </c>
      <c r="M9513" t="str">
        <f t="shared" si="713"/>
        <v>04</v>
      </c>
      <c r="N9513" t="s">
        <v>12</v>
      </c>
    </row>
    <row r="9514" spans="1:14" x14ac:dyDescent="0.25">
      <c r="A9514">
        <v>20160415</v>
      </c>
      <c r="B9514" t="str">
        <f>"063071"</f>
        <v>063071</v>
      </c>
      <c r="C9514" t="str">
        <f>"28680"</f>
        <v>28680</v>
      </c>
      <c r="D9514" t="s">
        <v>422</v>
      </c>
      <c r="E9514" s="3">
        <v>104</v>
      </c>
      <c r="F9514">
        <v>20160412</v>
      </c>
      <c r="G9514" t="s">
        <v>7074</v>
      </c>
      <c r="H9514" t="s">
        <v>990</v>
      </c>
      <c r="I9514">
        <v>0</v>
      </c>
      <c r="J9514" t="s">
        <v>7024</v>
      </c>
      <c r="K9514" t="s">
        <v>290</v>
      </c>
      <c r="L9514" t="s">
        <v>285</v>
      </c>
      <c r="M9514" t="str">
        <f t="shared" si="713"/>
        <v>04</v>
      </c>
      <c r="N9514" t="s">
        <v>12</v>
      </c>
    </row>
    <row r="9515" spans="1:14" x14ac:dyDescent="0.25">
      <c r="A9515">
        <v>20160415</v>
      </c>
      <c r="B9515" t="str">
        <f>"063071"</f>
        <v>063071</v>
      </c>
      <c r="C9515" t="str">
        <f>"28680"</f>
        <v>28680</v>
      </c>
      <c r="D9515" t="s">
        <v>422</v>
      </c>
      <c r="E9515" s="3">
        <v>107.98</v>
      </c>
      <c r="F9515">
        <v>20160412</v>
      </c>
      <c r="G9515" t="s">
        <v>7074</v>
      </c>
      <c r="H9515" t="s">
        <v>990</v>
      </c>
      <c r="I9515">
        <v>0</v>
      </c>
      <c r="J9515" t="s">
        <v>7024</v>
      </c>
      <c r="K9515" t="s">
        <v>290</v>
      </c>
      <c r="L9515" t="s">
        <v>285</v>
      </c>
      <c r="M9515" t="str">
        <f t="shared" si="713"/>
        <v>04</v>
      </c>
      <c r="N9515" t="s">
        <v>12</v>
      </c>
    </row>
    <row r="9516" spans="1:14" x14ac:dyDescent="0.25">
      <c r="A9516">
        <v>20160415</v>
      </c>
      <c r="B9516" t="str">
        <f>"063073"</f>
        <v>063073</v>
      </c>
      <c r="C9516" t="str">
        <f>"29090"</f>
        <v>29090</v>
      </c>
      <c r="D9516" t="s">
        <v>7628</v>
      </c>
      <c r="E9516" s="3">
        <v>7260</v>
      </c>
      <c r="F9516">
        <v>20160412</v>
      </c>
      <c r="G9516" t="s">
        <v>7195</v>
      </c>
      <c r="H9516" t="s">
        <v>7629</v>
      </c>
      <c r="I9516">
        <v>0</v>
      </c>
      <c r="J9516" t="s">
        <v>7024</v>
      </c>
      <c r="K9516" t="s">
        <v>95</v>
      </c>
      <c r="L9516" t="s">
        <v>285</v>
      </c>
      <c r="M9516" t="str">
        <f t="shared" si="713"/>
        <v>04</v>
      </c>
      <c r="N9516" t="s">
        <v>12</v>
      </c>
    </row>
    <row r="9517" spans="1:14" x14ac:dyDescent="0.25">
      <c r="A9517">
        <v>20160415</v>
      </c>
      <c r="B9517" t="str">
        <f>"063073"</f>
        <v>063073</v>
      </c>
      <c r="C9517" t="str">
        <f>"29090"</f>
        <v>29090</v>
      </c>
      <c r="D9517" t="s">
        <v>7628</v>
      </c>
      <c r="E9517" s="3">
        <v>4725</v>
      </c>
      <c r="F9517">
        <v>20160412</v>
      </c>
      <c r="G9517" t="s">
        <v>7049</v>
      </c>
      <c r="H9517" t="s">
        <v>7629</v>
      </c>
      <c r="I9517">
        <v>0</v>
      </c>
      <c r="J9517" t="s">
        <v>7024</v>
      </c>
      <c r="K9517" t="s">
        <v>33</v>
      </c>
      <c r="L9517" t="s">
        <v>285</v>
      </c>
      <c r="M9517" t="str">
        <f t="shared" si="713"/>
        <v>04</v>
      </c>
      <c r="N9517" t="s">
        <v>12</v>
      </c>
    </row>
    <row r="9518" spans="1:14" x14ac:dyDescent="0.25">
      <c r="A9518">
        <v>20160415</v>
      </c>
      <c r="B9518" t="str">
        <f>"063080"</f>
        <v>063080</v>
      </c>
      <c r="C9518" t="str">
        <f>"31345"</f>
        <v>31345</v>
      </c>
      <c r="D9518" t="s">
        <v>426</v>
      </c>
      <c r="E9518" s="3">
        <v>240</v>
      </c>
      <c r="F9518">
        <v>20160412</v>
      </c>
      <c r="G9518" t="s">
        <v>7364</v>
      </c>
      <c r="H9518" t="s">
        <v>7630</v>
      </c>
      <c r="I9518">
        <v>0</v>
      </c>
      <c r="J9518" t="s">
        <v>7024</v>
      </c>
      <c r="K9518" t="s">
        <v>290</v>
      </c>
      <c r="L9518" t="s">
        <v>285</v>
      </c>
      <c r="M9518" t="str">
        <f t="shared" si="713"/>
        <v>04</v>
      </c>
      <c r="N9518" t="s">
        <v>12</v>
      </c>
    </row>
    <row r="9519" spans="1:14" x14ac:dyDescent="0.25">
      <c r="A9519">
        <v>20160415</v>
      </c>
      <c r="B9519" t="str">
        <f>"063080"</f>
        <v>063080</v>
      </c>
      <c r="C9519" t="str">
        <f>"31345"</f>
        <v>31345</v>
      </c>
      <c r="D9519" t="s">
        <v>426</v>
      </c>
      <c r="E9519" s="3">
        <v>666</v>
      </c>
      <c r="F9519">
        <v>20160412</v>
      </c>
      <c r="G9519" t="s">
        <v>7364</v>
      </c>
      <c r="H9519" t="s">
        <v>7630</v>
      </c>
      <c r="I9519">
        <v>0</v>
      </c>
      <c r="J9519" t="s">
        <v>7024</v>
      </c>
      <c r="K9519" t="s">
        <v>290</v>
      </c>
      <c r="L9519" t="s">
        <v>285</v>
      </c>
      <c r="M9519" t="str">
        <f t="shared" si="713"/>
        <v>04</v>
      </c>
      <c r="N9519" t="s">
        <v>12</v>
      </c>
    </row>
    <row r="9520" spans="1:14" x14ac:dyDescent="0.25">
      <c r="A9520">
        <v>20160415</v>
      </c>
      <c r="B9520" t="str">
        <f t="shared" ref="B9520:B9525" si="714">"063094"</f>
        <v>063094</v>
      </c>
      <c r="C9520" t="str">
        <f t="shared" ref="C9520:C9525" si="715">"37500"</f>
        <v>37500</v>
      </c>
      <c r="D9520" t="s">
        <v>1652</v>
      </c>
      <c r="E9520" s="3">
        <v>236.22</v>
      </c>
      <c r="F9520">
        <v>20160412</v>
      </c>
      <c r="G9520" t="s">
        <v>7126</v>
      </c>
      <c r="H9520" t="s">
        <v>4050</v>
      </c>
      <c r="I9520">
        <v>0</v>
      </c>
      <c r="J9520" t="s">
        <v>7024</v>
      </c>
      <c r="K9520" t="s">
        <v>290</v>
      </c>
      <c r="L9520" t="s">
        <v>285</v>
      </c>
      <c r="M9520" t="str">
        <f t="shared" si="713"/>
        <v>04</v>
      </c>
      <c r="N9520" t="s">
        <v>12</v>
      </c>
    </row>
    <row r="9521" spans="1:14" x14ac:dyDescent="0.25">
      <c r="A9521">
        <v>20160415</v>
      </c>
      <c r="B9521" t="str">
        <f t="shared" si="714"/>
        <v>063094</v>
      </c>
      <c r="C9521" t="str">
        <f t="shared" si="715"/>
        <v>37500</v>
      </c>
      <c r="D9521" t="s">
        <v>1652</v>
      </c>
      <c r="E9521" s="3">
        <v>81.319999999999993</v>
      </c>
      <c r="F9521">
        <v>20160412</v>
      </c>
      <c r="G9521" t="s">
        <v>7126</v>
      </c>
      <c r="H9521" t="s">
        <v>4050</v>
      </c>
      <c r="I9521">
        <v>0</v>
      </c>
      <c r="J9521" t="s">
        <v>7024</v>
      </c>
      <c r="K9521" t="s">
        <v>290</v>
      </c>
      <c r="L9521" t="s">
        <v>285</v>
      </c>
      <c r="M9521" t="str">
        <f t="shared" si="713"/>
        <v>04</v>
      </c>
      <c r="N9521" t="s">
        <v>12</v>
      </c>
    </row>
    <row r="9522" spans="1:14" x14ac:dyDescent="0.25">
      <c r="A9522">
        <v>20160415</v>
      </c>
      <c r="B9522" t="str">
        <f t="shared" si="714"/>
        <v>063094</v>
      </c>
      <c r="C9522" t="str">
        <f t="shared" si="715"/>
        <v>37500</v>
      </c>
      <c r="D9522" t="s">
        <v>1652</v>
      </c>
      <c r="E9522" s="3">
        <v>195.25</v>
      </c>
      <c r="F9522">
        <v>20160412</v>
      </c>
      <c r="G9522" t="s">
        <v>7143</v>
      </c>
      <c r="H9522" t="s">
        <v>5408</v>
      </c>
      <c r="I9522">
        <v>0</v>
      </c>
      <c r="J9522" t="s">
        <v>7024</v>
      </c>
      <c r="K9522" t="s">
        <v>290</v>
      </c>
      <c r="L9522" t="s">
        <v>285</v>
      </c>
      <c r="M9522" t="str">
        <f t="shared" ref="M9522:M9553" si="716">"04"</f>
        <v>04</v>
      </c>
      <c r="N9522" t="s">
        <v>12</v>
      </c>
    </row>
    <row r="9523" spans="1:14" x14ac:dyDescent="0.25">
      <c r="A9523">
        <v>20160415</v>
      </c>
      <c r="B9523" t="str">
        <f t="shared" si="714"/>
        <v>063094</v>
      </c>
      <c r="C9523" t="str">
        <f t="shared" si="715"/>
        <v>37500</v>
      </c>
      <c r="D9523" t="s">
        <v>1652</v>
      </c>
      <c r="E9523" s="3">
        <v>12.97</v>
      </c>
      <c r="F9523">
        <v>20160412</v>
      </c>
      <c r="G9523" t="s">
        <v>7179</v>
      </c>
      <c r="H9523" t="s">
        <v>7631</v>
      </c>
      <c r="I9523">
        <v>0</v>
      </c>
      <c r="J9523" t="s">
        <v>7024</v>
      </c>
      <c r="K9523" t="s">
        <v>95</v>
      </c>
      <c r="L9523" t="s">
        <v>285</v>
      </c>
      <c r="M9523" t="str">
        <f t="shared" si="716"/>
        <v>04</v>
      </c>
      <c r="N9523" t="s">
        <v>12</v>
      </c>
    </row>
    <row r="9524" spans="1:14" x14ac:dyDescent="0.25">
      <c r="A9524">
        <v>20160415</v>
      </c>
      <c r="B9524" t="str">
        <f t="shared" si="714"/>
        <v>063094</v>
      </c>
      <c r="C9524" t="str">
        <f t="shared" si="715"/>
        <v>37500</v>
      </c>
      <c r="D9524" t="s">
        <v>1652</v>
      </c>
      <c r="E9524" s="3">
        <v>22.86</v>
      </c>
      <c r="F9524">
        <v>20160412</v>
      </c>
      <c r="G9524" t="s">
        <v>7179</v>
      </c>
      <c r="H9524" t="s">
        <v>7632</v>
      </c>
      <c r="I9524">
        <v>0</v>
      </c>
      <c r="J9524" t="s">
        <v>7024</v>
      </c>
      <c r="K9524" t="s">
        <v>95</v>
      </c>
      <c r="L9524" t="s">
        <v>285</v>
      </c>
      <c r="M9524" t="str">
        <f t="shared" si="716"/>
        <v>04</v>
      </c>
      <c r="N9524" t="s">
        <v>12</v>
      </c>
    </row>
    <row r="9525" spans="1:14" x14ac:dyDescent="0.25">
      <c r="A9525">
        <v>20160415</v>
      </c>
      <c r="B9525" t="str">
        <f t="shared" si="714"/>
        <v>063094</v>
      </c>
      <c r="C9525" t="str">
        <f t="shared" si="715"/>
        <v>37500</v>
      </c>
      <c r="D9525" t="s">
        <v>1652</v>
      </c>
      <c r="E9525" s="3">
        <v>45.23</v>
      </c>
      <c r="F9525">
        <v>20160412</v>
      </c>
      <c r="G9525" t="s">
        <v>7049</v>
      </c>
      <c r="H9525" t="s">
        <v>7633</v>
      </c>
      <c r="I9525">
        <v>0</v>
      </c>
      <c r="J9525" t="s">
        <v>7024</v>
      </c>
      <c r="K9525" t="s">
        <v>33</v>
      </c>
      <c r="L9525" t="s">
        <v>285</v>
      </c>
      <c r="M9525" t="str">
        <f t="shared" si="716"/>
        <v>04</v>
      </c>
      <c r="N9525" t="s">
        <v>12</v>
      </c>
    </row>
    <row r="9526" spans="1:14" x14ac:dyDescent="0.25">
      <c r="A9526">
        <v>20160415</v>
      </c>
      <c r="B9526" t="str">
        <f>"063097"</f>
        <v>063097</v>
      </c>
      <c r="C9526" t="str">
        <f>"41230"</f>
        <v>41230</v>
      </c>
      <c r="D9526" t="s">
        <v>604</v>
      </c>
      <c r="E9526" s="3">
        <v>61.39</v>
      </c>
      <c r="F9526">
        <v>20160412</v>
      </c>
      <c r="G9526" t="s">
        <v>7582</v>
      </c>
      <c r="H9526" t="s">
        <v>7634</v>
      </c>
      <c r="I9526">
        <v>0</v>
      </c>
      <c r="J9526" t="s">
        <v>7024</v>
      </c>
      <c r="K9526" t="s">
        <v>290</v>
      </c>
      <c r="L9526" t="s">
        <v>285</v>
      </c>
      <c r="M9526" t="str">
        <f t="shared" si="716"/>
        <v>04</v>
      </c>
      <c r="N9526" t="s">
        <v>12</v>
      </c>
    </row>
    <row r="9527" spans="1:14" x14ac:dyDescent="0.25">
      <c r="A9527">
        <v>20160415</v>
      </c>
      <c r="B9527" t="str">
        <f>"063104"</f>
        <v>063104</v>
      </c>
      <c r="C9527" t="str">
        <f>"40781"</f>
        <v>40781</v>
      </c>
      <c r="D9527" t="s">
        <v>3946</v>
      </c>
      <c r="E9527" s="3">
        <v>49.63</v>
      </c>
      <c r="F9527">
        <v>20160413</v>
      </c>
      <c r="G9527" t="s">
        <v>7049</v>
      </c>
      <c r="H9527" t="s">
        <v>7635</v>
      </c>
      <c r="I9527">
        <v>0</v>
      </c>
      <c r="J9527" t="s">
        <v>7024</v>
      </c>
      <c r="K9527" t="s">
        <v>33</v>
      </c>
      <c r="L9527" t="s">
        <v>285</v>
      </c>
      <c r="M9527" t="str">
        <f t="shared" si="716"/>
        <v>04</v>
      </c>
      <c r="N9527" t="s">
        <v>12</v>
      </c>
    </row>
    <row r="9528" spans="1:14" x14ac:dyDescent="0.25">
      <c r="A9528">
        <v>20160415</v>
      </c>
      <c r="B9528" t="str">
        <f>"063109"</f>
        <v>063109</v>
      </c>
      <c r="C9528" t="str">
        <f>"49748"</f>
        <v>49748</v>
      </c>
      <c r="D9528" t="s">
        <v>1885</v>
      </c>
      <c r="E9528" s="3">
        <v>89.99</v>
      </c>
      <c r="F9528">
        <v>20160413</v>
      </c>
      <c r="G9528" t="s">
        <v>7143</v>
      </c>
      <c r="H9528" t="s">
        <v>7621</v>
      </c>
      <c r="I9528">
        <v>0</v>
      </c>
      <c r="J9528" t="s">
        <v>7024</v>
      </c>
      <c r="K9528" t="s">
        <v>290</v>
      </c>
      <c r="L9528" t="s">
        <v>285</v>
      </c>
      <c r="M9528" t="str">
        <f t="shared" si="716"/>
        <v>04</v>
      </c>
      <c r="N9528" t="s">
        <v>12</v>
      </c>
    </row>
    <row r="9529" spans="1:14" x14ac:dyDescent="0.25">
      <c r="A9529">
        <v>20160415</v>
      </c>
      <c r="B9529" t="str">
        <f>"063114"</f>
        <v>063114</v>
      </c>
      <c r="C9529" t="str">
        <f>"52217"</f>
        <v>52217</v>
      </c>
      <c r="D9529" t="s">
        <v>577</v>
      </c>
      <c r="E9529" s="3">
        <v>633.72</v>
      </c>
      <c r="F9529">
        <v>20160413</v>
      </c>
      <c r="G9529" t="s">
        <v>7260</v>
      </c>
      <c r="H9529" t="s">
        <v>7636</v>
      </c>
      <c r="I9529">
        <v>0</v>
      </c>
      <c r="J9529" t="s">
        <v>7024</v>
      </c>
      <c r="K9529" t="s">
        <v>290</v>
      </c>
      <c r="L9529" t="s">
        <v>285</v>
      </c>
      <c r="M9529" t="str">
        <f t="shared" si="716"/>
        <v>04</v>
      </c>
      <c r="N9529" t="s">
        <v>12</v>
      </c>
    </row>
    <row r="9530" spans="1:14" x14ac:dyDescent="0.25">
      <c r="A9530">
        <v>20160415</v>
      </c>
      <c r="B9530" t="str">
        <f>"063114"</f>
        <v>063114</v>
      </c>
      <c r="C9530" t="str">
        <f>"52217"</f>
        <v>52217</v>
      </c>
      <c r="D9530" t="s">
        <v>577</v>
      </c>
      <c r="E9530" s="3">
        <v>197</v>
      </c>
      <c r="F9530">
        <v>20160413</v>
      </c>
      <c r="G9530" t="s">
        <v>7517</v>
      </c>
      <c r="H9530" t="s">
        <v>7637</v>
      </c>
      <c r="I9530">
        <v>0</v>
      </c>
      <c r="J9530" t="s">
        <v>7024</v>
      </c>
      <c r="K9530" t="s">
        <v>33</v>
      </c>
      <c r="L9530" t="s">
        <v>285</v>
      </c>
      <c r="M9530" t="str">
        <f t="shared" si="716"/>
        <v>04</v>
      </c>
      <c r="N9530" t="s">
        <v>12</v>
      </c>
    </row>
    <row r="9531" spans="1:14" x14ac:dyDescent="0.25">
      <c r="A9531">
        <v>20160415</v>
      </c>
      <c r="B9531" t="str">
        <f>"063115"</f>
        <v>063115</v>
      </c>
      <c r="C9531" t="str">
        <f>"26870"</f>
        <v>26870</v>
      </c>
      <c r="D9531" t="s">
        <v>4403</v>
      </c>
      <c r="E9531" s="3">
        <v>560</v>
      </c>
      <c r="F9531">
        <v>20160413</v>
      </c>
      <c r="G9531" t="s">
        <v>7638</v>
      </c>
      <c r="H9531" t="s">
        <v>7639</v>
      </c>
      <c r="I9531">
        <v>0</v>
      </c>
      <c r="J9531" t="s">
        <v>7024</v>
      </c>
      <c r="K9531" t="s">
        <v>2724</v>
      </c>
      <c r="L9531" t="s">
        <v>285</v>
      </c>
      <c r="M9531" t="str">
        <f t="shared" si="716"/>
        <v>04</v>
      </c>
      <c r="N9531" t="s">
        <v>12</v>
      </c>
    </row>
    <row r="9532" spans="1:14" x14ac:dyDescent="0.25">
      <c r="A9532">
        <v>20160415</v>
      </c>
      <c r="B9532" t="str">
        <f>"063118"</f>
        <v>063118</v>
      </c>
      <c r="C9532" t="str">
        <f>"55565"</f>
        <v>55565</v>
      </c>
      <c r="D9532" t="s">
        <v>1297</v>
      </c>
      <c r="E9532" s="3">
        <v>1800</v>
      </c>
      <c r="F9532">
        <v>20160413</v>
      </c>
      <c r="G9532" t="s">
        <v>7582</v>
      </c>
      <c r="H9532" t="s">
        <v>7586</v>
      </c>
      <c r="I9532">
        <v>0</v>
      </c>
      <c r="J9532" t="s">
        <v>7024</v>
      </c>
      <c r="K9532" t="s">
        <v>290</v>
      </c>
      <c r="L9532" t="s">
        <v>285</v>
      </c>
      <c r="M9532" t="str">
        <f t="shared" si="716"/>
        <v>04</v>
      </c>
      <c r="N9532" t="s">
        <v>12</v>
      </c>
    </row>
    <row r="9533" spans="1:14" x14ac:dyDescent="0.25">
      <c r="A9533">
        <v>20160415</v>
      </c>
      <c r="B9533" t="str">
        <f>"063125"</f>
        <v>063125</v>
      </c>
      <c r="C9533" t="str">
        <f>"56564"</f>
        <v>56564</v>
      </c>
      <c r="D9533" t="s">
        <v>1578</v>
      </c>
      <c r="E9533" s="3">
        <v>323.64999999999998</v>
      </c>
      <c r="F9533">
        <v>20160413</v>
      </c>
      <c r="G9533" t="s">
        <v>7026</v>
      </c>
      <c r="H9533" t="s">
        <v>5398</v>
      </c>
      <c r="I9533">
        <v>0</v>
      </c>
      <c r="J9533" t="s">
        <v>7024</v>
      </c>
      <c r="K9533" t="s">
        <v>1643</v>
      </c>
      <c r="L9533" t="s">
        <v>285</v>
      </c>
      <c r="M9533" t="str">
        <f t="shared" si="716"/>
        <v>04</v>
      </c>
      <c r="N9533" t="s">
        <v>12</v>
      </c>
    </row>
    <row r="9534" spans="1:14" x14ac:dyDescent="0.25">
      <c r="A9534">
        <v>20160415</v>
      </c>
      <c r="B9534" t="str">
        <f>"063125"</f>
        <v>063125</v>
      </c>
      <c r="C9534" t="str">
        <f>"56564"</f>
        <v>56564</v>
      </c>
      <c r="D9534" t="s">
        <v>1578</v>
      </c>
      <c r="E9534" s="3">
        <v>435.08</v>
      </c>
      <c r="F9534">
        <v>20160413</v>
      </c>
      <c r="G9534" t="s">
        <v>7026</v>
      </c>
      <c r="H9534" t="s">
        <v>5398</v>
      </c>
      <c r="I9534">
        <v>0</v>
      </c>
      <c r="J9534" t="s">
        <v>7024</v>
      </c>
      <c r="K9534" t="s">
        <v>1643</v>
      </c>
      <c r="L9534" t="s">
        <v>285</v>
      </c>
      <c r="M9534" t="str">
        <f t="shared" si="716"/>
        <v>04</v>
      </c>
      <c r="N9534" t="s">
        <v>12</v>
      </c>
    </row>
    <row r="9535" spans="1:14" x14ac:dyDescent="0.25">
      <c r="A9535">
        <v>20160415</v>
      </c>
      <c r="B9535" t="str">
        <f>"063127"</f>
        <v>063127</v>
      </c>
      <c r="C9535" t="str">
        <f>"58204"</f>
        <v>58204</v>
      </c>
      <c r="D9535" t="s">
        <v>1816</v>
      </c>
      <c r="E9535" s="3">
        <v>54.9</v>
      </c>
      <c r="F9535">
        <v>20160413</v>
      </c>
      <c r="G9535" t="s">
        <v>7143</v>
      </c>
      <c r="H9535" t="s">
        <v>7640</v>
      </c>
      <c r="I9535">
        <v>0</v>
      </c>
      <c r="J9535" t="s">
        <v>7024</v>
      </c>
      <c r="K9535" t="s">
        <v>290</v>
      </c>
      <c r="L9535" t="s">
        <v>285</v>
      </c>
      <c r="M9535" t="str">
        <f t="shared" si="716"/>
        <v>04</v>
      </c>
      <c r="N9535" t="s">
        <v>12</v>
      </c>
    </row>
    <row r="9536" spans="1:14" x14ac:dyDescent="0.25">
      <c r="A9536">
        <v>20160415</v>
      </c>
      <c r="B9536" t="str">
        <f>"063129"</f>
        <v>063129</v>
      </c>
      <c r="C9536" t="str">
        <f>"58202"</f>
        <v>58202</v>
      </c>
      <c r="D9536" t="s">
        <v>2695</v>
      </c>
      <c r="E9536" s="3">
        <v>60</v>
      </c>
      <c r="F9536">
        <v>20160413</v>
      </c>
      <c r="G9536" t="s">
        <v>7082</v>
      </c>
      <c r="H9536" t="s">
        <v>7641</v>
      </c>
      <c r="I9536">
        <v>0</v>
      </c>
      <c r="J9536" t="s">
        <v>7024</v>
      </c>
      <c r="K9536" t="s">
        <v>95</v>
      </c>
      <c r="L9536" t="s">
        <v>285</v>
      </c>
      <c r="M9536" t="str">
        <f t="shared" si="716"/>
        <v>04</v>
      </c>
      <c r="N9536" t="s">
        <v>12</v>
      </c>
    </row>
    <row r="9537" spans="1:14" x14ac:dyDescent="0.25">
      <c r="A9537">
        <v>20160415</v>
      </c>
      <c r="B9537" t="str">
        <f>"063139"</f>
        <v>063139</v>
      </c>
      <c r="C9537" t="str">
        <f>"62683"</f>
        <v>62683</v>
      </c>
      <c r="D9537" t="s">
        <v>7099</v>
      </c>
      <c r="E9537" s="3">
        <v>4330</v>
      </c>
      <c r="F9537">
        <v>20160413</v>
      </c>
      <c r="G9537" t="s">
        <v>7100</v>
      </c>
      <c r="H9537" t="s">
        <v>7612</v>
      </c>
      <c r="I9537">
        <v>0</v>
      </c>
      <c r="J9537" t="s">
        <v>7024</v>
      </c>
      <c r="K9537" t="s">
        <v>290</v>
      </c>
      <c r="L9537" t="s">
        <v>285</v>
      </c>
      <c r="M9537" t="str">
        <f t="shared" si="716"/>
        <v>04</v>
      </c>
      <c r="N9537" t="s">
        <v>12</v>
      </c>
    </row>
    <row r="9538" spans="1:14" x14ac:dyDescent="0.25">
      <c r="A9538">
        <v>20160415</v>
      </c>
      <c r="B9538" t="str">
        <f>"063148"</f>
        <v>063148</v>
      </c>
      <c r="C9538" t="str">
        <f>"64823"</f>
        <v>64823</v>
      </c>
      <c r="D9538" t="s">
        <v>4838</v>
      </c>
      <c r="E9538" s="3">
        <v>1900</v>
      </c>
      <c r="F9538">
        <v>20160413</v>
      </c>
      <c r="G9538" t="s">
        <v>7346</v>
      </c>
      <c r="H9538" t="s">
        <v>4840</v>
      </c>
      <c r="I9538">
        <v>0</v>
      </c>
      <c r="J9538" t="s">
        <v>7024</v>
      </c>
      <c r="K9538" t="s">
        <v>290</v>
      </c>
      <c r="L9538" t="s">
        <v>285</v>
      </c>
      <c r="M9538" t="str">
        <f t="shared" si="716"/>
        <v>04</v>
      </c>
      <c r="N9538" t="s">
        <v>12</v>
      </c>
    </row>
    <row r="9539" spans="1:14" x14ac:dyDescent="0.25">
      <c r="A9539">
        <v>20160415</v>
      </c>
      <c r="B9539" t="str">
        <f>"063168"</f>
        <v>063168</v>
      </c>
      <c r="C9539" t="str">
        <f>"81707"</f>
        <v>81707</v>
      </c>
      <c r="D9539" t="s">
        <v>5232</v>
      </c>
      <c r="E9539" s="3">
        <v>420</v>
      </c>
      <c r="F9539">
        <v>20160413</v>
      </c>
      <c r="G9539" t="s">
        <v>7642</v>
      </c>
      <c r="H9539" t="s">
        <v>7643</v>
      </c>
      <c r="I9539">
        <v>0</v>
      </c>
      <c r="J9539" t="s">
        <v>7024</v>
      </c>
      <c r="K9539" t="s">
        <v>1519</v>
      </c>
      <c r="L9539" t="s">
        <v>285</v>
      </c>
      <c r="M9539" t="str">
        <f t="shared" si="716"/>
        <v>04</v>
      </c>
      <c r="N9539" t="s">
        <v>12</v>
      </c>
    </row>
    <row r="9540" spans="1:14" x14ac:dyDescent="0.25">
      <c r="A9540">
        <v>20160415</v>
      </c>
      <c r="B9540" t="str">
        <f>"063169"</f>
        <v>063169</v>
      </c>
      <c r="C9540" t="str">
        <f>"82176"</f>
        <v>82176</v>
      </c>
      <c r="D9540" t="s">
        <v>1166</v>
      </c>
      <c r="E9540" s="3">
        <v>300</v>
      </c>
      <c r="F9540">
        <v>20160413</v>
      </c>
      <c r="G9540" t="s">
        <v>7143</v>
      </c>
      <c r="H9540" t="s">
        <v>7644</v>
      </c>
      <c r="I9540">
        <v>0</v>
      </c>
      <c r="J9540" t="s">
        <v>7024</v>
      </c>
      <c r="K9540" t="s">
        <v>290</v>
      </c>
      <c r="L9540" t="s">
        <v>285</v>
      </c>
      <c r="M9540" t="str">
        <f t="shared" si="716"/>
        <v>04</v>
      </c>
      <c r="N9540" t="s">
        <v>12</v>
      </c>
    </row>
    <row r="9541" spans="1:14" x14ac:dyDescent="0.25">
      <c r="A9541">
        <v>20160415</v>
      </c>
      <c r="B9541" t="str">
        <f>"063171"</f>
        <v>063171</v>
      </c>
      <c r="C9541" t="str">
        <f>"82171"</f>
        <v>82171</v>
      </c>
      <c r="D9541" t="s">
        <v>1166</v>
      </c>
      <c r="E9541" s="3">
        <v>300</v>
      </c>
      <c r="F9541">
        <v>20160413</v>
      </c>
      <c r="G9541" t="s">
        <v>7645</v>
      </c>
      <c r="H9541" t="s">
        <v>7646</v>
      </c>
      <c r="I9541">
        <v>0</v>
      </c>
      <c r="J9541" t="s">
        <v>7024</v>
      </c>
      <c r="K9541" t="s">
        <v>290</v>
      </c>
      <c r="L9541" t="s">
        <v>285</v>
      </c>
      <c r="M9541" t="str">
        <f t="shared" si="716"/>
        <v>04</v>
      </c>
      <c r="N9541" t="s">
        <v>12</v>
      </c>
    </row>
    <row r="9542" spans="1:14" x14ac:dyDescent="0.25">
      <c r="A9542">
        <v>20160420</v>
      </c>
      <c r="B9542" t="str">
        <f>"063182"</f>
        <v>063182</v>
      </c>
      <c r="C9542" t="str">
        <f>"06509"</f>
        <v>06509</v>
      </c>
      <c r="D9542" t="s">
        <v>1555</v>
      </c>
      <c r="E9542" s="3">
        <v>87.5</v>
      </c>
      <c r="F9542">
        <v>20160419</v>
      </c>
      <c r="G9542" t="s">
        <v>7026</v>
      </c>
      <c r="H9542" t="s">
        <v>7647</v>
      </c>
      <c r="I9542">
        <v>0</v>
      </c>
      <c r="J9542" t="s">
        <v>7024</v>
      </c>
      <c r="K9542" t="s">
        <v>1643</v>
      </c>
      <c r="L9542" t="s">
        <v>285</v>
      </c>
      <c r="M9542" t="str">
        <f t="shared" si="716"/>
        <v>04</v>
      </c>
      <c r="N9542" t="s">
        <v>12</v>
      </c>
    </row>
    <row r="9543" spans="1:14" x14ac:dyDescent="0.25">
      <c r="A9543">
        <v>20160420</v>
      </c>
      <c r="B9543" t="str">
        <f>"063184"</f>
        <v>063184</v>
      </c>
      <c r="C9543" t="str">
        <f>"10020"</f>
        <v>10020</v>
      </c>
      <c r="D9543" t="s">
        <v>1018</v>
      </c>
      <c r="E9543" s="3">
        <v>839.59</v>
      </c>
      <c r="F9543">
        <v>20160419</v>
      </c>
      <c r="G9543" t="s">
        <v>7074</v>
      </c>
      <c r="H9543" t="s">
        <v>7648</v>
      </c>
      <c r="I9543">
        <v>0</v>
      </c>
      <c r="J9543" t="s">
        <v>7024</v>
      </c>
      <c r="K9543" t="s">
        <v>290</v>
      </c>
      <c r="L9543" t="s">
        <v>285</v>
      </c>
      <c r="M9543" t="str">
        <f t="shared" si="716"/>
        <v>04</v>
      </c>
      <c r="N9543" t="s">
        <v>12</v>
      </c>
    </row>
    <row r="9544" spans="1:14" x14ac:dyDescent="0.25">
      <c r="A9544">
        <v>20160420</v>
      </c>
      <c r="B9544" t="str">
        <f>"063187"</f>
        <v>063187</v>
      </c>
      <c r="C9544" t="str">
        <f>"11219"</f>
        <v>11219</v>
      </c>
      <c r="D9544" t="s">
        <v>7043</v>
      </c>
      <c r="E9544" s="3">
        <v>200</v>
      </c>
      <c r="F9544">
        <v>20160419</v>
      </c>
      <c r="G9544" t="s">
        <v>7110</v>
      </c>
      <c r="H9544" t="s">
        <v>7045</v>
      </c>
      <c r="I9544">
        <v>0</v>
      </c>
      <c r="J9544" t="s">
        <v>7024</v>
      </c>
      <c r="K9544" t="s">
        <v>290</v>
      </c>
      <c r="L9544" t="s">
        <v>285</v>
      </c>
      <c r="M9544" t="str">
        <f t="shared" si="716"/>
        <v>04</v>
      </c>
      <c r="N9544" t="s">
        <v>12</v>
      </c>
    </row>
    <row r="9545" spans="1:14" x14ac:dyDescent="0.25">
      <c r="A9545">
        <v>20160420</v>
      </c>
      <c r="B9545" t="str">
        <f>"063192"</f>
        <v>063192</v>
      </c>
      <c r="C9545" t="str">
        <f>"19291"</f>
        <v>19291</v>
      </c>
      <c r="D9545" t="s">
        <v>598</v>
      </c>
      <c r="E9545" s="3">
        <v>87.73</v>
      </c>
      <c r="F9545">
        <v>20160419</v>
      </c>
      <c r="G9545" t="s">
        <v>7372</v>
      </c>
      <c r="H9545" t="s">
        <v>1167</v>
      </c>
      <c r="I9545">
        <v>0</v>
      </c>
      <c r="J9545" t="s">
        <v>7024</v>
      </c>
      <c r="K9545" t="s">
        <v>290</v>
      </c>
      <c r="L9545" t="s">
        <v>285</v>
      </c>
      <c r="M9545" t="str">
        <f t="shared" si="716"/>
        <v>04</v>
      </c>
      <c r="N9545" t="s">
        <v>12</v>
      </c>
    </row>
    <row r="9546" spans="1:14" x14ac:dyDescent="0.25">
      <c r="A9546">
        <v>20160420</v>
      </c>
      <c r="B9546" t="str">
        <f>"063195"</f>
        <v>063195</v>
      </c>
      <c r="C9546" t="str">
        <f>"51345"</f>
        <v>51345</v>
      </c>
      <c r="D9546" t="s">
        <v>419</v>
      </c>
      <c r="E9546" s="3">
        <v>357.5</v>
      </c>
      <c r="F9546">
        <v>20160419</v>
      </c>
      <c r="G9546" t="s">
        <v>7147</v>
      </c>
      <c r="H9546" t="s">
        <v>7649</v>
      </c>
      <c r="I9546">
        <v>0</v>
      </c>
      <c r="J9546" t="s">
        <v>7024</v>
      </c>
      <c r="K9546" t="s">
        <v>290</v>
      </c>
      <c r="L9546" t="s">
        <v>285</v>
      </c>
      <c r="M9546" t="str">
        <f t="shared" si="716"/>
        <v>04</v>
      </c>
      <c r="N9546" t="s">
        <v>12</v>
      </c>
    </row>
    <row r="9547" spans="1:14" x14ac:dyDescent="0.25">
      <c r="A9547">
        <v>20160420</v>
      </c>
      <c r="B9547" t="str">
        <f>"063198"</f>
        <v>063198</v>
      </c>
      <c r="C9547" t="str">
        <f>"20912"</f>
        <v>20912</v>
      </c>
      <c r="D9547" t="s">
        <v>1317</v>
      </c>
      <c r="E9547" s="3">
        <v>63.41</v>
      </c>
      <c r="F9547">
        <v>20160420</v>
      </c>
      <c r="G9547" t="s">
        <v>7147</v>
      </c>
      <c r="H9547" t="s">
        <v>1318</v>
      </c>
      <c r="I9547">
        <v>0</v>
      </c>
      <c r="J9547" t="s">
        <v>7024</v>
      </c>
      <c r="K9547" t="s">
        <v>290</v>
      </c>
      <c r="L9547" t="s">
        <v>285</v>
      </c>
      <c r="M9547" t="str">
        <f t="shared" si="716"/>
        <v>04</v>
      </c>
      <c r="N9547" t="s">
        <v>12</v>
      </c>
    </row>
    <row r="9548" spans="1:14" x14ac:dyDescent="0.25">
      <c r="A9548">
        <v>20160420</v>
      </c>
      <c r="B9548" t="str">
        <f>"063199"</f>
        <v>063199</v>
      </c>
      <c r="C9548" t="str">
        <f>"21098"</f>
        <v>21098</v>
      </c>
      <c r="D9548" t="s">
        <v>2261</v>
      </c>
      <c r="E9548" s="3">
        <v>62.54</v>
      </c>
      <c r="F9548">
        <v>20160419</v>
      </c>
      <c r="G9548" t="s">
        <v>7026</v>
      </c>
      <c r="H9548" t="s">
        <v>595</v>
      </c>
      <c r="I9548">
        <v>0</v>
      </c>
      <c r="J9548" t="s">
        <v>7024</v>
      </c>
      <c r="K9548" t="s">
        <v>1643</v>
      </c>
      <c r="L9548" t="s">
        <v>285</v>
      </c>
      <c r="M9548" t="str">
        <f t="shared" si="716"/>
        <v>04</v>
      </c>
      <c r="N9548" t="s">
        <v>12</v>
      </c>
    </row>
    <row r="9549" spans="1:14" x14ac:dyDescent="0.25">
      <c r="A9549">
        <v>20160420</v>
      </c>
      <c r="B9549" t="str">
        <f>"063212"</f>
        <v>063212</v>
      </c>
      <c r="C9549" t="str">
        <f>"29680"</f>
        <v>29680</v>
      </c>
      <c r="D9549" t="s">
        <v>653</v>
      </c>
      <c r="E9549" s="3">
        <v>125.83</v>
      </c>
      <c r="F9549">
        <v>20160420</v>
      </c>
      <c r="G9549" t="s">
        <v>7143</v>
      </c>
      <c r="H9549" t="s">
        <v>7621</v>
      </c>
      <c r="I9549">
        <v>0</v>
      </c>
      <c r="J9549" t="s">
        <v>7024</v>
      </c>
      <c r="K9549" t="s">
        <v>290</v>
      </c>
      <c r="L9549" t="s">
        <v>285</v>
      </c>
      <c r="M9549" t="str">
        <f t="shared" si="716"/>
        <v>04</v>
      </c>
      <c r="N9549" t="s">
        <v>12</v>
      </c>
    </row>
    <row r="9550" spans="1:14" x14ac:dyDescent="0.25">
      <c r="A9550">
        <v>20160420</v>
      </c>
      <c r="B9550" t="str">
        <f>"063212"</f>
        <v>063212</v>
      </c>
      <c r="C9550" t="str">
        <f>"29680"</f>
        <v>29680</v>
      </c>
      <c r="D9550" t="s">
        <v>653</v>
      </c>
      <c r="E9550" s="3">
        <v>54.52</v>
      </c>
      <c r="F9550">
        <v>20160420</v>
      </c>
      <c r="G9550" t="s">
        <v>7143</v>
      </c>
      <c r="H9550" t="s">
        <v>7621</v>
      </c>
      <c r="I9550">
        <v>0</v>
      </c>
      <c r="J9550" t="s">
        <v>7024</v>
      </c>
      <c r="K9550" t="s">
        <v>290</v>
      </c>
      <c r="L9550" t="s">
        <v>285</v>
      </c>
      <c r="M9550" t="str">
        <f t="shared" si="716"/>
        <v>04</v>
      </c>
      <c r="N9550" t="s">
        <v>12</v>
      </c>
    </row>
    <row r="9551" spans="1:14" x14ac:dyDescent="0.25">
      <c r="A9551">
        <v>20160420</v>
      </c>
      <c r="B9551" t="str">
        <f>"063212"</f>
        <v>063212</v>
      </c>
      <c r="C9551" t="str">
        <f>"29680"</f>
        <v>29680</v>
      </c>
      <c r="D9551" t="s">
        <v>653</v>
      </c>
      <c r="E9551" s="3">
        <v>122.46</v>
      </c>
      <c r="F9551">
        <v>20160420</v>
      </c>
      <c r="G9551" t="s">
        <v>7143</v>
      </c>
      <c r="H9551" t="s">
        <v>7621</v>
      </c>
      <c r="I9551">
        <v>0</v>
      </c>
      <c r="J9551" t="s">
        <v>7024</v>
      </c>
      <c r="K9551" t="s">
        <v>290</v>
      </c>
      <c r="L9551" t="s">
        <v>285</v>
      </c>
      <c r="M9551" t="str">
        <f t="shared" si="716"/>
        <v>04</v>
      </c>
      <c r="N9551" t="s">
        <v>12</v>
      </c>
    </row>
    <row r="9552" spans="1:14" x14ac:dyDescent="0.25">
      <c r="A9552">
        <v>20160420</v>
      </c>
      <c r="B9552" t="str">
        <f>"063220"</f>
        <v>063220</v>
      </c>
      <c r="C9552" t="str">
        <f>"34226"</f>
        <v>34226</v>
      </c>
      <c r="D9552" t="s">
        <v>1976</v>
      </c>
      <c r="E9552" s="3">
        <v>298</v>
      </c>
      <c r="F9552">
        <v>20160419</v>
      </c>
      <c r="G9552" t="s">
        <v>7143</v>
      </c>
      <c r="H9552" t="s">
        <v>7650</v>
      </c>
      <c r="I9552">
        <v>0</v>
      </c>
      <c r="J9552" t="s">
        <v>7024</v>
      </c>
      <c r="K9552" t="s">
        <v>290</v>
      </c>
      <c r="L9552" t="s">
        <v>285</v>
      </c>
      <c r="M9552" t="str">
        <f t="shared" si="716"/>
        <v>04</v>
      </c>
      <c r="N9552" t="s">
        <v>12</v>
      </c>
    </row>
    <row r="9553" spans="1:14" x14ac:dyDescent="0.25">
      <c r="A9553">
        <v>20160420</v>
      </c>
      <c r="B9553" t="str">
        <f>"063222"</f>
        <v>063222</v>
      </c>
      <c r="C9553" t="str">
        <f>"37771"</f>
        <v>37771</v>
      </c>
      <c r="D9553" t="s">
        <v>7135</v>
      </c>
      <c r="E9553" s="3">
        <v>258.8</v>
      </c>
      <c r="F9553">
        <v>20160419</v>
      </c>
      <c r="G9553" t="s">
        <v>7094</v>
      </c>
      <c r="H9553" t="s">
        <v>7651</v>
      </c>
      <c r="I9553">
        <v>0</v>
      </c>
      <c r="J9553" t="s">
        <v>7024</v>
      </c>
      <c r="K9553" t="s">
        <v>1643</v>
      </c>
      <c r="L9553" t="s">
        <v>285</v>
      </c>
      <c r="M9553" t="str">
        <f t="shared" si="716"/>
        <v>04</v>
      </c>
      <c r="N9553" t="s">
        <v>12</v>
      </c>
    </row>
    <row r="9554" spans="1:14" x14ac:dyDescent="0.25">
      <c r="A9554">
        <v>20160420</v>
      </c>
      <c r="B9554" t="str">
        <f>"063225"</f>
        <v>063225</v>
      </c>
      <c r="C9554" t="str">
        <f>"39422"</f>
        <v>39422</v>
      </c>
      <c r="D9554" t="s">
        <v>1141</v>
      </c>
      <c r="E9554" s="3">
        <v>90.43</v>
      </c>
      <c r="F9554">
        <v>20160419</v>
      </c>
      <c r="G9554" t="s">
        <v>7372</v>
      </c>
      <c r="H9554" t="s">
        <v>1167</v>
      </c>
      <c r="I9554">
        <v>0</v>
      </c>
      <c r="J9554" t="s">
        <v>7024</v>
      </c>
      <c r="K9554" t="s">
        <v>290</v>
      </c>
      <c r="L9554" t="s">
        <v>285</v>
      </c>
      <c r="M9554" t="str">
        <f t="shared" ref="M9554:M9585" si="717">"04"</f>
        <v>04</v>
      </c>
      <c r="N9554" t="s">
        <v>12</v>
      </c>
    </row>
    <row r="9555" spans="1:14" x14ac:dyDescent="0.25">
      <c r="A9555">
        <v>20160420</v>
      </c>
      <c r="B9555" t="str">
        <f>"063229"</f>
        <v>063229</v>
      </c>
      <c r="C9555" t="str">
        <f>"57791"</f>
        <v>57791</v>
      </c>
      <c r="D9555" t="s">
        <v>1878</v>
      </c>
      <c r="E9555" s="3">
        <v>263.49</v>
      </c>
      <c r="F9555">
        <v>20160419</v>
      </c>
      <c r="G9555" t="s">
        <v>7086</v>
      </c>
      <c r="H9555" t="s">
        <v>2125</v>
      </c>
      <c r="I9555">
        <v>0</v>
      </c>
      <c r="J9555" t="s">
        <v>7024</v>
      </c>
      <c r="K9555" t="s">
        <v>290</v>
      </c>
      <c r="L9555" t="s">
        <v>285</v>
      </c>
      <c r="M9555" t="str">
        <f t="shared" si="717"/>
        <v>04</v>
      </c>
      <c r="N9555" t="s">
        <v>12</v>
      </c>
    </row>
    <row r="9556" spans="1:14" x14ac:dyDescent="0.25">
      <c r="A9556">
        <v>20160420</v>
      </c>
      <c r="B9556" t="str">
        <f>"063229"</f>
        <v>063229</v>
      </c>
      <c r="C9556" t="str">
        <f>"57791"</f>
        <v>57791</v>
      </c>
      <c r="D9556" t="s">
        <v>1878</v>
      </c>
      <c r="E9556" s="3">
        <v>267.7</v>
      </c>
      <c r="F9556">
        <v>20160419</v>
      </c>
      <c r="G9556" t="s">
        <v>7086</v>
      </c>
      <c r="H9556" t="s">
        <v>2125</v>
      </c>
      <c r="I9556">
        <v>0</v>
      </c>
      <c r="J9556" t="s">
        <v>7024</v>
      </c>
      <c r="K9556" t="s">
        <v>290</v>
      </c>
      <c r="L9556" t="s">
        <v>285</v>
      </c>
      <c r="M9556" t="str">
        <f t="shared" si="717"/>
        <v>04</v>
      </c>
      <c r="N9556" t="s">
        <v>12</v>
      </c>
    </row>
    <row r="9557" spans="1:14" x14ac:dyDescent="0.25">
      <c r="A9557">
        <v>20160420</v>
      </c>
      <c r="B9557" t="str">
        <f>"063229"</f>
        <v>063229</v>
      </c>
      <c r="C9557" t="str">
        <f>"57791"</f>
        <v>57791</v>
      </c>
      <c r="D9557" t="s">
        <v>1878</v>
      </c>
      <c r="E9557" s="3">
        <v>4.5</v>
      </c>
      <c r="F9557">
        <v>20160419</v>
      </c>
      <c r="G9557" t="s">
        <v>7086</v>
      </c>
      <c r="H9557" t="s">
        <v>7652</v>
      </c>
      <c r="I9557">
        <v>0</v>
      </c>
      <c r="J9557" t="s">
        <v>7024</v>
      </c>
      <c r="K9557" t="s">
        <v>290</v>
      </c>
      <c r="L9557" t="s">
        <v>285</v>
      </c>
      <c r="M9557" t="str">
        <f t="shared" si="717"/>
        <v>04</v>
      </c>
      <c r="N9557" t="s">
        <v>12</v>
      </c>
    </row>
    <row r="9558" spans="1:14" x14ac:dyDescent="0.25">
      <c r="A9558">
        <v>20160420</v>
      </c>
      <c r="B9558" t="str">
        <f>"063229"</f>
        <v>063229</v>
      </c>
      <c r="C9558" t="str">
        <f>"57791"</f>
        <v>57791</v>
      </c>
      <c r="D9558" t="s">
        <v>1878</v>
      </c>
      <c r="E9558" s="3">
        <v>106.8</v>
      </c>
      <c r="F9558">
        <v>20160419</v>
      </c>
      <c r="G9558" t="s">
        <v>7086</v>
      </c>
      <c r="H9558" t="s">
        <v>2125</v>
      </c>
      <c r="I9558">
        <v>0</v>
      </c>
      <c r="J9558" t="s">
        <v>7024</v>
      </c>
      <c r="K9558" t="s">
        <v>290</v>
      </c>
      <c r="L9558" t="s">
        <v>285</v>
      </c>
      <c r="M9558" t="str">
        <f t="shared" si="717"/>
        <v>04</v>
      </c>
      <c r="N9558" t="s">
        <v>12</v>
      </c>
    </row>
    <row r="9559" spans="1:14" x14ac:dyDescent="0.25">
      <c r="A9559">
        <v>20160420</v>
      </c>
      <c r="B9559" t="str">
        <f>"063229"</f>
        <v>063229</v>
      </c>
      <c r="C9559" t="str">
        <f>"57791"</f>
        <v>57791</v>
      </c>
      <c r="D9559" t="s">
        <v>1878</v>
      </c>
      <c r="E9559" s="3">
        <v>11.25</v>
      </c>
      <c r="F9559">
        <v>20160419</v>
      </c>
      <c r="G9559" t="s">
        <v>7086</v>
      </c>
      <c r="H9559" t="s">
        <v>7653</v>
      </c>
      <c r="I9559">
        <v>0</v>
      </c>
      <c r="J9559" t="s">
        <v>7024</v>
      </c>
      <c r="K9559" t="s">
        <v>290</v>
      </c>
      <c r="L9559" t="s">
        <v>285</v>
      </c>
      <c r="M9559" t="str">
        <f t="shared" si="717"/>
        <v>04</v>
      </c>
      <c r="N9559" t="s">
        <v>12</v>
      </c>
    </row>
    <row r="9560" spans="1:14" x14ac:dyDescent="0.25">
      <c r="A9560">
        <v>20160420</v>
      </c>
      <c r="B9560" t="str">
        <f>"063235"</f>
        <v>063235</v>
      </c>
      <c r="C9560" t="str">
        <f>"47209"</f>
        <v>47209</v>
      </c>
      <c r="D9560" t="s">
        <v>7348</v>
      </c>
      <c r="E9560" s="3">
        <v>150</v>
      </c>
      <c r="F9560">
        <v>20160419</v>
      </c>
      <c r="G9560" t="s">
        <v>7320</v>
      </c>
      <c r="H9560" t="s">
        <v>4451</v>
      </c>
      <c r="I9560">
        <v>0</v>
      </c>
      <c r="J9560" t="s">
        <v>7024</v>
      </c>
      <c r="K9560" t="s">
        <v>290</v>
      </c>
      <c r="L9560" t="s">
        <v>285</v>
      </c>
      <c r="M9560" t="str">
        <f t="shared" si="717"/>
        <v>04</v>
      </c>
      <c r="N9560" t="s">
        <v>12</v>
      </c>
    </row>
    <row r="9561" spans="1:14" x14ac:dyDescent="0.25">
      <c r="A9561">
        <v>20160420</v>
      </c>
      <c r="B9561" t="str">
        <f>"063236"</f>
        <v>063236</v>
      </c>
      <c r="C9561" t="str">
        <f>"48965"</f>
        <v>48965</v>
      </c>
      <c r="D9561" t="s">
        <v>7654</v>
      </c>
      <c r="E9561" s="3">
        <v>3110.93</v>
      </c>
      <c r="F9561">
        <v>20160419</v>
      </c>
      <c r="G9561" t="s">
        <v>7026</v>
      </c>
      <c r="H9561" t="s">
        <v>7256</v>
      </c>
      <c r="I9561">
        <v>0</v>
      </c>
      <c r="J9561" t="s">
        <v>7024</v>
      </c>
      <c r="K9561" t="s">
        <v>1643</v>
      </c>
      <c r="L9561" t="s">
        <v>285</v>
      </c>
      <c r="M9561" t="str">
        <f t="shared" si="717"/>
        <v>04</v>
      </c>
      <c r="N9561" t="s">
        <v>12</v>
      </c>
    </row>
    <row r="9562" spans="1:14" x14ac:dyDescent="0.25">
      <c r="A9562">
        <v>20160420</v>
      </c>
      <c r="B9562" t="str">
        <f>"063246"</f>
        <v>063246</v>
      </c>
      <c r="C9562" t="str">
        <f>"58204"</f>
        <v>58204</v>
      </c>
      <c r="D9562" t="s">
        <v>1816</v>
      </c>
      <c r="E9562" s="3">
        <v>72.7</v>
      </c>
      <c r="F9562">
        <v>20160419</v>
      </c>
      <c r="G9562" t="s">
        <v>7143</v>
      </c>
      <c r="H9562" t="s">
        <v>7621</v>
      </c>
      <c r="I9562">
        <v>0</v>
      </c>
      <c r="J9562" t="s">
        <v>7024</v>
      </c>
      <c r="K9562" t="s">
        <v>290</v>
      </c>
      <c r="L9562" t="s">
        <v>285</v>
      </c>
      <c r="M9562" t="str">
        <f t="shared" si="717"/>
        <v>04</v>
      </c>
      <c r="N9562" t="s">
        <v>12</v>
      </c>
    </row>
    <row r="9563" spans="1:14" x14ac:dyDescent="0.25">
      <c r="A9563">
        <v>20160420</v>
      </c>
      <c r="B9563" t="str">
        <f>"063246"</f>
        <v>063246</v>
      </c>
      <c r="C9563" t="str">
        <f>"58204"</f>
        <v>58204</v>
      </c>
      <c r="D9563" t="s">
        <v>1816</v>
      </c>
      <c r="E9563" s="3">
        <v>25.06</v>
      </c>
      <c r="F9563">
        <v>20160419</v>
      </c>
      <c r="G9563" t="s">
        <v>7083</v>
      </c>
      <c r="H9563" t="s">
        <v>7655</v>
      </c>
      <c r="I9563">
        <v>0</v>
      </c>
      <c r="J9563" t="s">
        <v>7024</v>
      </c>
      <c r="K9563" t="s">
        <v>290</v>
      </c>
      <c r="L9563" t="s">
        <v>285</v>
      </c>
      <c r="M9563" t="str">
        <f t="shared" si="717"/>
        <v>04</v>
      </c>
      <c r="N9563" t="s">
        <v>12</v>
      </c>
    </row>
    <row r="9564" spans="1:14" x14ac:dyDescent="0.25">
      <c r="A9564">
        <v>20160420</v>
      </c>
      <c r="B9564" t="str">
        <f>"063247"</f>
        <v>063247</v>
      </c>
      <c r="C9564" t="str">
        <f>"57311"</f>
        <v>57311</v>
      </c>
      <c r="D9564" t="s">
        <v>2700</v>
      </c>
      <c r="E9564" s="3">
        <v>335.8</v>
      </c>
      <c r="F9564">
        <v>20160419</v>
      </c>
      <c r="G9564" t="s">
        <v>7083</v>
      </c>
      <c r="H9564" t="s">
        <v>7656</v>
      </c>
      <c r="I9564">
        <v>0</v>
      </c>
      <c r="J9564" t="s">
        <v>7024</v>
      </c>
      <c r="K9564" t="s">
        <v>290</v>
      </c>
      <c r="L9564" t="s">
        <v>285</v>
      </c>
      <c r="M9564" t="str">
        <f t="shared" si="717"/>
        <v>04</v>
      </c>
      <c r="N9564" t="s">
        <v>12</v>
      </c>
    </row>
    <row r="9565" spans="1:14" x14ac:dyDescent="0.25">
      <c r="A9565">
        <v>20160420</v>
      </c>
      <c r="B9565" t="str">
        <f>"063248"</f>
        <v>063248</v>
      </c>
      <c r="C9565" t="str">
        <f>"59096"</f>
        <v>59096</v>
      </c>
      <c r="D9565" t="s">
        <v>4286</v>
      </c>
      <c r="E9565" s="3">
        <v>249.95</v>
      </c>
      <c r="F9565">
        <v>20160419</v>
      </c>
      <c r="G9565" t="s">
        <v>7110</v>
      </c>
      <c r="H9565" t="s">
        <v>7657</v>
      </c>
      <c r="I9565">
        <v>0</v>
      </c>
      <c r="J9565" t="s">
        <v>7024</v>
      </c>
      <c r="K9565" t="s">
        <v>290</v>
      </c>
      <c r="L9565" t="s">
        <v>285</v>
      </c>
      <c r="M9565" t="str">
        <f t="shared" si="717"/>
        <v>04</v>
      </c>
      <c r="N9565" t="s">
        <v>12</v>
      </c>
    </row>
    <row r="9566" spans="1:14" x14ac:dyDescent="0.25">
      <c r="A9566">
        <v>20160420</v>
      </c>
      <c r="B9566" t="str">
        <f t="shared" ref="B9566:B9572" si="718">"063252"</f>
        <v>063252</v>
      </c>
      <c r="C9566" t="str">
        <f t="shared" ref="C9566:C9572" si="719">"65106"</f>
        <v>65106</v>
      </c>
      <c r="D9566" t="s">
        <v>1568</v>
      </c>
      <c r="E9566" s="3">
        <v>76.739999999999995</v>
      </c>
      <c r="F9566">
        <v>20160420</v>
      </c>
      <c r="G9566" t="s">
        <v>7658</v>
      </c>
      <c r="H9566" t="s">
        <v>5398</v>
      </c>
      <c r="I9566">
        <v>0</v>
      </c>
      <c r="J9566" t="s">
        <v>7024</v>
      </c>
      <c r="K9566" t="s">
        <v>1558</v>
      </c>
      <c r="L9566" t="s">
        <v>285</v>
      </c>
      <c r="M9566" t="str">
        <f t="shared" si="717"/>
        <v>04</v>
      </c>
      <c r="N9566" t="s">
        <v>12</v>
      </c>
    </row>
    <row r="9567" spans="1:14" x14ac:dyDescent="0.25">
      <c r="A9567">
        <v>20160420</v>
      </c>
      <c r="B9567" t="str">
        <f t="shared" si="718"/>
        <v>063252</v>
      </c>
      <c r="C9567" t="str">
        <f t="shared" si="719"/>
        <v>65106</v>
      </c>
      <c r="D9567" t="s">
        <v>1568</v>
      </c>
      <c r="E9567" s="3">
        <v>982.61</v>
      </c>
      <c r="F9567">
        <v>20160420</v>
      </c>
      <c r="G9567" t="s">
        <v>7110</v>
      </c>
      <c r="H9567" t="s">
        <v>7659</v>
      </c>
      <c r="I9567">
        <v>0</v>
      </c>
      <c r="J9567" t="s">
        <v>7024</v>
      </c>
      <c r="K9567" t="s">
        <v>290</v>
      </c>
      <c r="L9567" t="s">
        <v>285</v>
      </c>
      <c r="M9567" t="str">
        <f t="shared" si="717"/>
        <v>04</v>
      </c>
      <c r="N9567" t="s">
        <v>12</v>
      </c>
    </row>
    <row r="9568" spans="1:14" x14ac:dyDescent="0.25">
      <c r="A9568">
        <v>20160420</v>
      </c>
      <c r="B9568" t="str">
        <f t="shared" si="718"/>
        <v>063252</v>
      </c>
      <c r="C9568" t="str">
        <f t="shared" si="719"/>
        <v>65106</v>
      </c>
      <c r="D9568" t="s">
        <v>1568</v>
      </c>
      <c r="E9568" s="3">
        <v>511.73</v>
      </c>
      <c r="F9568">
        <v>20160420</v>
      </c>
      <c r="G9568" t="s">
        <v>7110</v>
      </c>
      <c r="H9568" t="s">
        <v>7660</v>
      </c>
      <c r="I9568">
        <v>0</v>
      </c>
      <c r="J9568" t="s">
        <v>7024</v>
      </c>
      <c r="K9568" t="s">
        <v>290</v>
      </c>
      <c r="L9568" t="s">
        <v>285</v>
      </c>
      <c r="M9568" t="str">
        <f t="shared" si="717"/>
        <v>04</v>
      </c>
      <c r="N9568" t="s">
        <v>12</v>
      </c>
    </row>
    <row r="9569" spans="1:14" x14ac:dyDescent="0.25">
      <c r="A9569">
        <v>20160420</v>
      </c>
      <c r="B9569" t="str">
        <f t="shared" si="718"/>
        <v>063252</v>
      </c>
      <c r="C9569" t="str">
        <f t="shared" si="719"/>
        <v>65106</v>
      </c>
      <c r="D9569" t="s">
        <v>1568</v>
      </c>
      <c r="E9569" s="3">
        <v>4172.75</v>
      </c>
      <c r="F9569">
        <v>20160420</v>
      </c>
      <c r="G9569" t="s">
        <v>7143</v>
      </c>
      <c r="H9569" t="s">
        <v>7621</v>
      </c>
      <c r="I9569">
        <v>0</v>
      </c>
      <c r="J9569" t="s">
        <v>7024</v>
      </c>
      <c r="K9569" t="s">
        <v>290</v>
      </c>
      <c r="L9569" t="s">
        <v>285</v>
      </c>
      <c r="M9569" t="str">
        <f t="shared" si="717"/>
        <v>04</v>
      </c>
      <c r="N9569" t="s">
        <v>12</v>
      </c>
    </row>
    <row r="9570" spans="1:14" x14ac:dyDescent="0.25">
      <c r="A9570">
        <v>20160420</v>
      </c>
      <c r="B9570" t="str">
        <f t="shared" si="718"/>
        <v>063252</v>
      </c>
      <c r="C9570" t="str">
        <f t="shared" si="719"/>
        <v>65106</v>
      </c>
      <c r="D9570" t="s">
        <v>1568</v>
      </c>
      <c r="E9570" s="3">
        <v>627.26</v>
      </c>
      <c r="F9570">
        <v>20160420</v>
      </c>
      <c r="G9570" t="s">
        <v>7143</v>
      </c>
      <c r="H9570" t="s">
        <v>7621</v>
      </c>
      <c r="I9570">
        <v>0</v>
      </c>
      <c r="J9570" t="s">
        <v>7024</v>
      </c>
      <c r="K9570" t="s">
        <v>290</v>
      </c>
      <c r="L9570" t="s">
        <v>285</v>
      </c>
      <c r="M9570" t="str">
        <f t="shared" si="717"/>
        <v>04</v>
      </c>
      <c r="N9570" t="s">
        <v>12</v>
      </c>
    </row>
    <row r="9571" spans="1:14" x14ac:dyDescent="0.25">
      <c r="A9571">
        <v>20160420</v>
      </c>
      <c r="B9571" t="str">
        <f t="shared" si="718"/>
        <v>063252</v>
      </c>
      <c r="C9571" t="str">
        <f t="shared" si="719"/>
        <v>65106</v>
      </c>
      <c r="D9571" t="s">
        <v>1568</v>
      </c>
      <c r="E9571" s="3">
        <v>303.52</v>
      </c>
      <c r="F9571">
        <v>20160420</v>
      </c>
      <c r="G9571" t="s">
        <v>7083</v>
      </c>
      <c r="H9571" t="s">
        <v>595</v>
      </c>
      <c r="I9571">
        <v>0</v>
      </c>
      <c r="J9571" t="s">
        <v>7024</v>
      </c>
      <c r="K9571" t="s">
        <v>290</v>
      </c>
      <c r="L9571" t="s">
        <v>285</v>
      </c>
      <c r="M9571" t="str">
        <f t="shared" si="717"/>
        <v>04</v>
      </c>
      <c r="N9571" t="s">
        <v>12</v>
      </c>
    </row>
    <row r="9572" spans="1:14" x14ac:dyDescent="0.25">
      <c r="A9572">
        <v>20160420</v>
      </c>
      <c r="B9572" t="str">
        <f t="shared" si="718"/>
        <v>063252</v>
      </c>
      <c r="C9572" t="str">
        <f t="shared" si="719"/>
        <v>65106</v>
      </c>
      <c r="D9572" t="s">
        <v>1568</v>
      </c>
      <c r="E9572" s="3">
        <v>32.28</v>
      </c>
      <c r="F9572">
        <v>20160420</v>
      </c>
      <c r="G9572" t="s">
        <v>7083</v>
      </c>
      <c r="H9572" t="s">
        <v>7660</v>
      </c>
      <c r="I9572">
        <v>0</v>
      </c>
      <c r="J9572" t="s">
        <v>7024</v>
      </c>
      <c r="K9572" t="s">
        <v>290</v>
      </c>
      <c r="L9572" t="s">
        <v>285</v>
      </c>
      <c r="M9572" t="str">
        <f t="shared" si="717"/>
        <v>04</v>
      </c>
      <c r="N9572" t="s">
        <v>12</v>
      </c>
    </row>
    <row r="9573" spans="1:14" x14ac:dyDescent="0.25">
      <c r="A9573">
        <v>20160420</v>
      </c>
      <c r="B9573" t="str">
        <f>"063255"</f>
        <v>063255</v>
      </c>
      <c r="C9573" t="str">
        <f>"69016"</f>
        <v>69016</v>
      </c>
      <c r="D9573" t="s">
        <v>3503</v>
      </c>
      <c r="E9573" s="3">
        <v>150</v>
      </c>
      <c r="F9573">
        <v>20160420</v>
      </c>
      <c r="G9573" t="s">
        <v>7320</v>
      </c>
      <c r="H9573" t="s">
        <v>4451</v>
      </c>
      <c r="I9573">
        <v>0</v>
      </c>
      <c r="J9573" t="s">
        <v>7024</v>
      </c>
      <c r="K9573" t="s">
        <v>290</v>
      </c>
      <c r="L9573" t="s">
        <v>285</v>
      </c>
      <c r="M9573" t="str">
        <f t="shared" si="717"/>
        <v>04</v>
      </c>
      <c r="N9573" t="s">
        <v>12</v>
      </c>
    </row>
    <row r="9574" spans="1:14" x14ac:dyDescent="0.25">
      <c r="A9574">
        <v>20160420</v>
      </c>
      <c r="B9574" t="str">
        <f>"063266"</f>
        <v>063266</v>
      </c>
      <c r="C9574" t="str">
        <f>"80600"</f>
        <v>80600</v>
      </c>
      <c r="D9574" t="s">
        <v>2411</v>
      </c>
      <c r="E9574" s="3">
        <v>61.9</v>
      </c>
      <c r="F9574">
        <v>20160420</v>
      </c>
      <c r="G9574" t="s">
        <v>7049</v>
      </c>
      <c r="H9574" t="s">
        <v>7661</v>
      </c>
      <c r="I9574">
        <v>0</v>
      </c>
      <c r="J9574" t="s">
        <v>7024</v>
      </c>
      <c r="K9574" t="s">
        <v>33</v>
      </c>
      <c r="L9574" t="s">
        <v>285</v>
      </c>
      <c r="M9574" t="str">
        <f t="shared" si="717"/>
        <v>04</v>
      </c>
      <c r="N9574" t="s">
        <v>12</v>
      </c>
    </row>
    <row r="9575" spans="1:14" x14ac:dyDescent="0.25">
      <c r="A9575">
        <v>20160420</v>
      </c>
      <c r="B9575" t="str">
        <f>"063268"</f>
        <v>063268</v>
      </c>
      <c r="C9575" t="str">
        <f>"81299"</f>
        <v>81299</v>
      </c>
      <c r="D9575" t="s">
        <v>2415</v>
      </c>
      <c r="E9575" s="3">
        <v>59.25</v>
      </c>
      <c r="F9575">
        <v>20160420</v>
      </c>
      <c r="G9575" t="s">
        <v>7049</v>
      </c>
      <c r="H9575" t="s">
        <v>7662</v>
      </c>
      <c r="I9575">
        <v>0</v>
      </c>
      <c r="J9575" t="s">
        <v>7024</v>
      </c>
      <c r="K9575" t="s">
        <v>33</v>
      </c>
      <c r="L9575" t="s">
        <v>285</v>
      </c>
      <c r="M9575" t="str">
        <f t="shared" si="717"/>
        <v>04</v>
      </c>
      <c r="N9575" t="s">
        <v>12</v>
      </c>
    </row>
    <row r="9576" spans="1:14" x14ac:dyDescent="0.25">
      <c r="A9576">
        <v>20160429</v>
      </c>
      <c r="B9576" t="str">
        <f>"063281"</f>
        <v>063281</v>
      </c>
      <c r="C9576" t="str">
        <f>"09170"</f>
        <v>09170</v>
      </c>
      <c r="D9576" t="s">
        <v>596</v>
      </c>
      <c r="E9576" s="3">
        <v>47.76</v>
      </c>
      <c r="F9576">
        <v>20160427</v>
      </c>
      <c r="G9576" t="s">
        <v>7147</v>
      </c>
      <c r="H9576" t="s">
        <v>1367</v>
      </c>
      <c r="I9576">
        <v>0</v>
      </c>
      <c r="J9576" t="s">
        <v>7024</v>
      </c>
      <c r="K9576" t="s">
        <v>290</v>
      </c>
      <c r="L9576" t="s">
        <v>285</v>
      </c>
      <c r="M9576" t="str">
        <f t="shared" si="717"/>
        <v>04</v>
      </c>
      <c r="N9576" t="s">
        <v>12</v>
      </c>
    </row>
    <row r="9577" spans="1:14" x14ac:dyDescent="0.25">
      <c r="A9577">
        <v>20160429</v>
      </c>
      <c r="B9577" t="str">
        <f>"063281"</f>
        <v>063281</v>
      </c>
      <c r="C9577" t="str">
        <f>"09170"</f>
        <v>09170</v>
      </c>
      <c r="D9577" t="s">
        <v>596</v>
      </c>
      <c r="E9577" s="3">
        <v>940.84</v>
      </c>
      <c r="F9577">
        <v>20160427</v>
      </c>
      <c r="G9577" t="s">
        <v>7100</v>
      </c>
      <c r="H9577" t="s">
        <v>7663</v>
      </c>
      <c r="I9577">
        <v>0</v>
      </c>
      <c r="J9577" t="s">
        <v>7024</v>
      </c>
      <c r="K9577" t="s">
        <v>290</v>
      </c>
      <c r="L9577" t="s">
        <v>285</v>
      </c>
      <c r="M9577" t="str">
        <f t="shared" si="717"/>
        <v>04</v>
      </c>
      <c r="N9577" t="s">
        <v>12</v>
      </c>
    </row>
    <row r="9578" spans="1:14" x14ac:dyDescent="0.25">
      <c r="A9578">
        <v>20160429</v>
      </c>
      <c r="B9578" t="str">
        <f>"063281"</f>
        <v>063281</v>
      </c>
      <c r="C9578" t="str">
        <f>"09170"</f>
        <v>09170</v>
      </c>
      <c r="D9578" t="s">
        <v>596</v>
      </c>
      <c r="E9578" s="3">
        <v>645.62</v>
      </c>
      <c r="F9578">
        <v>20160427</v>
      </c>
      <c r="G9578" t="s">
        <v>7143</v>
      </c>
      <c r="H9578" t="s">
        <v>7621</v>
      </c>
      <c r="I9578">
        <v>0</v>
      </c>
      <c r="J9578" t="s">
        <v>7024</v>
      </c>
      <c r="K9578" t="s">
        <v>290</v>
      </c>
      <c r="L9578" t="s">
        <v>285</v>
      </c>
      <c r="M9578" t="str">
        <f t="shared" si="717"/>
        <v>04</v>
      </c>
      <c r="N9578" t="s">
        <v>12</v>
      </c>
    </row>
    <row r="9579" spans="1:14" x14ac:dyDescent="0.25">
      <c r="A9579">
        <v>20160429</v>
      </c>
      <c r="B9579" t="str">
        <f>"063281"</f>
        <v>063281</v>
      </c>
      <c r="C9579" t="str">
        <f>"09170"</f>
        <v>09170</v>
      </c>
      <c r="D9579" t="s">
        <v>596</v>
      </c>
      <c r="E9579" s="3">
        <v>442.39</v>
      </c>
      <c r="F9579">
        <v>20160427</v>
      </c>
      <c r="G9579" t="s">
        <v>7143</v>
      </c>
      <c r="H9579" t="s">
        <v>7621</v>
      </c>
      <c r="I9579">
        <v>0</v>
      </c>
      <c r="J9579" t="s">
        <v>7024</v>
      </c>
      <c r="K9579" t="s">
        <v>290</v>
      </c>
      <c r="L9579" t="s">
        <v>285</v>
      </c>
      <c r="M9579" t="str">
        <f t="shared" si="717"/>
        <v>04</v>
      </c>
      <c r="N9579" t="s">
        <v>12</v>
      </c>
    </row>
    <row r="9580" spans="1:14" x14ac:dyDescent="0.25">
      <c r="A9580">
        <v>20160429</v>
      </c>
      <c r="B9580" t="str">
        <f>"063281"</f>
        <v>063281</v>
      </c>
      <c r="C9580" t="str">
        <f>"09170"</f>
        <v>09170</v>
      </c>
      <c r="D9580" t="s">
        <v>596</v>
      </c>
      <c r="E9580" s="3">
        <v>153.30000000000001</v>
      </c>
      <c r="F9580">
        <v>20160427</v>
      </c>
      <c r="G9580" t="s">
        <v>7143</v>
      </c>
      <c r="H9580" t="s">
        <v>7621</v>
      </c>
      <c r="I9580">
        <v>0</v>
      </c>
      <c r="J9580" t="s">
        <v>7024</v>
      </c>
      <c r="K9580" t="s">
        <v>290</v>
      </c>
      <c r="L9580" t="s">
        <v>285</v>
      </c>
      <c r="M9580" t="str">
        <f t="shared" si="717"/>
        <v>04</v>
      </c>
      <c r="N9580" t="s">
        <v>12</v>
      </c>
    </row>
    <row r="9581" spans="1:14" x14ac:dyDescent="0.25">
      <c r="A9581">
        <v>20160429</v>
      </c>
      <c r="B9581" t="str">
        <f>"063283"</f>
        <v>063283</v>
      </c>
      <c r="C9581" t="str">
        <f>"10033"</f>
        <v>10033</v>
      </c>
      <c r="D9581" t="s">
        <v>1611</v>
      </c>
      <c r="E9581" s="3">
        <v>625.46</v>
      </c>
      <c r="F9581">
        <v>20160427</v>
      </c>
      <c r="G9581" t="s">
        <v>7094</v>
      </c>
      <c r="H9581" t="s">
        <v>2091</v>
      </c>
      <c r="I9581">
        <v>0</v>
      </c>
      <c r="J9581" t="s">
        <v>7024</v>
      </c>
      <c r="K9581" t="s">
        <v>1643</v>
      </c>
      <c r="L9581" t="s">
        <v>285</v>
      </c>
      <c r="M9581" t="str">
        <f t="shared" si="717"/>
        <v>04</v>
      </c>
      <c r="N9581" t="s">
        <v>12</v>
      </c>
    </row>
    <row r="9582" spans="1:14" x14ac:dyDescent="0.25">
      <c r="A9582">
        <v>20160429</v>
      </c>
      <c r="B9582" t="str">
        <f>"063285"</f>
        <v>063285</v>
      </c>
      <c r="C9582" t="str">
        <f>"11518"</f>
        <v>11518</v>
      </c>
      <c r="D9582" t="s">
        <v>4994</v>
      </c>
      <c r="E9582" s="3">
        <v>139.97</v>
      </c>
      <c r="F9582">
        <v>20160427</v>
      </c>
      <c r="G9582" t="s">
        <v>7435</v>
      </c>
      <c r="H9582" t="s">
        <v>4995</v>
      </c>
      <c r="I9582">
        <v>0</v>
      </c>
      <c r="J9582" t="s">
        <v>7024</v>
      </c>
      <c r="K9582" t="s">
        <v>33</v>
      </c>
      <c r="L9582" t="s">
        <v>285</v>
      </c>
      <c r="M9582" t="str">
        <f t="shared" si="717"/>
        <v>04</v>
      </c>
      <c r="N9582" t="s">
        <v>12</v>
      </c>
    </row>
    <row r="9583" spans="1:14" x14ac:dyDescent="0.25">
      <c r="A9583">
        <v>20160429</v>
      </c>
      <c r="B9583" t="str">
        <f>"063293"</f>
        <v>063293</v>
      </c>
      <c r="C9583" t="str">
        <f>"06752"</f>
        <v>06752</v>
      </c>
      <c r="D9583" t="s">
        <v>7664</v>
      </c>
      <c r="E9583" s="3">
        <v>843</v>
      </c>
      <c r="F9583">
        <v>20160427</v>
      </c>
      <c r="G9583" t="s">
        <v>7026</v>
      </c>
      <c r="H9583" t="s">
        <v>7665</v>
      </c>
      <c r="I9583">
        <v>0</v>
      </c>
      <c r="J9583" t="s">
        <v>7024</v>
      </c>
      <c r="K9583" t="s">
        <v>1643</v>
      </c>
      <c r="L9583" t="s">
        <v>285</v>
      </c>
      <c r="M9583" t="str">
        <f t="shared" si="717"/>
        <v>04</v>
      </c>
      <c r="N9583" t="s">
        <v>12</v>
      </c>
    </row>
    <row r="9584" spans="1:14" x14ac:dyDescent="0.25">
      <c r="A9584">
        <v>20160429</v>
      </c>
      <c r="B9584" t="str">
        <f>"063298"</f>
        <v>063298</v>
      </c>
      <c r="C9584" t="str">
        <f>"28680"</f>
        <v>28680</v>
      </c>
      <c r="D9584" t="s">
        <v>422</v>
      </c>
      <c r="E9584" s="3">
        <v>104</v>
      </c>
      <c r="F9584">
        <v>20160427</v>
      </c>
      <c r="G9584" t="s">
        <v>7372</v>
      </c>
      <c r="H9584" t="s">
        <v>1350</v>
      </c>
      <c r="I9584">
        <v>0</v>
      </c>
      <c r="J9584" t="s">
        <v>7024</v>
      </c>
      <c r="K9584" t="s">
        <v>290</v>
      </c>
      <c r="L9584" t="s">
        <v>285</v>
      </c>
      <c r="M9584" t="str">
        <f t="shared" si="717"/>
        <v>04</v>
      </c>
      <c r="N9584" t="s">
        <v>12</v>
      </c>
    </row>
    <row r="9585" spans="1:14" x14ac:dyDescent="0.25">
      <c r="A9585">
        <v>20160429</v>
      </c>
      <c r="B9585" t="str">
        <f>"063298"</f>
        <v>063298</v>
      </c>
      <c r="C9585" t="str">
        <f>"28680"</f>
        <v>28680</v>
      </c>
      <c r="D9585" t="s">
        <v>422</v>
      </c>
      <c r="E9585" s="3">
        <v>52</v>
      </c>
      <c r="F9585">
        <v>20160428</v>
      </c>
      <c r="G9585" t="s">
        <v>7372</v>
      </c>
      <c r="H9585" t="s">
        <v>651</v>
      </c>
      <c r="I9585">
        <v>0</v>
      </c>
      <c r="J9585" t="s">
        <v>7024</v>
      </c>
      <c r="K9585" t="s">
        <v>290</v>
      </c>
      <c r="L9585" t="s">
        <v>285</v>
      </c>
      <c r="M9585" t="str">
        <f t="shared" si="717"/>
        <v>04</v>
      </c>
      <c r="N9585" t="s">
        <v>12</v>
      </c>
    </row>
    <row r="9586" spans="1:14" x14ac:dyDescent="0.25">
      <c r="A9586">
        <v>20160429</v>
      </c>
      <c r="B9586" t="str">
        <f>"063298"</f>
        <v>063298</v>
      </c>
      <c r="C9586" t="str">
        <f>"28680"</f>
        <v>28680</v>
      </c>
      <c r="D9586" t="s">
        <v>422</v>
      </c>
      <c r="E9586" s="3">
        <v>55</v>
      </c>
      <c r="F9586">
        <v>20160427</v>
      </c>
      <c r="G9586" t="s">
        <v>7143</v>
      </c>
      <c r="H9586" t="s">
        <v>7666</v>
      </c>
      <c r="I9586">
        <v>0</v>
      </c>
      <c r="J9586" t="s">
        <v>7024</v>
      </c>
      <c r="K9586" t="s">
        <v>290</v>
      </c>
      <c r="L9586" t="s">
        <v>285</v>
      </c>
      <c r="M9586" t="str">
        <f t="shared" ref="M9586:M9613" si="720">"04"</f>
        <v>04</v>
      </c>
      <c r="N9586" t="s">
        <v>12</v>
      </c>
    </row>
    <row r="9587" spans="1:14" x14ac:dyDescent="0.25">
      <c r="A9587">
        <v>20160429</v>
      </c>
      <c r="B9587" t="str">
        <f>"063315"</f>
        <v>063315</v>
      </c>
      <c r="C9587" t="str">
        <f>"54092"</f>
        <v>54092</v>
      </c>
      <c r="D9587" t="s">
        <v>7267</v>
      </c>
      <c r="E9587" s="3">
        <v>462.46</v>
      </c>
      <c r="F9587">
        <v>20160427</v>
      </c>
      <c r="G9587" t="s">
        <v>7026</v>
      </c>
      <c r="H9587" t="s">
        <v>2169</v>
      </c>
      <c r="I9587">
        <v>0</v>
      </c>
      <c r="J9587" t="s">
        <v>7024</v>
      </c>
      <c r="K9587" t="s">
        <v>1643</v>
      </c>
      <c r="L9587" t="s">
        <v>285</v>
      </c>
      <c r="M9587" t="str">
        <f t="shared" si="720"/>
        <v>04</v>
      </c>
      <c r="N9587" t="s">
        <v>12</v>
      </c>
    </row>
    <row r="9588" spans="1:14" x14ac:dyDescent="0.25">
      <c r="A9588">
        <v>20160429</v>
      </c>
      <c r="B9588" t="str">
        <f>"063315"</f>
        <v>063315</v>
      </c>
      <c r="C9588" t="str">
        <f>"54092"</f>
        <v>54092</v>
      </c>
      <c r="D9588" t="s">
        <v>7267</v>
      </c>
      <c r="E9588" s="3">
        <v>49.7</v>
      </c>
      <c r="F9588">
        <v>20160427</v>
      </c>
      <c r="G9588" t="s">
        <v>7026</v>
      </c>
      <c r="H9588" t="s">
        <v>2169</v>
      </c>
      <c r="I9588">
        <v>0</v>
      </c>
      <c r="J9588" t="s">
        <v>7024</v>
      </c>
      <c r="K9588" t="s">
        <v>1643</v>
      </c>
      <c r="L9588" t="s">
        <v>285</v>
      </c>
      <c r="M9588" t="str">
        <f t="shared" si="720"/>
        <v>04</v>
      </c>
      <c r="N9588" t="s">
        <v>12</v>
      </c>
    </row>
    <row r="9589" spans="1:14" x14ac:dyDescent="0.25">
      <c r="A9589">
        <v>20160429</v>
      </c>
      <c r="B9589" t="str">
        <f>"063318"</f>
        <v>063318</v>
      </c>
      <c r="C9589" t="str">
        <f>"58183"</f>
        <v>58183</v>
      </c>
      <c r="D9589" t="s">
        <v>1007</v>
      </c>
      <c r="E9589" s="3">
        <v>158.06</v>
      </c>
      <c r="F9589">
        <v>20160427</v>
      </c>
      <c r="G9589" t="s">
        <v>7197</v>
      </c>
      <c r="H9589" t="s">
        <v>7667</v>
      </c>
      <c r="I9589">
        <v>0</v>
      </c>
      <c r="J9589" t="s">
        <v>7024</v>
      </c>
      <c r="K9589" t="s">
        <v>33</v>
      </c>
      <c r="L9589" t="s">
        <v>285</v>
      </c>
      <c r="M9589" t="str">
        <f t="shared" si="720"/>
        <v>04</v>
      </c>
      <c r="N9589" t="s">
        <v>12</v>
      </c>
    </row>
    <row r="9590" spans="1:14" x14ac:dyDescent="0.25">
      <c r="A9590">
        <v>20160429</v>
      </c>
      <c r="B9590" t="str">
        <f>"063319"</f>
        <v>063319</v>
      </c>
      <c r="C9590" t="str">
        <f>"59096"</f>
        <v>59096</v>
      </c>
      <c r="D9590" t="s">
        <v>4286</v>
      </c>
      <c r="E9590" s="3">
        <v>219.95</v>
      </c>
      <c r="F9590">
        <v>20160427</v>
      </c>
      <c r="G9590" t="s">
        <v>7110</v>
      </c>
      <c r="H9590" t="s">
        <v>7668</v>
      </c>
      <c r="I9590">
        <v>0</v>
      </c>
      <c r="J9590" t="s">
        <v>7024</v>
      </c>
      <c r="K9590" t="s">
        <v>290</v>
      </c>
      <c r="L9590" t="s">
        <v>285</v>
      </c>
      <c r="M9590" t="str">
        <f t="shared" si="720"/>
        <v>04</v>
      </c>
      <c r="N9590" t="s">
        <v>12</v>
      </c>
    </row>
    <row r="9591" spans="1:14" x14ac:dyDescent="0.25">
      <c r="A9591">
        <v>20160429</v>
      </c>
      <c r="B9591" t="str">
        <f>"063323"</f>
        <v>063323</v>
      </c>
      <c r="C9591" t="str">
        <f>"72730"</f>
        <v>72730</v>
      </c>
      <c r="D9591" t="s">
        <v>1400</v>
      </c>
      <c r="E9591" s="3">
        <v>95.66</v>
      </c>
      <c r="F9591">
        <v>20160427</v>
      </c>
      <c r="G9591" t="s">
        <v>7143</v>
      </c>
      <c r="H9591" t="s">
        <v>7669</v>
      </c>
      <c r="I9591">
        <v>0</v>
      </c>
      <c r="J9591" t="s">
        <v>7024</v>
      </c>
      <c r="K9591" t="s">
        <v>290</v>
      </c>
      <c r="L9591" t="s">
        <v>285</v>
      </c>
      <c r="M9591" t="str">
        <f t="shared" si="720"/>
        <v>04</v>
      </c>
      <c r="N9591" t="s">
        <v>12</v>
      </c>
    </row>
    <row r="9592" spans="1:14" x14ac:dyDescent="0.25">
      <c r="A9592">
        <v>20160429</v>
      </c>
      <c r="B9592" t="str">
        <f>"063323"</f>
        <v>063323</v>
      </c>
      <c r="C9592" t="str">
        <f>"72730"</f>
        <v>72730</v>
      </c>
      <c r="D9592" t="s">
        <v>1400</v>
      </c>
      <c r="E9592" s="3">
        <v>149.85</v>
      </c>
      <c r="F9592">
        <v>20160427</v>
      </c>
      <c r="G9592" t="s">
        <v>7143</v>
      </c>
      <c r="H9592" t="s">
        <v>7670</v>
      </c>
      <c r="I9592">
        <v>0</v>
      </c>
      <c r="J9592" t="s">
        <v>7024</v>
      </c>
      <c r="K9592" t="s">
        <v>290</v>
      </c>
      <c r="L9592" t="s">
        <v>285</v>
      </c>
      <c r="M9592" t="str">
        <f t="shared" si="720"/>
        <v>04</v>
      </c>
      <c r="N9592" t="s">
        <v>12</v>
      </c>
    </row>
    <row r="9593" spans="1:14" x14ac:dyDescent="0.25">
      <c r="A9593">
        <v>20160429</v>
      </c>
      <c r="B9593" t="str">
        <f>"063325"</f>
        <v>063325</v>
      </c>
      <c r="C9593" t="str">
        <f>"78311"</f>
        <v>78311</v>
      </c>
      <c r="D9593" t="s">
        <v>458</v>
      </c>
      <c r="E9593" s="3">
        <v>23.12</v>
      </c>
      <c r="F9593">
        <v>20160427</v>
      </c>
      <c r="G9593" t="s">
        <v>7372</v>
      </c>
      <c r="H9593" t="s">
        <v>1167</v>
      </c>
      <c r="I9593">
        <v>0</v>
      </c>
      <c r="J9593" t="s">
        <v>7024</v>
      </c>
      <c r="K9593" t="s">
        <v>290</v>
      </c>
      <c r="L9593" t="s">
        <v>285</v>
      </c>
      <c r="M9593" t="str">
        <f t="shared" si="720"/>
        <v>04</v>
      </c>
      <c r="N9593" t="s">
        <v>12</v>
      </c>
    </row>
    <row r="9594" spans="1:14" x14ac:dyDescent="0.25">
      <c r="A9594">
        <v>20160429</v>
      </c>
      <c r="B9594" t="str">
        <f>"063325"</f>
        <v>063325</v>
      </c>
      <c r="C9594" t="str">
        <f>"78311"</f>
        <v>78311</v>
      </c>
      <c r="D9594" t="s">
        <v>458</v>
      </c>
      <c r="E9594" s="3">
        <v>16.010000000000002</v>
      </c>
      <c r="F9594">
        <v>20160427</v>
      </c>
      <c r="G9594" t="s">
        <v>7372</v>
      </c>
      <c r="H9594" t="s">
        <v>1167</v>
      </c>
      <c r="I9594">
        <v>0</v>
      </c>
      <c r="J9594" t="s">
        <v>7024</v>
      </c>
      <c r="K9594" t="s">
        <v>290</v>
      </c>
      <c r="L9594" t="s">
        <v>285</v>
      </c>
      <c r="M9594" t="str">
        <f t="shared" si="720"/>
        <v>04</v>
      </c>
      <c r="N9594" t="s">
        <v>12</v>
      </c>
    </row>
    <row r="9595" spans="1:14" x14ac:dyDescent="0.25">
      <c r="A9595">
        <v>20160429</v>
      </c>
      <c r="B9595" t="str">
        <f t="shared" ref="B9595:B9610" si="721">"063329"</f>
        <v>063329</v>
      </c>
      <c r="C9595" t="str">
        <f t="shared" ref="C9595:C9610" si="722">"83022"</f>
        <v>83022</v>
      </c>
      <c r="D9595" t="s">
        <v>394</v>
      </c>
      <c r="E9595" s="3">
        <v>171.06</v>
      </c>
      <c r="F9595">
        <v>20160427</v>
      </c>
      <c r="G9595" t="s">
        <v>7074</v>
      </c>
      <c r="H9595" t="s">
        <v>7671</v>
      </c>
      <c r="I9595">
        <v>0</v>
      </c>
      <c r="J9595" t="s">
        <v>7024</v>
      </c>
      <c r="K9595" t="s">
        <v>290</v>
      </c>
      <c r="L9595" t="s">
        <v>285</v>
      </c>
      <c r="M9595" t="str">
        <f t="shared" si="720"/>
        <v>04</v>
      </c>
      <c r="N9595" t="s">
        <v>12</v>
      </c>
    </row>
    <row r="9596" spans="1:14" x14ac:dyDescent="0.25">
      <c r="A9596">
        <v>20160429</v>
      </c>
      <c r="B9596" t="str">
        <f t="shared" si="721"/>
        <v>063329</v>
      </c>
      <c r="C9596" t="str">
        <f t="shared" si="722"/>
        <v>83022</v>
      </c>
      <c r="D9596" t="s">
        <v>394</v>
      </c>
      <c r="E9596" s="3">
        <v>192.27</v>
      </c>
      <c r="F9596">
        <v>20160427</v>
      </c>
      <c r="G9596" t="s">
        <v>7074</v>
      </c>
      <c r="H9596" t="s">
        <v>7672</v>
      </c>
      <c r="I9596">
        <v>0</v>
      </c>
      <c r="J9596" t="s">
        <v>7024</v>
      </c>
      <c r="K9596" t="s">
        <v>290</v>
      </c>
      <c r="L9596" t="s">
        <v>285</v>
      </c>
      <c r="M9596" t="str">
        <f t="shared" si="720"/>
        <v>04</v>
      </c>
      <c r="N9596" t="s">
        <v>12</v>
      </c>
    </row>
    <row r="9597" spans="1:14" x14ac:dyDescent="0.25">
      <c r="A9597">
        <v>20160429</v>
      </c>
      <c r="B9597" t="str">
        <f t="shared" si="721"/>
        <v>063329</v>
      </c>
      <c r="C9597" t="str">
        <f t="shared" si="722"/>
        <v>83022</v>
      </c>
      <c r="D9597" t="s">
        <v>394</v>
      </c>
      <c r="E9597" s="3">
        <v>171.06</v>
      </c>
      <c r="F9597">
        <v>20160427</v>
      </c>
      <c r="G9597" t="s">
        <v>7260</v>
      </c>
      <c r="H9597" t="s">
        <v>7673</v>
      </c>
      <c r="I9597">
        <v>0</v>
      </c>
      <c r="J9597" t="s">
        <v>7024</v>
      </c>
      <c r="K9597" t="s">
        <v>290</v>
      </c>
      <c r="L9597" t="s">
        <v>285</v>
      </c>
      <c r="M9597" t="str">
        <f t="shared" si="720"/>
        <v>04</v>
      </c>
      <c r="N9597" t="s">
        <v>12</v>
      </c>
    </row>
    <row r="9598" spans="1:14" x14ac:dyDescent="0.25">
      <c r="A9598">
        <v>20160429</v>
      </c>
      <c r="B9598" t="str">
        <f t="shared" si="721"/>
        <v>063329</v>
      </c>
      <c r="C9598" t="str">
        <f t="shared" si="722"/>
        <v>83022</v>
      </c>
      <c r="D9598" t="s">
        <v>394</v>
      </c>
      <c r="E9598" s="3">
        <v>192.28</v>
      </c>
      <c r="F9598">
        <v>20160427</v>
      </c>
      <c r="G9598" t="s">
        <v>7260</v>
      </c>
      <c r="H9598" t="s">
        <v>7672</v>
      </c>
      <c r="I9598">
        <v>0</v>
      </c>
      <c r="J9598" t="s">
        <v>7024</v>
      </c>
      <c r="K9598" t="s">
        <v>290</v>
      </c>
      <c r="L9598" t="s">
        <v>285</v>
      </c>
      <c r="M9598" t="str">
        <f t="shared" si="720"/>
        <v>04</v>
      </c>
      <c r="N9598" t="s">
        <v>12</v>
      </c>
    </row>
    <row r="9599" spans="1:14" x14ac:dyDescent="0.25">
      <c r="A9599">
        <v>20160429</v>
      </c>
      <c r="B9599" t="str">
        <f t="shared" si="721"/>
        <v>063329</v>
      </c>
      <c r="C9599" t="str">
        <f t="shared" si="722"/>
        <v>83022</v>
      </c>
      <c r="D9599" t="s">
        <v>394</v>
      </c>
      <c r="E9599" s="3">
        <v>1517.09</v>
      </c>
      <c r="F9599">
        <v>20160427</v>
      </c>
      <c r="G9599" t="s">
        <v>7582</v>
      </c>
      <c r="H9599" t="s">
        <v>7586</v>
      </c>
      <c r="I9599">
        <v>0</v>
      </c>
      <c r="J9599" t="s">
        <v>7024</v>
      </c>
      <c r="K9599" t="s">
        <v>290</v>
      </c>
      <c r="L9599" t="s">
        <v>285</v>
      </c>
      <c r="M9599" t="str">
        <f t="shared" si="720"/>
        <v>04</v>
      </c>
      <c r="N9599" t="s">
        <v>12</v>
      </c>
    </row>
    <row r="9600" spans="1:14" x14ac:dyDescent="0.25">
      <c r="A9600">
        <v>20160429</v>
      </c>
      <c r="B9600" t="str">
        <f t="shared" si="721"/>
        <v>063329</v>
      </c>
      <c r="C9600" t="str">
        <f t="shared" si="722"/>
        <v>83022</v>
      </c>
      <c r="D9600" t="s">
        <v>394</v>
      </c>
      <c r="E9600" s="3">
        <v>651.52</v>
      </c>
      <c r="F9600">
        <v>20160427</v>
      </c>
      <c r="G9600" t="s">
        <v>7582</v>
      </c>
      <c r="H9600" t="s">
        <v>7586</v>
      </c>
      <c r="I9600">
        <v>0</v>
      </c>
      <c r="J9600" t="s">
        <v>7024</v>
      </c>
      <c r="K9600" t="s">
        <v>290</v>
      </c>
      <c r="L9600" t="s">
        <v>285</v>
      </c>
      <c r="M9600" t="str">
        <f t="shared" si="720"/>
        <v>04</v>
      </c>
      <c r="N9600" t="s">
        <v>12</v>
      </c>
    </row>
    <row r="9601" spans="1:14" x14ac:dyDescent="0.25">
      <c r="A9601">
        <v>20160429</v>
      </c>
      <c r="B9601" t="str">
        <f t="shared" si="721"/>
        <v>063329</v>
      </c>
      <c r="C9601" t="str">
        <f t="shared" si="722"/>
        <v>83022</v>
      </c>
      <c r="D9601" t="s">
        <v>394</v>
      </c>
      <c r="E9601" s="3">
        <v>177.8</v>
      </c>
      <c r="F9601">
        <v>20160427</v>
      </c>
      <c r="G9601" t="s">
        <v>7582</v>
      </c>
      <c r="H9601" t="s">
        <v>7586</v>
      </c>
      <c r="I9601">
        <v>0</v>
      </c>
      <c r="J9601" t="s">
        <v>7024</v>
      </c>
      <c r="K9601" t="s">
        <v>290</v>
      </c>
      <c r="L9601" t="s">
        <v>285</v>
      </c>
      <c r="M9601" t="str">
        <f t="shared" si="720"/>
        <v>04</v>
      </c>
      <c r="N9601" t="s">
        <v>12</v>
      </c>
    </row>
    <row r="9602" spans="1:14" x14ac:dyDescent="0.25">
      <c r="A9602">
        <v>20160429</v>
      </c>
      <c r="B9602" t="str">
        <f t="shared" si="721"/>
        <v>063329</v>
      </c>
      <c r="C9602" t="str">
        <f t="shared" si="722"/>
        <v>83022</v>
      </c>
      <c r="D9602" t="s">
        <v>394</v>
      </c>
      <c r="E9602" s="3">
        <v>41.11</v>
      </c>
      <c r="F9602">
        <v>20160427</v>
      </c>
      <c r="G9602" t="s">
        <v>7582</v>
      </c>
      <c r="H9602" t="s">
        <v>7586</v>
      </c>
      <c r="I9602">
        <v>0</v>
      </c>
      <c r="J9602" t="s">
        <v>7024</v>
      </c>
      <c r="K9602" t="s">
        <v>290</v>
      </c>
      <c r="L9602" t="s">
        <v>285</v>
      </c>
      <c r="M9602" t="str">
        <f t="shared" si="720"/>
        <v>04</v>
      </c>
      <c r="N9602" t="s">
        <v>12</v>
      </c>
    </row>
    <row r="9603" spans="1:14" x14ac:dyDescent="0.25">
      <c r="A9603">
        <v>20160429</v>
      </c>
      <c r="B9603" t="str">
        <f t="shared" si="721"/>
        <v>063329</v>
      </c>
      <c r="C9603" t="str">
        <f t="shared" si="722"/>
        <v>83022</v>
      </c>
      <c r="D9603" t="s">
        <v>394</v>
      </c>
      <c r="E9603" s="3">
        <v>98.79</v>
      </c>
      <c r="F9603">
        <v>20160427</v>
      </c>
      <c r="G9603" t="s">
        <v>7110</v>
      </c>
      <c r="H9603" t="s">
        <v>7659</v>
      </c>
      <c r="I9603">
        <v>0</v>
      </c>
      <c r="J9603" t="s">
        <v>7024</v>
      </c>
      <c r="K9603" t="s">
        <v>290</v>
      </c>
      <c r="L9603" t="s">
        <v>285</v>
      </c>
      <c r="M9603" t="str">
        <f t="shared" si="720"/>
        <v>04</v>
      </c>
      <c r="N9603" t="s">
        <v>12</v>
      </c>
    </row>
    <row r="9604" spans="1:14" x14ac:dyDescent="0.25">
      <c r="A9604">
        <v>20160429</v>
      </c>
      <c r="B9604" t="str">
        <f t="shared" si="721"/>
        <v>063329</v>
      </c>
      <c r="C9604" t="str">
        <f t="shared" si="722"/>
        <v>83022</v>
      </c>
      <c r="D9604" t="s">
        <v>394</v>
      </c>
      <c r="E9604" s="3">
        <v>289.33999999999997</v>
      </c>
      <c r="F9604">
        <v>20160427</v>
      </c>
      <c r="G9604" t="s">
        <v>7082</v>
      </c>
      <c r="H9604" t="s">
        <v>3890</v>
      </c>
      <c r="I9604">
        <v>0</v>
      </c>
      <c r="J9604" t="s">
        <v>7024</v>
      </c>
      <c r="K9604" t="s">
        <v>95</v>
      </c>
      <c r="L9604" t="s">
        <v>285</v>
      </c>
      <c r="M9604" t="str">
        <f t="shared" si="720"/>
        <v>04</v>
      </c>
      <c r="N9604" t="s">
        <v>12</v>
      </c>
    </row>
    <row r="9605" spans="1:14" x14ac:dyDescent="0.25">
      <c r="A9605">
        <v>20160429</v>
      </c>
      <c r="B9605" t="str">
        <f t="shared" si="721"/>
        <v>063329</v>
      </c>
      <c r="C9605" t="str">
        <f t="shared" si="722"/>
        <v>83022</v>
      </c>
      <c r="D9605" t="s">
        <v>394</v>
      </c>
      <c r="E9605" s="3">
        <v>32.880000000000003</v>
      </c>
      <c r="F9605">
        <v>20160427</v>
      </c>
      <c r="G9605" t="s">
        <v>7026</v>
      </c>
      <c r="H9605" t="s">
        <v>7594</v>
      </c>
      <c r="I9605">
        <v>0</v>
      </c>
      <c r="J9605" t="s">
        <v>7024</v>
      </c>
      <c r="K9605" t="s">
        <v>1643</v>
      </c>
      <c r="L9605" t="s">
        <v>285</v>
      </c>
      <c r="M9605" t="str">
        <f t="shared" si="720"/>
        <v>04</v>
      </c>
      <c r="N9605" t="s">
        <v>12</v>
      </c>
    </row>
    <row r="9606" spans="1:14" x14ac:dyDescent="0.25">
      <c r="A9606">
        <v>20160429</v>
      </c>
      <c r="B9606" t="str">
        <f t="shared" si="721"/>
        <v>063329</v>
      </c>
      <c r="C9606" t="str">
        <f t="shared" si="722"/>
        <v>83022</v>
      </c>
      <c r="D9606" t="s">
        <v>394</v>
      </c>
      <c r="E9606" s="3">
        <v>70.58</v>
      </c>
      <c r="F9606">
        <v>20160427</v>
      </c>
      <c r="G9606" t="s">
        <v>7026</v>
      </c>
      <c r="H9606" t="s">
        <v>5398</v>
      </c>
      <c r="I9606">
        <v>0</v>
      </c>
      <c r="J9606" t="s">
        <v>7024</v>
      </c>
      <c r="K9606" t="s">
        <v>1643</v>
      </c>
      <c r="L9606" t="s">
        <v>285</v>
      </c>
      <c r="M9606" t="str">
        <f t="shared" si="720"/>
        <v>04</v>
      </c>
      <c r="N9606" t="s">
        <v>12</v>
      </c>
    </row>
    <row r="9607" spans="1:14" x14ac:dyDescent="0.25">
      <c r="A9607">
        <v>20160429</v>
      </c>
      <c r="B9607" t="str">
        <f t="shared" si="721"/>
        <v>063329</v>
      </c>
      <c r="C9607" t="str">
        <f t="shared" si="722"/>
        <v>83022</v>
      </c>
      <c r="D9607" t="s">
        <v>394</v>
      </c>
      <c r="E9607" s="3">
        <v>139.72</v>
      </c>
      <c r="F9607">
        <v>20160427</v>
      </c>
      <c r="G9607" t="s">
        <v>7314</v>
      </c>
      <c r="H9607" t="s">
        <v>7674</v>
      </c>
      <c r="I9607">
        <v>0</v>
      </c>
      <c r="J9607" t="s">
        <v>7024</v>
      </c>
      <c r="K9607" t="s">
        <v>290</v>
      </c>
      <c r="L9607" t="s">
        <v>285</v>
      </c>
      <c r="M9607" t="str">
        <f t="shared" si="720"/>
        <v>04</v>
      </c>
      <c r="N9607" t="s">
        <v>12</v>
      </c>
    </row>
    <row r="9608" spans="1:14" x14ac:dyDescent="0.25">
      <c r="A9608">
        <v>20160429</v>
      </c>
      <c r="B9608" t="str">
        <f t="shared" si="721"/>
        <v>063329</v>
      </c>
      <c r="C9608" t="str">
        <f t="shared" si="722"/>
        <v>83022</v>
      </c>
      <c r="D9608" t="s">
        <v>394</v>
      </c>
      <c r="E9608" s="3">
        <v>1095.7</v>
      </c>
      <c r="F9608">
        <v>20160427</v>
      </c>
      <c r="G9608" t="s">
        <v>7143</v>
      </c>
      <c r="H9608" t="s">
        <v>7621</v>
      </c>
      <c r="I9608">
        <v>0</v>
      </c>
      <c r="J9608" t="s">
        <v>7024</v>
      </c>
      <c r="K9608" t="s">
        <v>290</v>
      </c>
      <c r="L9608" t="s">
        <v>285</v>
      </c>
      <c r="M9608" t="str">
        <f t="shared" si="720"/>
        <v>04</v>
      </c>
      <c r="N9608" t="s">
        <v>12</v>
      </c>
    </row>
    <row r="9609" spans="1:14" x14ac:dyDescent="0.25">
      <c r="A9609">
        <v>20160429</v>
      </c>
      <c r="B9609" t="str">
        <f t="shared" si="721"/>
        <v>063329</v>
      </c>
      <c r="C9609" t="str">
        <f t="shared" si="722"/>
        <v>83022</v>
      </c>
      <c r="D9609" t="s">
        <v>394</v>
      </c>
      <c r="E9609" s="3">
        <v>212.93</v>
      </c>
      <c r="F9609">
        <v>20160427</v>
      </c>
      <c r="G9609" t="s">
        <v>7143</v>
      </c>
      <c r="H9609" t="s">
        <v>7621</v>
      </c>
      <c r="I9609">
        <v>0</v>
      </c>
      <c r="J9609" t="s">
        <v>7024</v>
      </c>
      <c r="K9609" t="s">
        <v>290</v>
      </c>
      <c r="L9609" t="s">
        <v>285</v>
      </c>
      <c r="M9609" t="str">
        <f t="shared" si="720"/>
        <v>04</v>
      </c>
      <c r="N9609" t="s">
        <v>12</v>
      </c>
    </row>
    <row r="9610" spans="1:14" x14ac:dyDescent="0.25">
      <c r="A9610">
        <v>20160429</v>
      </c>
      <c r="B9610" t="str">
        <f t="shared" si="721"/>
        <v>063329</v>
      </c>
      <c r="C9610" t="str">
        <f t="shared" si="722"/>
        <v>83022</v>
      </c>
      <c r="D9610" t="s">
        <v>394</v>
      </c>
      <c r="E9610" s="3">
        <v>183.08</v>
      </c>
      <c r="F9610">
        <v>20160427</v>
      </c>
      <c r="G9610" t="s">
        <v>7599</v>
      </c>
      <c r="H9610" t="s">
        <v>7675</v>
      </c>
      <c r="I9610">
        <v>0</v>
      </c>
      <c r="J9610" t="s">
        <v>7024</v>
      </c>
      <c r="K9610" t="s">
        <v>7068</v>
      </c>
      <c r="L9610" t="s">
        <v>285</v>
      </c>
      <c r="M9610" t="str">
        <f t="shared" si="720"/>
        <v>04</v>
      </c>
      <c r="N9610" t="s">
        <v>12</v>
      </c>
    </row>
    <row r="9611" spans="1:14" x14ac:dyDescent="0.25">
      <c r="A9611">
        <v>20160429</v>
      </c>
      <c r="B9611" t="str">
        <f>"063331"</f>
        <v>063331</v>
      </c>
      <c r="C9611" t="str">
        <f>"86106"</f>
        <v>86106</v>
      </c>
      <c r="D9611" t="s">
        <v>4458</v>
      </c>
      <c r="E9611" s="3">
        <v>495</v>
      </c>
      <c r="F9611">
        <v>20160427</v>
      </c>
      <c r="G9611" t="s">
        <v>7062</v>
      </c>
      <c r="H9611" t="s">
        <v>7676</v>
      </c>
      <c r="I9611">
        <v>0</v>
      </c>
      <c r="J9611" t="s">
        <v>7024</v>
      </c>
      <c r="K9611" t="s">
        <v>290</v>
      </c>
      <c r="L9611" t="s">
        <v>285</v>
      </c>
      <c r="M9611" t="str">
        <f t="shared" si="720"/>
        <v>04</v>
      </c>
      <c r="N9611" t="s">
        <v>12</v>
      </c>
    </row>
    <row r="9612" spans="1:14" x14ac:dyDescent="0.25">
      <c r="A9612">
        <v>20160429</v>
      </c>
      <c r="B9612" t="str">
        <f>"063331"</f>
        <v>063331</v>
      </c>
      <c r="C9612" t="str">
        <f>"86106"</f>
        <v>86106</v>
      </c>
      <c r="D9612" t="s">
        <v>4458</v>
      </c>
      <c r="E9612" s="3">
        <v>14.67</v>
      </c>
      <c r="F9612">
        <v>20160427</v>
      </c>
      <c r="G9612" t="s">
        <v>7062</v>
      </c>
      <c r="H9612" t="s">
        <v>5048</v>
      </c>
      <c r="I9612">
        <v>0</v>
      </c>
      <c r="J9612" t="s">
        <v>7024</v>
      </c>
      <c r="K9612" t="s">
        <v>290</v>
      </c>
      <c r="L9612" t="s">
        <v>285</v>
      </c>
      <c r="M9612" t="str">
        <f t="shared" si="720"/>
        <v>04</v>
      </c>
      <c r="N9612" t="s">
        <v>12</v>
      </c>
    </row>
    <row r="9613" spans="1:14" x14ac:dyDescent="0.25">
      <c r="A9613">
        <v>20160503</v>
      </c>
      <c r="B9613" t="str">
        <f>"063334"</f>
        <v>063334</v>
      </c>
      <c r="C9613" t="str">
        <f>"46221"</f>
        <v>46221</v>
      </c>
      <c r="D9613" t="s">
        <v>5021</v>
      </c>
      <c r="E9613" s="3">
        <v>200</v>
      </c>
      <c r="F9613">
        <v>20160503</v>
      </c>
      <c r="G9613" t="s">
        <v>7179</v>
      </c>
      <c r="H9613" t="s">
        <v>4652</v>
      </c>
      <c r="I9613">
        <v>0</v>
      </c>
      <c r="J9613" t="s">
        <v>7024</v>
      </c>
      <c r="K9613" t="s">
        <v>95</v>
      </c>
      <c r="L9613" t="s">
        <v>285</v>
      </c>
      <c r="M9613" t="str">
        <f t="shared" si="720"/>
        <v>04</v>
      </c>
      <c r="N9613" t="s">
        <v>12</v>
      </c>
    </row>
    <row r="9614" spans="1:14" x14ac:dyDescent="0.25">
      <c r="A9614">
        <v>20160506</v>
      </c>
      <c r="B9614" t="str">
        <f>"063345"</f>
        <v>063345</v>
      </c>
      <c r="C9614" t="str">
        <f>"08788"</f>
        <v>08788</v>
      </c>
      <c r="D9614" t="s">
        <v>302</v>
      </c>
      <c r="E9614" s="3">
        <v>3055.43</v>
      </c>
      <c r="F9614">
        <v>20160504</v>
      </c>
      <c r="G9614" t="s">
        <v>7107</v>
      </c>
      <c r="H9614" t="s">
        <v>1357</v>
      </c>
      <c r="I9614">
        <v>0</v>
      </c>
      <c r="J9614" t="s">
        <v>7024</v>
      </c>
      <c r="K9614" t="s">
        <v>95</v>
      </c>
      <c r="L9614" t="s">
        <v>285</v>
      </c>
      <c r="M9614" t="str">
        <f t="shared" ref="M9614:M9645" si="723">"05"</f>
        <v>05</v>
      </c>
      <c r="N9614" t="s">
        <v>12</v>
      </c>
    </row>
    <row r="9615" spans="1:14" x14ac:dyDescent="0.25">
      <c r="A9615">
        <v>20160506</v>
      </c>
      <c r="B9615" t="str">
        <f>"063353"</f>
        <v>063353</v>
      </c>
      <c r="C9615" t="str">
        <f>"46281"</f>
        <v>46281</v>
      </c>
      <c r="D9615" t="s">
        <v>2468</v>
      </c>
      <c r="E9615" s="3">
        <v>267</v>
      </c>
      <c r="F9615">
        <v>20160504</v>
      </c>
      <c r="G9615" t="s">
        <v>7126</v>
      </c>
      <c r="H9615" t="s">
        <v>5062</v>
      </c>
      <c r="I9615">
        <v>0</v>
      </c>
      <c r="J9615" t="s">
        <v>7024</v>
      </c>
      <c r="K9615" t="s">
        <v>290</v>
      </c>
      <c r="L9615" t="s">
        <v>285</v>
      </c>
      <c r="M9615" t="str">
        <f t="shared" si="723"/>
        <v>05</v>
      </c>
      <c r="N9615" t="s">
        <v>12</v>
      </c>
    </row>
    <row r="9616" spans="1:14" x14ac:dyDescent="0.25">
      <c r="A9616">
        <v>20160506</v>
      </c>
      <c r="B9616" t="str">
        <f>"063354"</f>
        <v>063354</v>
      </c>
      <c r="C9616" t="str">
        <f>"51349"</f>
        <v>51349</v>
      </c>
      <c r="D9616" t="s">
        <v>640</v>
      </c>
      <c r="E9616" s="3">
        <v>156</v>
      </c>
      <c r="F9616">
        <v>20160504</v>
      </c>
      <c r="G9616" t="s">
        <v>7059</v>
      </c>
      <c r="H9616" t="s">
        <v>7677</v>
      </c>
      <c r="I9616">
        <v>0</v>
      </c>
      <c r="J9616" t="s">
        <v>7024</v>
      </c>
      <c r="K9616" t="s">
        <v>33</v>
      </c>
      <c r="L9616" t="s">
        <v>285</v>
      </c>
      <c r="M9616" t="str">
        <f t="shared" si="723"/>
        <v>05</v>
      </c>
      <c r="N9616" t="s">
        <v>12</v>
      </c>
    </row>
    <row r="9617" spans="1:14" x14ac:dyDescent="0.25">
      <c r="A9617">
        <v>20160506</v>
      </c>
      <c r="B9617" t="str">
        <f>"063358"</f>
        <v>063358</v>
      </c>
      <c r="C9617" t="str">
        <f>"21295"</f>
        <v>21295</v>
      </c>
      <c r="D9617" t="s">
        <v>792</v>
      </c>
      <c r="E9617" s="3">
        <v>40</v>
      </c>
      <c r="F9617">
        <v>20160504</v>
      </c>
      <c r="G9617" t="s">
        <v>7212</v>
      </c>
      <c r="H9617" t="s">
        <v>907</v>
      </c>
      <c r="I9617">
        <v>0</v>
      </c>
      <c r="J9617" t="s">
        <v>7024</v>
      </c>
      <c r="K9617" t="s">
        <v>290</v>
      </c>
      <c r="L9617" t="s">
        <v>285</v>
      </c>
      <c r="M9617" t="str">
        <f t="shared" si="723"/>
        <v>05</v>
      </c>
      <c r="N9617" t="s">
        <v>12</v>
      </c>
    </row>
    <row r="9618" spans="1:14" x14ac:dyDescent="0.25">
      <c r="A9618">
        <v>20160506</v>
      </c>
      <c r="B9618" t="str">
        <f>"063361"</f>
        <v>063361</v>
      </c>
      <c r="C9618" t="str">
        <f>"24967"</f>
        <v>24967</v>
      </c>
      <c r="D9618" t="s">
        <v>7130</v>
      </c>
      <c r="E9618" s="3">
        <v>204.76</v>
      </c>
      <c r="F9618">
        <v>20160504</v>
      </c>
      <c r="G9618" t="s">
        <v>7059</v>
      </c>
      <c r="H9618" t="s">
        <v>7678</v>
      </c>
      <c r="I9618">
        <v>0</v>
      </c>
      <c r="J9618" t="s">
        <v>7024</v>
      </c>
      <c r="K9618" t="s">
        <v>33</v>
      </c>
      <c r="L9618" t="s">
        <v>285</v>
      </c>
      <c r="M9618" t="str">
        <f t="shared" si="723"/>
        <v>05</v>
      </c>
      <c r="N9618" t="s">
        <v>12</v>
      </c>
    </row>
    <row r="9619" spans="1:14" x14ac:dyDescent="0.25">
      <c r="A9619">
        <v>20160506</v>
      </c>
      <c r="B9619" t="str">
        <f>"063369"</f>
        <v>063369</v>
      </c>
      <c r="C9619" t="str">
        <f>"30390"</f>
        <v>30390</v>
      </c>
      <c r="D9619" t="s">
        <v>3087</v>
      </c>
      <c r="E9619" s="3">
        <v>2199.08</v>
      </c>
      <c r="F9619">
        <v>20160504</v>
      </c>
      <c r="G9619" t="s">
        <v>7094</v>
      </c>
      <c r="H9619" t="s">
        <v>2091</v>
      </c>
      <c r="I9619">
        <v>0</v>
      </c>
      <c r="J9619" t="s">
        <v>7024</v>
      </c>
      <c r="K9619" t="s">
        <v>1643</v>
      </c>
      <c r="L9619" t="s">
        <v>285</v>
      </c>
      <c r="M9619" t="str">
        <f t="shared" si="723"/>
        <v>05</v>
      </c>
      <c r="N9619" t="s">
        <v>12</v>
      </c>
    </row>
    <row r="9620" spans="1:14" x14ac:dyDescent="0.25">
      <c r="A9620">
        <v>20160506</v>
      </c>
      <c r="B9620" t="str">
        <f>"063374"</f>
        <v>063374</v>
      </c>
      <c r="C9620" t="str">
        <f>"37647"</f>
        <v>37647</v>
      </c>
      <c r="D9620" t="s">
        <v>803</v>
      </c>
      <c r="E9620" s="3">
        <v>60</v>
      </c>
      <c r="F9620">
        <v>20160504</v>
      </c>
      <c r="G9620" t="s">
        <v>7212</v>
      </c>
      <c r="H9620" t="s">
        <v>907</v>
      </c>
      <c r="I9620">
        <v>0</v>
      </c>
      <c r="J9620" t="s">
        <v>7024</v>
      </c>
      <c r="K9620" t="s">
        <v>290</v>
      </c>
      <c r="L9620" t="s">
        <v>285</v>
      </c>
      <c r="M9620" t="str">
        <f t="shared" si="723"/>
        <v>05</v>
      </c>
      <c r="N9620" t="s">
        <v>12</v>
      </c>
    </row>
    <row r="9621" spans="1:14" x14ac:dyDescent="0.25">
      <c r="A9621">
        <v>20160506</v>
      </c>
      <c r="B9621" t="str">
        <f t="shared" ref="B9621:B9627" si="724">"063375"</f>
        <v>063375</v>
      </c>
      <c r="C9621" t="str">
        <f t="shared" ref="C9621:C9627" si="725">"37500"</f>
        <v>37500</v>
      </c>
      <c r="D9621" t="s">
        <v>1652</v>
      </c>
      <c r="E9621" s="3">
        <v>15.99</v>
      </c>
      <c r="F9621">
        <v>20160505</v>
      </c>
      <c r="G9621" t="s">
        <v>7059</v>
      </c>
      <c r="H9621" t="s">
        <v>7679</v>
      </c>
      <c r="I9621">
        <v>0</v>
      </c>
      <c r="J9621" t="s">
        <v>7024</v>
      </c>
      <c r="K9621" t="s">
        <v>33</v>
      </c>
      <c r="L9621" t="s">
        <v>285</v>
      </c>
      <c r="M9621" t="str">
        <f t="shared" si="723"/>
        <v>05</v>
      </c>
      <c r="N9621" t="s">
        <v>12</v>
      </c>
    </row>
    <row r="9622" spans="1:14" x14ac:dyDescent="0.25">
      <c r="A9622">
        <v>20160506</v>
      </c>
      <c r="B9622" t="str">
        <f t="shared" si="724"/>
        <v>063375</v>
      </c>
      <c r="C9622" t="str">
        <f t="shared" si="725"/>
        <v>37500</v>
      </c>
      <c r="D9622" t="s">
        <v>1652</v>
      </c>
      <c r="E9622" s="3">
        <v>143.19999999999999</v>
      </c>
      <c r="F9622">
        <v>20160505</v>
      </c>
      <c r="G9622" t="s">
        <v>7026</v>
      </c>
      <c r="H9622" t="s">
        <v>7680</v>
      </c>
      <c r="I9622">
        <v>0</v>
      </c>
      <c r="J9622" t="s">
        <v>7024</v>
      </c>
      <c r="K9622" t="s">
        <v>1643</v>
      </c>
      <c r="L9622" t="s">
        <v>285</v>
      </c>
      <c r="M9622" t="str">
        <f t="shared" si="723"/>
        <v>05</v>
      </c>
      <c r="N9622" t="s">
        <v>12</v>
      </c>
    </row>
    <row r="9623" spans="1:14" x14ac:dyDescent="0.25">
      <c r="A9623">
        <v>20160506</v>
      </c>
      <c r="B9623" t="str">
        <f t="shared" si="724"/>
        <v>063375</v>
      </c>
      <c r="C9623" t="str">
        <f t="shared" si="725"/>
        <v>37500</v>
      </c>
      <c r="D9623" t="s">
        <v>1652</v>
      </c>
      <c r="E9623" s="3">
        <v>119.97</v>
      </c>
      <c r="F9623">
        <v>20160505</v>
      </c>
      <c r="G9623" t="s">
        <v>7026</v>
      </c>
      <c r="H9623" t="s">
        <v>7681</v>
      </c>
      <c r="I9623">
        <v>0</v>
      </c>
      <c r="J9623" t="s">
        <v>7024</v>
      </c>
      <c r="K9623" t="s">
        <v>1643</v>
      </c>
      <c r="L9623" t="s">
        <v>285</v>
      </c>
      <c r="M9623" t="str">
        <f t="shared" si="723"/>
        <v>05</v>
      </c>
      <c r="N9623" t="s">
        <v>12</v>
      </c>
    </row>
    <row r="9624" spans="1:14" x14ac:dyDescent="0.25">
      <c r="A9624">
        <v>20160506</v>
      </c>
      <c r="B9624" t="str">
        <f t="shared" si="724"/>
        <v>063375</v>
      </c>
      <c r="C9624" t="str">
        <f t="shared" si="725"/>
        <v>37500</v>
      </c>
      <c r="D9624" t="s">
        <v>1652</v>
      </c>
      <c r="E9624" s="3">
        <v>41.77</v>
      </c>
      <c r="F9624">
        <v>20160505</v>
      </c>
      <c r="G9624" t="s">
        <v>7314</v>
      </c>
      <c r="H9624" t="s">
        <v>7682</v>
      </c>
      <c r="I9624">
        <v>0</v>
      </c>
      <c r="J9624" t="s">
        <v>7024</v>
      </c>
      <c r="K9624" t="s">
        <v>290</v>
      </c>
      <c r="L9624" t="s">
        <v>285</v>
      </c>
      <c r="M9624" t="str">
        <f t="shared" si="723"/>
        <v>05</v>
      </c>
      <c r="N9624" t="s">
        <v>12</v>
      </c>
    </row>
    <row r="9625" spans="1:14" x14ac:dyDescent="0.25">
      <c r="A9625">
        <v>20160506</v>
      </c>
      <c r="B9625" t="str">
        <f t="shared" si="724"/>
        <v>063375</v>
      </c>
      <c r="C9625" t="str">
        <f t="shared" si="725"/>
        <v>37500</v>
      </c>
      <c r="D9625" t="s">
        <v>1652</v>
      </c>
      <c r="E9625" s="3">
        <v>148.43</v>
      </c>
      <c r="F9625">
        <v>20160505</v>
      </c>
      <c r="G9625" t="s">
        <v>7143</v>
      </c>
      <c r="H9625" t="s">
        <v>7621</v>
      </c>
      <c r="I9625">
        <v>0</v>
      </c>
      <c r="J9625" t="s">
        <v>7024</v>
      </c>
      <c r="K9625" t="s">
        <v>290</v>
      </c>
      <c r="L9625" t="s">
        <v>285</v>
      </c>
      <c r="M9625" t="str">
        <f t="shared" si="723"/>
        <v>05</v>
      </c>
      <c r="N9625" t="s">
        <v>12</v>
      </c>
    </row>
    <row r="9626" spans="1:14" x14ac:dyDescent="0.25">
      <c r="A9626">
        <v>20160506</v>
      </c>
      <c r="B9626" t="str">
        <f t="shared" si="724"/>
        <v>063375</v>
      </c>
      <c r="C9626" t="str">
        <f t="shared" si="725"/>
        <v>37500</v>
      </c>
      <c r="D9626" t="s">
        <v>1652</v>
      </c>
      <c r="E9626" s="3">
        <v>18.649999999999999</v>
      </c>
      <c r="F9626">
        <v>20160505</v>
      </c>
      <c r="G9626" t="s">
        <v>7179</v>
      </c>
      <c r="H9626" t="s">
        <v>4745</v>
      </c>
      <c r="I9626">
        <v>0</v>
      </c>
      <c r="J9626" t="s">
        <v>7024</v>
      </c>
      <c r="K9626" t="s">
        <v>95</v>
      </c>
      <c r="L9626" t="s">
        <v>285</v>
      </c>
      <c r="M9626" t="str">
        <f t="shared" si="723"/>
        <v>05</v>
      </c>
      <c r="N9626" t="s">
        <v>12</v>
      </c>
    </row>
    <row r="9627" spans="1:14" x14ac:dyDescent="0.25">
      <c r="A9627">
        <v>20160506</v>
      </c>
      <c r="B9627" t="str">
        <f t="shared" si="724"/>
        <v>063375</v>
      </c>
      <c r="C9627" t="str">
        <f t="shared" si="725"/>
        <v>37500</v>
      </c>
      <c r="D9627" t="s">
        <v>1652</v>
      </c>
      <c r="E9627" s="3">
        <v>36.340000000000003</v>
      </c>
      <c r="F9627">
        <v>20160505</v>
      </c>
      <c r="G9627" t="s">
        <v>7179</v>
      </c>
      <c r="H9627" t="s">
        <v>5090</v>
      </c>
      <c r="I9627">
        <v>0</v>
      </c>
      <c r="J9627" t="s">
        <v>7024</v>
      </c>
      <c r="K9627" t="s">
        <v>95</v>
      </c>
      <c r="L9627" t="s">
        <v>285</v>
      </c>
      <c r="M9627" t="str">
        <f t="shared" si="723"/>
        <v>05</v>
      </c>
      <c r="N9627" t="s">
        <v>12</v>
      </c>
    </row>
    <row r="9628" spans="1:14" x14ac:dyDescent="0.25">
      <c r="A9628">
        <v>20160506</v>
      </c>
      <c r="B9628" t="str">
        <f>"063379"</f>
        <v>063379</v>
      </c>
      <c r="C9628" t="str">
        <f>"39197"</f>
        <v>39197</v>
      </c>
      <c r="D9628" t="s">
        <v>7683</v>
      </c>
      <c r="E9628" s="3">
        <v>60</v>
      </c>
      <c r="F9628">
        <v>20160504</v>
      </c>
      <c r="G9628" t="s">
        <v>7212</v>
      </c>
      <c r="H9628" t="s">
        <v>7592</v>
      </c>
      <c r="I9628">
        <v>0</v>
      </c>
      <c r="J9628" t="s">
        <v>7024</v>
      </c>
      <c r="K9628" t="s">
        <v>290</v>
      </c>
      <c r="L9628" t="s">
        <v>285</v>
      </c>
      <c r="M9628" t="str">
        <f t="shared" si="723"/>
        <v>05</v>
      </c>
      <c r="N9628" t="s">
        <v>12</v>
      </c>
    </row>
    <row r="9629" spans="1:14" x14ac:dyDescent="0.25">
      <c r="A9629">
        <v>20160506</v>
      </c>
      <c r="B9629" t="str">
        <f>"063379"</f>
        <v>063379</v>
      </c>
      <c r="C9629" t="str">
        <f>"39197"</f>
        <v>39197</v>
      </c>
      <c r="D9629" t="s">
        <v>7683</v>
      </c>
      <c r="E9629" s="3">
        <v>60</v>
      </c>
      <c r="F9629">
        <v>20160504</v>
      </c>
      <c r="G9629" t="s">
        <v>7212</v>
      </c>
      <c r="H9629" t="s">
        <v>907</v>
      </c>
      <c r="I9629">
        <v>0</v>
      </c>
      <c r="J9629" t="s">
        <v>7024</v>
      </c>
      <c r="K9629" t="s">
        <v>290</v>
      </c>
      <c r="L9629" t="s">
        <v>285</v>
      </c>
      <c r="M9629" t="str">
        <f t="shared" si="723"/>
        <v>05</v>
      </c>
      <c r="N9629" t="s">
        <v>12</v>
      </c>
    </row>
    <row r="9630" spans="1:14" x14ac:dyDescent="0.25">
      <c r="A9630">
        <v>20160506</v>
      </c>
      <c r="B9630" t="str">
        <f>"063382"</f>
        <v>063382</v>
      </c>
      <c r="C9630" t="str">
        <f>"45093"</f>
        <v>45093</v>
      </c>
      <c r="D9630" t="s">
        <v>538</v>
      </c>
      <c r="E9630" s="3">
        <v>10</v>
      </c>
      <c r="F9630">
        <v>20160504</v>
      </c>
      <c r="G9630" t="s">
        <v>7126</v>
      </c>
      <c r="H9630" t="s">
        <v>4050</v>
      </c>
      <c r="I9630">
        <v>0</v>
      </c>
      <c r="J9630" t="s">
        <v>7024</v>
      </c>
      <c r="K9630" t="s">
        <v>290</v>
      </c>
      <c r="L9630" t="s">
        <v>285</v>
      </c>
      <c r="M9630" t="str">
        <f t="shared" si="723"/>
        <v>05</v>
      </c>
      <c r="N9630" t="s">
        <v>12</v>
      </c>
    </row>
    <row r="9631" spans="1:14" x14ac:dyDescent="0.25">
      <c r="A9631">
        <v>20160506</v>
      </c>
      <c r="B9631" t="str">
        <f>"063382"</f>
        <v>063382</v>
      </c>
      <c r="C9631" t="str">
        <f>"45093"</f>
        <v>45093</v>
      </c>
      <c r="D9631" t="s">
        <v>538</v>
      </c>
      <c r="E9631" s="3">
        <v>163.13</v>
      </c>
      <c r="F9631">
        <v>20160504</v>
      </c>
      <c r="G9631" t="s">
        <v>7126</v>
      </c>
      <c r="H9631" t="s">
        <v>7684</v>
      </c>
      <c r="I9631">
        <v>0</v>
      </c>
      <c r="J9631" t="s">
        <v>7024</v>
      </c>
      <c r="K9631" t="s">
        <v>290</v>
      </c>
      <c r="L9631" t="s">
        <v>285</v>
      </c>
      <c r="M9631" t="str">
        <f t="shared" si="723"/>
        <v>05</v>
      </c>
      <c r="N9631" t="s">
        <v>12</v>
      </c>
    </row>
    <row r="9632" spans="1:14" x14ac:dyDescent="0.25">
      <c r="A9632">
        <v>20160506</v>
      </c>
      <c r="B9632" t="str">
        <f>"063388"</f>
        <v>063388</v>
      </c>
      <c r="C9632" t="str">
        <f>"49748"</f>
        <v>49748</v>
      </c>
      <c r="D9632" t="s">
        <v>1885</v>
      </c>
      <c r="E9632" s="3">
        <v>90.97</v>
      </c>
      <c r="F9632">
        <v>20160504</v>
      </c>
      <c r="G9632" t="s">
        <v>7476</v>
      </c>
      <c r="H9632" t="s">
        <v>7685</v>
      </c>
      <c r="I9632">
        <v>0</v>
      </c>
      <c r="J9632" t="s">
        <v>7024</v>
      </c>
      <c r="K9632" t="s">
        <v>290</v>
      </c>
      <c r="L9632" t="s">
        <v>285</v>
      </c>
      <c r="M9632" t="str">
        <f t="shared" si="723"/>
        <v>05</v>
      </c>
      <c r="N9632" t="s">
        <v>12</v>
      </c>
    </row>
    <row r="9633" spans="1:14" x14ac:dyDescent="0.25">
      <c r="A9633">
        <v>20160506</v>
      </c>
      <c r="B9633" t="str">
        <f>"063392"</f>
        <v>063392</v>
      </c>
      <c r="C9633" t="str">
        <f>"51347"</f>
        <v>51347</v>
      </c>
      <c r="D9633" t="s">
        <v>1096</v>
      </c>
      <c r="E9633" s="3">
        <v>210</v>
      </c>
      <c r="F9633">
        <v>20160504</v>
      </c>
      <c r="G9633" t="s">
        <v>7126</v>
      </c>
      <c r="H9633" t="s">
        <v>5112</v>
      </c>
      <c r="I9633">
        <v>0</v>
      </c>
      <c r="J9633" t="s">
        <v>7024</v>
      </c>
      <c r="K9633" t="s">
        <v>290</v>
      </c>
      <c r="L9633" t="s">
        <v>285</v>
      </c>
      <c r="M9633" t="str">
        <f t="shared" si="723"/>
        <v>05</v>
      </c>
      <c r="N9633" t="s">
        <v>12</v>
      </c>
    </row>
    <row r="9634" spans="1:14" x14ac:dyDescent="0.25">
      <c r="A9634">
        <v>20160506</v>
      </c>
      <c r="B9634" t="str">
        <f>"063400"</f>
        <v>063400</v>
      </c>
      <c r="C9634" t="str">
        <f>"57331"</f>
        <v>57331</v>
      </c>
      <c r="D9634" t="s">
        <v>7686</v>
      </c>
      <c r="E9634" s="3">
        <v>950</v>
      </c>
      <c r="F9634">
        <v>20160504</v>
      </c>
      <c r="G9634" t="s">
        <v>7195</v>
      </c>
      <c r="H9634" t="s">
        <v>7687</v>
      </c>
      <c r="I9634">
        <v>0</v>
      </c>
      <c r="J9634" t="s">
        <v>7024</v>
      </c>
      <c r="K9634" t="s">
        <v>95</v>
      </c>
      <c r="L9634" t="s">
        <v>285</v>
      </c>
      <c r="M9634" t="str">
        <f t="shared" si="723"/>
        <v>05</v>
      </c>
      <c r="N9634" t="s">
        <v>12</v>
      </c>
    </row>
    <row r="9635" spans="1:14" x14ac:dyDescent="0.25">
      <c r="A9635">
        <v>20160506</v>
      </c>
      <c r="B9635" t="str">
        <f>"063401"</f>
        <v>063401</v>
      </c>
      <c r="C9635" t="str">
        <f>"58214"</f>
        <v>58214</v>
      </c>
      <c r="D9635" t="s">
        <v>7688</v>
      </c>
      <c r="E9635" s="3">
        <v>60</v>
      </c>
      <c r="F9635">
        <v>20160504</v>
      </c>
      <c r="G9635" t="s">
        <v>7212</v>
      </c>
      <c r="H9635" t="s">
        <v>907</v>
      </c>
      <c r="I9635">
        <v>0</v>
      </c>
      <c r="J9635" t="s">
        <v>7024</v>
      </c>
      <c r="K9635" t="s">
        <v>290</v>
      </c>
      <c r="L9635" t="s">
        <v>285</v>
      </c>
      <c r="M9635" t="str">
        <f t="shared" si="723"/>
        <v>05</v>
      </c>
      <c r="N9635" t="s">
        <v>12</v>
      </c>
    </row>
    <row r="9636" spans="1:14" x14ac:dyDescent="0.25">
      <c r="A9636">
        <v>20160506</v>
      </c>
      <c r="B9636" t="str">
        <f>"063402"</f>
        <v>063402</v>
      </c>
      <c r="C9636" t="str">
        <f>"58202"</f>
        <v>58202</v>
      </c>
      <c r="D9636" t="s">
        <v>2695</v>
      </c>
      <c r="E9636" s="3">
        <v>17.989999999999998</v>
      </c>
      <c r="F9636">
        <v>20160504</v>
      </c>
      <c r="G9636" t="s">
        <v>7179</v>
      </c>
      <c r="H9636" t="s">
        <v>7689</v>
      </c>
      <c r="I9636">
        <v>0</v>
      </c>
      <c r="J9636" t="s">
        <v>7024</v>
      </c>
      <c r="K9636" t="s">
        <v>95</v>
      </c>
      <c r="L9636" t="s">
        <v>285</v>
      </c>
      <c r="M9636" t="str">
        <f t="shared" si="723"/>
        <v>05</v>
      </c>
      <c r="N9636" t="s">
        <v>12</v>
      </c>
    </row>
    <row r="9637" spans="1:14" x14ac:dyDescent="0.25">
      <c r="A9637">
        <v>20160506</v>
      </c>
      <c r="B9637" t="str">
        <f>"063405"</f>
        <v>063405</v>
      </c>
      <c r="C9637" t="str">
        <f>"60853"</f>
        <v>60853</v>
      </c>
      <c r="D9637" t="s">
        <v>676</v>
      </c>
      <c r="E9637" s="3">
        <v>120</v>
      </c>
      <c r="F9637">
        <v>20160505</v>
      </c>
      <c r="G9637" t="s">
        <v>7212</v>
      </c>
      <c r="H9637" t="s">
        <v>7690</v>
      </c>
      <c r="I9637">
        <v>0</v>
      </c>
      <c r="J9637" t="s">
        <v>7024</v>
      </c>
      <c r="K9637" t="s">
        <v>290</v>
      </c>
      <c r="L9637" t="s">
        <v>285</v>
      </c>
      <c r="M9637" t="str">
        <f t="shared" si="723"/>
        <v>05</v>
      </c>
      <c r="N9637" t="s">
        <v>12</v>
      </c>
    </row>
    <row r="9638" spans="1:14" x14ac:dyDescent="0.25">
      <c r="A9638">
        <v>20160506</v>
      </c>
      <c r="B9638" t="str">
        <f>"063408"</f>
        <v>063408</v>
      </c>
      <c r="C9638" t="str">
        <f>"64822"</f>
        <v>64822</v>
      </c>
      <c r="D9638" t="s">
        <v>1049</v>
      </c>
      <c r="E9638" s="3">
        <v>60</v>
      </c>
      <c r="F9638">
        <v>20160505</v>
      </c>
      <c r="G9638" t="s">
        <v>7285</v>
      </c>
      <c r="H9638" t="s">
        <v>7529</v>
      </c>
      <c r="I9638">
        <v>0</v>
      </c>
      <c r="J9638" t="s">
        <v>7024</v>
      </c>
      <c r="K9638" t="s">
        <v>290</v>
      </c>
      <c r="L9638" t="s">
        <v>285</v>
      </c>
      <c r="M9638" t="str">
        <f t="shared" si="723"/>
        <v>05</v>
      </c>
      <c r="N9638" t="s">
        <v>12</v>
      </c>
    </row>
    <row r="9639" spans="1:14" x14ac:dyDescent="0.25">
      <c r="A9639">
        <v>20160506</v>
      </c>
      <c r="B9639" t="str">
        <f>"063408"</f>
        <v>063408</v>
      </c>
      <c r="C9639" t="str">
        <f>"64822"</f>
        <v>64822</v>
      </c>
      <c r="D9639" t="s">
        <v>1049</v>
      </c>
      <c r="E9639" s="3">
        <v>60</v>
      </c>
      <c r="F9639">
        <v>20160505</v>
      </c>
      <c r="G9639" t="s">
        <v>7285</v>
      </c>
      <c r="H9639" t="s">
        <v>7529</v>
      </c>
      <c r="I9639">
        <v>0</v>
      </c>
      <c r="J9639" t="s">
        <v>7024</v>
      </c>
      <c r="K9639" t="s">
        <v>290</v>
      </c>
      <c r="L9639" t="s">
        <v>285</v>
      </c>
      <c r="M9639" t="str">
        <f t="shared" si="723"/>
        <v>05</v>
      </c>
      <c r="N9639" t="s">
        <v>12</v>
      </c>
    </row>
    <row r="9640" spans="1:14" x14ac:dyDescent="0.25">
      <c r="A9640">
        <v>20160506</v>
      </c>
      <c r="B9640" t="str">
        <f>"063412"</f>
        <v>063412</v>
      </c>
      <c r="C9640" t="str">
        <f>"67747"</f>
        <v>67747</v>
      </c>
      <c r="D9640" t="s">
        <v>7691</v>
      </c>
      <c r="E9640" s="3">
        <v>25</v>
      </c>
      <c r="F9640">
        <v>20160505</v>
      </c>
      <c r="G9640" t="s">
        <v>7212</v>
      </c>
      <c r="H9640" t="s">
        <v>907</v>
      </c>
      <c r="I9640">
        <v>0</v>
      </c>
      <c r="J9640" t="s">
        <v>7024</v>
      </c>
      <c r="K9640" t="s">
        <v>290</v>
      </c>
      <c r="L9640" t="s">
        <v>285</v>
      </c>
      <c r="M9640" t="str">
        <f t="shared" si="723"/>
        <v>05</v>
      </c>
      <c r="N9640" t="s">
        <v>12</v>
      </c>
    </row>
    <row r="9641" spans="1:14" x14ac:dyDescent="0.25">
      <c r="A9641">
        <v>20160506</v>
      </c>
      <c r="B9641" t="str">
        <f>"063417"</f>
        <v>063417</v>
      </c>
      <c r="C9641" t="str">
        <f>"76490"</f>
        <v>76490</v>
      </c>
      <c r="D9641" t="s">
        <v>373</v>
      </c>
      <c r="E9641" s="3">
        <v>500</v>
      </c>
      <c r="F9641">
        <v>20160505</v>
      </c>
      <c r="G9641" t="s">
        <v>7692</v>
      </c>
      <c r="H9641" t="s">
        <v>7693</v>
      </c>
      <c r="I9641">
        <v>0</v>
      </c>
      <c r="J9641" t="s">
        <v>7024</v>
      </c>
      <c r="K9641" t="s">
        <v>290</v>
      </c>
      <c r="L9641" t="s">
        <v>285</v>
      </c>
      <c r="M9641" t="str">
        <f t="shared" si="723"/>
        <v>05</v>
      </c>
      <c r="N9641" t="s">
        <v>12</v>
      </c>
    </row>
    <row r="9642" spans="1:14" x14ac:dyDescent="0.25">
      <c r="A9642">
        <v>20160506</v>
      </c>
      <c r="B9642" t="str">
        <f>"063418"</f>
        <v>063418</v>
      </c>
      <c r="C9642" t="str">
        <f>"76476"</f>
        <v>76476</v>
      </c>
      <c r="D9642" t="s">
        <v>373</v>
      </c>
      <c r="E9642" s="3">
        <v>500</v>
      </c>
      <c r="F9642">
        <v>20160505</v>
      </c>
      <c r="G9642" t="s">
        <v>7692</v>
      </c>
      <c r="H9642" t="s">
        <v>7694</v>
      </c>
      <c r="I9642">
        <v>0</v>
      </c>
      <c r="J9642" t="s">
        <v>7024</v>
      </c>
      <c r="K9642" t="s">
        <v>290</v>
      </c>
      <c r="L9642" t="s">
        <v>285</v>
      </c>
      <c r="M9642" t="str">
        <f t="shared" si="723"/>
        <v>05</v>
      </c>
      <c r="N9642" t="s">
        <v>12</v>
      </c>
    </row>
    <row r="9643" spans="1:14" x14ac:dyDescent="0.25">
      <c r="A9643">
        <v>20160506</v>
      </c>
      <c r="B9643" t="str">
        <f>"063421"</f>
        <v>063421</v>
      </c>
      <c r="C9643" t="str">
        <f>"70641"</f>
        <v>70641</v>
      </c>
      <c r="D9643" t="s">
        <v>6012</v>
      </c>
      <c r="E9643" s="3">
        <v>1707</v>
      </c>
      <c r="F9643">
        <v>20160505</v>
      </c>
      <c r="G9643" t="s">
        <v>7026</v>
      </c>
      <c r="H9643" t="s">
        <v>7695</v>
      </c>
      <c r="I9643">
        <v>0</v>
      </c>
      <c r="J9643" t="s">
        <v>7024</v>
      </c>
      <c r="K9643" t="s">
        <v>1643</v>
      </c>
      <c r="L9643" t="s">
        <v>285</v>
      </c>
      <c r="M9643" t="str">
        <f t="shared" si="723"/>
        <v>05</v>
      </c>
      <c r="N9643" t="s">
        <v>12</v>
      </c>
    </row>
    <row r="9644" spans="1:14" x14ac:dyDescent="0.25">
      <c r="A9644">
        <v>20160506</v>
      </c>
      <c r="B9644" t="str">
        <f>"063421"</f>
        <v>063421</v>
      </c>
      <c r="C9644" t="str">
        <f>"70641"</f>
        <v>70641</v>
      </c>
      <c r="D9644" t="s">
        <v>6012</v>
      </c>
      <c r="E9644" s="3">
        <v>1170</v>
      </c>
      <c r="F9644">
        <v>20160505</v>
      </c>
      <c r="G9644" t="s">
        <v>7026</v>
      </c>
      <c r="H9644" t="s">
        <v>7695</v>
      </c>
      <c r="I9644">
        <v>0</v>
      </c>
      <c r="J9644" t="s">
        <v>7024</v>
      </c>
      <c r="K9644" t="s">
        <v>1643</v>
      </c>
      <c r="L9644" t="s">
        <v>285</v>
      </c>
      <c r="M9644" t="str">
        <f t="shared" si="723"/>
        <v>05</v>
      </c>
      <c r="N9644" t="s">
        <v>12</v>
      </c>
    </row>
    <row r="9645" spans="1:14" x14ac:dyDescent="0.25">
      <c r="A9645">
        <v>20160506</v>
      </c>
      <c r="B9645" t="str">
        <f>"063422"</f>
        <v>063422</v>
      </c>
      <c r="C9645" t="str">
        <f>"79426"</f>
        <v>79426</v>
      </c>
      <c r="D9645" t="s">
        <v>5142</v>
      </c>
      <c r="E9645" s="3">
        <v>169</v>
      </c>
      <c r="F9645">
        <v>20160505</v>
      </c>
      <c r="G9645" t="s">
        <v>7403</v>
      </c>
      <c r="H9645" t="s">
        <v>5143</v>
      </c>
      <c r="I9645">
        <v>0</v>
      </c>
      <c r="J9645" t="s">
        <v>7024</v>
      </c>
      <c r="K9645" t="s">
        <v>290</v>
      </c>
      <c r="L9645" t="s">
        <v>285</v>
      </c>
      <c r="M9645" t="str">
        <f t="shared" si="723"/>
        <v>05</v>
      </c>
      <c r="N9645" t="s">
        <v>12</v>
      </c>
    </row>
    <row r="9646" spans="1:14" x14ac:dyDescent="0.25">
      <c r="A9646">
        <v>20160506</v>
      </c>
      <c r="B9646" t="str">
        <f>"063423"</f>
        <v>063423</v>
      </c>
      <c r="C9646" t="str">
        <f>"79426"</f>
        <v>79426</v>
      </c>
      <c r="D9646" t="s">
        <v>5142</v>
      </c>
      <c r="E9646" s="3">
        <v>78.849999999999994</v>
      </c>
      <c r="F9646">
        <v>20160505</v>
      </c>
      <c r="G9646" t="s">
        <v>7696</v>
      </c>
      <c r="H9646" t="s">
        <v>5143</v>
      </c>
      <c r="I9646">
        <v>0</v>
      </c>
      <c r="J9646" t="s">
        <v>7024</v>
      </c>
      <c r="K9646" t="s">
        <v>33</v>
      </c>
      <c r="L9646" t="s">
        <v>285</v>
      </c>
      <c r="M9646" t="str">
        <f t="shared" ref="M9646:M9677" si="726">"05"</f>
        <v>05</v>
      </c>
      <c r="N9646" t="s">
        <v>12</v>
      </c>
    </row>
    <row r="9647" spans="1:14" x14ac:dyDescent="0.25">
      <c r="A9647">
        <v>20160506</v>
      </c>
      <c r="B9647" t="str">
        <f>"063424"</f>
        <v>063424</v>
      </c>
      <c r="C9647" t="str">
        <f>"24519"</f>
        <v>24519</v>
      </c>
      <c r="D9647" t="s">
        <v>7046</v>
      </c>
      <c r="E9647" s="3">
        <v>17325.8</v>
      </c>
      <c r="F9647">
        <v>20160505</v>
      </c>
      <c r="G9647" t="s">
        <v>7026</v>
      </c>
      <c r="H9647" t="s">
        <v>7697</v>
      </c>
      <c r="I9647">
        <v>0</v>
      </c>
      <c r="J9647" t="s">
        <v>7024</v>
      </c>
      <c r="K9647" t="s">
        <v>1643</v>
      </c>
      <c r="L9647" t="s">
        <v>285</v>
      </c>
      <c r="M9647" t="str">
        <f t="shared" si="726"/>
        <v>05</v>
      </c>
      <c r="N9647" t="s">
        <v>12</v>
      </c>
    </row>
    <row r="9648" spans="1:14" x14ac:dyDescent="0.25">
      <c r="A9648">
        <v>20160506</v>
      </c>
      <c r="B9648" t="str">
        <f>"063429"</f>
        <v>063429</v>
      </c>
      <c r="C9648" t="str">
        <f>"83076"</f>
        <v>83076</v>
      </c>
      <c r="D9648" t="s">
        <v>825</v>
      </c>
      <c r="E9648" s="3">
        <v>25</v>
      </c>
      <c r="F9648">
        <v>20160505</v>
      </c>
      <c r="G9648" t="s">
        <v>7212</v>
      </c>
      <c r="H9648" t="s">
        <v>907</v>
      </c>
      <c r="I9648">
        <v>0</v>
      </c>
      <c r="J9648" t="s">
        <v>7024</v>
      </c>
      <c r="K9648" t="s">
        <v>290</v>
      </c>
      <c r="L9648" t="s">
        <v>285</v>
      </c>
      <c r="M9648" t="str">
        <f t="shared" si="726"/>
        <v>05</v>
      </c>
      <c r="N9648" t="s">
        <v>12</v>
      </c>
    </row>
    <row r="9649" spans="1:14" x14ac:dyDescent="0.25">
      <c r="A9649">
        <v>20160513</v>
      </c>
      <c r="B9649" t="str">
        <f>"063442"</f>
        <v>063442</v>
      </c>
      <c r="C9649" t="str">
        <f>"13265"</f>
        <v>13265</v>
      </c>
      <c r="D9649" t="s">
        <v>7698</v>
      </c>
      <c r="E9649" s="3">
        <v>7200</v>
      </c>
      <c r="F9649">
        <v>20160511</v>
      </c>
      <c r="G9649" t="s">
        <v>7082</v>
      </c>
      <c r="H9649" t="s">
        <v>7699</v>
      </c>
      <c r="I9649">
        <v>0</v>
      </c>
      <c r="J9649" t="s">
        <v>7024</v>
      </c>
      <c r="K9649" t="s">
        <v>95</v>
      </c>
      <c r="L9649" t="s">
        <v>285</v>
      </c>
      <c r="M9649" t="str">
        <f t="shared" si="726"/>
        <v>05</v>
      </c>
      <c r="N9649" t="s">
        <v>12</v>
      </c>
    </row>
    <row r="9650" spans="1:14" x14ac:dyDescent="0.25">
      <c r="A9650">
        <v>20160513</v>
      </c>
      <c r="B9650" t="str">
        <f>"063444"</f>
        <v>063444</v>
      </c>
      <c r="C9650" t="str">
        <f>"19087"</f>
        <v>19087</v>
      </c>
      <c r="D9650" t="s">
        <v>7700</v>
      </c>
      <c r="E9650" s="3">
        <v>3149.64</v>
      </c>
      <c r="F9650">
        <v>20160511</v>
      </c>
      <c r="G9650" t="s">
        <v>7192</v>
      </c>
      <c r="H9650" t="s">
        <v>2091</v>
      </c>
      <c r="I9650">
        <v>0</v>
      </c>
      <c r="J9650" t="s">
        <v>7024</v>
      </c>
      <c r="K9650" t="s">
        <v>33</v>
      </c>
      <c r="L9650" t="s">
        <v>285</v>
      </c>
      <c r="M9650" t="str">
        <f t="shared" si="726"/>
        <v>05</v>
      </c>
      <c r="N9650" t="s">
        <v>12</v>
      </c>
    </row>
    <row r="9651" spans="1:14" x14ac:dyDescent="0.25">
      <c r="A9651">
        <v>20160513</v>
      </c>
      <c r="B9651" t="str">
        <f>"063448"</f>
        <v>063448</v>
      </c>
      <c r="C9651" t="str">
        <f>"51346"</f>
        <v>51346</v>
      </c>
      <c r="D9651" t="s">
        <v>379</v>
      </c>
      <c r="E9651" s="3">
        <v>180</v>
      </c>
      <c r="F9651">
        <v>20160511</v>
      </c>
      <c r="G9651" t="s">
        <v>7026</v>
      </c>
      <c r="H9651" t="s">
        <v>7701</v>
      </c>
      <c r="I9651">
        <v>0</v>
      </c>
      <c r="J9651" t="s">
        <v>7024</v>
      </c>
      <c r="K9651" t="s">
        <v>1643</v>
      </c>
      <c r="L9651" t="s">
        <v>285</v>
      </c>
      <c r="M9651" t="str">
        <f t="shared" si="726"/>
        <v>05</v>
      </c>
      <c r="N9651" t="s">
        <v>12</v>
      </c>
    </row>
    <row r="9652" spans="1:14" x14ac:dyDescent="0.25">
      <c r="A9652">
        <v>20160513</v>
      </c>
      <c r="B9652" t="str">
        <f>"063462"</f>
        <v>063462</v>
      </c>
      <c r="C9652" t="str">
        <f>"00012"</f>
        <v>00012</v>
      </c>
      <c r="D9652" t="s">
        <v>5507</v>
      </c>
      <c r="E9652" s="3">
        <v>1216.1199999999999</v>
      </c>
      <c r="F9652">
        <v>20160511</v>
      </c>
      <c r="G9652" t="s">
        <v>7143</v>
      </c>
      <c r="H9652" t="s">
        <v>7702</v>
      </c>
      <c r="I9652">
        <v>0</v>
      </c>
      <c r="J9652" t="s">
        <v>7024</v>
      </c>
      <c r="K9652" t="s">
        <v>290</v>
      </c>
      <c r="L9652" t="s">
        <v>285</v>
      </c>
      <c r="M9652" t="str">
        <f t="shared" si="726"/>
        <v>05</v>
      </c>
      <c r="N9652" t="s">
        <v>12</v>
      </c>
    </row>
    <row r="9653" spans="1:14" x14ac:dyDescent="0.25">
      <c r="A9653">
        <v>20160513</v>
      </c>
      <c r="B9653" t="str">
        <f>"063463"</f>
        <v>063463</v>
      </c>
      <c r="C9653" t="str">
        <f>"31345"</f>
        <v>31345</v>
      </c>
      <c r="D9653" t="s">
        <v>426</v>
      </c>
      <c r="E9653" s="3">
        <v>139.5</v>
      </c>
      <c r="F9653">
        <v>20160511</v>
      </c>
      <c r="G9653" t="s">
        <v>7372</v>
      </c>
      <c r="H9653" t="s">
        <v>7703</v>
      </c>
      <c r="I9653">
        <v>0</v>
      </c>
      <c r="J9653" t="s">
        <v>7024</v>
      </c>
      <c r="K9653" t="s">
        <v>290</v>
      </c>
      <c r="L9653" t="s">
        <v>285</v>
      </c>
      <c r="M9653" t="str">
        <f t="shared" si="726"/>
        <v>05</v>
      </c>
      <c r="N9653" t="s">
        <v>12</v>
      </c>
    </row>
    <row r="9654" spans="1:14" x14ac:dyDescent="0.25">
      <c r="A9654">
        <v>20160513</v>
      </c>
      <c r="B9654" t="str">
        <f>"063463"</f>
        <v>063463</v>
      </c>
      <c r="C9654" t="str">
        <f>"31345"</f>
        <v>31345</v>
      </c>
      <c r="D9654" t="s">
        <v>426</v>
      </c>
      <c r="E9654" s="3">
        <v>2100</v>
      </c>
      <c r="F9654">
        <v>20160511</v>
      </c>
      <c r="G9654" t="s">
        <v>7260</v>
      </c>
      <c r="H9654" t="s">
        <v>7704</v>
      </c>
      <c r="I9654">
        <v>0</v>
      </c>
      <c r="J9654" t="s">
        <v>7024</v>
      </c>
      <c r="K9654" t="s">
        <v>290</v>
      </c>
      <c r="L9654" t="s">
        <v>285</v>
      </c>
      <c r="M9654" t="str">
        <f t="shared" si="726"/>
        <v>05</v>
      </c>
      <c r="N9654" t="s">
        <v>12</v>
      </c>
    </row>
    <row r="9655" spans="1:14" x14ac:dyDescent="0.25">
      <c r="A9655">
        <v>20160513</v>
      </c>
      <c r="B9655" t="str">
        <f>"063463"</f>
        <v>063463</v>
      </c>
      <c r="C9655" t="str">
        <f>"31345"</f>
        <v>31345</v>
      </c>
      <c r="D9655" t="s">
        <v>426</v>
      </c>
      <c r="E9655" s="3">
        <v>77.5</v>
      </c>
      <c r="F9655">
        <v>20160511</v>
      </c>
      <c r="G9655" t="s">
        <v>7705</v>
      </c>
      <c r="H9655" t="s">
        <v>7703</v>
      </c>
      <c r="I9655">
        <v>0</v>
      </c>
      <c r="J9655" t="s">
        <v>7024</v>
      </c>
      <c r="K9655" t="s">
        <v>290</v>
      </c>
      <c r="L9655" t="s">
        <v>285</v>
      </c>
      <c r="M9655" t="str">
        <f t="shared" si="726"/>
        <v>05</v>
      </c>
      <c r="N9655" t="s">
        <v>12</v>
      </c>
    </row>
    <row r="9656" spans="1:14" x14ac:dyDescent="0.25">
      <c r="A9656">
        <v>20160513</v>
      </c>
      <c r="B9656" t="str">
        <f>"063484"</f>
        <v>063484</v>
      </c>
      <c r="C9656" t="str">
        <f>"58204"</f>
        <v>58204</v>
      </c>
      <c r="D9656" t="s">
        <v>1816</v>
      </c>
      <c r="E9656" s="3">
        <v>9.5</v>
      </c>
      <c r="F9656">
        <v>20160512</v>
      </c>
      <c r="G9656" t="s">
        <v>7100</v>
      </c>
      <c r="H9656" t="s">
        <v>7706</v>
      </c>
      <c r="I9656">
        <v>0</v>
      </c>
      <c r="J9656" t="s">
        <v>7024</v>
      </c>
      <c r="K9656" t="s">
        <v>290</v>
      </c>
      <c r="L9656" t="s">
        <v>285</v>
      </c>
      <c r="M9656" t="str">
        <f t="shared" si="726"/>
        <v>05</v>
      </c>
      <c r="N9656" t="s">
        <v>12</v>
      </c>
    </row>
    <row r="9657" spans="1:14" x14ac:dyDescent="0.25">
      <c r="A9657">
        <v>20160513</v>
      </c>
      <c r="B9657" t="str">
        <f>"063484"</f>
        <v>063484</v>
      </c>
      <c r="C9657" t="str">
        <f>"58204"</f>
        <v>58204</v>
      </c>
      <c r="D9657" t="s">
        <v>1816</v>
      </c>
      <c r="E9657" s="3">
        <v>15</v>
      </c>
      <c r="F9657">
        <v>20160512</v>
      </c>
      <c r="G9657" t="s">
        <v>7318</v>
      </c>
      <c r="H9657" t="s">
        <v>7707</v>
      </c>
      <c r="I9657">
        <v>0</v>
      </c>
      <c r="J9657" t="s">
        <v>7024</v>
      </c>
      <c r="K9657" t="s">
        <v>290</v>
      </c>
      <c r="L9657" t="s">
        <v>285</v>
      </c>
      <c r="M9657" t="str">
        <f t="shared" si="726"/>
        <v>05</v>
      </c>
      <c r="N9657" t="s">
        <v>12</v>
      </c>
    </row>
    <row r="9658" spans="1:14" x14ac:dyDescent="0.25">
      <c r="A9658">
        <v>20160513</v>
      </c>
      <c r="B9658" t="str">
        <f>"063484"</f>
        <v>063484</v>
      </c>
      <c r="C9658" t="str">
        <f>"58204"</f>
        <v>58204</v>
      </c>
      <c r="D9658" t="s">
        <v>1816</v>
      </c>
      <c r="E9658" s="3">
        <v>117.59</v>
      </c>
      <c r="F9658">
        <v>20160512</v>
      </c>
      <c r="G9658" t="s">
        <v>7143</v>
      </c>
      <c r="H9658" t="s">
        <v>7621</v>
      </c>
      <c r="I9658">
        <v>0</v>
      </c>
      <c r="J9658" t="s">
        <v>7024</v>
      </c>
      <c r="K9658" t="s">
        <v>290</v>
      </c>
      <c r="L9658" t="s">
        <v>285</v>
      </c>
      <c r="M9658" t="str">
        <f t="shared" si="726"/>
        <v>05</v>
      </c>
      <c r="N9658" t="s">
        <v>12</v>
      </c>
    </row>
    <row r="9659" spans="1:14" x14ac:dyDescent="0.25">
      <c r="A9659">
        <v>20160513</v>
      </c>
      <c r="B9659" t="str">
        <f>"063484"</f>
        <v>063484</v>
      </c>
      <c r="C9659" t="str">
        <f>"58204"</f>
        <v>58204</v>
      </c>
      <c r="D9659" t="s">
        <v>1816</v>
      </c>
      <c r="E9659" s="3">
        <v>34.93</v>
      </c>
      <c r="F9659">
        <v>20160512</v>
      </c>
      <c r="G9659" t="s">
        <v>7083</v>
      </c>
      <c r="H9659" t="s">
        <v>7708</v>
      </c>
      <c r="I9659">
        <v>0</v>
      </c>
      <c r="J9659" t="s">
        <v>7024</v>
      </c>
      <c r="K9659" t="s">
        <v>290</v>
      </c>
      <c r="L9659" t="s">
        <v>285</v>
      </c>
      <c r="M9659" t="str">
        <f t="shared" si="726"/>
        <v>05</v>
      </c>
      <c r="N9659" t="s">
        <v>12</v>
      </c>
    </row>
    <row r="9660" spans="1:14" x14ac:dyDescent="0.25">
      <c r="A9660">
        <v>20160513</v>
      </c>
      <c r="B9660" t="str">
        <f>"063494"</f>
        <v>063494</v>
      </c>
      <c r="C9660" t="str">
        <f>"65106"</f>
        <v>65106</v>
      </c>
      <c r="D9660" t="s">
        <v>1568</v>
      </c>
      <c r="E9660" s="3">
        <v>907.51</v>
      </c>
      <c r="F9660">
        <v>20160512</v>
      </c>
      <c r="G9660" t="s">
        <v>7143</v>
      </c>
      <c r="H9660" t="s">
        <v>7621</v>
      </c>
      <c r="I9660">
        <v>0</v>
      </c>
      <c r="J9660" t="s">
        <v>7024</v>
      </c>
      <c r="K9660" t="s">
        <v>290</v>
      </c>
      <c r="L9660" t="s">
        <v>285</v>
      </c>
      <c r="M9660" t="str">
        <f t="shared" si="726"/>
        <v>05</v>
      </c>
      <c r="N9660" t="s">
        <v>12</v>
      </c>
    </row>
    <row r="9661" spans="1:14" x14ac:dyDescent="0.25">
      <c r="A9661">
        <v>20160513</v>
      </c>
      <c r="B9661" t="str">
        <f>"063494"</f>
        <v>063494</v>
      </c>
      <c r="C9661" t="str">
        <f>"65106"</f>
        <v>65106</v>
      </c>
      <c r="D9661" t="s">
        <v>1568</v>
      </c>
      <c r="E9661" s="3">
        <v>296.8</v>
      </c>
      <c r="F9661">
        <v>20160512</v>
      </c>
      <c r="G9661" t="s">
        <v>7143</v>
      </c>
      <c r="H9661" t="s">
        <v>7709</v>
      </c>
      <c r="I9661">
        <v>0</v>
      </c>
      <c r="J9661" t="s">
        <v>7024</v>
      </c>
      <c r="K9661" t="s">
        <v>290</v>
      </c>
      <c r="L9661" t="s">
        <v>285</v>
      </c>
      <c r="M9661" t="str">
        <f t="shared" si="726"/>
        <v>05</v>
      </c>
      <c r="N9661" t="s">
        <v>12</v>
      </c>
    </row>
    <row r="9662" spans="1:14" x14ac:dyDescent="0.25">
      <c r="A9662">
        <v>20160513</v>
      </c>
      <c r="B9662" t="str">
        <f>"063494"</f>
        <v>063494</v>
      </c>
      <c r="C9662" t="str">
        <f>"65106"</f>
        <v>65106</v>
      </c>
      <c r="D9662" t="s">
        <v>1568</v>
      </c>
      <c r="E9662" s="3">
        <v>129</v>
      </c>
      <c r="F9662">
        <v>20160512</v>
      </c>
      <c r="G9662" t="s">
        <v>7083</v>
      </c>
      <c r="H9662" t="s">
        <v>7710</v>
      </c>
      <c r="I9662">
        <v>0</v>
      </c>
      <c r="J9662" t="s">
        <v>7024</v>
      </c>
      <c r="K9662" t="s">
        <v>290</v>
      </c>
      <c r="L9662" t="s">
        <v>285</v>
      </c>
      <c r="M9662" t="str">
        <f t="shared" si="726"/>
        <v>05</v>
      </c>
      <c r="N9662" t="s">
        <v>12</v>
      </c>
    </row>
    <row r="9663" spans="1:14" x14ac:dyDescent="0.25">
      <c r="A9663">
        <v>20160513</v>
      </c>
      <c r="B9663" t="str">
        <f>"063500"</f>
        <v>063500</v>
      </c>
      <c r="C9663" t="str">
        <f>"76476"</f>
        <v>76476</v>
      </c>
      <c r="D9663" t="s">
        <v>373</v>
      </c>
      <c r="E9663" s="3">
        <v>500</v>
      </c>
      <c r="F9663">
        <v>20160512</v>
      </c>
      <c r="G9663" t="s">
        <v>7692</v>
      </c>
      <c r="H9663" t="s">
        <v>7694</v>
      </c>
      <c r="I9663">
        <v>0</v>
      </c>
      <c r="J9663" t="s">
        <v>7024</v>
      </c>
      <c r="K9663" t="s">
        <v>290</v>
      </c>
      <c r="L9663" t="s">
        <v>285</v>
      </c>
      <c r="M9663" t="str">
        <f t="shared" si="726"/>
        <v>05</v>
      </c>
      <c r="N9663" t="s">
        <v>12</v>
      </c>
    </row>
    <row r="9664" spans="1:14" x14ac:dyDescent="0.25">
      <c r="A9664">
        <v>20160513</v>
      </c>
      <c r="B9664" t="str">
        <f>"063504"</f>
        <v>063504</v>
      </c>
      <c r="C9664" t="str">
        <f>"80600"</f>
        <v>80600</v>
      </c>
      <c r="D9664" t="s">
        <v>2411</v>
      </c>
      <c r="E9664" s="3">
        <v>1067.0999999999999</v>
      </c>
      <c r="F9664">
        <v>20160512</v>
      </c>
      <c r="G9664" t="s">
        <v>7026</v>
      </c>
      <c r="H9664" t="s">
        <v>7711</v>
      </c>
      <c r="I9664">
        <v>0</v>
      </c>
      <c r="J9664" t="s">
        <v>7024</v>
      </c>
      <c r="K9664" t="s">
        <v>1643</v>
      </c>
      <c r="L9664" t="s">
        <v>285</v>
      </c>
      <c r="M9664" t="str">
        <f t="shared" si="726"/>
        <v>05</v>
      </c>
      <c r="N9664" t="s">
        <v>12</v>
      </c>
    </row>
    <row r="9665" spans="1:14" x14ac:dyDescent="0.25">
      <c r="A9665">
        <v>20160513</v>
      </c>
      <c r="B9665" t="str">
        <f>"063506"</f>
        <v>063506</v>
      </c>
      <c r="C9665" t="str">
        <f>"80755"</f>
        <v>80755</v>
      </c>
      <c r="D9665" t="s">
        <v>723</v>
      </c>
      <c r="E9665" s="3">
        <v>153.26</v>
      </c>
      <c r="F9665">
        <v>20160512</v>
      </c>
      <c r="G9665" t="s">
        <v>7044</v>
      </c>
      <c r="H9665" t="s">
        <v>7712</v>
      </c>
      <c r="I9665">
        <v>0</v>
      </c>
      <c r="J9665" t="s">
        <v>7024</v>
      </c>
      <c r="K9665" t="s">
        <v>290</v>
      </c>
      <c r="L9665" t="s">
        <v>285</v>
      </c>
      <c r="M9665" t="str">
        <f t="shared" si="726"/>
        <v>05</v>
      </c>
      <c r="N9665" t="s">
        <v>12</v>
      </c>
    </row>
    <row r="9666" spans="1:14" x14ac:dyDescent="0.25">
      <c r="A9666">
        <v>20160513</v>
      </c>
      <c r="B9666" t="str">
        <f>"063507"</f>
        <v>063507</v>
      </c>
      <c r="C9666" t="str">
        <f>"80756"</f>
        <v>80756</v>
      </c>
      <c r="D9666" t="s">
        <v>521</v>
      </c>
      <c r="E9666" s="3">
        <v>805</v>
      </c>
      <c r="F9666">
        <v>20160512</v>
      </c>
      <c r="G9666" t="s">
        <v>7175</v>
      </c>
      <c r="H9666" t="s">
        <v>7713</v>
      </c>
      <c r="I9666">
        <v>0</v>
      </c>
      <c r="J9666" t="s">
        <v>7024</v>
      </c>
      <c r="K9666" t="s">
        <v>33</v>
      </c>
      <c r="L9666" t="s">
        <v>285</v>
      </c>
      <c r="M9666" t="str">
        <f t="shared" si="726"/>
        <v>05</v>
      </c>
      <c r="N9666" t="s">
        <v>12</v>
      </c>
    </row>
    <row r="9667" spans="1:14" x14ac:dyDescent="0.25">
      <c r="A9667">
        <v>20160513</v>
      </c>
      <c r="B9667" t="str">
        <f>"063507"</f>
        <v>063507</v>
      </c>
      <c r="C9667" t="str">
        <f>"80756"</f>
        <v>80756</v>
      </c>
      <c r="D9667" t="s">
        <v>521</v>
      </c>
      <c r="E9667" s="3">
        <v>1046.5</v>
      </c>
      <c r="F9667">
        <v>20160512</v>
      </c>
      <c r="G9667" t="s">
        <v>7599</v>
      </c>
      <c r="H9667" t="s">
        <v>7045</v>
      </c>
      <c r="I9667">
        <v>0</v>
      </c>
      <c r="J9667" t="s">
        <v>7024</v>
      </c>
      <c r="K9667" t="s">
        <v>7068</v>
      </c>
      <c r="L9667" t="s">
        <v>285</v>
      </c>
      <c r="M9667" t="str">
        <f t="shared" si="726"/>
        <v>05</v>
      </c>
      <c r="N9667" t="s">
        <v>12</v>
      </c>
    </row>
    <row r="9668" spans="1:14" x14ac:dyDescent="0.25">
      <c r="A9668">
        <v>20160513</v>
      </c>
      <c r="B9668" t="str">
        <f>"063508"</f>
        <v>063508</v>
      </c>
      <c r="C9668" t="str">
        <f>"81707"</f>
        <v>81707</v>
      </c>
      <c r="D9668" t="s">
        <v>5232</v>
      </c>
      <c r="E9668" s="3">
        <v>6306</v>
      </c>
      <c r="F9668">
        <v>20160512</v>
      </c>
      <c r="G9668" t="s">
        <v>7642</v>
      </c>
      <c r="H9668" t="s">
        <v>5234</v>
      </c>
      <c r="I9668">
        <v>0</v>
      </c>
      <c r="J9668" t="s">
        <v>7024</v>
      </c>
      <c r="K9668" t="s">
        <v>1519</v>
      </c>
      <c r="L9668" t="s">
        <v>285</v>
      </c>
      <c r="M9668" t="str">
        <f t="shared" si="726"/>
        <v>05</v>
      </c>
      <c r="N9668" t="s">
        <v>12</v>
      </c>
    </row>
    <row r="9669" spans="1:14" x14ac:dyDescent="0.25">
      <c r="A9669">
        <v>20160513</v>
      </c>
      <c r="B9669" t="str">
        <f>"063508"</f>
        <v>063508</v>
      </c>
      <c r="C9669" t="str">
        <f>"81707"</f>
        <v>81707</v>
      </c>
      <c r="D9669" t="s">
        <v>5232</v>
      </c>
      <c r="E9669" s="3">
        <v>7068</v>
      </c>
      <c r="F9669">
        <v>20160512</v>
      </c>
      <c r="G9669" t="s">
        <v>7642</v>
      </c>
      <c r="H9669" t="s">
        <v>5234</v>
      </c>
      <c r="I9669">
        <v>0</v>
      </c>
      <c r="J9669" t="s">
        <v>7024</v>
      </c>
      <c r="K9669" t="s">
        <v>1519</v>
      </c>
      <c r="L9669" t="s">
        <v>285</v>
      </c>
      <c r="M9669" t="str">
        <f t="shared" si="726"/>
        <v>05</v>
      </c>
      <c r="N9669" t="s">
        <v>12</v>
      </c>
    </row>
    <row r="9670" spans="1:14" x14ac:dyDescent="0.25">
      <c r="A9670">
        <v>20160513</v>
      </c>
      <c r="B9670" t="str">
        <f>"063508"</f>
        <v>063508</v>
      </c>
      <c r="C9670" t="str">
        <f>"81707"</f>
        <v>81707</v>
      </c>
      <c r="D9670" t="s">
        <v>5232</v>
      </c>
      <c r="E9670" s="3">
        <v>2607</v>
      </c>
      <c r="F9670">
        <v>20160512</v>
      </c>
      <c r="G9670" t="s">
        <v>7642</v>
      </c>
      <c r="H9670" t="s">
        <v>5234</v>
      </c>
      <c r="I9670">
        <v>0</v>
      </c>
      <c r="J9670" t="s">
        <v>7024</v>
      </c>
      <c r="K9670" t="s">
        <v>1519</v>
      </c>
      <c r="L9670" t="s">
        <v>285</v>
      </c>
      <c r="M9670" t="str">
        <f t="shared" si="726"/>
        <v>05</v>
      </c>
      <c r="N9670" t="s">
        <v>12</v>
      </c>
    </row>
    <row r="9671" spans="1:14" x14ac:dyDescent="0.25">
      <c r="A9671">
        <v>20160517</v>
      </c>
      <c r="B9671" t="str">
        <f>"063511"</f>
        <v>063511</v>
      </c>
      <c r="C9671" t="str">
        <f>"62341"</f>
        <v>62341</v>
      </c>
      <c r="D9671" t="s">
        <v>7714</v>
      </c>
      <c r="E9671" s="3">
        <v>489.14</v>
      </c>
      <c r="F9671">
        <v>20160517</v>
      </c>
      <c r="G9671" t="s">
        <v>7143</v>
      </c>
      <c r="H9671" t="s">
        <v>7715</v>
      </c>
      <c r="I9671">
        <v>0</v>
      </c>
      <c r="J9671" t="s">
        <v>7024</v>
      </c>
      <c r="K9671" t="s">
        <v>290</v>
      </c>
      <c r="L9671" t="s">
        <v>17</v>
      </c>
      <c r="M9671" t="str">
        <f t="shared" si="726"/>
        <v>05</v>
      </c>
      <c r="N9671" t="s">
        <v>12</v>
      </c>
    </row>
    <row r="9672" spans="1:14" x14ac:dyDescent="0.25">
      <c r="A9672">
        <v>20160520</v>
      </c>
      <c r="B9672" t="str">
        <f>"063516"</f>
        <v>063516</v>
      </c>
      <c r="C9672" t="str">
        <f>"10020"</f>
        <v>10020</v>
      </c>
      <c r="D9672" t="s">
        <v>1018</v>
      </c>
      <c r="E9672" s="3">
        <v>1189</v>
      </c>
      <c r="F9672">
        <v>20160518</v>
      </c>
      <c r="G9672" t="s">
        <v>7074</v>
      </c>
      <c r="H9672" t="s">
        <v>7716</v>
      </c>
      <c r="I9672">
        <v>0</v>
      </c>
      <c r="J9672" t="s">
        <v>7024</v>
      </c>
      <c r="K9672" t="s">
        <v>290</v>
      </c>
      <c r="L9672" t="s">
        <v>285</v>
      </c>
      <c r="M9672" t="str">
        <f t="shared" si="726"/>
        <v>05</v>
      </c>
      <c r="N9672" t="s">
        <v>12</v>
      </c>
    </row>
    <row r="9673" spans="1:14" x14ac:dyDescent="0.25">
      <c r="A9673">
        <v>20160520</v>
      </c>
      <c r="B9673" t="str">
        <f>"063516"</f>
        <v>063516</v>
      </c>
      <c r="C9673" t="str">
        <f>"10020"</f>
        <v>10020</v>
      </c>
      <c r="D9673" t="s">
        <v>1018</v>
      </c>
      <c r="E9673" s="3">
        <v>23.5</v>
      </c>
      <c r="F9673">
        <v>20160518</v>
      </c>
      <c r="G9673" t="s">
        <v>7290</v>
      </c>
      <c r="H9673" t="s">
        <v>7717</v>
      </c>
      <c r="I9673">
        <v>0</v>
      </c>
      <c r="J9673" t="s">
        <v>7024</v>
      </c>
      <c r="K9673" t="s">
        <v>95</v>
      </c>
      <c r="L9673" t="s">
        <v>285</v>
      </c>
      <c r="M9673" t="str">
        <f t="shared" si="726"/>
        <v>05</v>
      </c>
      <c r="N9673" t="s">
        <v>12</v>
      </c>
    </row>
    <row r="9674" spans="1:14" x14ac:dyDescent="0.25">
      <c r="A9674">
        <v>20160520</v>
      </c>
      <c r="B9674" t="str">
        <f>"063516"</f>
        <v>063516</v>
      </c>
      <c r="C9674" t="str">
        <f>"10020"</f>
        <v>10020</v>
      </c>
      <c r="D9674" t="s">
        <v>1018</v>
      </c>
      <c r="E9674" s="3">
        <v>180</v>
      </c>
      <c r="F9674">
        <v>20160518</v>
      </c>
      <c r="G9674" t="s">
        <v>7052</v>
      </c>
      <c r="H9674" t="s">
        <v>7718</v>
      </c>
      <c r="I9674">
        <v>0</v>
      </c>
      <c r="J9674" t="s">
        <v>7024</v>
      </c>
      <c r="K9674" t="s">
        <v>95</v>
      </c>
      <c r="L9674" t="s">
        <v>285</v>
      </c>
      <c r="M9674" t="str">
        <f t="shared" si="726"/>
        <v>05</v>
      </c>
      <c r="N9674" t="s">
        <v>12</v>
      </c>
    </row>
    <row r="9675" spans="1:14" x14ac:dyDescent="0.25">
      <c r="A9675">
        <v>20160520</v>
      </c>
      <c r="B9675" t="str">
        <f>"063524"</f>
        <v>063524</v>
      </c>
      <c r="C9675" t="str">
        <f>"51346"</f>
        <v>51346</v>
      </c>
      <c r="D9675" t="s">
        <v>379</v>
      </c>
      <c r="E9675" s="3">
        <v>162.5</v>
      </c>
      <c r="F9675">
        <v>20160518</v>
      </c>
      <c r="G9675" t="s">
        <v>7082</v>
      </c>
      <c r="H9675" t="s">
        <v>7719</v>
      </c>
      <c r="I9675">
        <v>0</v>
      </c>
      <c r="J9675" t="s">
        <v>7024</v>
      </c>
      <c r="K9675" t="s">
        <v>95</v>
      </c>
      <c r="L9675" t="s">
        <v>285</v>
      </c>
      <c r="M9675" t="str">
        <f t="shared" si="726"/>
        <v>05</v>
      </c>
      <c r="N9675" t="s">
        <v>12</v>
      </c>
    </row>
    <row r="9676" spans="1:14" x14ac:dyDescent="0.25">
      <c r="A9676">
        <v>20160520</v>
      </c>
      <c r="B9676" t="str">
        <f>"063524"</f>
        <v>063524</v>
      </c>
      <c r="C9676" t="str">
        <f>"51346"</f>
        <v>51346</v>
      </c>
      <c r="D9676" t="s">
        <v>379</v>
      </c>
      <c r="E9676" s="3">
        <v>188.5</v>
      </c>
      <c r="F9676">
        <v>20160518</v>
      </c>
      <c r="G9676" t="s">
        <v>7082</v>
      </c>
      <c r="H9676" t="s">
        <v>7720</v>
      </c>
      <c r="I9676">
        <v>0</v>
      </c>
      <c r="J9676" t="s">
        <v>7024</v>
      </c>
      <c r="K9676" t="s">
        <v>95</v>
      </c>
      <c r="L9676" t="s">
        <v>285</v>
      </c>
      <c r="M9676" t="str">
        <f t="shared" si="726"/>
        <v>05</v>
      </c>
      <c r="N9676" t="s">
        <v>12</v>
      </c>
    </row>
    <row r="9677" spans="1:14" x14ac:dyDescent="0.25">
      <c r="A9677">
        <v>20160520</v>
      </c>
      <c r="B9677" t="str">
        <f>"063529"</f>
        <v>063529</v>
      </c>
      <c r="C9677" t="str">
        <f>"23754"</f>
        <v>23754</v>
      </c>
      <c r="D9677" t="s">
        <v>794</v>
      </c>
      <c r="E9677" s="3">
        <v>2238</v>
      </c>
      <c r="F9677">
        <v>20160518</v>
      </c>
      <c r="G9677" t="s">
        <v>7143</v>
      </c>
      <c r="H9677" t="s">
        <v>7721</v>
      </c>
      <c r="I9677">
        <v>0</v>
      </c>
      <c r="J9677" t="s">
        <v>7024</v>
      </c>
      <c r="K9677" t="s">
        <v>290</v>
      </c>
      <c r="L9677" t="s">
        <v>285</v>
      </c>
      <c r="M9677" t="str">
        <f t="shared" si="726"/>
        <v>05</v>
      </c>
      <c r="N9677" t="s">
        <v>12</v>
      </c>
    </row>
    <row r="9678" spans="1:14" x14ac:dyDescent="0.25">
      <c r="A9678">
        <v>20160520</v>
      </c>
      <c r="B9678" t="str">
        <f>"063531"</f>
        <v>063531</v>
      </c>
      <c r="C9678" t="str">
        <f>"29090"</f>
        <v>29090</v>
      </c>
      <c r="D9678" t="s">
        <v>7628</v>
      </c>
      <c r="E9678" s="3">
        <v>34050</v>
      </c>
      <c r="F9678">
        <v>20160518</v>
      </c>
      <c r="G9678" t="s">
        <v>7199</v>
      </c>
      <c r="H9678" t="s">
        <v>7629</v>
      </c>
      <c r="I9678">
        <v>0</v>
      </c>
      <c r="J9678" t="s">
        <v>7024</v>
      </c>
      <c r="K9678" t="s">
        <v>290</v>
      </c>
      <c r="L9678" t="s">
        <v>285</v>
      </c>
      <c r="M9678" t="str">
        <f t="shared" ref="M9678:M9709" si="727">"05"</f>
        <v>05</v>
      </c>
      <c r="N9678" t="s">
        <v>12</v>
      </c>
    </row>
    <row r="9679" spans="1:14" x14ac:dyDescent="0.25">
      <c r="A9679">
        <v>20160520</v>
      </c>
      <c r="B9679" t="str">
        <f>"063536"</f>
        <v>063536</v>
      </c>
      <c r="C9679" t="str">
        <f>"32920"</f>
        <v>32920</v>
      </c>
      <c r="D9679" t="s">
        <v>7182</v>
      </c>
      <c r="E9679" s="3">
        <v>550</v>
      </c>
      <c r="F9679">
        <v>20160518</v>
      </c>
      <c r="G9679" t="s">
        <v>7026</v>
      </c>
      <c r="H9679" t="s">
        <v>7722</v>
      </c>
      <c r="I9679">
        <v>0</v>
      </c>
      <c r="J9679" t="s">
        <v>7024</v>
      </c>
      <c r="K9679" t="s">
        <v>1643</v>
      </c>
      <c r="L9679" t="s">
        <v>285</v>
      </c>
      <c r="M9679" t="str">
        <f t="shared" si="727"/>
        <v>05</v>
      </c>
      <c r="N9679" t="s">
        <v>12</v>
      </c>
    </row>
    <row r="9680" spans="1:14" x14ac:dyDescent="0.25">
      <c r="A9680">
        <v>20160520</v>
      </c>
      <c r="B9680" t="str">
        <f>"063542"</f>
        <v>063542</v>
      </c>
      <c r="C9680" t="str">
        <f>"43449"</f>
        <v>43449</v>
      </c>
      <c r="D9680" t="s">
        <v>7723</v>
      </c>
      <c r="E9680" s="3">
        <v>575</v>
      </c>
      <c r="F9680">
        <v>20160518</v>
      </c>
      <c r="G9680" t="s">
        <v>7143</v>
      </c>
      <c r="H9680" t="s">
        <v>7621</v>
      </c>
      <c r="I9680">
        <v>0</v>
      </c>
      <c r="J9680" t="s">
        <v>7024</v>
      </c>
      <c r="K9680" t="s">
        <v>290</v>
      </c>
      <c r="L9680" t="s">
        <v>285</v>
      </c>
      <c r="M9680" t="str">
        <f t="shared" si="727"/>
        <v>05</v>
      </c>
      <c r="N9680" t="s">
        <v>12</v>
      </c>
    </row>
    <row r="9681" spans="1:14" x14ac:dyDescent="0.25">
      <c r="A9681">
        <v>20160520</v>
      </c>
      <c r="B9681" t="str">
        <f>"063545"</f>
        <v>063545</v>
      </c>
      <c r="C9681" t="str">
        <f>"49748"</f>
        <v>49748</v>
      </c>
      <c r="D9681" t="s">
        <v>1885</v>
      </c>
      <c r="E9681" s="3">
        <v>1794.29</v>
      </c>
      <c r="F9681">
        <v>20160519</v>
      </c>
      <c r="G9681" t="s">
        <v>7143</v>
      </c>
      <c r="H9681" t="s">
        <v>7621</v>
      </c>
      <c r="I9681">
        <v>0</v>
      </c>
      <c r="J9681" t="s">
        <v>7024</v>
      </c>
      <c r="K9681" t="s">
        <v>290</v>
      </c>
      <c r="L9681" t="s">
        <v>285</v>
      </c>
      <c r="M9681" t="str">
        <f t="shared" si="727"/>
        <v>05</v>
      </c>
      <c r="N9681" t="s">
        <v>12</v>
      </c>
    </row>
    <row r="9682" spans="1:14" x14ac:dyDescent="0.25">
      <c r="A9682">
        <v>20160520</v>
      </c>
      <c r="B9682" t="str">
        <f>"063545"</f>
        <v>063545</v>
      </c>
      <c r="C9682" t="str">
        <f>"49748"</f>
        <v>49748</v>
      </c>
      <c r="D9682" t="s">
        <v>1885</v>
      </c>
      <c r="E9682" s="3">
        <v>87.48</v>
      </c>
      <c r="F9682">
        <v>20160519</v>
      </c>
      <c r="G9682" t="s">
        <v>7083</v>
      </c>
      <c r="H9682" t="s">
        <v>7724</v>
      </c>
      <c r="I9682">
        <v>0</v>
      </c>
      <c r="J9682" t="s">
        <v>7024</v>
      </c>
      <c r="K9682" t="s">
        <v>290</v>
      </c>
      <c r="L9682" t="s">
        <v>285</v>
      </c>
      <c r="M9682" t="str">
        <f t="shared" si="727"/>
        <v>05</v>
      </c>
      <c r="N9682" t="s">
        <v>12</v>
      </c>
    </row>
    <row r="9683" spans="1:14" x14ac:dyDescent="0.25">
      <c r="A9683">
        <v>20160520</v>
      </c>
      <c r="B9683" t="str">
        <f>"063558"</f>
        <v>063558</v>
      </c>
      <c r="C9683" t="str">
        <f>"58201"</f>
        <v>58201</v>
      </c>
      <c r="D9683" t="s">
        <v>1690</v>
      </c>
      <c r="E9683" s="3">
        <v>50</v>
      </c>
      <c r="F9683">
        <v>20160519</v>
      </c>
      <c r="G9683" t="s">
        <v>7696</v>
      </c>
      <c r="H9683" t="s">
        <v>7725</v>
      </c>
      <c r="I9683">
        <v>0</v>
      </c>
      <c r="J9683" t="s">
        <v>7024</v>
      </c>
      <c r="K9683" t="s">
        <v>33</v>
      </c>
      <c r="L9683" t="s">
        <v>285</v>
      </c>
      <c r="M9683" t="str">
        <f t="shared" si="727"/>
        <v>05</v>
      </c>
      <c r="N9683" t="s">
        <v>12</v>
      </c>
    </row>
    <row r="9684" spans="1:14" x14ac:dyDescent="0.25">
      <c r="A9684">
        <v>20160520</v>
      </c>
      <c r="B9684" t="str">
        <f>"063558"</f>
        <v>063558</v>
      </c>
      <c r="C9684" t="str">
        <f>"58201"</f>
        <v>58201</v>
      </c>
      <c r="D9684" t="s">
        <v>1690</v>
      </c>
      <c r="E9684" s="3">
        <v>32.5</v>
      </c>
      <c r="F9684">
        <v>20160519</v>
      </c>
      <c r="G9684" t="s">
        <v>7696</v>
      </c>
      <c r="H9684" t="s">
        <v>7726</v>
      </c>
      <c r="I9684">
        <v>0</v>
      </c>
      <c r="J9684" t="s">
        <v>7024</v>
      </c>
      <c r="K9684" t="s">
        <v>33</v>
      </c>
      <c r="L9684" t="s">
        <v>285</v>
      </c>
      <c r="M9684" t="str">
        <f t="shared" si="727"/>
        <v>05</v>
      </c>
      <c r="N9684" t="s">
        <v>12</v>
      </c>
    </row>
    <row r="9685" spans="1:14" x14ac:dyDescent="0.25">
      <c r="A9685">
        <v>20160520</v>
      </c>
      <c r="B9685" t="str">
        <f>"063559"</f>
        <v>063559</v>
      </c>
      <c r="C9685" t="str">
        <f>"58203"</f>
        <v>58203</v>
      </c>
      <c r="D9685" t="s">
        <v>2371</v>
      </c>
      <c r="E9685" s="3">
        <v>38.96</v>
      </c>
      <c r="F9685">
        <v>20160519</v>
      </c>
      <c r="G9685" t="s">
        <v>7026</v>
      </c>
      <c r="H9685" t="s">
        <v>7727</v>
      </c>
      <c r="I9685">
        <v>0</v>
      </c>
      <c r="J9685" t="s">
        <v>7024</v>
      </c>
      <c r="K9685" t="s">
        <v>1643</v>
      </c>
      <c r="L9685" t="s">
        <v>285</v>
      </c>
      <c r="M9685" t="str">
        <f t="shared" si="727"/>
        <v>05</v>
      </c>
      <c r="N9685" t="s">
        <v>12</v>
      </c>
    </row>
    <row r="9686" spans="1:14" x14ac:dyDescent="0.25">
      <c r="A9686">
        <v>20160520</v>
      </c>
      <c r="B9686" t="str">
        <f>"063559"</f>
        <v>063559</v>
      </c>
      <c r="C9686" t="str">
        <f>"58203"</f>
        <v>58203</v>
      </c>
      <c r="D9686" t="s">
        <v>2371</v>
      </c>
      <c r="E9686" s="3">
        <v>303.58</v>
      </c>
      <c r="F9686">
        <v>20160519</v>
      </c>
      <c r="G9686" t="s">
        <v>7026</v>
      </c>
      <c r="H9686" t="s">
        <v>7728</v>
      </c>
      <c r="I9686">
        <v>0</v>
      </c>
      <c r="J9686" t="s">
        <v>7024</v>
      </c>
      <c r="K9686" t="s">
        <v>1643</v>
      </c>
      <c r="L9686" t="s">
        <v>285</v>
      </c>
      <c r="M9686" t="str">
        <f t="shared" si="727"/>
        <v>05</v>
      </c>
      <c r="N9686" t="s">
        <v>12</v>
      </c>
    </row>
    <row r="9687" spans="1:14" x14ac:dyDescent="0.25">
      <c r="A9687">
        <v>20160520</v>
      </c>
      <c r="B9687" t="str">
        <f>"063559"</f>
        <v>063559</v>
      </c>
      <c r="C9687" t="str">
        <f>"58203"</f>
        <v>58203</v>
      </c>
      <c r="D9687" t="s">
        <v>2371</v>
      </c>
      <c r="E9687" s="3">
        <v>59</v>
      </c>
      <c r="F9687">
        <v>20160519</v>
      </c>
      <c r="G9687" t="s">
        <v>7094</v>
      </c>
      <c r="H9687" t="s">
        <v>7729</v>
      </c>
      <c r="I9687">
        <v>0</v>
      </c>
      <c r="J9687" t="s">
        <v>7024</v>
      </c>
      <c r="K9687" t="s">
        <v>1643</v>
      </c>
      <c r="L9687" t="s">
        <v>285</v>
      </c>
      <c r="M9687" t="str">
        <f t="shared" si="727"/>
        <v>05</v>
      </c>
      <c r="N9687" t="s">
        <v>12</v>
      </c>
    </row>
    <row r="9688" spans="1:14" x14ac:dyDescent="0.25">
      <c r="A9688">
        <v>20160520</v>
      </c>
      <c r="B9688" t="str">
        <f>"063563"</f>
        <v>063563</v>
      </c>
      <c r="C9688" t="str">
        <f>"63053"</f>
        <v>63053</v>
      </c>
      <c r="D9688" t="s">
        <v>2012</v>
      </c>
      <c r="E9688" s="3">
        <v>98.97</v>
      </c>
      <c r="F9688">
        <v>20160519</v>
      </c>
      <c r="G9688" t="s">
        <v>7086</v>
      </c>
      <c r="H9688" t="s">
        <v>7730</v>
      </c>
      <c r="I9688">
        <v>0</v>
      </c>
      <c r="J9688" t="s">
        <v>7024</v>
      </c>
      <c r="K9688" t="s">
        <v>290</v>
      </c>
      <c r="L9688" t="s">
        <v>285</v>
      </c>
      <c r="M9688" t="str">
        <f t="shared" si="727"/>
        <v>05</v>
      </c>
      <c r="N9688" t="s">
        <v>12</v>
      </c>
    </row>
    <row r="9689" spans="1:14" x14ac:dyDescent="0.25">
      <c r="A9689">
        <v>20160520</v>
      </c>
      <c r="B9689" t="str">
        <f>"063567"</f>
        <v>063567</v>
      </c>
      <c r="C9689" t="str">
        <f>"65766"</f>
        <v>65766</v>
      </c>
      <c r="D9689" t="s">
        <v>7160</v>
      </c>
      <c r="E9689" s="3">
        <v>4123.34</v>
      </c>
      <c r="F9689">
        <v>20160519</v>
      </c>
      <c r="G9689" t="s">
        <v>7094</v>
      </c>
      <c r="H9689" t="s">
        <v>7731</v>
      </c>
      <c r="I9689">
        <v>0</v>
      </c>
      <c r="J9689" t="s">
        <v>7024</v>
      </c>
      <c r="K9689" t="s">
        <v>1643</v>
      </c>
      <c r="L9689" t="s">
        <v>285</v>
      </c>
      <c r="M9689" t="str">
        <f t="shared" si="727"/>
        <v>05</v>
      </c>
      <c r="N9689" t="s">
        <v>12</v>
      </c>
    </row>
    <row r="9690" spans="1:14" x14ac:dyDescent="0.25">
      <c r="A9690">
        <v>20160520</v>
      </c>
      <c r="B9690" t="str">
        <f>"063567"</f>
        <v>063567</v>
      </c>
      <c r="C9690" t="str">
        <f>"65766"</f>
        <v>65766</v>
      </c>
      <c r="D9690" t="s">
        <v>7160</v>
      </c>
      <c r="E9690" s="3">
        <v>4251.92</v>
      </c>
      <c r="F9690">
        <v>20160519</v>
      </c>
      <c r="G9690" t="s">
        <v>7192</v>
      </c>
      <c r="H9690" t="s">
        <v>7732</v>
      </c>
      <c r="I9690">
        <v>0</v>
      </c>
      <c r="J9690" t="s">
        <v>7024</v>
      </c>
      <c r="K9690" t="s">
        <v>33</v>
      </c>
      <c r="L9690" t="s">
        <v>285</v>
      </c>
      <c r="M9690" t="str">
        <f t="shared" si="727"/>
        <v>05</v>
      </c>
      <c r="N9690" t="s">
        <v>12</v>
      </c>
    </row>
    <row r="9691" spans="1:14" x14ac:dyDescent="0.25">
      <c r="A9691">
        <v>20160520</v>
      </c>
      <c r="B9691" t="str">
        <f>"063574"</f>
        <v>063574</v>
      </c>
      <c r="C9691" t="str">
        <f>"79661"</f>
        <v>79661</v>
      </c>
      <c r="D9691" t="s">
        <v>2403</v>
      </c>
      <c r="E9691" s="3">
        <v>207</v>
      </c>
      <c r="F9691">
        <v>20160519</v>
      </c>
      <c r="G9691" t="s">
        <v>7124</v>
      </c>
      <c r="H9691" t="s">
        <v>7575</v>
      </c>
      <c r="I9691">
        <v>0</v>
      </c>
      <c r="J9691" t="s">
        <v>7024</v>
      </c>
      <c r="K9691" t="s">
        <v>290</v>
      </c>
      <c r="L9691" t="s">
        <v>285</v>
      </c>
      <c r="M9691" t="str">
        <f t="shared" si="727"/>
        <v>05</v>
      </c>
      <c r="N9691" t="s">
        <v>12</v>
      </c>
    </row>
    <row r="9692" spans="1:14" x14ac:dyDescent="0.25">
      <c r="A9692">
        <v>20160520</v>
      </c>
      <c r="B9692" t="str">
        <f>"063576"</f>
        <v>063576</v>
      </c>
      <c r="C9692" t="str">
        <f>"74835"</f>
        <v>74835</v>
      </c>
      <c r="D9692" t="s">
        <v>7733</v>
      </c>
      <c r="E9692" s="3">
        <v>550</v>
      </c>
      <c r="F9692">
        <v>20160519</v>
      </c>
      <c r="G9692" t="s">
        <v>7026</v>
      </c>
      <c r="H9692" t="s">
        <v>7734</v>
      </c>
      <c r="I9692">
        <v>0</v>
      </c>
      <c r="J9692" t="s">
        <v>7024</v>
      </c>
      <c r="K9692" t="s">
        <v>1643</v>
      </c>
      <c r="L9692" t="s">
        <v>285</v>
      </c>
      <c r="M9692" t="str">
        <f t="shared" si="727"/>
        <v>05</v>
      </c>
      <c r="N9692" t="s">
        <v>12</v>
      </c>
    </row>
    <row r="9693" spans="1:14" x14ac:dyDescent="0.25">
      <c r="A9693">
        <v>20160520</v>
      </c>
      <c r="B9693" t="str">
        <f>"063578"</f>
        <v>063578</v>
      </c>
      <c r="C9693" t="str">
        <f>"80600"</f>
        <v>80600</v>
      </c>
      <c r="D9693" t="s">
        <v>2411</v>
      </c>
      <c r="E9693" s="3">
        <v>67.849999999999994</v>
      </c>
      <c r="F9693">
        <v>20160519</v>
      </c>
      <c r="G9693" t="s">
        <v>7026</v>
      </c>
      <c r="H9693" t="s">
        <v>2793</v>
      </c>
      <c r="I9693">
        <v>0</v>
      </c>
      <c r="J9693" t="s">
        <v>7024</v>
      </c>
      <c r="K9693" t="s">
        <v>1643</v>
      </c>
      <c r="L9693" t="s">
        <v>285</v>
      </c>
      <c r="M9693" t="str">
        <f t="shared" si="727"/>
        <v>05</v>
      </c>
      <c r="N9693" t="s">
        <v>12</v>
      </c>
    </row>
    <row r="9694" spans="1:14" x14ac:dyDescent="0.25">
      <c r="A9694">
        <v>20160520</v>
      </c>
      <c r="B9694" t="str">
        <f>"063578"</f>
        <v>063578</v>
      </c>
      <c r="C9694" t="str">
        <f>"80600"</f>
        <v>80600</v>
      </c>
      <c r="D9694" t="s">
        <v>2411</v>
      </c>
      <c r="E9694" s="3">
        <v>62.7</v>
      </c>
      <c r="F9694">
        <v>20160519</v>
      </c>
      <c r="G9694" t="s">
        <v>7049</v>
      </c>
      <c r="H9694" t="s">
        <v>7735</v>
      </c>
      <c r="I9694">
        <v>0</v>
      </c>
      <c r="J9694" t="s">
        <v>7024</v>
      </c>
      <c r="K9694" t="s">
        <v>33</v>
      </c>
      <c r="L9694" t="s">
        <v>285</v>
      </c>
      <c r="M9694" t="str">
        <f t="shared" si="727"/>
        <v>05</v>
      </c>
      <c r="N9694" t="s">
        <v>12</v>
      </c>
    </row>
    <row r="9695" spans="1:14" x14ac:dyDescent="0.25">
      <c r="A9695">
        <v>20160520</v>
      </c>
      <c r="B9695" t="str">
        <f>"063580"</f>
        <v>063580</v>
      </c>
      <c r="C9695" t="str">
        <f>"80756"</f>
        <v>80756</v>
      </c>
      <c r="D9695" t="s">
        <v>521</v>
      </c>
      <c r="E9695" s="3">
        <v>195</v>
      </c>
      <c r="F9695">
        <v>20160519</v>
      </c>
      <c r="G9695" t="s">
        <v>7049</v>
      </c>
      <c r="H9695" t="s">
        <v>7736</v>
      </c>
      <c r="I9695">
        <v>0</v>
      </c>
      <c r="J9695" t="s">
        <v>7024</v>
      </c>
      <c r="K9695" t="s">
        <v>33</v>
      </c>
      <c r="L9695" t="s">
        <v>285</v>
      </c>
      <c r="M9695" t="str">
        <f t="shared" si="727"/>
        <v>05</v>
      </c>
      <c r="N9695" t="s">
        <v>12</v>
      </c>
    </row>
    <row r="9696" spans="1:14" x14ac:dyDescent="0.25">
      <c r="A9696">
        <v>20160527</v>
      </c>
      <c r="B9696" t="str">
        <f>"063588"</f>
        <v>063588</v>
      </c>
      <c r="C9696" t="str">
        <f>"05530"</f>
        <v>05530</v>
      </c>
      <c r="D9696" t="s">
        <v>631</v>
      </c>
      <c r="E9696" s="3">
        <v>362.5</v>
      </c>
      <c r="F9696">
        <v>20160526</v>
      </c>
      <c r="G9696" t="s">
        <v>7227</v>
      </c>
      <c r="H9696" t="s">
        <v>5308</v>
      </c>
      <c r="I9696">
        <v>0</v>
      </c>
      <c r="J9696" t="s">
        <v>7024</v>
      </c>
      <c r="K9696" t="s">
        <v>290</v>
      </c>
      <c r="L9696" t="s">
        <v>285</v>
      </c>
      <c r="M9696" t="str">
        <f t="shared" si="727"/>
        <v>05</v>
      </c>
      <c r="N9696" t="s">
        <v>12</v>
      </c>
    </row>
    <row r="9697" spans="1:14" x14ac:dyDescent="0.25">
      <c r="A9697">
        <v>20160527</v>
      </c>
      <c r="B9697" t="str">
        <f>"063596"</f>
        <v>063596</v>
      </c>
      <c r="C9697" t="str">
        <f>"08788"</f>
        <v>08788</v>
      </c>
      <c r="D9697" t="s">
        <v>302</v>
      </c>
      <c r="E9697" s="3">
        <v>1350.77</v>
      </c>
      <c r="F9697">
        <v>20160526</v>
      </c>
      <c r="G9697" t="s">
        <v>7140</v>
      </c>
      <c r="H9697" t="s">
        <v>7737</v>
      </c>
      <c r="I9697">
        <v>0</v>
      </c>
      <c r="J9697" t="s">
        <v>7024</v>
      </c>
      <c r="K9697" t="s">
        <v>290</v>
      </c>
      <c r="L9697" t="s">
        <v>285</v>
      </c>
      <c r="M9697" t="str">
        <f t="shared" si="727"/>
        <v>05</v>
      </c>
      <c r="N9697" t="s">
        <v>12</v>
      </c>
    </row>
    <row r="9698" spans="1:14" x14ac:dyDescent="0.25">
      <c r="A9698">
        <v>20160527</v>
      </c>
      <c r="B9698" t="str">
        <f>"063596"</f>
        <v>063596</v>
      </c>
      <c r="C9698" t="str">
        <f>"08788"</f>
        <v>08788</v>
      </c>
      <c r="D9698" t="s">
        <v>302</v>
      </c>
      <c r="E9698" s="3">
        <v>682.46</v>
      </c>
      <c r="F9698">
        <v>20160526</v>
      </c>
      <c r="G9698" t="s">
        <v>7140</v>
      </c>
      <c r="H9698" t="s">
        <v>7738</v>
      </c>
      <c r="I9698">
        <v>0</v>
      </c>
      <c r="J9698" t="s">
        <v>7024</v>
      </c>
      <c r="K9698" t="s">
        <v>290</v>
      </c>
      <c r="L9698" t="s">
        <v>285</v>
      </c>
      <c r="M9698" t="str">
        <f t="shared" si="727"/>
        <v>05</v>
      </c>
      <c r="N9698" t="s">
        <v>12</v>
      </c>
    </row>
    <row r="9699" spans="1:14" x14ac:dyDescent="0.25">
      <c r="A9699">
        <v>20160527</v>
      </c>
      <c r="B9699" t="str">
        <f>"063596"</f>
        <v>063596</v>
      </c>
      <c r="C9699" t="str">
        <f>"08788"</f>
        <v>08788</v>
      </c>
      <c r="D9699" t="s">
        <v>302</v>
      </c>
      <c r="E9699" s="3">
        <v>2412.44</v>
      </c>
      <c r="F9699">
        <v>20160526</v>
      </c>
      <c r="G9699" t="s">
        <v>7107</v>
      </c>
      <c r="H9699" t="s">
        <v>7739</v>
      </c>
      <c r="I9699">
        <v>0</v>
      </c>
      <c r="J9699" t="s">
        <v>7024</v>
      </c>
      <c r="K9699" t="s">
        <v>95</v>
      </c>
      <c r="L9699" t="s">
        <v>285</v>
      </c>
      <c r="M9699" t="str">
        <f t="shared" si="727"/>
        <v>05</v>
      </c>
      <c r="N9699" t="s">
        <v>12</v>
      </c>
    </row>
    <row r="9700" spans="1:14" x14ac:dyDescent="0.25">
      <c r="A9700">
        <v>20160527</v>
      </c>
      <c r="B9700" t="str">
        <f>"063605"</f>
        <v>063605</v>
      </c>
      <c r="C9700" t="str">
        <f>"21280"</f>
        <v>21280</v>
      </c>
      <c r="D9700" t="s">
        <v>4130</v>
      </c>
      <c r="E9700" s="3">
        <v>4806</v>
      </c>
      <c r="F9700">
        <v>20160526</v>
      </c>
      <c r="G9700" t="s">
        <v>7124</v>
      </c>
      <c r="H9700" t="s">
        <v>7740</v>
      </c>
      <c r="I9700">
        <v>0</v>
      </c>
      <c r="J9700" t="s">
        <v>7024</v>
      </c>
      <c r="K9700" t="s">
        <v>290</v>
      </c>
      <c r="L9700" t="s">
        <v>285</v>
      </c>
      <c r="M9700" t="str">
        <f t="shared" si="727"/>
        <v>05</v>
      </c>
      <c r="N9700" t="s">
        <v>12</v>
      </c>
    </row>
    <row r="9701" spans="1:14" x14ac:dyDescent="0.25">
      <c r="A9701">
        <v>20160527</v>
      </c>
      <c r="B9701" t="str">
        <f>"063608"</f>
        <v>063608</v>
      </c>
      <c r="C9701" t="str">
        <f>"23754"</f>
        <v>23754</v>
      </c>
      <c r="D9701" t="s">
        <v>794</v>
      </c>
      <c r="E9701" s="3">
        <v>900.64</v>
      </c>
      <c r="F9701">
        <v>20160526</v>
      </c>
      <c r="G9701" t="s">
        <v>7126</v>
      </c>
      <c r="H9701" t="s">
        <v>7741</v>
      </c>
      <c r="I9701">
        <v>0</v>
      </c>
      <c r="J9701" t="s">
        <v>7024</v>
      </c>
      <c r="K9701" t="s">
        <v>290</v>
      </c>
      <c r="L9701" t="s">
        <v>285</v>
      </c>
      <c r="M9701" t="str">
        <f t="shared" si="727"/>
        <v>05</v>
      </c>
      <c r="N9701" t="s">
        <v>12</v>
      </c>
    </row>
    <row r="9702" spans="1:14" x14ac:dyDescent="0.25">
      <c r="A9702">
        <v>20160527</v>
      </c>
      <c r="B9702" t="str">
        <f>"063609"</f>
        <v>063609</v>
      </c>
      <c r="C9702" t="str">
        <f>"25144"</f>
        <v>25144</v>
      </c>
      <c r="D9702" t="s">
        <v>3437</v>
      </c>
      <c r="E9702" s="3">
        <v>925</v>
      </c>
      <c r="F9702">
        <v>20160526</v>
      </c>
      <c r="G9702" t="s">
        <v>7400</v>
      </c>
      <c r="H9702" t="s">
        <v>7742</v>
      </c>
      <c r="I9702">
        <v>0</v>
      </c>
      <c r="J9702" t="s">
        <v>7024</v>
      </c>
      <c r="K9702" t="s">
        <v>290</v>
      </c>
      <c r="L9702" t="s">
        <v>285</v>
      </c>
      <c r="M9702" t="str">
        <f t="shared" si="727"/>
        <v>05</v>
      </c>
      <c r="N9702" t="s">
        <v>12</v>
      </c>
    </row>
    <row r="9703" spans="1:14" x14ac:dyDescent="0.25">
      <c r="A9703">
        <v>20160527</v>
      </c>
      <c r="B9703" t="str">
        <f>"063610"</f>
        <v>063610</v>
      </c>
      <c r="C9703" t="str">
        <f>"25149"</f>
        <v>25149</v>
      </c>
      <c r="D9703" t="s">
        <v>7743</v>
      </c>
      <c r="E9703" s="3">
        <v>1500</v>
      </c>
      <c r="F9703">
        <v>20160526</v>
      </c>
      <c r="G9703" t="s">
        <v>7645</v>
      </c>
      <c r="H9703" t="s">
        <v>7744</v>
      </c>
      <c r="I9703">
        <v>0</v>
      </c>
      <c r="J9703" t="s">
        <v>7024</v>
      </c>
      <c r="K9703" t="s">
        <v>290</v>
      </c>
      <c r="L9703" t="s">
        <v>285</v>
      </c>
      <c r="M9703" t="str">
        <f t="shared" si="727"/>
        <v>05</v>
      </c>
      <c r="N9703" t="s">
        <v>12</v>
      </c>
    </row>
    <row r="9704" spans="1:14" x14ac:dyDescent="0.25">
      <c r="A9704">
        <v>20160527</v>
      </c>
      <c r="B9704" t="str">
        <f>"063614"</f>
        <v>063614</v>
      </c>
      <c r="C9704" t="str">
        <f>"27900"</f>
        <v>27900</v>
      </c>
      <c r="D9704" t="s">
        <v>1596</v>
      </c>
      <c r="E9704" s="3">
        <v>160</v>
      </c>
      <c r="F9704">
        <v>20160526</v>
      </c>
      <c r="G9704" t="s">
        <v>7026</v>
      </c>
      <c r="H9704" t="s">
        <v>7745</v>
      </c>
      <c r="I9704">
        <v>0</v>
      </c>
      <c r="J9704" t="s">
        <v>7024</v>
      </c>
      <c r="K9704" t="s">
        <v>1643</v>
      </c>
      <c r="L9704" t="s">
        <v>285</v>
      </c>
      <c r="M9704" t="str">
        <f t="shared" si="727"/>
        <v>05</v>
      </c>
      <c r="N9704" t="s">
        <v>12</v>
      </c>
    </row>
    <row r="9705" spans="1:14" x14ac:dyDescent="0.25">
      <c r="A9705">
        <v>20160527</v>
      </c>
      <c r="B9705" t="str">
        <f>"063618"</f>
        <v>063618</v>
      </c>
      <c r="C9705" t="str">
        <f>"28776"</f>
        <v>28776</v>
      </c>
      <c r="D9705" t="s">
        <v>707</v>
      </c>
      <c r="E9705" s="3">
        <v>14.38</v>
      </c>
      <c r="F9705">
        <v>20160526</v>
      </c>
      <c r="G9705" t="s">
        <v>7746</v>
      </c>
      <c r="H9705" t="s">
        <v>7747</v>
      </c>
      <c r="I9705">
        <v>0</v>
      </c>
      <c r="J9705" t="s">
        <v>7024</v>
      </c>
      <c r="K9705" t="s">
        <v>290</v>
      </c>
      <c r="L9705" t="s">
        <v>285</v>
      </c>
      <c r="M9705" t="str">
        <f t="shared" si="727"/>
        <v>05</v>
      </c>
      <c r="N9705" t="s">
        <v>12</v>
      </c>
    </row>
    <row r="9706" spans="1:14" x14ac:dyDescent="0.25">
      <c r="A9706">
        <v>20160527</v>
      </c>
      <c r="B9706" t="str">
        <f>"063618"</f>
        <v>063618</v>
      </c>
      <c r="C9706" t="str">
        <f>"28776"</f>
        <v>28776</v>
      </c>
      <c r="D9706" t="s">
        <v>707</v>
      </c>
      <c r="E9706" s="3">
        <v>4.16</v>
      </c>
      <c r="F9706">
        <v>20160526</v>
      </c>
      <c r="G9706" t="s">
        <v>7746</v>
      </c>
      <c r="H9706" t="s">
        <v>5332</v>
      </c>
      <c r="I9706">
        <v>0</v>
      </c>
      <c r="J9706" t="s">
        <v>7024</v>
      </c>
      <c r="K9706" t="s">
        <v>290</v>
      </c>
      <c r="L9706" t="s">
        <v>285</v>
      </c>
      <c r="M9706" t="str">
        <f t="shared" si="727"/>
        <v>05</v>
      </c>
      <c r="N9706" t="s">
        <v>12</v>
      </c>
    </row>
    <row r="9707" spans="1:14" x14ac:dyDescent="0.25">
      <c r="A9707">
        <v>20160527</v>
      </c>
      <c r="B9707" t="str">
        <f>"063619"</f>
        <v>063619</v>
      </c>
      <c r="C9707" t="str">
        <f>"28827"</f>
        <v>28827</v>
      </c>
      <c r="D9707" t="s">
        <v>7748</v>
      </c>
      <c r="E9707" s="3">
        <v>75</v>
      </c>
      <c r="F9707">
        <v>20160526</v>
      </c>
      <c r="G9707" t="s">
        <v>7346</v>
      </c>
      <c r="H9707" t="s">
        <v>7749</v>
      </c>
      <c r="I9707">
        <v>0</v>
      </c>
      <c r="J9707" t="s">
        <v>7024</v>
      </c>
      <c r="K9707" t="s">
        <v>290</v>
      </c>
      <c r="L9707" t="s">
        <v>285</v>
      </c>
      <c r="M9707" t="str">
        <f t="shared" si="727"/>
        <v>05</v>
      </c>
      <c r="N9707" t="s">
        <v>12</v>
      </c>
    </row>
    <row r="9708" spans="1:14" x14ac:dyDescent="0.25">
      <c r="A9708">
        <v>20160527</v>
      </c>
      <c r="B9708" t="str">
        <f>"063622"</f>
        <v>063622</v>
      </c>
      <c r="C9708" t="str">
        <f>"29763"</f>
        <v>29763</v>
      </c>
      <c r="D9708" t="s">
        <v>761</v>
      </c>
      <c r="E9708" s="3">
        <v>554.51</v>
      </c>
      <c r="F9708">
        <v>20160526</v>
      </c>
      <c r="G9708" t="s">
        <v>7705</v>
      </c>
      <c r="H9708" t="s">
        <v>7750</v>
      </c>
      <c r="I9708">
        <v>0</v>
      </c>
      <c r="J9708" t="s">
        <v>7024</v>
      </c>
      <c r="K9708" t="s">
        <v>290</v>
      </c>
      <c r="L9708" t="s">
        <v>285</v>
      </c>
      <c r="M9708" t="str">
        <f t="shared" si="727"/>
        <v>05</v>
      </c>
      <c r="N9708" t="s">
        <v>12</v>
      </c>
    </row>
    <row r="9709" spans="1:14" x14ac:dyDescent="0.25">
      <c r="A9709">
        <v>20160527</v>
      </c>
      <c r="B9709" t="str">
        <f>"063624"</f>
        <v>063624</v>
      </c>
      <c r="C9709" t="str">
        <f>"31345"</f>
        <v>31345</v>
      </c>
      <c r="D9709" t="s">
        <v>426</v>
      </c>
      <c r="E9709" s="3">
        <v>707.2</v>
      </c>
      <c r="F9709">
        <v>20160526</v>
      </c>
      <c r="G9709" t="s">
        <v>7026</v>
      </c>
      <c r="H9709" t="s">
        <v>7751</v>
      </c>
      <c r="I9709">
        <v>0</v>
      </c>
      <c r="J9709" t="s">
        <v>7024</v>
      </c>
      <c r="K9709" t="s">
        <v>1643</v>
      </c>
      <c r="L9709" t="s">
        <v>285</v>
      </c>
      <c r="M9709" t="str">
        <f t="shared" si="727"/>
        <v>05</v>
      </c>
      <c r="N9709" t="s">
        <v>12</v>
      </c>
    </row>
    <row r="9710" spans="1:14" x14ac:dyDescent="0.25">
      <c r="A9710">
        <v>20160527</v>
      </c>
      <c r="B9710" t="str">
        <f>"063630"</f>
        <v>063630</v>
      </c>
      <c r="C9710" t="str">
        <f>"32920"</f>
        <v>32920</v>
      </c>
      <c r="D9710" t="s">
        <v>7182</v>
      </c>
      <c r="E9710" s="3">
        <v>2850</v>
      </c>
      <c r="F9710">
        <v>20160526</v>
      </c>
      <c r="G9710" t="s">
        <v>7318</v>
      </c>
      <c r="H9710" t="s">
        <v>7621</v>
      </c>
      <c r="I9710">
        <v>0</v>
      </c>
      <c r="J9710" t="s">
        <v>7024</v>
      </c>
      <c r="K9710" t="s">
        <v>290</v>
      </c>
      <c r="L9710" t="s">
        <v>285</v>
      </c>
      <c r="M9710" t="str">
        <f t="shared" ref="M9710:M9741" si="728">"05"</f>
        <v>05</v>
      </c>
      <c r="N9710" t="s">
        <v>12</v>
      </c>
    </row>
    <row r="9711" spans="1:14" x14ac:dyDescent="0.25">
      <c r="A9711">
        <v>20160527</v>
      </c>
      <c r="B9711" t="str">
        <f>"063631"</f>
        <v>063631</v>
      </c>
      <c r="C9711" t="str">
        <f>"34226"</f>
        <v>34226</v>
      </c>
      <c r="D9711" t="s">
        <v>1976</v>
      </c>
      <c r="E9711" s="3">
        <v>220.8</v>
      </c>
      <c r="F9711">
        <v>20160526</v>
      </c>
      <c r="G9711" t="s">
        <v>7752</v>
      </c>
      <c r="H9711" t="s">
        <v>7753</v>
      </c>
      <c r="I9711">
        <v>0</v>
      </c>
      <c r="J9711" t="s">
        <v>7024</v>
      </c>
      <c r="K9711" t="s">
        <v>95</v>
      </c>
      <c r="L9711" t="s">
        <v>285</v>
      </c>
      <c r="M9711" t="str">
        <f t="shared" si="728"/>
        <v>05</v>
      </c>
      <c r="N9711" t="s">
        <v>12</v>
      </c>
    </row>
    <row r="9712" spans="1:14" x14ac:dyDescent="0.25">
      <c r="A9712">
        <v>20160527</v>
      </c>
      <c r="B9712" t="str">
        <f>"063635"</f>
        <v>063635</v>
      </c>
      <c r="C9712" t="str">
        <f>"39264"</f>
        <v>39264</v>
      </c>
      <c r="D9712" t="s">
        <v>7754</v>
      </c>
      <c r="E9712" s="3">
        <v>1109.3</v>
      </c>
      <c r="F9712">
        <v>20160526</v>
      </c>
      <c r="G9712" t="s">
        <v>7110</v>
      </c>
      <c r="H9712" t="s">
        <v>7755</v>
      </c>
      <c r="I9712">
        <v>0</v>
      </c>
      <c r="J9712" t="s">
        <v>7024</v>
      </c>
      <c r="K9712" t="s">
        <v>290</v>
      </c>
      <c r="L9712" t="s">
        <v>285</v>
      </c>
      <c r="M9712" t="str">
        <f t="shared" si="728"/>
        <v>05</v>
      </c>
      <c r="N9712" t="s">
        <v>12</v>
      </c>
    </row>
    <row r="9713" spans="1:14" x14ac:dyDescent="0.25">
      <c r="A9713">
        <v>20160527</v>
      </c>
      <c r="B9713" t="str">
        <f>"063642"</f>
        <v>063642</v>
      </c>
      <c r="C9713" t="str">
        <f>"40781"</f>
        <v>40781</v>
      </c>
      <c r="D9713" t="s">
        <v>3946</v>
      </c>
      <c r="E9713" s="3">
        <v>1260</v>
      </c>
      <c r="F9713">
        <v>20160526</v>
      </c>
      <c r="G9713" t="s">
        <v>7049</v>
      </c>
      <c r="H9713" t="s">
        <v>7756</v>
      </c>
      <c r="I9713">
        <v>0</v>
      </c>
      <c r="J9713" t="s">
        <v>7024</v>
      </c>
      <c r="K9713" t="s">
        <v>33</v>
      </c>
      <c r="L9713" t="s">
        <v>285</v>
      </c>
      <c r="M9713" t="str">
        <f t="shared" si="728"/>
        <v>05</v>
      </c>
      <c r="N9713" t="s">
        <v>12</v>
      </c>
    </row>
    <row r="9714" spans="1:14" x14ac:dyDescent="0.25">
      <c r="A9714">
        <v>20160527</v>
      </c>
      <c r="B9714" t="str">
        <f>"063646"</f>
        <v>063646</v>
      </c>
      <c r="C9714" t="str">
        <f>"80056"</f>
        <v>80056</v>
      </c>
      <c r="D9714" t="s">
        <v>2751</v>
      </c>
      <c r="E9714" s="3">
        <v>451.83</v>
      </c>
      <c r="F9714">
        <v>20160526</v>
      </c>
      <c r="G9714" t="s">
        <v>7292</v>
      </c>
      <c r="H9714" t="s">
        <v>5352</v>
      </c>
      <c r="I9714">
        <v>0</v>
      </c>
      <c r="J9714" t="s">
        <v>7024</v>
      </c>
      <c r="K9714" t="s">
        <v>290</v>
      </c>
      <c r="L9714" t="s">
        <v>285</v>
      </c>
      <c r="M9714" t="str">
        <f t="shared" si="728"/>
        <v>05</v>
      </c>
      <c r="N9714" t="s">
        <v>12</v>
      </c>
    </row>
    <row r="9715" spans="1:14" x14ac:dyDescent="0.25">
      <c r="A9715">
        <v>20160527</v>
      </c>
      <c r="B9715" t="str">
        <f>"063647"</f>
        <v>063647</v>
      </c>
      <c r="C9715" t="str">
        <f>"49748"</f>
        <v>49748</v>
      </c>
      <c r="D9715" t="s">
        <v>1885</v>
      </c>
      <c r="E9715" s="3">
        <v>938.78</v>
      </c>
      <c r="F9715">
        <v>20160526</v>
      </c>
      <c r="G9715" t="s">
        <v>7143</v>
      </c>
      <c r="H9715" t="s">
        <v>7621</v>
      </c>
      <c r="I9715">
        <v>0</v>
      </c>
      <c r="J9715" t="s">
        <v>7024</v>
      </c>
      <c r="K9715" t="s">
        <v>290</v>
      </c>
      <c r="L9715" t="s">
        <v>285</v>
      </c>
      <c r="M9715" t="str">
        <f t="shared" si="728"/>
        <v>05</v>
      </c>
      <c r="N9715" t="s">
        <v>12</v>
      </c>
    </row>
    <row r="9716" spans="1:14" x14ac:dyDescent="0.25">
      <c r="A9716">
        <v>20160527</v>
      </c>
      <c r="B9716" t="str">
        <f>"063647"</f>
        <v>063647</v>
      </c>
      <c r="C9716" t="str">
        <f>"49748"</f>
        <v>49748</v>
      </c>
      <c r="D9716" t="s">
        <v>1885</v>
      </c>
      <c r="E9716" s="3">
        <v>152</v>
      </c>
      <c r="F9716">
        <v>20160526</v>
      </c>
      <c r="G9716" t="s">
        <v>7083</v>
      </c>
      <c r="H9716" t="s">
        <v>1369</v>
      </c>
      <c r="I9716">
        <v>0</v>
      </c>
      <c r="J9716" t="s">
        <v>7024</v>
      </c>
      <c r="K9716" t="s">
        <v>290</v>
      </c>
      <c r="L9716" t="s">
        <v>285</v>
      </c>
      <c r="M9716" t="str">
        <f t="shared" si="728"/>
        <v>05</v>
      </c>
      <c r="N9716" t="s">
        <v>12</v>
      </c>
    </row>
    <row r="9717" spans="1:14" x14ac:dyDescent="0.25">
      <c r="A9717">
        <v>20160527</v>
      </c>
      <c r="B9717" t="str">
        <f>"063650"</f>
        <v>063650</v>
      </c>
      <c r="C9717" t="str">
        <f>"52217"</f>
        <v>52217</v>
      </c>
      <c r="D9717" t="s">
        <v>577</v>
      </c>
      <c r="E9717" s="3">
        <v>304</v>
      </c>
      <c r="F9717">
        <v>20160526</v>
      </c>
      <c r="G9717" t="s">
        <v>7074</v>
      </c>
      <c r="H9717" t="s">
        <v>7757</v>
      </c>
      <c r="I9717">
        <v>0</v>
      </c>
      <c r="J9717" t="s">
        <v>7024</v>
      </c>
      <c r="K9717" t="s">
        <v>290</v>
      </c>
      <c r="L9717" t="s">
        <v>285</v>
      </c>
      <c r="M9717" t="str">
        <f t="shared" si="728"/>
        <v>05</v>
      </c>
      <c r="N9717" t="s">
        <v>12</v>
      </c>
    </row>
    <row r="9718" spans="1:14" x14ac:dyDescent="0.25">
      <c r="A9718">
        <v>20160527</v>
      </c>
      <c r="B9718" t="str">
        <f>"063653"</f>
        <v>063653</v>
      </c>
      <c r="C9718" t="str">
        <f>"56564"</f>
        <v>56564</v>
      </c>
      <c r="D9718" t="s">
        <v>1578</v>
      </c>
      <c r="E9718" s="3">
        <v>558.30999999999995</v>
      </c>
      <c r="F9718">
        <v>20160526</v>
      </c>
      <c r="G9718" t="s">
        <v>7026</v>
      </c>
      <c r="H9718" t="s">
        <v>2169</v>
      </c>
      <c r="I9718">
        <v>0</v>
      </c>
      <c r="J9718" t="s">
        <v>7024</v>
      </c>
      <c r="K9718" t="s">
        <v>1643</v>
      </c>
      <c r="L9718" t="s">
        <v>285</v>
      </c>
      <c r="M9718" t="str">
        <f t="shared" si="728"/>
        <v>05</v>
      </c>
      <c r="N9718" t="s">
        <v>12</v>
      </c>
    </row>
    <row r="9719" spans="1:14" x14ac:dyDescent="0.25">
      <c r="A9719">
        <v>20160527</v>
      </c>
      <c r="B9719" t="str">
        <f>"063657"</f>
        <v>063657</v>
      </c>
      <c r="C9719" t="str">
        <f>"21047"</f>
        <v>21047</v>
      </c>
      <c r="D9719" t="s">
        <v>7758</v>
      </c>
      <c r="E9719" s="3">
        <v>572.32000000000005</v>
      </c>
      <c r="F9719">
        <v>20160526</v>
      </c>
      <c r="G9719" t="s">
        <v>7049</v>
      </c>
      <c r="H9719" t="s">
        <v>7759</v>
      </c>
      <c r="I9719">
        <v>0</v>
      </c>
      <c r="J9719" t="s">
        <v>7024</v>
      </c>
      <c r="K9719" t="s">
        <v>33</v>
      </c>
      <c r="L9719" t="s">
        <v>285</v>
      </c>
      <c r="M9719" t="str">
        <f t="shared" si="728"/>
        <v>05</v>
      </c>
      <c r="N9719" t="s">
        <v>12</v>
      </c>
    </row>
    <row r="9720" spans="1:14" x14ac:dyDescent="0.25">
      <c r="A9720">
        <v>20160527</v>
      </c>
      <c r="B9720" t="str">
        <f>"063665"</f>
        <v>063665</v>
      </c>
      <c r="C9720" t="str">
        <f>"64004"</f>
        <v>64004</v>
      </c>
      <c r="D9720" t="s">
        <v>398</v>
      </c>
      <c r="E9720" s="3">
        <v>1120</v>
      </c>
      <c r="F9720">
        <v>20160526</v>
      </c>
      <c r="G9720" t="s">
        <v>7760</v>
      </c>
      <c r="H9720" t="s">
        <v>7761</v>
      </c>
      <c r="I9720">
        <v>0</v>
      </c>
      <c r="J9720" t="s">
        <v>7024</v>
      </c>
      <c r="K9720" t="s">
        <v>290</v>
      </c>
      <c r="L9720" t="s">
        <v>285</v>
      </c>
      <c r="M9720" t="str">
        <f t="shared" si="728"/>
        <v>05</v>
      </c>
      <c r="N9720" t="s">
        <v>12</v>
      </c>
    </row>
    <row r="9721" spans="1:14" x14ac:dyDescent="0.25">
      <c r="A9721">
        <v>20160527</v>
      </c>
      <c r="B9721" t="str">
        <f>"063669"</f>
        <v>063669</v>
      </c>
      <c r="C9721" t="str">
        <f>"08907"</f>
        <v>08907</v>
      </c>
      <c r="D9721" t="s">
        <v>7163</v>
      </c>
      <c r="E9721" s="3">
        <v>507.5</v>
      </c>
      <c r="F9721">
        <v>20160526</v>
      </c>
      <c r="G9721" t="s">
        <v>7599</v>
      </c>
      <c r="H9721" t="s">
        <v>7762</v>
      </c>
      <c r="I9721">
        <v>0</v>
      </c>
      <c r="J9721" t="s">
        <v>7024</v>
      </c>
      <c r="K9721" t="s">
        <v>7068</v>
      </c>
      <c r="L9721" t="s">
        <v>285</v>
      </c>
      <c r="M9721" t="str">
        <f t="shared" si="728"/>
        <v>05</v>
      </c>
      <c r="N9721" t="s">
        <v>12</v>
      </c>
    </row>
    <row r="9722" spans="1:14" x14ac:dyDescent="0.25">
      <c r="A9722">
        <v>20160527</v>
      </c>
      <c r="B9722" t="str">
        <f>"063675"</f>
        <v>063675</v>
      </c>
      <c r="C9722" t="str">
        <f>"76508"</f>
        <v>76508</v>
      </c>
      <c r="D9722" t="s">
        <v>373</v>
      </c>
      <c r="E9722" s="3">
        <v>1500</v>
      </c>
      <c r="F9722">
        <v>20160526</v>
      </c>
      <c r="G9722" t="s">
        <v>7645</v>
      </c>
      <c r="H9722" t="s">
        <v>7744</v>
      </c>
      <c r="I9722">
        <v>0</v>
      </c>
      <c r="J9722" t="s">
        <v>7024</v>
      </c>
      <c r="K9722" t="s">
        <v>290</v>
      </c>
      <c r="L9722" t="s">
        <v>285</v>
      </c>
      <c r="M9722" t="str">
        <f t="shared" si="728"/>
        <v>05</v>
      </c>
      <c r="N9722" t="s">
        <v>12</v>
      </c>
    </row>
    <row r="9723" spans="1:14" x14ac:dyDescent="0.25">
      <c r="A9723">
        <v>20160527</v>
      </c>
      <c r="B9723" t="str">
        <f>"063679"</f>
        <v>063679</v>
      </c>
      <c r="C9723" t="str">
        <f>"70641"</f>
        <v>70641</v>
      </c>
      <c r="D9723" t="s">
        <v>6012</v>
      </c>
      <c r="E9723" s="3">
        <v>8558.94</v>
      </c>
      <c r="F9723">
        <v>20160526</v>
      </c>
      <c r="G9723" t="s">
        <v>7613</v>
      </c>
      <c r="H9723" t="s">
        <v>7763</v>
      </c>
      <c r="I9723">
        <v>0</v>
      </c>
      <c r="J9723" t="s">
        <v>7024</v>
      </c>
      <c r="K9723" t="s">
        <v>290</v>
      </c>
      <c r="L9723" t="s">
        <v>285</v>
      </c>
      <c r="M9723" t="str">
        <f t="shared" si="728"/>
        <v>05</v>
      </c>
      <c r="N9723" t="s">
        <v>12</v>
      </c>
    </row>
    <row r="9724" spans="1:14" x14ac:dyDescent="0.25">
      <c r="A9724">
        <v>20160527</v>
      </c>
      <c r="B9724" t="str">
        <f>"063679"</f>
        <v>063679</v>
      </c>
      <c r="C9724" t="str">
        <f>"70641"</f>
        <v>70641</v>
      </c>
      <c r="D9724" t="s">
        <v>6012</v>
      </c>
      <c r="E9724" s="3">
        <v>9400</v>
      </c>
      <c r="F9724">
        <v>20160526</v>
      </c>
      <c r="G9724" t="s">
        <v>7613</v>
      </c>
      <c r="H9724" t="s">
        <v>7763</v>
      </c>
      <c r="I9724">
        <v>0</v>
      </c>
      <c r="J9724" t="s">
        <v>7024</v>
      </c>
      <c r="K9724" t="s">
        <v>290</v>
      </c>
      <c r="L9724" t="s">
        <v>285</v>
      </c>
      <c r="M9724" t="str">
        <f t="shared" si="728"/>
        <v>05</v>
      </c>
      <c r="N9724" t="s">
        <v>12</v>
      </c>
    </row>
    <row r="9725" spans="1:14" x14ac:dyDescent="0.25">
      <c r="A9725">
        <v>20160527</v>
      </c>
      <c r="B9725" t="str">
        <f>"063681"</f>
        <v>063681</v>
      </c>
      <c r="C9725" t="str">
        <f>"74835"</f>
        <v>74835</v>
      </c>
      <c r="D9725" t="s">
        <v>7733</v>
      </c>
      <c r="E9725" s="3">
        <v>200</v>
      </c>
      <c r="F9725">
        <v>20160526</v>
      </c>
      <c r="G9725" t="s">
        <v>7026</v>
      </c>
      <c r="H9725" t="s">
        <v>7764</v>
      </c>
      <c r="I9725">
        <v>0</v>
      </c>
      <c r="J9725" t="s">
        <v>7024</v>
      </c>
      <c r="K9725" t="s">
        <v>1643</v>
      </c>
      <c r="L9725" t="s">
        <v>285</v>
      </c>
      <c r="M9725" t="str">
        <f t="shared" si="728"/>
        <v>05</v>
      </c>
      <c r="N9725" t="s">
        <v>12</v>
      </c>
    </row>
    <row r="9726" spans="1:14" x14ac:dyDescent="0.25">
      <c r="A9726">
        <v>20160527</v>
      </c>
      <c r="B9726" t="str">
        <f>"063682"</f>
        <v>063682</v>
      </c>
      <c r="C9726" t="str">
        <f>"80756"</f>
        <v>80756</v>
      </c>
      <c r="D9726" t="s">
        <v>521</v>
      </c>
      <c r="E9726" s="3">
        <v>74</v>
      </c>
      <c r="F9726">
        <v>20160526</v>
      </c>
      <c r="G9726" t="s">
        <v>7049</v>
      </c>
      <c r="H9726" t="s">
        <v>7765</v>
      </c>
      <c r="I9726">
        <v>0</v>
      </c>
      <c r="J9726" t="s">
        <v>7024</v>
      </c>
      <c r="K9726" t="s">
        <v>33</v>
      </c>
      <c r="L9726" t="s">
        <v>285</v>
      </c>
      <c r="M9726" t="str">
        <f t="shared" si="728"/>
        <v>05</v>
      </c>
      <c r="N9726" t="s">
        <v>12</v>
      </c>
    </row>
    <row r="9727" spans="1:14" x14ac:dyDescent="0.25">
      <c r="A9727">
        <v>20160527</v>
      </c>
      <c r="B9727" t="str">
        <f>"063682"</f>
        <v>063682</v>
      </c>
      <c r="C9727" t="str">
        <f>"80756"</f>
        <v>80756</v>
      </c>
      <c r="D9727" t="s">
        <v>521</v>
      </c>
      <c r="E9727" s="3">
        <v>150</v>
      </c>
      <c r="F9727">
        <v>20160526</v>
      </c>
      <c r="G9727" t="s">
        <v>7197</v>
      </c>
      <c r="H9727" t="s">
        <v>7765</v>
      </c>
      <c r="I9727">
        <v>0</v>
      </c>
      <c r="J9727" t="s">
        <v>7024</v>
      </c>
      <c r="K9727" t="s">
        <v>33</v>
      </c>
      <c r="L9727" t="s">
        <v>285</v>
      </c>
      <c r="M9727" t="str">
        <f t="shared" si="728"/>
        <v>05</v>
      </c>
      <c r="N9727" t="s">
        <v>12</v>
      </c>
    </row>
    <row r="9728" spans="1:14" x14ac:dyDescent="0.25">
      <c r="A9728">
        <v>20160527</v>
      </c>
      <c r="B9728" t="str">
        <f>"063683"</f>
        <v>063683</v>
      </c>
      <c r="C9728" t="str">
        <f>"81299"</f>
        <v>81299</v>
      </c>
      <c r="D9728" t="s">
        <v>2415</v>
      </c>
      <c r="E9728" s="3">
        <v>300</v>
      </c>
      <c r="F9728">
        <v>20160526</v>
      </c>
      <c r="G9728" t="s">
        <v>7143</v>
      </c>
      <c r="H9728" t="s">
        <v>7621</v>
      </c>
      <c r="I9728">
        <v>0</v>
      </c>
      <c r="J9728" t="s">
        <v>7024</v>
      </c>
      <c r="K9728" t="s">
        <v>290</v>
      </c>
      <c r="L9728" t="s">
        <v>285</v>
      </c>
      <c r="M9728" t="str">
        <f t="shared" si="728"/>
        <v>05</v>
      </c>
      <c r="N9728" t="s">
        <v>12</v>
      </c>
    </row>
    <row r="9729" spans="1:14" x14ac:dyDescent="0.25">
      <c r="A9729">
        <v>20160527</v>
      </c>
      <c r="B9729" t="str">
        <f>"063687"</f>
        <v>063687</v>
      </c>
      <c r="C9729" t="str">
        <f>"82363"</f>
        <v>82363</v>
      </c>
      <c r="D9729" t="s">
        <v>7766</v>
      </c>
      <c r="E9729" s="3">
        <v>75</v>
      </c>
      <c r="F9729">
        <v>20160526</v>
      </c>
      <c r="G9729" t="s">
        <v>7346</v>
      </c>
      <c r="H9729" t="s">
        <v>7749</v>
      </c>
      <c r="I9729">
        <v>0</v>
      </c>
      <c r="J9729" t="s">
        <v>7024</v>
      </c>
      <c r="K9729" t="s">
        <v>290</v>
      </c>
      <c r="L9729" t="s">
        <v>285</v>
      </c>
      <c r="M9729" t="str">
        <f t="shared" si="728"/>
        <v>05</v>
      </c>
      <c r="N9729" t="s">
        <v>12</v>
      </c>
    </row>
    <row r="9730" spans="1:14" x14ac:dyDescent="0.25">
      <c r="A9730">
        <v>20160527</v>
      </c>
      <c r="B9730" t="str">
        <f t="shared" ref="B9730:B9766" si="729">"063689"</f>
        <v>063689</v>
      </c>
      <c r="C9730" t="str">
        <f t="shared" ref="C9730:C9766" si="730">"83022"</f>
        <v>83022</v>
      </c>
      <c r="D9730" t="s">
        <v>394</v>
      </c>
      <c r="E9730" s="3">
        <v>146.53</v>
      </c>
      <c r="F9730">
        <v>20160526</v>
      </c>
      <c r="G9730" t="s">
        <v>7175</v>
      </c>
      <c r="H9730" t="s">
        <v>2682</v>
      </c>
      <c r="I9730">
        <v>0</v>
      </c>
      <c r="J9730" t="s">
        <v>7024</v>
      </c>
      <c r="K9730" t="s">
        <v>33</v>
      </c>
      <c r="L9730" t="s">
        <v>285</v>
      </c>
      <c r="M9730" t="str">
        <f t="shared" si="728"/>
        <v>05</v>
      </c>
      <c r="N9730" t="s">
        <v>12</v>
      </c>
    </row>
    <row r="9731" spans="1:14" x14ac:dyDescent="0.25">
      <c r="A9731">
        <v>20160527</v>
      </c>
      <c r="B9731" t="str">
        <f t="shared" si="729"/>
        <v>063689</v>
      </c>
      <c r="C9731" t="str">
        <f t="shared" si="730"/>
        <v>83022</v>
      </c>
      <c r="D9731" t="s">
        <v>394</v>
      </c>
      <c r="E9731" s="3">
        <v>10.91</v>
      </c>
      <c r="F9731">
        <v>20160526</v>
      </c>
      <c r="G9731" t="s">
        <v>7175</v>
      </c>
      <c r="H9731" t="s">
        <v>2682</v>
      </c>
      <c r="I9731">
        <v>0</v>
      </c>
      <c r="J9731" t="s">
        <v>7024</v>
      </c>
      <c r="K9731" t="s">
        <v>33</v>
      </c>
      <c r="L9731" t="s">
        <v>285</v>
      </c>
      <c r="M9731" t="str">
        <f t="shared" si="728"/>
        <v>05</v>
      </c>
      <c r="N9731" t="s">
        <v>12</v>
      </c>
    </row>
    <row r="9732" spans="1:14" x14ac:dyDescent="0.25">
      <c r="A9732">
        <v>20160527</v>
      </c>
      <c r="B9732" t="str">
        <f t="shared" si="729"/>
        <v>063689</v>
      </c>
      <c r="C9732" t="str">
        <f t="shared" si="730"/>
        <v>83022</v>
      </c>
      <c r="D9732" t="s">
        <v>394</v>
      </c>
      <c r="E9732" s="3">
        <v>74.510000000000005</v>
      </c>
      <c r="F9732">
        <v>20160526</v>
      </c>
      <c r="G9732" t="s">
        <v>7074</v>
      </c>
      <c r="H9732" t="s">
        <v>7767</v>
      </c>
      <c r="I9732">
        <v>0</v>
      </c>
      <c r="J9732" t="s">
        <v>7024</v>
      </c>
      <c r="K9732" t="s">
        <v>290</v>
      </c>
      <c r="L9732" t="s">
        <v>285</v>
      </c>
      <c r="M9732" t="str">
        <f t="shared" si="728"/>
        <v>05</v>
      </c>
      <c r="N9732" t="s">
        <v>12</v>
      </c>
    </row>
    <row r="9733" spans="1:14" x14ac:dyDescent="0.25">
      <c r="A9733">
        <v>20160527</v>
      </c>
      <c r="B9733" t="str">
        <f t="shared" si="729"/>
        <v>063689</v>
      </c>
      <c r="C9733" t="str">
        <f t="shared" si="730"/>
        <v>83022</v>
      </c>
      <c r="D9733" t="s">
        <v>394</v>
      </c>
      <c r="E9733" s="3">
        <v>12.48</v>
      </c>
      <c r="F9733">
        <v>20160526</v>
      </c>
      <c r="G9733" t="s">
        <v>7074</v>
      </c>
      <c r="H9733" t="s">
        <v>7768</v>
      </c>
      <c r="I9733">
        <v>0</v>
      </c>
      <c r="J9733" t="s">
        <v>7024</v>
      </c>
      <c r="K9733" t="s">
        <v>290</v>
      </c>
      <c r="L9733" t="s">
        <v>285</v>
      </c>
      <c r="M9733" t="str">
        <f t="shared" si="728"/>
        <v>05</v>
      </c>
      <c r="N9733" t="s">
        <v>12</v>
      </c>
    </row>
    <row r="9734" spans="1:14" x14ac:dyDescent="0.25">
      <c r="A9734">
        <v>20160527</v>
      </c>
      <c r="B9734" t="str">
        <f t="shared" si="729"/>
        <v>063689</v>
      </c>
      <c r="C9734" t="str">
        <f t="shared" si="730"/>
        <v>83022</v>
      </c>
      <c r="D9734" t="s">
        <v>394</v>
      </c>
      <c r="E9734" s="3">
        <v>103.55</v>
      </c>
      <c r="F9734">
        <v>20160526</v>
      </c>
      <c r="G9734" t="s">
        <v>7074</v>
      </c>
      <c r="H9734" t="s">
        <v>7768</v>
      </c>
      <c r="I9734">
        <v>0</v>
      </c>
      <c r="J9734" t="s">
        <v>7024</v>
      </c>
      <c r="K9734" t="s">
        <v>290</v>
      </c>
      <c r="L9734" t="s">
        <v>285</v>
      </c>
      <c r="M9734" t="str">
        <f t="shared" si="728"/>
        <v>05</v>
      </c>
      <c r="N9734" t="s">
        <v>12</v>
      </c>
    </row>
    <row r="9735" spans="1:14" x14ac:dyDescent="0.25">
      <c r="A9735">
        <v>20160527</v>
      </c>
      <c r="B9735" t="str">
        <f t="shared" si="729"/>
        <v>063689</v>
      </c>
      <c r="C9735" t="str">
        <f t="shared" si="730"/>
        <v>83022</v>
      </c>
      <c r="D9735" t="s">
        <v>394</v>
      </c>
      <c r="E9735" s="3">
        <v>453.2</v>
      </c>
      <c r="F9735">
        <v>20160526</v>
      </c>
      <c r="G9735" t="s">
        <v>7227</v>
      </c>
      <c r="H9735" t="s">
        <v>7769</v>
      </c>
      <c r="I9735">
        <v>0</v>
      </c>
      <c r="J9735" t="s">
        <v>7024</v>
      </c>
      <c r="K9735" t="s">
        <v>290</v>
      </c>
      <c r="L9735" t="s">
        <v>285</v>
      </c>
      <c r="M9735" t="str">
        <f t="shared" si="728"/>
        <v>05</v>
      </c>
      <c r="N9735" t="s">
        <v>12</v>
      </c>
    </row>
    <row r="9736" spans="1:14" x14ac:dyDescent="0.25">
      <c r="A9736">
        <v>20160527</v>
      </c>
      <c r="B9736" t="str">
        <f t="shared" si="729"/>
        <v>063689</v>
      </c>
      <c r="C9736" t="str">
        <f t="shared" si="730"/>
        <v>83022</v>
      </c>
      <c r="D9736" t="s">
        <v>394</v>
      </c>
      <c r="E9736" s="3">
        <v>74.5</v>
      </c>
      <c r="F9736">
        <v>20160526</v>
      </c>
      <c r="G9736" t="s">
        <v>7260</v>
      </c>
      <c r="H9736" t="s">
        <v>7770</v>
      </c>
      <c r="I9736">
        <v>0</v>
      </c>
      <c r="J9736" t="s">
        <v>7024</v>
      </c>
      <c r="K9736" t="s">
        <v>290</v>
      </c>
      <c r="L9736" t="s">
        <v>285</v>
      </c>
      <c r="M9736" t="str">
        <f t="shared" si="728"/>
        <v>05</v>
      </c>
      <c r="N9736" t="s">
        <v>12</v>
      </c>
    </row>
    <row r="9737" spans="1:14" x14ac:dyDescent="0.25">
      <c r="A9737">
        <v>20160527</v>
      </c>
      <c r="B9737" t="str">
        <f t="shared" si="729"/>
        <v>063689</v>
      </c>
      <c r="C9737" t="str">
        <f t="shared" si="730"/>
        <v>83022</v>
      </c>
      <c r="D9737" t="s">
        <v>394</v>
      </c>
      <c r="E9737" s="3">
        <v>12.48</v>
      </c>
      <c r="F9737">
        <v>20160526</v>
      </c>
      <c r="G9737" t="s">
        <v>7260</v>
      </c>
      <c r="H9737" t="s">
        <v>7771</v>
      </c>
      <c r="I9737">
        <v>0</v>
      </c>
      <c r="J9737" t="s">
        <v>7024</v>
      </c>
      <c r="K9737" t="s">
        <v>290</v>
      </c>
      <c r="L9737" t="s">
        <v>285</v>
      </c>
      <c r="M9737" t="str">
        <f t="shared" si="728"/>
        <v>05</v>
      </c>
      <c r="N9737" t="s">
        <v>12</v>
      </c>
    </row>
    <row r="9738" spans="1:14" x14ac:dyDescent="0.25">
      <c r="A9738">
        <v>20160527</v>
      </c>
      <c r="B9738" t="str">
        <f t="shared" si="729"/>
        <v>063689</v>
      </c>
      <c r="C9738" t="str">
        <f t="shared" si="730"/>
        <v>83022</v>
      </c>
      <c r="D9738" t="s">
        <v>394</v>
      </c>
      <c r="E9738" s="3">
        <v>103.55</v>
      </c>
      <c r="F9738">
        <v>20160526</v>
      </c>
      <c r="G9738" t="s">
        <v>7260</v>
      </c>
      <c r="H9738" t="s">
        <v>7771</v>
      </c>
      <c r="I9738">
        <v>0</v>
      </c>
      <c r="J9738" t="s">
        <v>7024</v>
      </c>
      <c r="K9738" t="s">
        <v>290</v>
      </c>
      <c r="L9738" t="s">
        <v>285</v>
      </c>
      <c r="M9738" t="str">
        <f t="shared" si="728"/>
        <v>05</v>
      </c>
      <c r="N9738" t="s">
        <v>12</v>
      </c>
    </row>
    <row r="9739" spans="1:14" x14ac:dyDescent="0.25">
      <c r="A9739">
        <v>20160527</v>
      </c>
      <c r="B9739" t="str">
        <f t="shared" si="729"/>
        <v>063689</v>
      </c>
      <c r="C9739" t="str">
        <f t="shared" si="730"/>
        <v>83022</v>
      </c>
      <c r="D9739" t="s">
        <v>394</v>
      </c>
      <c r="E9739" s="3">
        <v>162.91999999999999</v>
      </c>
      <c r="F9739">
        <v>20160526</v>
      </c>
      <c r="G9739" t="s">
        <v>7212</v>
      </c>
      <c r="H9739" t="s">
        <v>7772</v>
      </c>
      <c r="I9739">
        <v>0</v>
      </c>
      <c r="J9739" t="s">
        <v>7024</v>
      </c>
      <c r="K9739" t="s">
        <v>290</v>
      </c>
      <c r="L9739" t="s">
        <v>285</v>
      </c>
      <c r="M9739" t="str">
        <f t="shared" si="728"/>
        <v>05</v>
      </c>
      <c r="N9739" t="s">
        <v>12</v>
      </c>
    </row>
    <row r="9740" spans="1:14" x14ac:dyDescent="0.25">
      <c r="A9740">
        <v>20160527</v>
      </c>
      <c r="B9740" t="str">
        <f t="shared" si="729"/>
        <v>063689</v>
      </c>
      <c r="C9740" t="str">
        <f t="shared" si="730"/>
        <v>83022</v>
      </c>
      <c r="D9740" t="s">
        <v>394</v>
      </c>
      <c r="E9740" s="3">
        <v>321.83999999999997</v>
      </c>
      <c r="F9740">
        <v>20160526</v>
      </c>
      <c r="G9740" t="s">
        <v>7082</v>
      </c>
      <c r="H9740" t="s">
        <v>2173</v>
      </c>
      <c r="I9740">
        <v>0</v>
      </c>
      <c r="J9740" t="s">
        <v>7024</v>
      </c>
      <c r="K9740" t="s">
        <v>95</v>
      </c>
      <c r="L9740" t="s">
        <v>285</v>
      </c>
      <c r="M9740" t="str">
        <f t="shared" si="728"/>
        <v>05</v>
      </c>
      <c r="N9740" t="s">
        <v>12</v>
      </c>
    </row>
    <row r="9741" spans="1:14" x14ac:dyDescent="0.25">
      <c r="A9741">
        <v>20160527</v>
      </c>
      <c r="B9741" t="str">
        <f t="shared" si="729"/>
        <v>063689</v>
      </c>
      <c r="C9741" t="str">
        <f t="shared" si="730"/>
        <v>83022</v>
      </c>
      <c r="D9741" t="s">
        <v>394</v>
      </c>
      <c r="E9741" s="3">
        <v>909.71</v>
      </c>
      <c r="F9741">
        <v>20160526</v>
      </c>
      <c r="G9741" t="s">
        <v>7082</v>
      </c>
      <c r="H9741" t="s">
        <v>5398</v>
      </c>
      <c r="I9741">
        <v>0</v>
      </c>
      <c r="J9741" t="s">
        <v>7024</v>
      </c>
      <c r="K9741" t="s">
        <v>95</v>
      </c>
      <c r="L9741" t="s">
        <v>285</v>
      </c>
      <c r="M9741" t="str">
        <f t="shared" si="728"/>
        <v>05</v>
      </c>
      <c r="N9741" t="s">
        <v>12</v>
      </c>
    </row>
    <row r="9742" spans="1:14" x14ac:dyDescent="0.25">
      <c r="A9742">
        <v>20160527</v>
      </c>
      <c r="B9742" t="str">
        <f t="shared" si="729"/>
        <v>063689</v>
      </c>
      <c r="C9742" t="str">
        <f t="shared" si="730"/>
        <v>83022</v>
      </c>
      <c r="D9742" t="s">
        <v>394</v>
      </c>
      <c r="E9742" s="3">
        <v>30.23</v>
      </c>
      <c r="F9742">
        <v>20160526</v>
      </c>
      <c r="G9742" t="s">
        <v>7082</v>
      </c>
      <c r="H9742" t="s">
        <v>7773</v>
      </c>
      <c r="I9742">
        <v>0</v>
      </c>
      <c r="J9742" t="s">
        <v>7024</v>
      </c>
      <c r="K9742" t="s">
        <v>95</v>
      </c>
      <c r="L9742" t="s">
        <v>285</v>
      </c>
      <c r="M9742" t="str">
        <f t="shared" ref="M9742:M9766" si="731">"05"</f>
        <v>05</v>
      </c>
      <c r="N9742" t="s">
        <v>12</v>
      </c>
    </row>
    <row r="9743" spans="1:14" x14ac:dyDescent="0.25">
      <c r="A9743">
        <v>20160527</v>
      </c>
      <c r="B9743" t="str">
        <f t="shared" si="729"/>
        <v>063689</v>
      </c>
      <c r="C9743" t="str">
        <f t="shared" si="730"/>
        <v>83022</v>
      </c>
      <c r="D9743" t="s">
        <v>394</v>
      </c>
      <c r="E9743" s="3">
        <v>50.12</v>
      </c>
      <c r="F9743">
        <v>20160526</v>
      </c>
      <c r="G9743" t="s">
        <v>7026</v>
      </c>
      <c r="H9743" t="s">
        <v>7774</v>
      </c>
      <c r="I9743">
        <v>0</v>
      </c>
      <c r="J9743" t="s">
        <v>7024</v>
      </c>
      <c r="K9743" t="s">
        <v>1643</v>
      </c>
      <c r="L9743" t="s">
        <v>285</v>
      </c>
      <c r="M9743" t="str">
        <f t="shared" si="731"/>
        <v>05</v>
      </c>
      <c r="N9743" t="s">
        <v>12</v>
      </c>
    </row>
    <row r="9744" spans="1:14" x14ac:dyDescent="0.25">
      <c r="A9744">
        <v>20160527</v>
      </c>
      <c r="B9744" t="str">
        <f t="shared" si="729"/>
        <v>063689</v>
      </c>
      <c r="C9744" t="str">
        <f t="shared" si="730"/>
        <v>83022</v>
      </c>
      <c r="D9744" t="s">
        <v>394</v>
      </c>
      <c r="E9744" s="3">
        <v>367.92</v>
      </c>
      <c r="F9744">
        <v>20160526</v>
      </c>
      <c r="G9744" t="s">
        <v>7026</v>
      </c>
      <c r="H9744" t="s">
        <v>7774</v>
      </c>
      <c r="I9744">
        <v>0</v>
      </c>
      <c r="J9744" t="s">
        <v>7024</v>
      </c>
      <c r="K9744" t="s">
        <v>1643</v>
      </c>
      <c r="L9744" t="s">
        <v>285</v>
      </c>
      <c r="M9744" t="str">
        <f t="shared" si="731"/>
        <v>05</v>
      </c>
      <c r="N9744" t="s">
        <v>12</v>
      </c>
    </row>
    <row r="9745" spans="1:14" x14ac:dyDescent="0.25">
      <c r="A9745">
        <v>20160527</v>
      </c>
      <c r="B9745" t="str">
        <f t="shared" si="729"/>
        <v>063689</v>
      </c>
      <c r="C9745" t="str">
        <f t="shared" si="730"/>
        <v>83022</v>
      </c>
      <c r="D9745" t="s">
        <v>394</v>
      </c>
      <c r="E9745" s="3">
        <v>15.14</v>
      </c>
      <c r="F9745">
        <v>20160526</v>
      </c>
      <c r="G9745" t="s">
        <v>7026</v>
      </c>
      <c r="H9745" t="s">
        <v>7774</v>
      </c>
      <c r="I9745">
        <v>0</v>
      </c>
      <c r="J9745" t="s">
        <v>7024</v>
      </c>
      <c r="K9745" t="s">
        <v>1643</v>
      </c>
      <c r="L9745" t="s">
        <v>285</v>
      </c>
      <c r="M9745" t="str">
        <f t="shared" si="731"/>
        <v>05</v>
      </c>
      <c r="N9745" t="s">
        <v>12</v>
      </c>
    </row>
    <row r="9746" spans="1:14" x14ac:dyDescent="0.25">
      <c r="A9746">
        <v>20160527</v>
      </c>
      <c r="B9746" t="str">
        <f t="shared" si="729"/>
        <v>063689</v>
      </c>
      <c r="C9746" t="str">
        <f t="shared" si="730"/>
        <v>83022</v>
      </c>
      <c r="D9746" t="s">
        <v>394</v>
      </c>
      <c r="E9746" s="3">
        <v>128.63999999999999</v>
      </c>
      <c r="F9746">
        <v>20160526</v>
      </c>
      <c r="G9746" t="s">
        <v>7026</v>
      </c>
      <c r="H9746" t="s">
        <v>7774</v>
      </c>
      <c r="I9746">
        <v>0</v>
      </c>
      <c r="J9746" t="s">
        <v>7024</v>
      </c>
      <c r="K9746" t="s">
        <v>1643</v>
      </c>
      <c r="L9746" t="s">
        <v>285</v>
      </c>
      <c r="M9746" t="str">
        <f t="shared" si="731"/>
        <v>05</v>
      </c>
      <c r="N9746" t="s">
        <v>12</v>
      </c>
    </row>
    <row r="9747" spans="1:14" x14ac:dyDescent="0.25">
      <c r="A9747">
        <v>20160527</v>
      </c>
      <c r="B9747" t="str">
        <f t="shared" si="729"/>
        <v>063689</v>
      </c>
      <c r="C9747" t="str">
        <f t="shared" si="730"/>
        <v>83022</v>
      </c>
      <c r="D9747" t="s">
        <v>394</v>
      </c>
      <c r="E9747" s="3">
        <v>75.680000000000007</v>
      </c>
      <c r="F9747">
        <v>20160526</v>
      </c>
      <c r="G9747" t="s">
        <v>7026</v>
      </c>
      <c r="H9747" t="s">
        <v>7774</v>
      </c>
      <c r="I9747">
        <v>0</v>
      </c>
      <c r="J9747" t="s">
        <v>7024</v>
      </c>
      <c r="K9747" t="s">
        <v>1643</v>
      </c>
      <c r="L9747" t="s">
        <v>285</v>
      </c>
      <c r="M9747" t="str">
        <f t="shared" si="731"/>
        <v>05</v>
      </c>
      <c r="N9747" t="s">
        <v>12</v>
      </c>
    </row>
    <row r="9748" spans="1:14" x14ac:dyDescent="0.25">
      <c r="A9748">
        <v>20160527</v>
      </c>
      <c r="B9748" t="str">
        <f t="shared" si="729"/>
        <v>063689</v>
      </c>
      <c r="C9748" t="str">
        <f t="shared" si="730"/>
        <v>83022</v>
      </c>
      <c r="D9748" t="s">
        <v>394</v>
      </c>
      <c r="E9748" s="3">
        <v>27.48</v>
      </c>
      <c r="F9748">
        <v>20160526</v>
      </c>
      <c r="G9748" t="s">
        <v>7026</v>
      </c>
      <c r="H9748" t="s">
        <v>7774</v>
      </c>
      <c r="I9748">
        <v>0</v>
      </c>
      <c r="J9748" t="s">
        <v>7024</v>
      </c>
      <c r="K9748" t="s">
        <v>1643</v>
      </c>
      <c r="L9748" t="s">
        <v>285</v>
      </c>
      <c r="M9748" t="str">
        <f t="shared" si="731"/>
        <v>05</v>
      </c>
      <c r="N9748" t="s">
        <v>12</v>
      </c>
    </row>
    <row r="9749" spans="1:14" x14ac:dyDescent="0.25">
      <c r="A9749">
        <v>20160527</v>
      </c>
      <c r="B9749" t="str">
        <f t="shared" si="729"/>
        <v>063689</v>
      </c>
      <c r="C9749" t="str">
        <f t="shared" si="730"/>
        <v>83022</v>
      </c>
      <c r="D9749" t="s">
        <v>394</v>
      </c>
      <c r="E9749" s="3">
        <v>167.88</v>
      </c>
      <c r="F9749">
        <v>20160526</v>
      </c>
      <c r="G9749" t="s">
        <v>7026</v>
      </c>
      <c r="H9749" t="s">
        <v>7774</v>
      </c>
      <c r="I9749">
        <v>0</v>
      </c>
      <c r="J9749" t="s">
        <v>7024</v>
      </c>
      <c r="K9749" t="s">
        <v>1643</v>
      </c>
      <c r="L9749" t="s">
        <v>285</v>
      </c>
      <c r="M9749" t="str">
        <f t="shared" si="731"/>
        <v>05</v>
      </c>
      <c r="N9749" t="s">
        <v>12</v>
      </c>
    </row>
    <row r="9750" spans="1:14" x14ac:dyDescent="0.25">
      <c r="A9750">
        <v>20160527</v>
      </c>
      <c r="B9750" t="str">
        <f t="shared" si="729"/>
        <v>063689</v>
      </c>
      <c r="C9750" t="str">
        <f t="shared" si="730"/>
        <v>83022</v>
      </c>
      <c r="D9750" t="s">
        <v>394</v>
      </c>
      <c r="E9750" s="3">
        <v>42.8</v>
      </c>
      <c r="F9750">
        <v>20160526</v>
      </c>
      <c r="G9750" t="s">
        <v>7026</v>
      </c>
      <c r="H9750" t="s">
        <v>7594</v>
      </c>
      <c r="I9750">
        <v>0</v>
      </c>
      <c r="J9750" t="s">
        <v>7024</v>
      </c>
      <c r="K9750" t="s">
        <v>1643</v>
      </c>
      <c r="L9750" t="s">
        <v>285</v>
      </c>
      <c r="M9750" t="str">
        <f t="shared" si="731"/>
        <v>05</v>
      </c>
      <c r="N9750" t="s">
        <v>12</v>
      </c>
    </row>
    <row r="9751" spans="1:14" x14ac:dyDescent="0.25">
      <c r="A9751">
        <v>20160527</v>
      </c>
      <c r="B9751" t="str">
        <f t="shared" si="729"/>
        <v>063689</v>
      </c>
      <c r="C9751" t="str">
        <f t="shared" si="730"/>
        <v>83022</v>
      </c>
      <c r="D9751" t="s">
        <v>394</v>
      </c>
      <c r="E9751" s="3">
        <v>75.48</v>
      </c>
      <c r="F9751">
        <v>20160526</v>
      </c>
      <c r="G9751" t="s">
        <v>7026</v>
      </c>
      <c r="H9751" t="s">
        <v>7594</v>
      </c>
      <c r="I9751">
        <v>0</v>
      </c>
      <c r="J9751" t="s">
        <v>7024</v>
      </c>
      <c r="K9751" t="s">
        <v>1643</v>
      </c>
      <c r="L9751" t="s">
        <v>285</v>
      </c>
      <c r="M9751" t="str">
        <f t="shared" si="731"/>
        <v>05</v>
      </c>
      <c r="N9751" t="s">
        <v>12</v>
      </c>
    </row>
    <row r="9752" spans="1:14" x14ac:dyDescent="0.25">
      <c r="A9752">
        <v>20160527</v>
      </c>
      <c r="B9752" t="str">
        <f t="shared" si="729"/>
        <v>063689</v>
      </c>
      <c r="C9752" t="str">
        <f t="shared" si="730"/>
        <v>83022</v>
      </c>
      <c r="D9752" t="s">
        <v>394</v>
      </c>
      <c r="E9752" s="3">
        <v>80.64</v>
      </c>
      <c r="F9752">
        <v>20160526</v>
      </c>
      <c r="G9752" t="s">
        <v>7026</v>
      </c>
      <c r="H9752" t="s">
        <v>7775</v>
      </c>
      <c r="I9752">
        <v>0</v>
      </c>
      <c r="J9752" t="s">
        <v>7024</v>
      </c>
      <c r="K9752" t="s">
        <v>1643</v>
      </c>
      <c r="L9752" t="s">
        <v>285</v>
      </c>
      <c r="M9752" t="str">
        <f t="shared" si="731"/>
        <v>05</v>
      </c>
      <c r="N9752" t="s">
        <v>12</v>
      </c>
    </row>
    <row r="9753" spans="1:14" x14ac:dyDescent="0.25">
      <c r="A9753">
        <v>20160527</v>
      </c>
      <c r="B9753" t="str">
        <f t="shared" si="729"/>
        <v>063689</v>
      </c>
      <c r="C9753" t="str">
        <f t="shared" si="730"/>
        <v>83022</v>
      </c>
      <c r="D9753" t="s">
        <v>394</v>
      </c>
      <c r="E9753" s="3">
        <v>223.16</v>
      </c>
      <c r="F9753">
        <v>20160526</v>
      </c>
      <c r="G9753" t="s">
        <v>7026</v>
      </c>
      <c r="H9753" t="s">
        <v>7775</v>
      </c>
      <c r="I9753">
        <v>0</v>
      </c>
      <c r="J9753" t="s">
        <v>7024</v>
      </c>
      <c r="K9753" t="s">
        <v>1643</v>
      </c>
      <c r="L9753" t="s">
        <v>285</v>
      </c>
      <c r="M9753" t="str">
        <f t="shared" si="731"/>
        <v>05</v>
      </c>
      <c r="N9753" t="s">
        <v>12</v>
      </c>
    </row>
    <row r="9754" spans="1:14" x14ac:dyDescent="0.25">
      <c r="A9754">
        <v>20160527</v>
      </c>
      <c r="B9754" t="str">
        <f t="shared" si="729"/>
        <v>063689</v>
      </c>
      <c r="C9754" t="str">
        <f t="shared" si="730"/>
        <v>83022</v>
      </c>
      <c r="D9754" t="s">
        <v>394</v>
      </c>
      <c r="E9754" s="3">
        <v>15.96</v>
      </c>
      <c r="F9754">
        <v>20160526</v>
      </c>
      <c r="G9754" t="s">
        <v>7026</v>
      </c>
      <c r="H9754" t="s">
        <v>7775</v>
      </c>
      <c r="I9754">
        <v>0</v>
      </c>
      <c r="J9754" t="s">
        <v>7024</v>
      </c>
      <c r="K9754" t="s">
        <v>1643</v>
      </c>
      <c r="L9754" t="s">
        <v>285</v>
      </c>
      <c r="M9754" t="str">
        <f t="shared" si="731"/>
        <v>05</v>
      </c>
      <c r="N9754" t="s">
        <v>12</v>
      </c>
    </row>
    <row r="9755" spans="1:14" x14ac:dyDescent="0.25">
      <c r="A9755">
        <v>20160527</v>
      </c>
      <c r="B9755" t="str">
        <f t="shared" si="729"/>
        <v>063689</v>
      </c>
      <c r="C9755" t="str">
        <f t="shared" si="730"/>
        <v>83022</v>
      </c>
      <c r="D9755" t="s">
        <v>394</v>
      </c>
      <c r="E9755" s="3">
        <v>171.37</v>
      </c>
      <c r="F9755">
        <v>20160526</v>
      </c>
      <c r="G9755" t="s">
        <v>7100</v>
      </c>
      <c r="H9755" t="s">
        <v>7612</v>
      </c>
      <c r="I9755">
        <v>0</v>
      </c>
      <c r="J9755" t="s">
        <v>7024</v>
      </c>
      <c r="K9755" t="s">
        <v>290</v>
      </c>
      <c r="L9755" t="s">
        <v>285</v>
      </c>
      <c r="M9755" t="str">
        <f t="shared" si="731"/>
        <v>05</v>
      </c>
      <c r="N9755" t="s">
        <v>12</v>
      </c>
    </row>
    <row r="9756" spans="1:14" x14ac:dyDescent="0.25">
      <c r="A9756">
        <v>20160527</v>
      </c>
      <c r="B9756" t="str">
        <f t="shared" si="729"/>
        <v>063689</v>
      </c>
      <c r="C9756" t="str">
        <f t="shared" si="730"/>
        <v>83022</v>
      </c>
      <c r="D9756" t="s">
        <v>394</v>
      </c>
      <c r="E9756" s="3">
        <v>163.80000000000001</v>
      </c>
      <c r="F9756">
        <v>20160526</v>
      </c>
      <c r="G9756" t="s">
        <v>7100</v>
      </c>
      <c r="H9756" t="s">
        <v>7612</v>
      </c>
      <c r="I9756">
        <v>0</v>
      </c>
      <c r="J9756" t="s">
        <v>7024</v>
      </c>
      <c r="K9756" t="s">
        <v>290</v>
      </c>
      <c r="L9756" t="s">
        <v>285</v>
      </c>
      <c r="M9756" t="str">
        <f t="shared" si="731"/>
        <v>05</v>
      </c>
      <c r="N9756" t="s">
        <v>12</v>
      </c>
    </row>
    <row r="9757" spans="1:14" x14ac:dyDescent="0.25">
      <c r="A9757">
        <v>20160527</v>
      </c>
      <c r="B9757" t="str">
        <f t="shared" si="729"/>
        <v>063689</v>
      </c>
      <c r="C9757" t="str">
        <f t="shared" si="730"/>
        <v>83022</v>
      </c>
      <c r="D9757" t="s">
        <v>394</v>
      </c>
      <c r="E9757" s="3">
        <v>76.11</v>
      </c>
      <c r="F9757">
        <v>20160526</v>
      </c>
      <c r="G9757" t="s">
        <v>7143</v>
      </c>
      <c r="H9757" t="s">
        <v>7621</v>
      </c>
      <c r="I9757">
        <v>0</v>
      </c>
      <c r="J9757" t="s">
        <v>7024</v>
      </c>
      <c r="K9757" t="s">
        <v>290</v>
      </c>
      <c r="L9757" t="s">
        <v>285</v>
      </c>
      <c r="M9757" t="str">
        <f t="shared" si="731"/>
        <v>05</v>
      </c>
      <c r="N9757" t="s">
        <v>12</v>
      </c>
    </row>
    <row r="9758" spans="1:14" x14ac:dyDescent="0.25">
      <c r="A9758">
        <v>20160527</v>
      </c>
      <c r="B9758" t="str">
        <f t="shared" si="729"/>
        <v>063689</v>
      </c>
      <c r="C9758" t="str">
        <f t="shared" si="730"/>
        <v>83022</v>
      </c>
      <c r="D9758" t="s">
        <v>394</v>
      </c>
      <c r="E9758" s="3">
        <v>70.44</v>
      </c>
      <c r="F9758">
        <v>20160526</v>
      </c>
      <c r="G9758" t="s">
        <v>7143</v>
      </c>
      <c r="H9758" t="s">
        <v>5799</v>
      </c>
      <c r="I9758">
        <v>0</v>
      </c>
      <c r="J9758" t="s">
        <v>7024</v>
      </c>
      <c r="K9758" t="s">
        <v>290</v>
      </c>
      <c r="L9758" t="s">
        <v>285</v>
      </c>
      <c r="M9758" t="str">
        <f t="shared" si="731"/>
        <v>05</v>
      </c>
      <c r="N9758" t="s">
        <v>12</v>
      </c>
    </row>
    <row r="9759" spans="1:14" x14ac:dyDescent="0.25">
      <c r="A9759">
        <v>20160527</v>
      </c>
      <c r="B9759" t="str">
        <f t="shared" si="729"/>
        <v>063689</v>
      </c>
      <c r="C9759" t="str">
        <f t="shared" si="730"/>
        <v>83022</v>
      </c>
      <c r="D9759" t="s">
        <v>394</v>
      </c>
      <c r="E9759" s="3">
        <v>89</v>
      </c>
      <c r="F9759">
        <v>20160526</v>
      </c>
      <c r="G9759" t="s">
        <v>7280</v>
      </c>
      <c r="H9759" t="s">
        <v>5398</v>
      </c>
      <c r="I9759">
        <v>0</v>
      </c>
      <c r="J9759" t="s">
        <v>7024</v>
      </c>
      <c r="K9759" t="s">
        <v>33</v>
      </c>
      <c r="L9759" t="s">
        <v>285</v>
      </c>
      <c r="M9759" t="str">
        <f t="shared" si="731"/>
        <v>05</v>
      </c>
      <c r="N9759" t="s">
        <v>12</v>
      </c>
    </row>
    <row r="9760" spans="1:14" x14ac:dyDescent="0.25">
      <c r="A9760">
        <v>20160527</v>
      </c>
      <c r="B9760" t="str">
        <f t="shared" si="729"/>
        <v>063689</v>
      </c>
      <c r="C9760" t="str">
        <f t="shared" si="730"/>
        <v>83022</v>
      </c>
      <c r="D9760" t="s">
        <v>394</v>
      </c>
      <c r="E9760" s="3">
        <v>37</v>
      </c>
      <c r="F9760">
        <v>20160526</v>
      </c>
      <c r="G9760" t="s">
        <v>7280</v>
      </c>
      <c r="H9760" t="s">
        <v>5398</v>
      </c>
      <c r="I9760">
        <v>0</v>
      </c>
      <c r="J9760" t="s">
        <v>7024</v>
      </c>
      <c r="K9760" t="s">
        <v>33</v>
      </c>
      <c r="L9760" t="s">
        <v>285</v>
      </c>
      <c r="M9760" t="str">
        <f t="shared" si="731"/>
        <v>05</v>
      </c>
      <c r="N9760" t="s">
        <v>12</v>
      </c>
    </row>
    <row r="9761" spans="1:14" x14ac:dyDescent="0.25">
      <c r="A9761">
        <v>20160527</v>
      </c>
      <c r="B9761" t="str">
        <f t="shared" si="729"/>
        <v>063689</v>
      </c>
      <c r="C9761" t="str">
        <f t="shared" si="730"/>
        <v>83022</v>
      </c>
      <c r="D9761" t="s">
        <v>394</v>
      </c>
      <c r="E9761" s="3">
        <v>28.2</v>
      </c>
      <c r="F9761">
        <v>20160526</v>
      </c>
      <c r="G9761" t="s">
        <v>7280</v>
      </c>
      <c r="H9761" t="s">
        <v>7776</v>
      </c>
      <c r="I9761">
        <v>0</v>
      </c>
      <c r="J9761" t="s">
        <v>7024</v>
      </c>
      <c r="K9761" t="s">
        <v>33</v>
      </c>
      <c r="L9761" t="s">
        <v>285</v>
      </c>
      <c r="M9761" t="str">
        <f t="shared" si="731"/>
        <v>05</v>
      </c>
      <c r="N9761" t="s">
        <v>12</v>
      </c>
    </row>
    <row r="9762" spans="1:14" x14ac:dyDescent="0.25">
      <c r="A9762">
        <v>20160527</v>
      </c>
      <c r="B9762" t="str">
        <f t="shared" si="729"/>
        <v>063689</v>
      </c>
      <c r="C9762" t="str">
        <f t="shared" si="730"/>
        <v>83022</v>
      </c>
      <c r="D9762" t="s">
        <v>394</v>
      </c>
      <c r="E9762" s="3">
        <v>35.549999999999997</v>
      </c>
      <c r="F9762">
        <v>20160526</v>
      </c>
      <c r="G9762" t="s">
        <v>7179</v>
      </c>
      <c r="H9762" t="s">
        <v>7710</v>
      </c>
      <c r="I9762">
        <v>0</v>
      </c>
      <c r="J9762" t="s">
        <v>7024</v>
      </c>
      <c r="K9762" t="s">
        <v>95</v>
      </c>
      <c r="L9762" t="s">
        <v>285</v>
      </c>
      <c r="M9762" t="str">
        <f t="shared" si="731"/>
        <v>05</v>
      </c>
      <c r="N9762" t="s">
        <v>12</v>
      </c>
    </row>
    <row r="9763" spans="1:14" x14ac:dyDescent="0.25">
      <c r="A9763">
        <v>20160527</v>
      </c>
      <c r="B9763" t="str">
        <f t="shared" si="729"/>
        <v>063689</v>
      </c>
      <c r="C9763" t="str">
        <f t="shared" si="730"/>
        <v>83022</v>
      </c>
      <c r="D9763" t="s">
        <v>394</v>
      </c>
      <c r="E9763" s="3">
        <v>33.03</v>
      </c>
      <c r="F9763">
        <v>20160526</v>
      </c>
      <c r="G9763" t="s">
        <v>7179</v>
      </c>
      <c r="H9763" t="s">
        <v>2173</v>
      </c>
      <c r="I9763">
        <v>0</v>
      </c>
      <c r="J9763" t="s">
        <v>7024</v>
      </c>
      <c r="K9763" t="s">
        <v>95</v>
      </c>
      <c r="L9763" t="s">
        <v>285</v>
      </c>
      <c r="M9763" t="str">
        <f t="shared" si="731"/>
        <v>05</v>
      </c>
      <c r="N9763" t="s">
        <v>12</v>
      </c>
    </row>
    <row r="9764" spans="1:14" x14ac:dyDescent="0.25">
      <c r="A9764">
        <v>20160527</v>
      </c>
      <c r="B9764" t="str">
        <f t="shared" si="729"/>
        <v>063689</v>
      </c>
      <c r="C9764" t="str">
        <f t="shared" si="730"/>
        <v>83022</v>
      </c>
      <c r="D9764" t="s">
        <v>394</v>
      </c>
      <c r="E9764" s="3">
        <v>12.44</v>
      </c>
      <c r="F9764">
        <v>20160526</v>
      </c>
      <c r="G9764" t="s">
        <v>7049</v>
      </c>
      <c r="H9764" t="s">
        <v>5398</v>
      </c>
      <c r="I9764">
        <v>0</v>
      </c>
      <c r="J9764" t="s">
        <v>7024</v>
      </c>
      <c r="K9764" t="s">
        <v>33</v>
      </c>
      <c r="L9764" t="s">
        <v>285</v>
      </c>
      <c r="M9764" t="str">
        <f t="shared" si="731"/>
        <v>05</v>
      </c>
      <c r="N9764" t="s">
        <v>12</v>
      </c>
    </row>
    <row r="9765" spans="1:14" x14ac:dyDescent="0.25">
      <c r="A9765">
        <v>20160527</v>
      </c>
      <c r="B9765" t="str">
        <f t="shared" si="729"/>
        <v>063689</v>
      </c>
      <c r="C9765" t="str">
        <f t="shared" si="730"/>
        <v>83022</v>
      </c>
      <c r="D9765" t="s">
        <v>394</v>
      </c>
      <c r="E9765" s="3">
        <v>289.06</v>
      </c>
      <c r="F9765">
        <v>20160526</v>
      </c>
      <c r="G9765" t="s">
        <v>7049</v>
      </c>
      <c r="H9765" t="s">
        <v>2173</v>
      </c>
      <c r="I9765">
        <v>0</v>
      </c>
      <c r="J9765" t="s">
        <v>7024</v>
      </c>
      <c r="K9765" t="s">
        <v>33</v>
      </c>
      <c r="L9765" t="s">
        <v>285</v>
      </c>
      <c r="M9765" t="str">
        <f t="shared" si="731"/>
        <v>05</v>
      </c>
      <c r="N9765" t="s">
        <v>12</v>
      </c>
    </row>
    <row r="9766" spans="1:14" x14ac:dyDescent="0.25">
      <c r="A9766">
        <v>20160527</v>
      </c>
      <c r="B9766" t="str">
        <f t="shared" si="729"/>
        <v>063689</v>
      </c>
      <c r="C9766" t="str">
        <f t="shared" si="730"/>
        <v>83022</v>
      </c>
      <c r="D9766" t="s">
        <v>394</v>
      </c>
      <c r="E9766" s="3">
        <v>139.12</v>
      </c>
      <c r="F9766">
        <v>20160526</v>
      </c>
      <c r="G9766" t="s">
        <v>7049</v>
      </c>
      <c r="H9766" t="s">
        <v>5398</v>
      </c>
      <c r="I9766">
        <v>0</v>
      </c>
      <c r="J9766" t="s">
        <v>7024</v>
      </c>
      <c r="K9766" t="s">
        <v>33</v>
      </c>
      <c r="L9766" t="s">
        <v>285</v>
      </c>
      <c r="M9766" t="str">
        <f t="shared" si="731"/>
        <v>05</v>
      </c>
      <c r="N9766" t="s">
        <v>12</v>
      </c>
    </row>
    <row r="9767" spans="1:14" x14ac:dyDescent="0.25">
      <c r="A9767">
        <v>20160610</v>
      </c>
      <c r="B9767" t="str">
        <f>"063711"</f>
        <v>063711</v>
      </c>
      <c r="C9767" t="str">
        <f>"09170"</f>
        <v>09170</v>
      </c>
      <c r="D9767" t="s">
        <v>596</v>
      </c>
      <c r="E9767" s="3">
        <v>479.76</v>
      </c>
      <c r="F9767">
        <v>20160607</v>
      </c>
      <c r="G9767" t="s">
        <v>7110</v>
      </c>
      <c r="H9767" t="s">
        <v>2179</v>
      </c>
      <c r="I9767">
        <v>0</v>
      </c>
      <c r="J9767" t="s">
        <v>7024</v>
      </c>
      <c r="K9767" t="s">
        <v>290</v>
      </c>
      <c r="L9767" t="s">
        <v>285</v>
      </c>
      <c r="M9767" t="str">
        <f t="shared" ref="M9767:M9798" si="732">"06"</f>
        <v>06</v>
      </c>
      <c r="N9767" t="s">
        <v>12</v>
      </c>
    </row>
    <row r="9768" spans="1:14" x14ac:dyDescent="0.25">
      <c r="A9768">
        <v>20160610</v>
      </c>
      <c r="B9768" t="str">
        <f>"063711"</f>
        <v>063711</v>
      </c>
      <c r="C9768" t="str">
        <f>"09170"</f>
        <v>09170</v>
      </c>
      <c r="D9768" t="s">
        <v>596</v>
      </c>
      <c r="E9768" s="3">
        <v>228.46</v>
      </c>
      <c r="F9768">
        <v>20160607</v>
      </c>
      <c r="G9768" t="s">
        <v>7026</v>
      </c>
      <c r="H9768" t="s">
        <v>7777</v>
      </c>
      <c r="I9768">
        <v>0</v>
      </c>
      <c r="J9768" t="s">
        <v>7024</v>
      </c>
      <c r="K9768" t="s">
        <v>1643</v>
      </c>
      <c r="L9768" t="s">
        <v>285</v>
      </c>
      <c r="M9768" t="str">
        <f t="shared" si="732"/>
        <v>06</v>
      </c>
      <c r="N9768" t="s">
        <v>12</v>
      </c>
    </row>
    <row r="9769" spans="1:14" x14ac:dyDescent="0.25">
      <c r="A9769">
        <v>20160610</v>
      </c>
      <c r="B9769" t="str">
        <f>"063712"</f>
        <v>063712</v>
      </c>
      <c r="C9769" t="str">
        <f>"10020"</f>
        <v>10020</v>
      </c>
      <c r="D9769" t="s">
        <v>1018</v>
      </c>
      <c r="E9769" s="3">
        <v>1592.87</v>
      </c>
      <c r="F9769">
        <v>20160607</v>
      </c>
      <c r="G9769" t="s">
        <v>7052</v>
      </c>
      <c r="H9769" t="s">
        <v>7778</v>
      </c>
      <c r="I9769">
        <v>0</v>
      </c>
      <c r="J9769" t="s">
        <v>7024</v>
      </c>
      <c r="K9769" t="s">
        <v>95</v>
      </c>
      <c r="L9769" t="s">
        <v>285</v>
      </c>
      <c r="M9769" t="str">
        <f t="shared" si="732"/>
        <v>06</v>
      </c>
      <c r="N9769" t="s">
        <v>12</v>
      </c>
    </row>
    <row r="9770" spans="1:14" x14ac:dyDescent="0.25">
      <c r="A9770">
        <v>20160610</v>
      </c>
      <c r="B9770" t="str">
        <f>"063723"</f>
        <v>063723</v>
      </c>
      <c r="C9770" t="str">
        <f>"08788"</f>
        <v>08788</v>
      </c>
      <c r="D9770" t="s">
        <v>302</v>
      </c>
      <c r="E9770" s="3">
        <v>2976.75</v>
      </c>
      <c r="F9770">
        <v>20160607</v>
      </c>
      <c r="G9770" t="s">
        <v>7140</v>
      </c>
      <c r="H9770" t="s">
        <v>7779</v>
      </c>
      <c r="I9770">
        <v>0</v>
      </c>
      <c r="J9770" t="s">
        <v>7024</v>
      </c>
      <c r="K9770" t="s">
        <v>290</v>
      </c>
      <c r="L9770" t="s">
        <v>285</v>
      </c>
      <c r="M9770" t="str">
        <f t="shared" si="732"/>
        <v>06</v>
      </c>
      <c r="N9770" t="s">
        <v>12</v>
      </c>
    </row>
    <row r="9771" spans="1:14" x14ac:dyDescent="0.25">
      <c r="A9771">
        <v>20160610</v>
      </c>
      <c r="B9771" t="str">
        <f>"063723"</f>
        <v>063723</v>
      </c>
      <c r="C9771" t="str">
        <f>"08788"</f>
        <v>08788</v>
      </c>
      <c r="D9771" t="s">
        <v>302</v>
      </c>
      <c r="E9771" s="3">
        <v>1297.8</v>
      </c>
      <c r="F9771">
        <v>20160607</v>
      </c>
      <c r="G9771" t="s">
        <v>7140</v>
      </c>
      <c r="H9771" t="s">
        <v>7780</v>
      </c>
      <c r="I9771">
        <v>0</v>
      </c>
      <c r="J9771" t="s">
        <v>7024</v>
      </c>
      <c r="K9771" t="s">
        <v>290</v>
      </c>
      <c r="L9771" t="s">
        <v>285</v>
      </c>
      <c r="M9771" t="str">
        <f t="shared" si="732"/>
        <v>06</v>
      </c>
      <c r="N9771" t="s">
        <v>12</v>
      </c>
    </row>
    <row r="9772" spans="1:14" x14ac:dyDescent="0.25">
      <c r="A9772">
        <v>20160610</v>
      </c>
      <c r="B9772" t="str">
        <f>"063733"</f>
        <v>063733</v>
      </c>
      <c r="C9772" t="str">
        <f>"20433"</f>
        <v>20433</v>
      </c>
      <c r="D9772" t="s">
        <v>413</v>
      </c>
      <c r="E9772" s="3">
        <v>140</v>
      </c>
      <c r="F9772">
        <v>20160607</v>
      </c>
      <c r="G9772" t="s">
        <v>7599</v>
      </c>
      <c r="H9772" t="s">
        <v>7781</v>
      </c>
      <c r="I9772">
        <v>0</v>
      </c>
      <c r="J9772" t="s">
        <v>7024</v>
      </c>
      <c r="K9772" t="s">
        <v>7068</v>
      </c>
      <c r="L9772" t="s">
        <v>285</v>
      </c>
      <c r="M9772" t="str">
        <f t="shared" si="732"/>
        <v>06</v>
      </c>
      <c r="N9772" t="s">
        <v>12</v>
      </c>
    </row>
    <row r="9773" spans="1:14" x14ac:dyDescent="0.25">
      <c r="A9773">
        <v>20160610</v>
      </c>
      <c r="B9773" t="str">
        <f>"063733"</f>
        <v>063733</v>
      </c>
      <c r="C9773" t="str">
        <f>"20433"</f>
        <v>20433</v>
      </c>
      <c r="D9773" t="s">
        <v>413</v>
      </c>
      <c r="E9773" s="3">
        <v>20</v>
      </c>
      <c r="F9773">
        <v>20160607</v>
      </c>
      <c r="G9773" t="s">
        <v>7599</v>
      </c>
      <c r="H9773" t="s">
        <v>7782</v>
      </c>
      <c r="I9773">
        <v>0</v>
      </c>
      <c r="J9773" t="s">
        <v>7024</v>
      </c>
      <c r="K9773" t="s">
        <v>7068</v>
      </c>
      <c r="L9773" t="s">
        <v>285</v>
      </c>
      <c r="M9773" t="str">
        <f t="shared" si="732"/>
        <v>06</v>
      </c>
      <c r="N9773" t="s">
        <v>12</v>
      </c>
    </row>
    <row r="9774" spans="1:14" x14ac:dyDescent="0.25">
      <c r="A9774">
        <v>20160610</v>
      </c>
      <c r="B9774" t="str">
        <f>"063734"</f>
        <v>063734</v>
      </c>
      <c r="C9774" t="str">
        <f>"51346"</f>
        <v>51346</v>
      </c>
      <c r="D9774" t="s">
        <v>379</v>
      </c>
      <c r="E9774" s="3">
        <v>198</v>
      </c>
      <c r="F9774">
        <v>20160607</v>
      </c>
      <c r="G9774" t="s">
        <v>7195</v>
      </c>
      <c r="H9774" t="s">
        <v>7783</v>
      </c>
      <c r="I9774">
        <v>0</v>
      </c>
      <c r="J9774" t="s">
        <v>7024</v>
      </c>
      <c r="K9774" t="s">
        <v>95</v>
      </c>
      <c r="L9774" t="s">
        <v>285</v>
      </c>
      <c r="M9774" t="str">
        <f t="shared" si="732"/>
        <v>06</v>
      </c>
      <c r="N9774" t="s">
        <v>12</v>
      </c>
    </row>
    <row r="9775" spans="1:14" x14ac:dyDescent="0.25">
      <c r="A9775">
        <v>20160610</v>
      </c>
      <c r="B9775" t="str">
        <f>"063737"</f>
        <v>063737</v>
      </c>
      <c r="C9775" t="str">
        <f>"21098"</f>
        <v>21098</v>
      </c>
      <c r="D9775" t="s">
        <v>2261</v>
      </c>
      <c r="E9775" s="3">
        <v>125.29</v>
      </c>
      <c r="F9775">
        <v>20160607</v>
      </c>
      <c r="G9775" t="s">
        <v>7026</v>
      </c>
      <c r="H9775" t="s">
        <v>595</v>
      </c>
      <c r="I9775">
        <v>0</v>
      </c>
      <c r="J9775" t="s">
        <v>7024</v>
      </c>
      <c r="K9775" t="s">
        <v>1643</v>
      </c>
      <c r="L9775" t="s">
        <v>285</v>
      </c>
      <c r="M9775" t="str">
        <f t="shared" si="732"/>
        <v>06</v>
      </c>
      <c r="N9775" t="s">
        <v>12</v>
      </c>
    </row>
    <row r="9776" spans="1:14" x14ac:dyDescent="0.25">
      <c r="A9776">
        <v>20160610</v>
      </c>
      <c r="B9776" t="str">
        <f>"063737"</f>
        <v>063737</v>
      </c>
      <c r="C9776" t="str">
        <f>"21098"</f>
        <v>21098</v>
      </c>
      <c r="D9776" t="s">
        <v>2261</v>
      </c>
      <c r="E9776" s="3">
        <v>42.63</v>
      </c>
      <c r="F9776">
        <v>20160607</v>
      </c>
      <c r="G9776" t="s">
        <v>7026</v>
      </c>
      <c r="H9776" t="s">
        <v>7784</v>
      </c>
      <c r="I9776">
        <v>0</v>
      </c>
      <c r="J9776" t="s">
        <v>7024</v>
      </c>
      <c r="K9776" t="s">
        <v>1643</v>
      </c>
      <c r="L9776" t="s">
        <v>285</v>
      </c>
      <c r="M9776" t="str">
        <f t="shared" si="732"/>
        <v>06</v>
      </c>
      <c r="N9776" t="s">
        <v>12</v>
      </c>
    </row>
    <row r="9777" spans="1:14" x14ac:dyDescent="0.25">
      <c r="A9777">
        <v>20160610</v>
      </c>
      <c r="B9777" t="str">
        <f>"063744"</f>
        <v>063744</v>
      </c>
      <c r="C9777" t="str">
        <f>"24361"</f>
        <v>24361</v>
      </c>
      <c r="D9777" t="s">
        <v>7785</v>
      </c>
      <c r="E9777" s="3">
        <v>5836</v>
      </c>
      <c r="F9777">
        <v>20160607</v>
      </c>
      <c r="G9777" t="s">
        <v>7613</v>
      </c>
      <c r="H9777" t="s">
        <v>7763</v>
      </c>
      <c r="I9777">
        <v>0</v>
      </c>
      <c r="J9777" t="s">
        <v>7024</v>
      </c>
      <c r="K9777" t="s">
        <v>290</v>
      </c>
      <c r="L9777" t="s">
        <v>285</v>
      </c>
      <c r="M9777" t="str">
        <f t="shared" si="732"/>
        <v>06</v>
      </c>
      <c r="N9777" t="s">
        <v>12</v>
      </c>
    </row>
    <row r="9778" spans="1:14" x14ac:dyDescent="0.25">
      <c r="A9778">
        <v>20160610</v>
      </c>
      <c r="B9778" t="str">
        <f>"063747"</f>
        <v>063747</v>
      </c>
      <c r="C9778" t="str">
        <f>"25221"</f>
        <v>25221</v>
      </c>
      <c r="D9778" t="s">
        <v>2099</v>
      </c>
      <c r="E9778" s="3">
        <v>253.59</v>
      </c>
      <c r="F9778">
        <v>20160607</v>
      </c>
      <c r="G9778" t="s">
        <v>7192</v>
      </c>
      <c r="H9778" t="s">
        <v>7786</v>
      </c>
      <c r="I9778">
        <v>0</v>
      </c>
      <c r="J9778" t="s">
        <v>7024</v>
      </c>
      <c r="K9778" t="s">
        <v>33</v>
      </c>
      <c r="L9778" t="s">
        <v>285</v>
      </c>
      <c r="M9778" t="str">
        <f t="shared" si="732"/>
        <v>06</v>
      </c>
      <c r="N9778" t="s">
        <v>12</v>
      </c>
    </row>
    <row r="9779" spans="1:14" x14ac:dyDescent="0.25">
      <c r="A9779">
        <v>20160610</v>
      </c>
      <c r="B9779" t="str">
        <f>"063771"</f>
        <v>063771</v>
      </c>
      <c r="C9779" t="str">
        <f>"40550"</f>
        <v>40550</v>
      </c>
      <c r="D9779" t="s">
        <v>435</v>
      </c>
      <c r="E9779" s="3">
        <v>95.54</v>
      </c>
      <c r="F9779">
        <v>20160607</v>
      </c>
      <c r="G9779" t="s">
        <v>7179</v>
      </c>
      <c r="H9779" t="s">
        <v>7787</v>
      </c>
      <c r="I9779">
        <v>0</v>
      </c>
      <c r="J9779" t="s">
        <v>7024</v>
      </c>
      <c r="K9779" t="s">
        <v>95</v>
      </c>
      <c r="L9779" t="s">
        <v>285</v>
      </c>
      <c r="M9779" t="str">
        <f t="shared" si="732"/>
        <v>06</v>
      </c>
      <c r="N9779" t="s">
        <v>12</v>
      </c>
    </row>
    <row r="9780" spans="1:14" x14ac:dyDescent="0.25">
      <c r="A9780">
        <v>20160610</v>
      </c>
      <c r="B9780" t="str">
        <f>"063771"</f>
        <v>063771</v>
      </c>
      <c r="C9780" t="str">
        <f>"40550"</f>
        <v>40550</v>
      </c>
      <c r="D9780" t="s">
        <v>435</v>
      </c>
      <c r="E9780" s="3">
        <v>28.73</v>
      </c>
      <c r="F9780">
        <v>20160607</v>
      </c>
      <c r="G9780" t="s">
        <v>7179</v>
      </c>
      <c r="H9780" t="s">
        <v>7787</v>
      </c>
      <c r="I9780">
        <v>0</v>
      </c>
      <c r="J9780" t="s">
        <v>7024</v>
      </c>
      <c r="K9780" t="s">
        <v>95</v>
      </c>
      <c r="L9780" t="s">
        <v>285</v>
      </c>
      <c r="M9780" t="str">
        <f t="shared" si="732"/>
        <v>06</v>
      </c>
      <c r="N9780" t="s">
        <v>12</v>
      </c>
    </row>
    <row r="9781" spans="1:14" x14ac:dyDescent="0.25">
      <c r="A9781">
        <v>20160610</v>
      </c>
      <c r="B9781" t="str">
        <f>"063780"</f>
        <v>063780</v>
      </c>
      <c r="C9781" t="str">
        <f>"57791"</f>
        <v>57791</v>
      </c>
      <c r="D9781" t="s">
        <v>1878</v>
      </c>
      <c r="E9781" s="3">
        <v>11.25</v>
      </c>
      <c r="F9781">
        <v>20160607</v>
      </c>
      <c r="G9781" t="s">
        <v>7086</v>
      </c>
      <c r="H9781" t="s">
        <v>7653</v>
      </c>
      <c r="I9781">
        <v>0</v>
      </c>
      <c r="J9781" t="s">
        <v>7024</v>
      </c>
      <c r="K9781" t="s">
        <v>290</v>
      </c>
      <c r="L9781" t="s">
        <v>285</v>
      </c>
      <c r="M9781" t="str">
        <f t="shared" si="732"/>
        <v>06</v>
      </c>
      <c r="N9781" t="s">
        <v>12</v>
      </c>
    </row>
    <row r="9782" spans="1:14" x14ac:dyDescent="0.25">
      <c r="A9782">
        <v>20160610</v>
      </c>
      <c r="B9782" t="str">
        <f>"063788"</f>
        <v>063788</v>
      </c>
      <c r="C9782" t="str">
        <f>"27881"</f>
        <v>27881</v>
      </c>
      <c r="D9782" t="s">
        <v>7788</v>
      </c>
      <c r="E9782" s="3">
        <v>119.8</v>
      </c>
      <c r="F9782">
        <v>20160608</v>
      </c>
      <c r="G9782" t="s">
        <v>7192</v>
      </c>
      <c r="H9782" t="s">
        <v>7789</v>
      </c>
      <c r="I9782">
        <v>0</v>
      </c>
      <c r="J9782" t="s">
        <v>7024</v>
      </c>
      <c r="K9782" t="s">
        <v>33</v>
      </c>
      <c r="L9782" t="s">
        <v>285</v>
      </c>
      <c r="M9782" t="str">
        <f t="shared" si="732"/>
        <v>06</v>
      </c>
      <c r="N9782" t="s">
        <v>12</v>
      </c>
    </row>
    <row r="9783" spans="1:14" x14ac:dyDescent="0.25">
      <c r="A9783">
        <v>20160610</v>
      </c>
      <c r="B9783" t="str">
        <f>"063798"</f>
        <v>063798</v>
      </c>
      <c r="C9783" t="str">
        <f>"55855"</f>
        <v>55855</v>
      </c>
      <c r="D9783" t="s">
        <v>7790</v>
      </c>
      <c r="E9783" s="3">
        <v>2780</v>
      </c>
      <c r="F9783">
        <v>20160608</v>
      </c>
      <c r="G9783" t="s">
        <v>7149</v>
      </c>
      <c r="H9783" t="s">
        <v>7791</v>
      </c>
      <c r="I9783">
        <v>0</v>
      </c>
      <c r="J9783" t="s">
        <v>7024</v>
      </c>
      <c r="K9783" t="s">
        <v>290</v>
      </c>
      <c r="L9783" t="s">
        <v>285</v>
      </c>
      <c r="M9783" t="str">
        <f t="shared" si="732"/>
        <v>06</v>
      </c>
      <c r="N9783" t="s">
        <v>12</v>
      </c>
    </row>
    <row r="9784" spans="1:14" x14ac:dyDescent="0.25">
      <c r="A9784">
        <v>20160610</v>
      </c>
      <c r="B9784" t="str">
        <f>"063805"</f>
        <v>063805</v>
      </c>
      <c r="C9784" t="str">
        <f>"56564"</f>
        <v>56564</v>
      </c>
      <c r="D9784" t="s">
        <v>1578</v>
      </c>
      <c r="E9784" s="3">
        <v>114.43</v>
      </c>
      <c r="F9784">
        <v>20160608</v>
      </c>
      <c r="G9784" t="s">
        <v>7026</v>
      </c>
      <c r="H9784" t="s">
        <v>2169</v>
      </c>
      <c r="I9784">
        <v>0</v>
      </c>
      <c r="J9784" t="s">
        <v>7024</v>
      </c>
      <c r="K9784" t="s">
        <v>1643</v>
      </c>
      <c r="L9784" t="s">
        <v>285</v>
      </c>
      <c r="M9784" t="str">
        <f t="shared" si="732"/>
        <v>06</v>
      </c>
      <c r="N9784" t="s">
        <v>12</v>
      </c>
    </row>
    <row r="9785" spans="1:14" x14ac:dyDescent="0.25">
      <c r="A9785">
        <v>20160610</v>
      </c>
      <c r="B9785" t="str">
        <f t="shared" ref="B9785:B9791" si="733">"063806"</f>
        <v>063806</v>
      </c>
      <c r="C9785" t="str">
        <f t="shared" ref="C9785:C9791" si="734">"56569"</f>
        <v>56569</v>
      </c>
      <c r="D9785" t="s">
        <v>318</v>
      </c>
      <c r="E9785" s="3">
        <v>100</v>
      </c>
      <c r="F9785">
        <v>20160608</v>
      </c>
      <c r="G9785" t="s">
        <v>7599</v>
      </c>
      <c r="H9785" t="s">
        <v>7792</v>
      </c>
      <c r="I9785">
        <v>0</v>
      </c>
      <c r="J9785" t="s">
        <v>7024</v>
      </c>
      <c r="K9785" t="s">
        <v>7068</v>
      </c>
      <c r="L9785" t="s">
        <v>285</v>
      </c>
      <c r="M9785" t="str">
        <f t="shared" si="732"/>
        <v>06</v>
      </c>
      <c r="N9785" t="s">
        <v>12</v>
      </c>
    </row>
    <row r="9786" spans="1:14" x14ac:dyDescent="0.25">
      <c r="A9786">
        <v>20160610</v>
      </c>
      <c r="B9786" t="str">
        <f t="shared" si="733"/>
        <v>063806</v>
      </c>
      <c r="C9786" t="str">
        <f t="shared" si="734"/>
        <v>56569</v>
      </c>
      <c r="D9786" t="s">
        <v>318</v>
      </c>
      <c r="E9786" s="3">
        <v>160</v>
      </c>
      <c r="F9786">
        <v>20160608</v>
      </c>
      <c r="G9786" t="s">
        <v>7599</v>
      </c>
      <c r="H9786" t="s">
        <v>7793</v>
      </c>
      <c r="I9786">
        <v>0</v>
      </c>
      <c r="J9786" t="s">
        <v>7024</v>
      </c>
      <c r="K9786" t="s">
        <v>7068</v>
      </c>
      <c r="L9786" t="s">
        <v>285</v>
      </c>
      <c r="M9786" t="str">
        <f t="shared" si="732"/>
        <v>06</v>
      </c>
      <c r="N9786" t="s">
        <v>12</v>
      </c>
    </row>
    <row r="9787" spans="1:14" x14ac:dyDescent="0.25">
      <c r="A9787">
        <v>20160610</v>
      </c>
      <c r="B9787" t="str">
        <f t="shared" si="733"/>
        <v>063806</v>
      </c>
      <c r="C9787" t="str">
        <f t="shared" si="734"/>
        <v>56569</v>
      </c>
      <c r="D9787" t="s">
        <v>318</v>
      </c>
      <c r="E9787" s="3">
        <v>120</v>
      </c>
      <c r="F9787">
        <v>20160608</v>
      </c>
      <c r="G9787" t="s">
        <v>7599</v>
      </c>
      <c r="H9787" t="s">
        <v>7782</v>
      </c>
      <c r="I9787">
        <v>0</v>
      </c>
      <c r="J9787" t="s">
        <v>7024</v>
      </c>
      <c r="K9787" t="s">
        <v>7068</v>
      </c>
      <c r="L9787" t="s">
        <v>285</v>
      </c>
      <c r="M9787" t="str">
        <f t="shared" si="732"/>
        <v>06</v>
      </c>
      <c r="N9787" t="s">
        <v>12</v>
      </c>
    </row>
    <row r="9788" spans="1:14" x14ac:dyDescent="0.25">
      <c r="A9788">
        <v>20160610</v>
      </c>
      <c r="B9788" t="str">
        <f t="shared" si="733"/>
        <v>063806</v>
      </c>
      <c r="C9788" t="str">
        <f t="shared" si="734"/>
        <v>56569</v>
      </c>
      <c r="D9788" t="s">
        <v>318</v>
      </c>
      <c r="E9788" s="3">
        <v>40</v>
      </c>
      <c r="F9788">
        <v>20160608</v>
      </c>
      <c r="G9788" t="s">
        <v>7599</v>
      </c>
      <c r="H9788" t="s">
        <v>7794</v>
      </c>
      <c r="I9788">
        <v>0</v>
      </c>
      <c r="J9788" t="s">
        <v>7024</v>
      </c>
      <c r="K9788" t="s">
        <v>7068</v>
      </c>
      <c r="L9788" t="s">
        <v>285</v>
      </c>
      <c r="M9788" t="str">
        <f t="shared" si="732"/>
        <v>06</v>
      </c>
      <c r="N9788" t="s">
        <v>12</v>
      </c>
    </row>
    <row r="9789" spans="1:14" x14ac:dyDescent="0.25">
      <c r="A9789">
        <v>20160610</v>
      </c>
      <c r="B9789" t="str">
        <f t="shared" si="733"/>
        <v>063806</v>
      </c>
      <c r="C9789" t="str">
        <f t="shared" si="734"/>
        <v>56569</v>
      </c>
      <c r="D9789" t="s">
        <v>318</v>
      </c>
      <c r="E9789" s="3">
        <v>80</v>
      </c>
      <c r="F9789">
        <v>20160608</v>
      </c>
      <c r="G9789" t="s">
        <v>7599</v>
      </c>
      <c r="H9789" t="s">
        <v>7795</v>
      </c>
      <c r="I9789">
        <v>0</v>
      </c>
      <c r="J9789" t="s">
        <v>7024</v>
      </c>
      <c r="K9789" t="s">
        <v>7068</v>
      </c>
      <c r="L9789" t="s">
        <v>285</v>
      </c>
      <c r="M9789" t="str">
        <f t="shared" si="732"/>
        <v>06</v>
      </c>
      <c r="N9789" t="s">
        <v>12</v>
      </c>
    </row>
    <row r="9790" spans="1:14" x14ac:dyDescent="0.25">
      <c r="A9790">
        <v>20160610</v>
      </c>
      <c r="B9790" t="str">
        <f t="shared" si="733"/>
        <v>063806</v>
      </c>
      <c r="C9790" t="str">
        <f t="shared" si="734"/>
        <v>56569</v>
      </c>
      <c r="D9790" t="s">
        <v>318</v>
      </c>
      <c r="E9790" s="3">
        <v>80</v>
      </c>
      <c r="F9790">
        <v>20160608</v>
      </c>
      <c r="G9790" t="s">
        <v>7599</v>
      </c>
      <c r="H9790" t="s">
        <v>7796</v>
      </c>
      <c r="I9790">
        <v>0</v>
      </c>
      <c r="J9790" t="s">
        <v>7024</v>
      </c>
      <c r="K9790" t="s">
        <v>7068</v>
      </c>
      <c r="L9790" t="s">
        <v>285</v>
      </c>
      <c r="M9790" t="str">
        <f t="shared" si="732"/>
        <v>06</v>
      </c>
      <c r="N9790" t="s">
        <v>12</v>
      </c>
    </row>
    <row r="9791" spans="1:14" x14ac:dyDescent="0.25">
      <c r="A9791">
        <v>20160610</v>
      </c>
      <c r="B9791" t="str">
        <f t="shared" si="733"/>
        <v>063806</v>
      </c>
      <c r="C9791" t="str">
        <f t="shared" si="734"/>
        <v>56569</v>
      </c>
      <c r="D9791" t="s">
        <v>318</v>
      </c>
      <c r="E9791" s="3">
        <v>60</v>
      </c>
      <c r="F9791">
        <v>20160608</v>
      </c>
      <c r="G9791" t="s">
        <v>7599</v>
      </c>
      <c r="H9791" t="s">
        <v>7797</v>
      </c>
      <c r="I9791">
        <v>0</v>
      </c>
      <c r="J9791" t="s">
        <v>7024</v>
      </c>
      <c r="K9791" t="s">
        <v>7068</v>
      </c>
      <c r="L9791" t="s">
        <v>285</v>
      </c>
      <c r="M9791" t="str">
        <f t="shared" si="732"/>
        <v>06</v>
      </c>
      <c r="N9791" t="s">
        <v>12</v>
      </c>
    </row>
    <row r="9792" spans="1:14" x14ac:dyDescent="0.25">
      <c r="A9792">
        <v>20160610</v>
      </c>
      <c r="B9792" t="str">
        <f>"063810"</f>
        <v>063810</v>
      </c>
      <c r="C9792" t="str">
        <f>"58207"</f>
        <v>58207</v>
      </c>
      <c r="D9792" t="s">
        <v>296</v>
      </c>
      <c r="E9792" s="3">
        <v>53.33</v>
      </c>
      <c r="F9792">
        <v>20160608</v>
      </c>
      <c r="G9792" t="s">
        <v>7074</v>
      </c>
      <c r="H9792" t="s">
        <v>7798</v>
      </c>
      <c r="I9792">
        <v>0</v>
      </c>
      <c r="J9792" t="s">
        <v>7024</v>
      </c>
      <c r="K9792" t="s">
        <v>290</v>
      </c>
      <c r="L9792" t="s">
        <v>285</v>
      </c>
      <c r="M9792" t="str">
        <f t="shared" si="732"/>
        <v>06</v>
      </c>
      <c r="N9792" t="s">
        <v>12</v>
      </c>
    </row>
    <row r="9793" spans="1:14" x14ac:dyDescent="0.25">
      <c r="A9793">
        <v>20160610</v>
      </c>
      <c r="B9793" t="str">
        <f>"063810"</f>
        <v>063810</v>
      </c>
      <c r="C9793" t="str">
        <f>"58207"</f>
        <v>58207</v>
      </c>
      <c r="D9793" t="s">
        <v>296</v>
      </c>
      <c r="E9793" s="3">
        <v>15</v>
      </c>
      <c r="F9793">
        <v>20160608</v>
      </c>
      <c r="G9793" t="s">
        <v>7372</v>
      </c>
      <c r="H9793" t="s">
        <v>7799</v>
      </c>
      <c r="I9793">
        <v>0</v>
      </c>
      <c r="J9793" t="s">
        <v>7024</v>
      </c>
      <c r="K9793" t="s">
        <v>290</v>
      </c>
      <c r="L9793" t="s">
        <v>285</v>
      </c>
      <c r="M9793" t="str">
        <f t="shared" si="732"/>
        <v>06</v>
      </c>
      <c r="N9793" t="s">
        <v>12</v>
      </c>
    </row>
    <row r="9794" spans="1:14" x14ac:dyDescent="0.25">
      <c r="A9794">
        <v>20160610</v>
      </c>
      <c r="B9794" t="str">
        <f>"063810"</f>
        <v>063810</v>
      </c>
      <c r="C9794" t="str">
        <f>"58207"</f>
        <v>58207</v>
      </c>
      <c r="D9794" t="s">
        <v>296</v>
      </c>
      <c r="E9794" s="3">
        <v>53.32</v>
      </c>
      <c r="F9794">
        <v>20160608</v>
      </c>
      <c r="G9794" t="s">
        <v>7260</v>
      </c>
      <c r="H9794" t="s">
        <v>7798</v>
      </c>
      <c r="I9794">
        <v>0</v>
      </c>
      <c r="J9794" t="s">
        <v>7024</v>
      </c>
      <c r="K9794" t="s">
        <v>290</v>
      </c>
      <c r="L9794" t="s">
        <v>285</v>
      </c>
      <c r="M9794" t="str">
        <f t="shared" si="732"/>
        <v>06</v>
      </c>
      <c r="N9794" t="s">
        <v>12</v>
      </c>
    </row>
    <row r="9795" spans="1:14" x14ac:dyDescent="0.25">
      <c r="A9795">
        <v>20160610</v>
      </c>
      <c r="B9795" t="str">
        <f>"063810"</f>
        <v>063810</v>
      </c>
      <c r="C9795" t="str">
        <f>"58207"</f>
        <v>58207</v>
      </c>
      <c r="D9795" t="s">
        <v>296</v>
      </c>
      <c r="E9795" s="3">
        <v>84</v>
      </c>
      <c r="F9795">
        <v>20160608</v>
      </c>
      <c r="G9795" t="s">
        <v>7582</v>
      </c>
      <c r="H9795" t="s">
        <v>7800</v>
      </c>
      <c r="I9795">
        <v>0</v>
      </c>
      <c r="J9795" t="s">
        <v>7024</v>
      </c>
      <c r="K9795" t="s">
        <v>290</v>
      </c>
      <c r="L9795" t="s">
        <v>285</v>
      </c>
      <c r="M9795" t="str">
        <f t="shared" si="732"/>
        <v>06</v>
      </c>
      <c r="N9795" t="s">
        <v>12</v>
      </c>
    </row>
    <row r="9796" spans="1:14" x14ac:dyDescent="0.25">
      <c r="A9796">
        <v>20160610</v>
      </c>
      <c r="B9796" t="str">
        <f>"063811"</f>
        <v>063811</v>
      </c>
      <c r="C9796" t="str">
        <f>"58204"</f>
        <v>58204</v>
      </c>
      <c r="D9796" t="s">
        <v>1816</v>
      </c>
      <c r="E9796" s="3">
        <v>48</v>
      </c>
      <c r="F9796">
        <v>20160608</v>
      </c>
      <c r="G9796" t="s">
        <v>7143</v>
      </c>
      <c r="H9796" t="s">
        <v>7621</v>
      </c>
      <c r="I9796">
        <v>0</v>
      </c>
      <c r="J9796" t="s">
        <v>7024</v>
      </c>
      <c r="K9796" t="s">
        <v>290</v>
      </c>
      <c r="L9796" t="s">
        <v>285</v>
      </c>
      <c r="M9796" t="str">
        <f t="shared" si="732"/>
        <v>06</v>
      </c>
      <c r="N9796" t="s">
        <v>12</v>
      </c>
    </row>
    <row r="9797" spans="1:14" x14ac:dyDescent="0.25">
      <c r="A9797">
        <v>20160610</v>
      </c>
      <c r="B9797" t="str">
        <f>"063818"</f>
        <v>063818</v>
      </c>
      <c r="C9797" t="str">
        <f>"62341"</f>
        <v>62341</v>
      </c>
      <c r="D9797" t="s">
        <v>7714</v>
      </c>
      <c r="E9797" s="3">
        <v>167.99</v>
      </c>
      <c r="F9797">
        <v>20160608</v>
      </c>
      <c r="G9797" t="s">
        <v>7143</v>
      </c>
      <c r="H9797" t="s">
        <v>7621</v>
      </c>
      <c r="I9797">
        <v>0</v>
      </c>
      <c r="J9797" t="s">
        <v>7024</v>
      </c>
      <c r="K9797" t="s">
        <v>290</v>
      </c>
      <c r="L9797" t="s">
        <v>285</v>
      </c>
      <c r="M9797" t="str">
        <f t="shared" si="732"/>
        <v>06</v>
      </c>
      <c r="N9797" t="s">
        <v>12</v>
      </c>
    </row>
    <row r="9798" spans="1:14" x14ac:dyDescent="0.25">
      <c r="A9798">
        <v>20160610</v>
      </c>
      <c r="B9798" t="str">
        <f t="shared" ref="B9798:B9806" si="735">"063826"</f>
        <v>063826</v>
      </c>
      <c r="C9798" t="str">
        <f t="shared" ref="C9798:C9806" si="736">"65202"</f>
        <v>65202</v>
      </c>
      <c r="D9798" t="s">
        <v>7189</v>
      </c>
      <c r="E9798" s="3">
        <v>100</v>
      </c>
      <c r="F9798">
        <v>20160608</v>
      </c>
      <c r="G9798" t="s">
        <v>7599</v>
      </c>
      <c r="H9798" t="s">
        <v>7792</v>
      </c>
      <c r="I9798">
        <v>0</v>
      </c>
      <c r="J9798" t="s">
        <v>7024</v>
      </c>
      <c r="K9798" t="s">
        <v>7068</v>
      </c>
      <c r="L9798" t="s">
        <v>285</v>
      </c>
      <c r="M9798" t="str">
        <f t="shared" si="732"/>
        <v>06</v>
      </c>
      <c r="N9798" t="s">
        <v>12</v>
      </c>
    </row>
    <row r="9799" spans="1:14" x14ac:dyDescent="0.25">
      <c r="A9799">
        <v>20160610</v>
      </c>
      <c r="B9799" t="str">
        <f t="shared" si="735"/>
        <v>063826</v>
      </c>
      <c r="C9799" t="str">
        <f t="shared" si="736"/>
        <v>65202</v>
      </c>
      <c r="D9799" t="s">
        <v>7189</v>
      </c>
      <c r="E9799" s="3">
        <v>20</v>
      </c>
      <c r="F9799">
        <v>20160608</v>
      </c>
      <c r="G9799" t="s">
        <v>7599</v>
      </c>
      <c r="H9799" t="s">
        <v>7801</v>
      </c>
      <c r="I9799">
        <v>0</v>
      </c>
      <c r="J9799" t="s">
        <v>7024</v>
      </c>
      <c r="K9799" t="s">
        <v>7068</v>
      </c>
      <c r="L9799" t="s">
        <v>285</v>
      </c>
      <c r="M9799" t="str">
        <f t="shared" ref="M9799:M9830" si="737">"06"</f>
        <v>06</v>
      </c>
      <c r="N9799" t="s">
        <v>12</v>
      </c>
    </row>
    <row r="9800" spans="1:14" x14ac:dyDescent="0.25">
      <c r="A9800">
        <v>20160610</v>
      </c>
      <c r="B9800" t="str">
        <f t="shared" si="735"/>
        <v>063826</v>
      </c>
      <c r="C9800" t="str">
        <f t="shared" si="736"/>
        <v>65202</v>
      </c>
      <c r="D9800" t="s">
        <v>7189</v>
      </c>
      <c r="E9800" s="3">
        <v>160</v>
      </c>
      <c r="F9800">
        <v>20160608</v>
      </c>
      <c r="G9800" t="s">
        <v>7599</v>
      </c>
      <c r="H9800" t="s">
        <v>7793</v>
      </c>
      <c r="I9800">
        <v>0</v>
      </c>
      <c r="J9800" t="s">
        <v>7024</v>
      </c>
      <c r="K9800" t="s">
        <v>7068</v>
      </c>
      <c r="L9800" t="s">
        <v>285</v>
      </c>
      <c r="M9800" t="str">
        <f t="shared" si="737"/>
        <v>06</v>
      </c>
      <c r="N9800" t="s">
        <v>12</v>
      </c>
    </row>
    <row r="9801" spans="1:14" x14ac:dyDescent="0.25">
      <c r="A9801">
        <v>20160610</v>
      </c>
      <c r="B9801" t="str">
        <f t="shared" si="735"/>
        <v>063826</v>
      </c>
      <c r="C9801" t="str">
        <f t="shared" si="736"/>
        <v>65202</v>
      </c>
      <c r="D9801" t="s">
        <v>7189</v>
      </c>
      <c r="E9801" s="3">
        <v>140</v>
      </c>
      <c r="F9801">
        <v>20160608</v>
      </c>
      <c r="G9801" t="s">
        <v>7599</v>
      </c>
      <c r="H9801" t="s">
        <v>7781</v>
      </c>
      <c r="I9801">
        <v>0</v>
      </c>
      <c r="J9801" t="s">
        <v>7024</v>
      </c>
      <c r="K9801" t="s">
        <v>7068</v>
      </c>
      <c r="L9801" t="s">
        <v>285</v>
      </c>
      <c r="M9801" t="str">
        <f t="shared" si="737"/>
        <v>06</v>
      </c>
      <c r="N9801" t="s">
        <v>12</v>
      </c>
    </row>
    <row r="9802" spans="1:14" x14ac:dyDescent="0.25">
      <c r="A9802">
        <v>20160610</v>
      </c>
      <c r="B9802" t="str">
        <f t="shared" si="735"/>
        <v>063826</v>
      </c>
      <c r="C9802" t="str">
        <f t="shared" si="736"/>
        <v>65202</v>
      </c>
      <c r="D9802" t="s">
        <v>7189</v>
      </c>
      <c r="E9802" s="3">
        <v>120</v>
      </c>
      <c r="F9802">
        <v>20160608</v>
      </c>
      <c r="G9802" t="s">
        <v>7599</v>
      </c>
      <c r="H9802" t="s">
        <v>7782</v>
      </c>
      <c r="I9802">
        <v>0</v>
      </c>
      <c r="J9802" t="s">
        <v>7024</v>
      </c>
      <c r="K9802" t="s">
        <v>7068</v>
      </c>
      <c r="L9802" t="s">
        <v>285</v>
      </c>
      <c r="M9802" t="str">
        <f t="shared" si="737"/>
        <v>06</v>
      </c>
      <c r="N9802" t="s">
        <v>12</v>
      </c>
    </row>
    <row r="9803" spans="1:14" x14ac:dyDescent="0.25">
      <c r="A9803">
        <v>20160610</v>
      </c>
      <c r="B9803" t="str">
        <f t="shared" si="735"/>
        <v>063826</v>
      </c>
      <c r="C9803" t="str">
        <f t="shared" si="736"/>
        <v>65202</v>
      </c>
      <c r="D9803" t="s">
        <v>7189</v>
      </c>
      <c r="E9803" s="3">
        <v>60</v>
      </c>
      <c r="F9803">
        <v>20160608</v>
      </c>
      <c r="G9803" t="s">
        <v>7599</v>
      </c>
      <c r="H9803" t="s">
        <v>7794</v>
      </c>
      <c r="I9803">
        <v>0</v>
      </c>
      <c r="J9803" t="s">
        <v>7024</v>
      </c>
      <c r="K9803" t="s">
        <v>7068</v>
      </c>
      <c r="L9803" t="s">
        <v>285</v>
      </c>
      <c r="M9803" t="str">
        <f t="shared" si="737"/>
        <v>06</v>
      </c>
      <c r="N9803" t="s">
        <v>12</v>
      </c>
    </row>
    <row r="9804" spans="1:14" x14ac:dyDescent="0.25">
      <c r="A9804">
        <v>20160610</v>
      </c>
      <c r="B9804" t="str">
        <f t="shared" si="735"/>
        <v>063826</v>
      </c>
      <c r="C9804" t="str">
        <f t="shared" si="736"/>
        <v>65202</v>
      </c>
      <c r="D9804" t="s">
        <v>7189</v>
      </c>
      <c r="E9804" s="3">
        <v>80</v>
      </c>
      <c r="F9804">
        <v>20160608</v>
      </c>
      <c r="G9804" t="s">
        <v>7599</v>
      </c>
      <c r="H9804" t="s">
        <v>7795</v>
      </c>
      <c r="I9804">
        <v>0</v>
      </c>
      <c r="J9804" t="s">
        <v>7024</v>
      </c>
      <c r="K9804" t="s">
        <v>7068</v>
      </c>
      <c r="L9804" t="s">
        <v>285</v>
      </c>
      <c r="M9804" t="str">
        <f t="shared" si="737"/>
        <v>06</v>
      </c>
      <c r="N9804" t="s">
        <v>12</v>
      </c>
    </row>
    <row r="9805" spans="1:14" x14ac:dyDescent="0.25">
      <c r="A9805">
        <v>20160610</v>
      </c>
      <c r="B9805" t="str">
        <f t="shared" si="735"/>
        <v>063826</v>
      </c>
      <c r="C9805" t="str">
        <f t="shared" si="736"/>
        <v>65202</v>
      </c>
      <c r="D9805" t="s">
        <v>7189</v>
      </c>
      <c r="E9805" s="3">
        <v>80</v>
      </c>
      <c r="F9805">
        <v>20160608</v>
      </c>
      <c r="G9805" t="s">
        <v>7599</v>
      </c>
      <c r="H9805" t="s">
        <v>7796</v>
      </c>
      <c r="I9805">
        <v>0</v>
      </c>
      <c r="J9805" t="s">
        <v>7024</v>
      </c>
      <c r="K9805" t="s">
        <v>7068</v>
      </c>
      <c r="L9805" t="s">
        <v>285</v>
      </c>
      <c r="M9805" t="str">
        <f t="shared" si="737"/>
        <v>06</v>
      </c>
      <c r="N9805" t="s">
        <v>12</v>
      </c>
    </row>
    <row r="9806" spans="1:14" x14ac:dyDescent="0.25">
      <c r="A9806">
        <v>20160610</v>
      </c>
      <c r="B9806" t="str">
        <f t="shared" si="735"/>
        <v>063826</v>
      </c>
      <c r="C9806" t="str">
        <f t="shared" si="736"/>
        <v>65202</v>
      </c>
      <c r="D9806" t="s">
        <v>7189</v>
      </c>
      <c r="E9806" s="3">
        <v>60</v>
      </c>
      <c r="F9806">
        <v>20160608</v>
      </c>
      <c r="G9806" t="s">
        <v>7599</v>
      </c>
      <c r="H9806" t="s">
        <v>7797</v>
      </c>
      <c r="I9806">
        <v>0</v>
      </c>
      <c r="J9806" t="s">
        <v>7024</v>
      </c>
      <c r="K9806" t="s">
        <v>7068</v>
      </c>
      <c r="L9806" t="s">
        <v>285</v>
      </c>
      <c r="M9806" t="str">
        <f t="shared" si="737"/>
        <v>06</v>
      </c>
      <c r="N9806" t="s">
        <v>12</v>
      </c>
    </row>
    <row r="9807" spans="1:14" x14ac:dyDescent="0.25">
      <c r="A9807">
        <v>20160610</v>
      </c>
      <c r="B9807" t="str">
        <f>"063830"</f>
        <v>063830</v>
      </c>
      <c r="C9807" t="str">
        <f>"65826"</f>
        <v>65826</v>
      </c>
      <c r="D9807" t="s">
        <v>2386</v>
      </c>
      <c r="E9807" s="3">
        <v>82.54</v>
      </c>
      <c r="F9807">
        <v>20160608</v>
      </c>
      <c r="G9807" t="s">
        <v>7026</v>
      </c>
      <c r="H9807" t="s">
        <v>595</v>
      </c>
      <c r="I9807">
        <v>0</v>
      </c>
      <c r="J9807" t="s">
        <v>7024</v>
      </c>
      <c r="K9807" t="s">
        <v>1643</v>
      </c>
      <c r="L9807" t="s">
        <v>285</v>
      </c>
      <c r="M9807" t="str">
        <f t="shared" si="737"/>
        <v>06</v>
      </c>
      <c r="N9807" t="s">
        <v>12</v>
      </c>
    </row>
    <row r="9808" spans="1:14" x14ac:dyDescent="0.25">
      <c r="A9808">
        <v>20160610</v>
      </c>
      <c r="B9808" t="str">
        <f>"063839"</f>
        <v>063839</v>
      </c>
      <c r="C9808" t="str">
        <f>"72275"</f>
        <v>72275</v>
      </c>
      <c r="D9808" t="s">
        <v>7802</v>
      </c>
      <c r="E9808" s="3">
        <v>200.02</v>
      </c>
      <c r="F9808">
        <v>20160608</v>
      </c>
      <c r="G9808" t="s">
        <v>7207</v>
      </c>
      <c r="H9808" t="s">
        <v>7803</v>
      </c>
      <c r="I9808">
        <v>0</v>
      </c>
      <c r="J9808" t="s">
        <v>7024</v>
      </c>
      <c r="K9808" t="s">
        <v>290</v>
      </c>
      <c r="L9808" t="s">
        <v>285</v>
      </c>
      <c r="M9808" t="str">
        <f t="shared" si="737"/>
        <v>06</v>
      </c>
      <c r="N9808" t="s">
        <v>12</v>
      </c>
    </row>
    <row r="9809" spans="1:14" x14ac:dyDescent="0.25">
      <c r="A9809">
        <v>20160610</v>
      </c>
      <c r="B9809" t="str">
        <f>"063839"</f>
        <v>063839</v>
      </c>
      <c r="C9809" t="str">
        <f>"72275"</f>
        <v>72275</v>
      </c>
      <c r="D9809" t="s">
        <v>7802</v>
      </c>
      <c r="E9809" s="3">
        <v>400.04</v>
      </c>
      <c r="F9809">
        <v>20160608</v>
      </c>
      <c r="G9809" t="s">
        <v>7044</v>
      </c>
      <c r="H9809" t="s">
        <v>7803</v>
      </c>
      <c r="I9809">
        <v>0</v>
      </c>
      <c r="J9809" t="s">
        <v>7024</v>
      </c>
      <c r="K9809" t="s">
        <v>290</v>
      </c>
      <c r="L9809" t="s">
        <v>285</v>
      </c>
      <c r="M9809" t="str">
        <f t="shared" si="737"/>
        <v>06</v>
      </c>
      <c r="N9809" t="s">
        <v>12</v>
      </c>
    </row>
    <row r="9810" spans="1:14" x14ac:dyDescent="0.25">
      <c r="A9810">
        <v>20160610</v>
      </c>
      <c r="B9810" t="str">
        <f>"063851"</f>
        <v>063851</v>
      </c>
      <c r="C9810" t="str">
        <f>"80755"</f>
        <v>80755</v>
      </c>
      <c r="D9810" t="s">
        <v>723</v>
      </c>
      <c r="E9810" s="3">
        <v>2</v>
      </c>
      <c r="F9810">
        <v>20160608</v>
      </c>
      <c r="G9810" t="s">
        <v>7290</v>
      </c>
      <c r="H9810" t="s">
        <v>1415</v>
      </c>
      <c r="I9810">
        <v>0</v>
      </c>
      <c r="J9810" t="s">
        <v>7024</v>
      </c>
      <c r="K9810" t="s">
        <v>95</v>
      </c>
      <c r="L9810" t="s">
        <v>285</v>
      </c>
      <c r="M9810" t="str">
        <f t="shared" si="737"/>
        <v>06</v>
      </c>
      <c r="N9810" t="s">
        <v>12</v>
      </c>
    </row>
    <row r="9811" spans="1:14" x14ac:dyDescent="0.25">
      <c r="A9811">
        <v>20160610</v>
      </c>
      <c r="B9811" t="str">
        <f>"063851"</f>
        <v>063851</v>
      </c>
      <c r="C9811" t="str">
        <f>"80755"</f>
        <v>80755</v>
      </c>
      <c r="D9811" t="s">
        <v>723</v>
      </c>
      <c r="E9811" s="3">
        <v>838.5</v>
      </c>
      <c r="F9811">
        <v>20160608</v>
      </c>
      <c r="G9811" t="s">
        <v>7804</v>
      </c>
      <c r="H9811" t="s">
        <v>7805</v>
      </c>
      <c r="I9811">
        <v>0</v>
      </c>
      <c r="J9811" t="s">
        <v>7024</v>
      </c>
      <c r="K9811" t="s">
        <v>290</v>
      </c>
      <c r="L9811" t="s">
        <v>285</v>
      </c>
      <c r="M9811" t="str">
        <f t="shared" si="737"/>
        <v>06</v>
      </c>
      <c r="N9811" t="s">
        <v>12</v>
      </c>
    </row>
    <row r="9812" spans="1:14" x14ac:dyDescent="0.25">
      <c r="A9812">
        <v>20160610</v>
      </c>
      <c r="B9812" t="str">
        <f>"063852"</f>
        <v>063852</v>
      </c>
      <c r="C9812" t="str">
        <f>"82131"</f>
        <v>82131</v>
      </c>
      <c r="D9812" t="s">
        <v>1516</v>
      </c>
      <c r="E9812" s="3">
        <v>450</v>
      </c>
      <c r="F9812">
        <v>20160608</v>
      </c>
      <c r="G9812" t="s">
        <v>7806</v>
      </c>
      <c r="H9812" t="s">
        <v>7807</v>
      </c>
      <c r="I9812">
        <v>0</v>
      </c>
      <c r="J9812" t="s">
        <v>7024</v>
      </c>
      <c r="K9812" t="s">
        <v>290</v>
      </c>
      <c r="L9812" t="s">
        <v>285</v>
      </c>
      <c r="M9812" t="str">
        <f t="shared" si="737"/>
        <v>06</v>
      </c>
      <c r="N9812" t="s">
        <v>12</v>
      </c>
    </row>
    <row r="9813" spans="1:14" x14ac:dyDescent="0.25">
      <c r="A9813">
        <v>20160610</v>
      </c>
      <c r="B9813" t="str">
        <f>"063858"</f>
        <v>063858</v>
      </c>
      <c r="C9813" t="str">
        <f>"83800"</f>
        <v>83800</v>
      </c>
      <c r="D9813" t="s">
        <v>3745</v>
      </c>
      <c r="E9813" s="3">
        <v>1244.5</v>
      </c>
      <c r="F9813">
        <v>20160608</v>
      </c>
      <c r="G9813" t="s">
        <v>7049</v>
      </c>
      <c r="H9813" t="s">
        <v>7808</v>
      </c>
      <c r="I9813">
        <v>0</v>
      </c>
      <c r="J9813" t="s">
        <v>7024</v>
      </c>
      <c r="K9813" t="s">
        <v>33</v>
      </c>
      <c r="L9813" t="s">
        <v>285</v>
      </c>
      <c r="M9813" t="str">
        <f t="shared" si="737"/>
        <v>06</v>
      </c>
      <c r="N9813" t="s">
        <v>12</v>
      </c>
    </row>
    <row r="9814" spans="1:14" x14ac:dyDescent="0.25">
      <c r="A9814">
        <v>20160617</v>
      </c>
      <c r="B9814" t="str">
        <f>"063865"</f>
        <v>063865</v>
      </c>
      <c r="C9814" t="str">
        <f>"08788"</f>
        <v>08788</v>
      </c>
      <c r="D9814" t="s">
        <v>302</v>
      </c>
      <c r="E9814" s="3">
        <v>1232.9100000000001</v>
      </c>
      <c r="F9814">
        <v>20160615</v>
      </c>
      <c r="G9814" t="s">
        <v>7140</v>
      </c>
      <c r="H9814" t="s">
        <v>7809</v>
      </c>
      <c r="I9814">
        <v>0</v>
      </c>
      <c r="J9814" t="s">
        <v>7024</v>
      </c>
      <c r="K9814" t="s">
        <v>290</v>
      </c>
      <c r="L9814" t="s">
        <v>285</v>
      </c>
      <c r="M9814" t="str">
        <f t="shared" si="737"/>
        <v>06</v>
      </c>
      <c r="N9814" t="s">
        <v>12</v>
      </c>
    </row>
    <row r="9815" spans="1:14" x14ac:dyDescent="0.25">
      <c r="A9815">
        <v>20160617</v>
      </c>
      <c r="B9815" t="str">
        <f>"063867"</f>
        <v>063867</v>
      </c>
      <c r="C9815" t="str">
        <f>"19087"</f>
        <v>19087</v>
      </c>
      <c r="D9815" t="s">
        <v>7700</v>
      </c>
      <c r="E9815" s="3">
        <v>83.95</v>
      </c>
      <c r="F9815">
        <v>20160615</v>
      </c>
      <c r="G9815" t="s">
        <v>7192</v>
      </c>
      <c r="H9815" t="s">
        <v>2091</v>
      </c>
      <c r="I9815">
        <v>0</v>
      </c>
      <c r="J9815" t="s">
        <v>7024</v>
      </c>
      <c r="K9815" t="s">
        <v>33</v>
      </c>
      <c r="L9815" t="s">
        <v>285</v>
      </c>
      <c r="M9815" t="str">
        <f t="shared" si="737"/>
        <v>06</v>
      </c>
      <c r="N9815" t="s">
        <v>12</v>
      </c>
    </row>
    <row r="9816" spans="1:14" x14ac:dyDescent="0.25">
      <c r="A9816">
        <v>20160617</v>
      </c>
      <c r="B9816" t="str">
        <f>"063868"</f>
        <v>063868</v>
      </c>
      <c r="C9816" t="str">
        <f>"16807"</f>
        <v>16807</v>
      </c>
      <c r="D9816" t="s">
        <v>1560</v>
      </c>
      <c r="E9816" s="3">
        <v>644.6</v>
      </c>
      <c r="F9816">
        <v>20160615</v>
      </c>
      <c r="G9816" t="s">
        <v>7810</v>
      </c>
      <c r="H9816" t="s">
        <v>7811</v>
      </c>
      <c r="I9816">
        <v>0</v>
      </c>
      <c r="J9816" t="s">
        <v>7024</v>
      </c>
      <c r="K9816" t="s">
        <v>290</v>
      </c>
      <c r="L9816" t="s">
        <v>285</v>
      </c>
      <c r="M9816" t="str">
        <f t="shared" si="737"/>
        <v>06</v>
      </c>
      <c r="N9816" t="s">
        <v>12</v>
      </c>
    </row>
    <row r="9817" spans="1:14" x14ac:dyDescent="0.25">
      <c r="A9817">
        <v>20160617</v>
      </c>
      <c r="B9817" t="str">
        <f>"063868"</f>
        <v>063868</v>
      </c>
      <c r="C9817" t="str">
        <f>"16807"</f>
        <v>16807</v>
      </c>
      <c r="D9817" t="s">
        <v>1560</v>
      </c>
      <c r="E9817" s="3">
        <v>644.6</v>
      </c>
      <c r="F9817">
        <v>20160615</v>
      </c>
      <c r="G9817" t="s">
        <v>7812</v>
      </c>
      <c r="H9817" t="s">
        <v>7811</v>
      </c>
      <c r="I9817">
        <v>0</v>
      </c>
      <c r="J9817" t="s">
        <v>7024</v>
      </c>
      <c r="K9817" t="s">
        <v>290</v>
      </c>
      <c r="L9817" t="s">
        <v>285</v>
      </c>
      <c r="M9817" t="str">
        <f t="shared" si="737"/>
        <v>06</v>
      </c>
      <c r="N9817" t="s">
        <v>12</v>
      </c>
    </row>
    <row r="9818" spans="1:14" x14ac:dyDescent="0.25">
      <c r="A9818">
        <v>20160617</v>
      </c>
      <c r="B9818" t="str">
        <f>"063868"</f>
        <v>063868</v>
      </c>
      <c r="C9818" t="str">
        <f>"16807"</f>
        <v>16807</v>
      </c>
      <c r="D9818" t="s">
        <v>1560</v>
      </c>
      <c r="E9818" s="3">
        <v>1289.2</v>
      </c>
      <c r="F9818">
        <v>20160615</v>
      </c>
      <c r="G9818" t="s">
        <v>7126</v>
      </c>
      <c r="H9818" t="s">
        <v>7811</v>
      </c>
      <c r="I9818">
        <v>0</v>
      </c>
      <c r="J9818" t="s">
        <v>7024</v>
      </c>
      <c r="K9818" t="s">
        <v>290</v>
      </c>
      <c r="L9818" t="s">
        <v>285</v>
      </c>
      <c r="M9818" t="str">
        <f t="shared" si="737"/>
        <v>06</v>
      </c>
      <c r="N9818" t="s">
        <v>12</v>
      </c>
    </row>
    <row r="9819" spans="1:14" x14ac:dyDescent="0.25">
      <c r="A9819">
        <v>20160617</v>
      </c>
      <c r="B9819" t="str">
        <f>"063871"</f>
        <v>063871</v>
      </c>
      <c r="C9819" t="str">
        <f>"21283"</f>
        <v>21283</v>
      </c>
      <c r="D9819" t="s">
        <v>4130</v>
      </c>
      <c r="E9819" s="3">
        <v>750</v>
      </c>
      <c r="F9819">
        <v>20160615</v>
      </c>
      <c r="G9819" t="s">
        <v>7124</v>
      </c>
      <c r="H9819" t="s">
        <v>7125</v>
      </c>
      <c r="I9819">
        <v>0</v>
      </c>
      <c r="J9819" t="s">
        <v>7024</v>
      </c>
      <c r="K9819" t="s">
        <v>290</v>
      </c>
      <c r="L9819" t="s">
        <v>285</v>
      </c>
      <c r="M9819" t="str">
        <f t="shared" si="737"/>
        <v>06</v>
      </c>
      <c r="N9819" t="s">
        <v>12</v>
      </c>
    </row>
    <row r="9820" spans="1:14" x14ac:dyDescent="0.25">
      <c r="A9820">
        <v>20160617</v>
      </c>
      <c r="B9820" t="str">
        <f t="shared" ref="B9820:B9837" si="738">"063884"</f>
        <v>063884</v>
      </c>
      <c r="C9820" t="str">
        <f t="shared" ref="C9820:C9837" si="739">"37500"</f>
        <v>37500</v>
      </c>
      <c r="D9820" t="s">
        <v>1652</v>
      </c>
      <c r="E9820" s="3">
        <v>23.8</v>
      </c>
      <c r="F9820">
        <v>20160615</v>
      </c>
      <c r="G9820" t="s">
        <v>7082</v>
      </c>
      <c r="H9820" t="s">
        <v>7813</v>
      </c>
      <c r="I9820">
        <v>0</v>
      </c>
      <c r="J9820" t="s">
        <v>7024</v>
      </c>
      <c r="K9820" t="s">
        <v>95</v>
      </c>
      <c r="L9820" t="s">
        <v>285</v>
      </c>
      <c r="M9820" t="str">
        <f t="shared" si="737"/>
        <v>06</v>
      </c>
      <c r="N9820" t="s">
        <v>12</v>
      </c>
    </row>
    <row r="9821" spans="1:14" x14ac:dyDescent="0.25">
      <c r="A9821">
        <v>20160617</v>
      </c>
      <c r="B9821" t="str">
        <f t="shared" si="738"/>
        <v>063884</v>
      </c>
      <c r="C9821" t="str">
        <f t="shared" si="739"/>
        <v>37500</v>
      </c>
      <c r="D9821" t="s">
        <v>1652</v>
      </c>
      <c r="E9821" s="3">
        <v>33</v>
      </c>
      <c r="F9821">
        <v>20160615</v>
      </c>
      <c r="G9821" t="s">
        <v>7082</v>
      </c>
      <c r="H9821" t="s">
        <v>7814</v>
      </c>
      <c r="I9821">
        <v>0</v>
      </c>
      <c r="J9821" t="s">
        <v>7024</v>
      </c>
      <c r="K9821" t="s">
        <v>95</v>
      </c>
      <c r="L9821" t="s">
        <v>285</v>
      </c>
      <c r="M9821" t="str">
        <f t="shared" si="737"/>
        <v>06</v>
      </c>
      <c r="N9821" t="s">
        <v>12</v>
      </c>
    </row>
    <row r="9822" spans="1:14" x14ac:dyDescent="0.25">
      <c r="A9822">
        <v>20160617</v>
      </c>
      <c r="B9822" t="str">
        <f t="shared" si="738"/>
        <v>063884</v>
      </c>
      <c r="C9822" t="str">
        <f t="shared" si="739"/>
        <v>37500</v>
      </c>
      <c r="D9822" t="s">
        <v>1652</v>
      </c>
      <c r="E9822" s="3">
        <v>28.96</v>
      </c>
      <c r="F9822">
        <v>20160615</v>
      </c>
      <c r="G9822" t="s">
        <v>7082</v>
      </c>
      <c r="H9822" t="s">
        <v>7815</v>
      </c>
      <c r="I9822">
        <v>0</v>
      </c>
      <c r="J9822" t="s">
        <v>7024</v>
      </c>
      <c r="K9822" t="s">
        <v>95</v>
      </c>
      <c r="L9822" t="s">
        <v>285</v>
      </c>
      <c r="M9822" t="str">
        <f t="shared" si="737"/>
        <v>06</v>
      </c>
      <c r="N9822" t="s">
        <v>12</v>
      </c>
    </row>
    <row r="9823" spans="1:14" x14ac:dyDescent="0.25">
      <c r="A9823">
        <v>20160617</v>
      </c>
      <c r="B9823" t="str">
        <f t="shared" si="738"/>
        <v>063884</v>
      </c>
      <c r="C9823" t="str">
        <f t="shared" si="739"/>
        <v>37500</v>
      </c>
      <c r="D9823" t="s">
        <v>1652</v>
      </c>
      <c r="E9823" s="3">
        <v>180.96</v>
      </c>
      <c r="F9823">
        <v>20160615</v>
      </c>
      <c r="G9823" t="s">
        <v>7195</v>
      </c>
      <c r="H9823" t="s">
        <v>7816</v>
      </c>
      <c r="I9823">
        <v>0</v>
      </c>
      <c r="J9823" t="s">
        <v>7024</v>
      </c>
      <c r="K9823" t="s">
        <v>95</v>
      </c>
      <c r="L9823" t="s">
        <v>285</v>
      </c>
      <c r="M9823" t="str">
        <f t="shared" si="737"/>
        <v>06</v>
      </c>
      <c r="N9823" t="s">
        <v>12</v>
      </c>
    </row>
    <row r="9824" spans="1:14" x14ac:dyDescent="0.25">
      <c r="A9824">
        <v>20160617</v>
      </c>
      <c r="B9824" t="str">
        <f t="shared" si="738"/>
        <v>063884</v>
      </c>
      <c r="C9824" t="str">
        <f t="shared" si="739"/>
        <v>37500</v>
      </c>
      <c r="D9824" t="s">
        <v>1652</v>
      </c>
      <c r="E9824" s="3">
        <v>77.84</v>
      </c>
      <c r="F9824">
        <v>20160615</v>
      </c>
      <c r="G9824" t="s">
        <v>7195</v>
      </c>
      <c r="H9824" t="s">
        <v>7816</v>
      </c>
      <c r="I9824">
        <v>0</v>
      </c>
      <c r="J9824" t="s">
        <v>7024</v>
      </c>
      <c r="K9824" t="s">
        <v>95</v>
      </c>
      <c r="L9824" t="s">
        <v>285</v>
      </c>
      <c r="M9824" t="str">
        <f t="shared" si="737"/>
        <v>06</v>
      </c>
      <c r="N9824" t="s">
        <v>12</v>
      </c>
    </row>
    <row r="9825" spans="1:14" x14ac:dyDescent="0.25">
      <c r="A9825">
        <v>20160617</v>
      </c>
      <c r="B9825" t="str">
        <f t="shared" si="738"/>
        <v>063884</v>
      </c>
      <c r="C9825" t="str">
        <f t="shared" si="739"/>
        <v>37500</v>
      </c>
      <c r="D9825" t="s">
        <v>1652</v>
      </c>
      <c r="E9825" s="3">
        <v>85.05</v>
      </c>
      <c r="F9825">
        <v>20160615</v>
      </c>
      <c r="G9825" t="s">
        <v>7094</v>
      </c>
      <c r="H9825" t="s">
        <v>7817</v>
      </c>
      <c r="I9825">
        <v>0</v>
      </c>
      <c r="J9825" t="s">
        <v>7024</v>
      </c>
      <c r="K9825" t="s">
        <v>1643</v>
      </c>
      <c r="L9825" t="s">
        <v>285</v>
      </c>
      <c r="M9825" t="str">
        <f t="shared" si="737"/>
        <v>06</v>
      </c>
      <c r="N9825" t="s">
        <v>12</v>
      </c>
    </row>
    <row r="9826" spans="1:14" x14ac:dyDescent="0.25">
      <c r="A9826">
        <v>20160617</v>
      </c>
      <c r="B9826" t="str">
        <f t="shared" si="738"/>
        <v>063884</v>
      </c>
      <c r="C9826" t="str">
        <f t="shared" si="739"/>
        <v>37500</v>
      </c>
      <c r="D9826" t="s">
        <v>1652</v>
      </c>
      <c r="E9826" s="3">
        <v>35.32</v>
      </c>
      <c r="F9826">
        <v>20160615</v>
      </c>
      <c r="G9826" t="s">
        <v>7094</v>
      </c>
      <c r="H9826" t="s">
        <v>7818</v>
      </c>
      <c r="I9826">
        <v>0</v>
      </c>
      <c r="J9826" t="s">
        <v>7024</v>
      </c>
      <c r="K9826" t="s">
        <v>1643</v>
      </c>
      <c r="L9826" t="s">
        <v>285</v>
      </c>
      <c r="M9826" t="str">
        <f t="shared" si="737"/>
        <v>06</v>
      </c>
      <c r="N9826" t="s">
        <v>12</v>
      </c>
    </row>
    <row r="9827" spans="1:14" x14ac:dyDescent="0.25">
      <c r="A9827">
        <v>20160617</v>
      </c>
      <c r="B9827" t="str">
        <f t="shared" si="738"/>
        <v>063884</v>
      </c>
      <c r="C9827" t="str">
        <f t="shared" si="739"/>
        <v>37500</v>
      </c>
      <c r="D9827" t="s">
        <v>1652</v>
      </c>
      <c r="E9827" s="3">
        <v>36.590000000000003</v>
      </c>
      <c r="F9827">
        <v>20160615</v>
      </c>
      <c r="G9827" t="s">
        <v>7080</v>
      </c>
      <c r="H9827" t="s">
        <v>7819</v>
      </c>
      <c r="I9827">
        <v>0</v>
      </c>
      <c r="J9827" t="s">
        <v>7024</v>
      </c>
      <c r="K9827" t="s">
        <v>33</v>
      </c>
      <c r="L9827" t="s">
        <v>285</v>
      </c>
      <c r="M9827" t="str">
        <f t="shared" si="737"/>
        <v>06</v>
      </c>
      <c r="N9827" t="s">
        <v>12</v>
      </c>
    </row>
    <row r="9828" spans="1:14" x14ac:dyDescent="0.25">
      <c r="A9828">
        <v>20160617</v>
      </c>
      <c r="B9828" t="str">
        <f t="shared" si="738"/>
        <v>063884</v>
      </c>
      <c r="C9828" t="str">
        <f t="shared" si="739"/>
        <v>37500</v>
      </c>
      <c r="D9828" t="s">
        <v>1652</v>
      </c>
      <c r="E9828" s="3">
        <v>614.66999999999996</v>
      </c>
      <c r="F9828">
        <v>20160615</v>
      </c>
      <c r="G9828" t="s">
        <v>7143</v>
      </c>
      <c r="H9828" t="s">
        <v>7621</v>
      </c>
      <c r="I9828">
        <v>0</v>
      </c>
      <c r="J9828" t="s">
        <v>7024</v>
      </c>
      <c r="K9828" t="s">
        <v>290</v>
      </c>
      <c r="L9828" t="s">
        <v>285</v>
      </c>
      <c r="M9828" t="str">
        <f t="shared" si="737"/>
        <v>06</v>
      </c>
      <c r="N9828" t="s">
        <v>12</v>
      </c>
    </row>
    <row r="9829" spans="1:14" x14ac:dyDescent="0.25">
      <c r="A9829">
        <v>20160617</v>
      </c>
      <c r="B9829" t="str">
        <f t="shared" si="738"/>
        <v>063884</v>
      </c>
      <c r="C9829" t="str">
        <f t="shared" si="739"/>
        <v>37500</v>
      </c>
      <c r="D9829" t="s">
        <v>1652</v>
      </c>
      <c r="E9829" s="3">
        <v>179.58</v>
      </c>
      <c r="F9829">
        <v>20160615</v>
      </c>
      <c r="G9829" t="s">
        <v>7143</v>
      </c>
      <c r="H9829" t="s">
        <v>7621</v>
      </c>
      <c r="I9829">
        <v>0</v>
      </c>
      <c r="J9829" t="s">
        <v>7024</v>
      </c>
      <c r="K9829" t="s">
        <v>290</v>
      </c>
      <c r="L9829" t="s">
        <v>285</v>
      </c>
      <c r="M9829" t="str">
        <f t="shared" si="737"/>
        <v>06</v>
      </c>
      <c r="N9829" t="s">
        <v>12</v>
      </c>
    </row>
    <row r="9830" spans="1:14" x14ac:dyDescent="0.25">
      <c r="A9830">
        <v>20160617</v>
      </c>
      <c r="B9830" t="str">
        <f t="shared" si="738"/>
        <v>063884</v>
      </c>
      <c r="C9830" t="str">
        <f t="shared" si="739"/>
        <v>37500</v>
      </c>
      <c r="D9830" t="s">
        <v>1652</v>
      </c>
      <c r="E9830" s="3">
        <v>525.73</v>
      </c>
      <c r="F9830">
        <v>20160615</v>
      </c>
      <c r="G9830" t="s">
        <v>7143</v>
      </c>
      <c r="H9830" t="s">
        <v>7820</v>
      </c>
      <c r="I9830">
        <v>0</v>
      </c>
      <c r="J9830" t="s">
        <v>7024</v>
      </c>
      <c r="K9830" t="s">
        <v>290</v>
      </c>
      <c r="L9830" t="s">
        <v>285</v>
      </c>
      <c r="M9830" t="str">
        <f t="shared" si="737"/>
        <v>06</v>
      </c>
      <c r="N9830" t="s">
        <v>12</v>
      </c>
    </row>
    <row r="9831" spans="1:14" x14ac:dyDescent="0.25">
      <c r="A9831">
        <v>20160617</v>
      </c>
      <c r="B9831" t="str">
        <f t="shared" si="738"/>
        <v>063884</v>
      </c>
      <c r="C9831" t="str">
        <f t="shared" si="739"/>
        <v>37500</v>
      </c>
      <c r="D9831" t="s">
        <v>1652</v>
      </c>
      <c r="E9831" s="3">
        <v>43.56</v>
      </c>
      <c r="F9831">
        <v>20160615</v>
      </c>
      <c r="G9831" t="s">
        <v>7143</v>
      </c>
      <c r="H9831" t="s">
        <v>7820</v>
      </c>
      <c r="I9831">
        <v>0</v>
      </c>
      <c r="J9831" t="s">
        <v>7024</v>
      </c>
      <c r="K9831" t="s">
        <v>290</v>
      </c>
      <c r="L9831" t="s">
        <v>285</v>
      </c>
      <c r="M9831" t="str">
        <f t="shared" ref="M9831:M9862" si="740">"06"</f>
        <v>06</v>
      </c>
      <c r="N9831" t="s">
        <v>12</v>
      </c>
    </row>
    <row r="9832" spans="1:14" x14ac:dyDescent="0.25">
      <c r="A9832">
        <v>20160617</v>
      </c>
      <c r="B9832" t="str">
        <f t="shared" si="738"/>
        <v>063884</v>
      </c>
      <c r="C9832" t="str">
        <f t="shared" si="739"/>
        <v>37500</v>
      </c>
      <c r="D9832" t="s">
        <v>1652</v>
      </c>
      <c r="E9832" s="3">
        <v>45.16</v>
      </c>
      <c r="F9832">
        <v>20160615</v>
      </c>
      <c r="G9832" t="s">
        <v>7083</v>
      </c>
      <c r="H9832" t="s">
        <v>2173</v>
      </c>
      <c r="I9832">
        <v>0</v>
      </c>
      <c r="J9832" t="s">
        <v>7024</v>
      </c>
      <c r="K9832" t="s">
        <v>290</v>
      </c>
      <c r="L9832" t="s">
        <v>285</v>
      </c>
      <c r="M9832" t="str">
        <f t="shared" si="740"/>
        <v>06</v>
      </c>
      <c r="N9832" t="s">
        <v>12</v>
      </c>
    </row>
    <row r="9833" spans="1:14" x14ac:dyDescent="0.25">
      <c r="A9833">
        <v>20160617</v>
      </c>
      <c r="B9833" t="str">
        <f t="shared" si="738"/>
        <v>063884</v>
      </c>
      <c r="C9833" t="str">
        <f t="shared" si="739"/>
        <v>37500</v>
      </c>
      <c r="D9833" t="s">
        <v>1652</v>
      </c>
      <c r="E9833" s="3">
        <v>24.18</v>
      </c>
      <c r="F9833">
        <v>20160615</v>
      </c>
      <c r="G9833" t="s">
        <v>7179</v>
      </c>
      <c r="H9833" t="s">
        <v>7821</v>
      </c>
      <c r="I9833">
        <v>0</v>
      </c>
      <c r="J9833" t="s">
        <v>7024</v>
      </c>
      <c r="K9833" t="s">
        <v>95</v>
      </c>
      <c r="L9833" t="s">
        <v>285</v>
      </c>
      <c r="M9833" t="str">
        <f t="shared" si="740"/>
        <v>06</v>
      </c>
      <c r="N9833" t="s">
        <v>12</v>
      </c>
    </row>
    <row r="9834" spans="1:14" x14ac:dyDescent="0.25">
      <c r="A9834">
        <v>20160617</v>
      </c>
      <c r="B9834" t="str">
        <f t="shared" si="738"/>
        <v>063884</v>
      </c>
      <c r="C9834" t="str">
        <f t="shared" si="739"/>
        <v>37500</v>
      </c>
      <c r="D9834" t="s">
        <v>1652</v>
      </c>
      <c r="E9834" s="3">
        <v>74.11</v>
      </c>
      <c r="F9834">
        <v>20160615</v>
      </c>
      <c r="G9834" t="s">
        <v>7179</v>
      </c>
      <c r="H9834" t="s">
        <v>7821</v>
      </c>
      <c r="I9834">
        <v>0</v>
      </c>
      <c r="J9834" t="s">
        <v>7024</v>
      </c>
      <c r="K9834" t="s">
        <v>95</v>
      </c>
      <c r="L9834" t="s">
        <v>285</v>
      </c>
      <c r="M9834" t="str">
        <f t="shared" si="740"/>
        <v>06</v>
      </c>
      <c r="N9834" t="s">
        <v>12</v>
      </c>
    </row>
    <row r="9835" spans="1:14" x14ac:dyDescent="0.25">
      <c r="A9835">
        <v>20160617</v>
      </c>
      <c r="B9835" t="str">
        <f t="shared" si="738"/>
        <v>063884</v>
      </c>
      <c r="C9835" t="str">
        <f t="shared" si="739"/>
        <v>37500</v>
      </c>
      <c r="D9835" t="s">
        <v>1652</v>
      </c>
      <c r="E9835" s="3">
        <v>23.68</v>
      </c>
      <c r="F9835">
        <v>20160615</v>
      </c>
      <c r="G9835" t="s">
        <v>7179</v>
      </c>
      <c r="H9835" t="s">
        <v>2173</v>
      </c>
      <c r="I9835">
        <v>0</v>
      </c>
      <c r="J9835" t="s">
        <v>7024</v>
      </c>
      <c r="K9835" t="s">
        <v>95</v>
      </c>
      <c r="L9835" t="s">
        <v>285</v>
      </c>
      <c r="M9835" t="str">
        <f t="shared" si="740"/>
        <v>06</v>
      </c>
      <c r="N9835" t="s">
        <v>12</v>
      </c>
    </row>
    <row r="9836" spans="1:14" x14ac:dyDescent="0.25">
      <c r="A9836">
        <v>20160617</v>
      </c>
      <c r="B9836" t="str">
        <f t="shared" si="738"/>
        <v>063884</v>
      </c>
      <c r="C9836" t="str">
        <f t="shared" si="739"/>
        <v>37500</v>
      </c>
      <c r="D9836" t="s">
        <v>1652</v>
      </c>
      <c r="E9836" s="3">
        <v>177.87</v>
      </c>
      <c r="F9836">
        <v>20160615</v>
      </c>
      <c r="G9836" t="s">
        <v>7179</v>
      </c>
      <c r="H9836" t="s">
        <v>7822</v>
      </c>
      <c r="I9836">
        <v>0</v>
      </c>
      <c r="J9836" t="s">
        <v>7024</v>
      </c>
      <c r="K9836" t="s">
        <v>95</v>
      </c>
      <c r="L9836" t="s">
        <v>285</v>
      </c>
      <c r="M9836" t="str">
        <f t="shared" si="740"/>
        <v>06</v>
      </c>
      <c r="N9836" t="s">
        <v>12</v>
      </c>
    </row>
    <row r="9837" spans="1:14" x14ac:dyDescent="0.25">
      <c r="A9837">
        <v>20160617</v>
      </c>
      <c r="B9837" t="str">
        <f t="shared" si="738"/>
        <v>063884</v>
      </c>
      <c r="C9837" t="str">
        <f t="shared" si="739"/>
        <v>37500</v>
      </c>
      <c r="D9837" t="s">
        <v>1652</v>
      </c>
      <c r="E9837" s="3">
        <v>30.56</v>
      </c>
      <c r="F9837">
        <v>20160615</v>
      </c>
      <c r="G9837" t="s">
        <v>7049</v>
      </c>
      <c r="H9837" t="s">
        <v>5034</v>
      </c>
      <c r="I9837">
        <v>0</v>
      </c>
      <c r="J9837" t="s">
        <v>7024</v>
      </c>
      <c r="K9837" t="s">
        <v>33</v>
      </c>
      <c r="L9837" t="s">
        <v>285</v>
      </c>
      <c r="M9837" t="str">
        <f t="shared" si="740"/>
        <v>06</v>
      </c>
      <c r="N9837" t="s">
        <v>12</v>
      </c>
    </row>
    <row r="9838" spans="1:14" x14ac:dyDescent="0.25">
      <c r="A9838">
        <v>20160617</v>
      </c>
      <c r="B9838" t="str">
        <f>"063889"</f>
        <v>063889</v>
      </c>
      <c r="C9838" t="str">
        <f>"40781"</f>
        <v>40781</v>
      </c>
      <c r="D9838" t="s">
        <v>3946</v>
      </c>
      <c r="E9838" s="3">
        <v>467.25</v>
      </c>
      <c r="F9838">
        <v>20160615</v>
      </c>
      <c r="G9838" t="s">
        <v>7049</v>
      </c>
      <c r="H9838" t="s">
        <v>7823</v>
      </c>
      <c r="I9838">
        <v>0</v>
      </c>
      <c r="J9838" t="s">
        <v>7024</v>
      </c>
      <c r="K9838" t="s">
        <v>33</v>
      </c>
      <c r="L9838" t="s">
        <v>285</v>
      </c>
      <c r="M9838" t="str">
        <f t="shared" si="740"/>
        <v>06</v>
      </c>
      <c r="N9838" t="s">
        <v>12</v>
      </c>
    </row>
    <row r="9839" spans="1:14" x14ac:dyDescent="0.25">
      <c r="A9839">
        <v>20160617</v>
      </c>
      <c r="B9839" t="str">
        <f>"063902"</f>
        <v>063902</v>
      </c>
      <c r="C9839" t="str">
        <f>"58202"</f>
        <v>58202</v>
      </c>
      <c r="D9839" t="s">
        <v>2695</v>
      </c>
      <c r="E9839" s="3">
        <v>21.24</v>
      </c>
      <c r="F9839">
        <v>20160615</v>
      </c>
      <c r="G9839" t="s">
        <v>7179</v>
      </c>
      <c r="H9839" t="s">
        <v>7824</v>
      </c>
      <c r="I9839">
        <v>0</v>
      </c>
      <c r="J9839" t="s">
        <v>7024</v>
      </c>
      <c r="K9839" t="s">
        <v>95</v>
      </c>
      <c r="L9839" t="s">
        <v>285</v>
      </c>
      <c r="M9839" t="str">
        <f t="shared" si="740"/>
        <v>06</v>
      </c>
      <c r="N9839" t="s">
        <v>12</v>
      </c>
    </row>
    <row r="9840" spans="1:14" x14ac:dyDescent="0.25">
      <c r="A9840">
        <v>20160617</v>
      </c>
      <c r="B9840" t="str">
        <f>"063903"</f>
        <v>063903</v>
      </c>
      <c r="C9840" t="str">
        <f>"58203"</f>
        <v>58203</v>
      </c>
      <c r="D9840" t="s">
        <v>2371</v>
      </c>
      <c r="E9840" s="3">
        <v>121.02</v>
      </c>
      <c r="F9840">
        <v>20160615</v>
      </c>
      <c r="G9840" t="s">
        <v>7026</v>
      </c>
      <c r="H9840" t="s">
        <v>5398</v>
      </c>
      <c r="I9840">
        <v>0</v>
      </c>
      <c r="J9840" t="s">
        <v>7024</v>
      </c>
      <c r="K9840" t="s">
        <v>1643</v>
      </c>
      <c r="L9840" t="s">
        <v>285</v>
      </c>
      <c r="M9840" t="str">
        <f t="shared" si="740"/>
        <v>06</v>
      </c>
      <c r="N9840" t="s">
        <v>12</v>
      </c>
    </row>
    <row r="9841" spans="1:14" x14ac:dyDescent="0.25">
      <c r="A9841">
        <v>20160617</v>
      </c>
      <c r="B9841" t="str">
        <f>"063914"</f>
        <v>063914</v>
      </c>
      <c r="C9841" t="str">
        <f>"65106"</f>
        <v>65106</v>
      </c>
      <c r="D9841" t="s">
        <v>1568</v>
      </c>
      <c r="E9841" s="3">
        <v>14.91</v>
      </c>
      <c r="F9841">
        <v>20160615</v>
      </c>
      <c r="G9841" t="s">
        <v>7110</v>
      </c>
      <c r="H9841" t="s">
        <v>5680</v>
      </c>
      <c r="I9841">
        <v>0</v>
      </c>
      <c r="J9841" t="s">
        <v>7024</v>
      </c>
      <c r="K9841" t="s">
        <v>290</v>
      </c>
      <c r="L9841" t="s">
        <v>285</v>
      </c>
      <c r="M9841" t="str">
        <f t="shared" si="740"/>
        <v>06</v>
      </c>
      <c r="N9841" t="s">
        <v>12</v>
      </c>
    </row>
    <row r="9842" spans="1:14" x14ac:dyDescent="0.25">
      <c r="A9842">
        <v>20160617</v>
      </c>
      <c r="B9842" t="str">
        <f>"063914"</f>
        <v>063914</v>
      </c>
      <c r="C9842" t="str">
        <f>"65106"</f>
        <v>65106</v>
      </c>
      <c r="D9842" t="s">
        <v>1568</v>
      </c>
      <c r="E9842" s="3">
        <v>1007.04</v>
      </c>
      <c r="F9842">
        <v>20160615</v>
      </c>
      <c r="G9842" t="s">
        <v>7143</v>
      </c>
      <c r="H9842" t="s">
        <v>7825</v>
      </c>
      <c r="I9842">
        <v>0</v>
      </c>
      <c r="J9842" t="s">
        <v>7024</v>
      </c>
      <c r="K9842" t="s">
        <v>290</v>
      </c>
      <c r="L9842" t="s">
        <v>285</v>
      </c>
      <c r="M9842" t="str">
        <f t="shared" si="740"/>
        <v>06</v>
      </c>
      <c r="N9842" t="s">
        <v>12</v>
      </c>
    </row>
    <row r="9843" spans="1:14" x14ac:dyDescent="0.25">
      <c r="A9843">
        <v>20160617</v>
      </c>
      <c r="B9843" t="str">
        <f>"063914"</f>
        <v>063914</v>
      </c>
      <c r="C9843" t="str">
        <f>"65106"</f>
        <v>65106</v>
      </c>
      <c r="D9843" t="s">
        <v>1568</v>
      </c>
      <c r="E9843" s="3">
        <v>455.96</v>
      </c>
      <c r="F9843">
        <v>20160615</v>
      </c>
      <c r="G9843" t="s">
        <v>7143</v>
      </c>
      <c r="H9843" t="s">
        <v>5679</v>
      </c>
      <c r="I9843">
        <v>0</v>
      </c>
      <c r="J9843" t="s">
        <v>7024</v>
      </c>
      <c r="K9843" t="s">
        <v>290</v>
      </c>
      <c r="L9843" t="s">
        <v>285</v>
      </c>
      <c r="M9843" t="str">
        <f t="shared" si="740"/>
        <v>06</v>
      </c>
      <c r="N9843" t="s">
        <v>12</v>
      </c>
    </row>
    <row r="9844" spans="1:14" x14ac:dyDescent="0.25">
      <c r="A9844">
        <v>20160623</v>
      </c>
      <c r="B9844" t="str">
        <f>"063937"</f>
        <v>063937</v>
      </c>
      <c r="C9844" t="str">
        <f>"09170"</f>
        <v>09170</v>
      </c>
      <c r="D9844" t="s">
        <v>596</v>
      </c>
      <c r="E9844" s="3">
        <v>75.78</v>
      </c>
      <c r="F9844">
        <v>20160622</v>
      </c>
      <c r="G9844" t="s">
        <v>7110</v>
      </c>
      <c r="H9844" t="s">
        <v>7826</v>
      </c>
      <c r="I9844">
        <v>0</v>
      </c>
      <c r="J9844" t="s">
        <v>7024</v>
      </c>
      <c r="K9844" t="s">
        <v>290</v>
      </c>
      <c r="L9844" t="s">
        <v>285</v>
      </c>
      <c r="M9844" t="str">
        <f t="shared" si="740"/>
        <v>06</v>
      </c>
      <c r="N9844" t="s">
        <v>12</v>
      </c>
    </row>
    <row r="9845" spans="1:14" x14ac:dyDescent="0.25">
      <c r="A9845">
        <v>20160623</v>
      </c>
      <c r="B9845" t="str">
        <f>"063937"</f>
        <v>063937</v>
      </c>
      <c r="C9845" t="str">
        <f>"09170"</f>
        <v>09170</v>
      </c>
      <c r="D9845" t="s">
        <v>596</v>
      </c>
      <c r="E9845" s="3">
        <v>156.4</v>
      </c>
      <c r="F9845">
        <v>20160622</v>
      </c>
      <c r="G9845" t="s">
        <v>7110</v>
      </c>
      <c r="H9845" t="s">
        <v>7827</v>
      </c>
      <c r="I9845">
        <v>0</v>
      </c>
      <c r="J9845" t="s">
        <v>7024</v>
      </c>
      <c r="K9845" t="s">
        <v>290</v>
      </c>
      <c r="L9845" t="s">
        <v>285</v>
      </c>
      <c r="M9845" t="str">
        <f t="shared" si="740"/>
        <v>06</v>
      </c>
      <c r="N9845" t="s">
        <v>12</v>
      </c>
    </row>
    <row r="9846" spans="1:14" x14ac:dyDescent="0.25">
      <c r="A9846">
        <v>20160623</v>
      </c>
      <c r="B9846" t="str">
        <f>"063937"</f>
        <v>063937</v>
      </c>
      <c r="C9846" t="str">
        <f>"09170"</f>
        <v>09170</v>
      </c>
      <c r="D9846" t="s">
        <v>596</v>
      </c>
      <c r="E9846" s="3">
        <v>-435.92</v>
      </c>
      <c r="F9846">
        <v>20160527</v>
      </c>
      <c r="G9846" t="s">
        <v>7110</v>
      </c>
      <c r="H9846" t="s">
        <v>2179</v>
      </c>
      <c r="I9846">
        <v>0</v>
      </c>
      <c r="J9846" t="s">
        <v>7024</v>
      </c>
      <c r="K9846" t="s">
        <v>290</v>
      </c>
      <c r="L9846" t="s">
        <v>1385</v>
      </c>
      <c r="M9846" t="str">
        <f t="shared" si="740"/>
        <v>06</v>
      </c>
      <c r="N9846" t="s">
        <v>12</v>
      </c>
    </row>
    <row r="9847" spans="1:14" x14ac:dyDescent="0.25">
      <c r="A9847">
        <v>20160623</v>
      </c>
      <c r="B9847" t="str">
        <f>"063937"</f>
        <v>063937</v>
      </c>
      <c r="C9847" t="str">
        <f>"09170"</f>
        <v>09170</v>
      </c>
      <c r="D9847" t="s">
        <v>596</v>
      </c>
      <c r="E9847" s="3">
        <v>1906.36</v>
      </c>
      <c r="F9847">
        <v>20160622</v>
      </c>
      <c r="G9847" t="s">
        <v>7026</v>
      </c>
      <c r="H9847" t="s">
        <v>7828</v>
      </c>
      <c r="I9847">
        <v>0</v>
      </c>
      <c r="J9847" t="s">
        <v>7024</v>
      </c>
      <c r="K9847" t="s">
        <v>1643</v>
      </c>
      <c r="L9847" t="s">
        <v>285</v>
      </c>
      <c r="M9847" t="str">
        <f t="shared" si="740"/>
        <v>06</v>
      </c>
      <c r="N9847" t="s">
        <v>12</v>
      </c>
    </row>
    <row r="9848" spans="1:14" x14ac:dyDescent="0.25">
      <c r="A9848">
        <v>20160623</v>
      </c>
      <c r="B9848" t="str">
        <f>"063937"</f>
        <v>063937</v>
      </c>
      <c r="C9848" t="str">
        <f>"09170"</f>
        <v>09170</v>
      </c>
      <c r="D9848" t="s">
        <v>596</v>
      </c>
      <c r="E9848" s="3">
        <v>958</v>
      </c>
      <c r="F9848">
        <v>20160622</v>
      </c>
      <c r="G9848" t="s">
        <v>7126</v>
      </c>
      <c r="H9848" t="s">
        <v>5182</v>
      </c>
      <c r="I9848">
        <v>0</v>
      </c>
      <c r="J9848" t="s">
        <v>7024</v>
      </c>
      <c r="K9848" t="s">
        <v>290</v>
      </c>
      <c r="L9848" t="s">
        <v>285</v>
      </c>
      <c r="M9848" t="str">
        <f t="shared" si="740"/>
        <v>06</v>
      </c>
      <c r="N9848" t="s">
        <v>12</v>
      </c>
    </row>
    <row r="9849" spans="1:14" x14ac:dyDescent="0.25">
      <c r="A9849">
        <v>20160623</v>
      </c>
      <c r="B9849" t="str">
        <f>"063943"</f>
        <v>063943</v>
      </c>
      <c r="C9849" t="str">
        <f>"16807"</f>
        <v>16807</v>
      </c>
      <c r="D9849" t="s">
        <v>1560</v>
      </c>
      <c r="E9849" s="3">
        <v>738.24</v>
      </c>
      <c r="F9849">
        <v>20160622</v>
      </c>
      <c r="G9849" t="s">
        <v>7049</v>
      </c>
      <c r="H9849" t="s">
        <v>7829</v>
      </c>
      <c r="I9849">
        <v>0</v>
      </c>
      <c r="J9849" t="s">
        <v>7024</v>
      </c>
      <c r="K9849" t="s">
        <v>33</v>
      </c>
      <c r="L9849" t="s">
        <v>285</v>
      </c>
      <c r="M9849" t="str">
        <f t="shared" si="740"/>
        <v>06</v>
      </c>
      <c r="N9849" t="s">
        <v>12</v>
      </c>
    </row>
    <row r="9850" spans="1:14" x14ac:dyDescent="0.25">
      <c r="A9850">
        <v>20160623</v>
      </c>
      <c r="B9850" t="str">
        <f>"063946"</f>
        <v>063946</v>
      </c>
      <c r="C9850" t="str">
        <f>"20699"</f>
        <v>20699</v>
      </c>
      <c r="D9850" t="s">
        <v>1823</v>
      </c>
      <c r="E9850" s="3">
        <v>665</v>
      </c>
      <c r="F9850">
        <v>20160622</v>
      </c>
      <c r="G9850" t="s">
        <v>7284</v>
      </c>
      <c r="H9850" t="s">
        <v>7830</v>
      </c>
      <c r="I9850">
        <v>0</v>
      </c>
      <c r="J9850" t="s">
        <v>7024</v>
      </c>
      <c r="K9850" t="s">
        <v>290</v>
      </c>
      <c r="L9850" t="s">
        <v>285</v>
      </c>
      <c r="M9850" t="str">
        <f t="shared" si="740"/>
        <v>06</v>
      </c>
      <c r="N9850" t="s">
        <v>12</v>
      </c>
    </row>
    <row r="9851" spans="1:14" x14ac:dyDescent="0.25">
      <c r="A9851">
        <v>20160623</v>
      </c>
      <c r="B9851" t="str">
        <f>"063952"</f>
        <v>063952</v>
      </c>
      <c r="C9851" t="str">
        <f>"23754"</f>
        <v>23754</v>
      </c>
      <c r="D9851" t="s">
        <v>794</v>
      </c>
      <c r="E9851" s="3">
        <v>1137</v>
      </c>
      <c r="F9851">
        <v>20160622</v>
      </c>
      <c r="G9851" t="s">
        <v>7284</v>
      </c>
      <c r="H9851" t="s">
        <v>7831</v>
      </c>
      <c r="I9851">
        <v>0</v>
      </c>
      <c r="J9851" t="s">
        <v>7024</v>
      </c>
      <c r="K9851" t="s">
        <v>290</v>
      </c>
      <c r="L9851" t="s">
        <v>285</v>
      </c>
      <c r="M9851" t="str">
        <f t="shared" si="740"/>
        <v>06</v>
      </c>
      <c r="N9851" t="s">
        <v>12</v>
      </c>
    </row>
    <row r="9852" spans="1:14" x14ac:dyDescent="0.25">
      <c r="A9852">
        <v>20160623</v>
      </c>
      <c r="B9852" t="str">
        <f>"063954"</f>
        <v>063954</v>
      </c>
      <c r="C9852" t="str">
        <f>"26340"</f>
        <v>26340</v>
      </c>
      <c r="D9852" t="s">
        <v>7832</v>
      </c>
      <c r="E9852" s="3">
        <v>300</v>
      </c>
      <c r="F9852">
        <v>20160622</v>
      </c>
      <c r="G9852" t="s">
        <v>7086</v>
      </c>
      <c r="H9852" t="s">
        <v>7833</v>
      </c>
      <c r="I9852">
        <v>0</v>
      </c>
      <c r="J9852" t="s">
        <v>7024</v>
      </c>
      <c r="K9852" t="s">
        <v>290</v>
      </c>
      <c r="L9852" t="s">
        <v>285</v>
      </c>
      <c r="M9852" t="str">
        <f t="shared" si="740"/>
        <v>06</v>
      </c>
      <c r="N9852" t="s">
        <v>12</v>
      </c>
    </row>
    <row r="9853" spans="1:14" x14ac:dyDescent="0.25">
      <c r="A9853">
        <v>20160623</v>
      </c>
      <c r="B9853" t="str">
        <f>"063963"</f>
        <v>063963</v>
      </c>
      <c r="C9853" t="str">
        <f>"32926"</f>
        <v>32926</v>
      </c>
      <c r="D9853" t="s">
        <v>7834</v>
      </c>
      <c r="E9853" s="3">
        <v>874.95</v>
      </c>
      <c r="F9853">
        <v>20160622</v>
      </c>
      <c r="G9853" t="s">
        <v>7107</v>
      </c>
      <c r="H9853" t="s">
        <v>7835</v>
      </c>
      <c r="I9853">
        <v>0</v>
      </c>
      <c r="J9853" t="s">
        <v>7024</v>
      </c>
      <c r="K9853" t="s">
        <v>95</v>
      </c>
      <c r="L9853" t="s">
        <v>285</v>
      </c>
      <c r="M9853" t="str">
        <f t="shared" si="740"/>
        <v>06</v>
      </c>
      <c r="N9853" t="s">
        <v>12</v>
      </c>
    </row>
    <row r="9854" spans="1:14" x14ac:dyDescent="0.25">
      <c r="A9854">
        <v>20160623</v>
      </c>
      <c r="B9854" t="str">
        <f>"063964"</f>
        <v>063964</v>
      </c>
      <c r="C9854" t="str">
        <f>"34963"</f>
        <v>34963</v>
      </c>
      <c r="D9854" t="s">
        <v>7836</v>
      </c>
      <c r="E9854" s="3">
        <v>129</v>
      </c>
      <c r="F9854">
        <v>20160622</v>
      </c>
      <c r="G9854" t="s">
        <v>7837</v>
      </c>
      <c r="H9854" t="s">
        <v>7838</v>
      </c>
      <c r="I9854">
        <v>0</v>
      </c>
      <c r="J9854" t="s">
        <v>7024</v>
      </c>
      <c r="K9854" t="s">
        <v>33</v>
      </c>
      <c r="L9854" t="s">
        <v>285</v>
      </c>
      <c r="M9854" t="str">
        <f t="shared" si="740"/>
        <v>06</v>
      </c>
      <c r="N9854" t="s">
        <v>12</v>
      </c>
    </row>
    <row r="9855" spans="1:14" x14ac:dyDescent="0.25">
      <c r="A9855">
        <v>20160623</v>
      </c>
      <c r="B9855" t="str">
        <f>"063980"</f>
        <v>063980</v>
      </c>
      <c r="C9855" t="str">
        <f>"49868"</f>
        <v>49868</v>
      </c>
      <c r="D9855" t="s">
        <v>7839</v>
      </c>
      <c r="E9855" s="3">
        <v>64</v>
      </c>
      <c r="F9855">
        <v>20160622</v>
      </c>
      <c r="G9855" t="s">
        <v>7231</v>
      </c>
      <c r="H9855" t="s">
        <v>7840</v>
      </c>
      <c r="I9855">
        <v>0</v>
      </c>
      <c r="J9855" t="s">
        <v>7024</v>
      </c>
      <c r="K9855" t="s">
        <v>290</v>
      </c>
      <c r="L9855" t="s">
        <v>285</v>
      </c>
      <c r="M9855" t="str">
        <f t="shared" si="740"/>
        <v>06</v>
      </c>
      <c r="N9855" t="s">
        <v>12</v>
      </c>
    </row>
    <row r="9856" spans="1:14" x14ac:dyDescent="0.25">
      <c r="A9856">
        <v>20160623</v>
      </c>
      <c r="B9856" t="str">
        <f>"063981"</f>
        <v>063981</v>
      </c>
      <c r="C9856" t="str">
        <f>"52217"</f>
        <v>52217</v>
      </c>
      <c r="D9856" t="s">
        <v>577</v>
      </c>
      <c r="E9856" s="3">
        <v>285</v>
      </c>
      <c r="F9856">
        <v>20160622</v>
      </c>
      <c r="G9856" t="s">
        <v>7074</v>
      </c>
      <c r="H9856" t="s">
        <v>7841</v>
      </c>
      <c r="I9856">
        <v>0</v>
      </c>
      <c r="J9856" t="s">
        <v>7024</v>
      </c>
      <c r="K9856" t="s">
        <v>290</v>
      </c>
      <c r="L9856" t="s">
        <v>285</v>
      </c>
      <c r="M9856" t="str">
        <f t="shared" si="740"/>
        <v>06</v>
      </c>
      <c r="N9856" t="s">
        <v>12</v>
      </c>
    </row>
    <row r="9857" spans="1:14" x14ac:dyDescent="0.25">
      <c r="A9857">
        <v>20160623</v>
      </c>
      <c r="B9857" t="str">
        <f>"063981"</f>
        <v>063981</v>
      </c>
      <c r="C9857" t="str">
        <f>"52217"</f>
        <v>52217</v>
      </c>
      <c r="D9857" t="s">
        <v>577</v>
      </c>
      <c r="E9857" s="3">
        <v>464</v>
      </c>
      <c r="F9857">
        <v>20160622</v>
      </c>
      <c r="G9857" t="s">
        <v>7260</v>
      </c>
      <c r="H9857" t="s">
        <v>7842</v>
      </c>
      <c r="I9857">
        <v>0</v>
      </c>
      <c r="J9857" t="s">
        <v>7024</v>
      </c>
      <c r="K9857" t="s">
        <v>290</v>
      </c>
      <c r="L9857" t="s">
        <v>285</v>
      </c>
      <c r="M9857" t="str">
        <f t="shared" si="740"/>
        <v>06</v>
      </c>
      <c r="N9857" t="s">
        <v>12</v>
      </c>
    </row>
    <row r="9858" spans="1:14" x14ac:dyDescent="0.25">
      <c r="A9858">
        <v>20160623</v>
      </c>
      <c r="B9858" t="str">
        <f>"063983"</f>
        <v>063983</v>
      </c>
      <c r="C9858" t="str">
        <f>"55855"</f>
        <v>55855</v>
      </c>
      <c r="D9858" t="s">
        <v>7790</v>
      </c>
      <c r="E9858" s="3">
        <v>2980</v>
      </c>
      <c r="F9858">
        <v>20160622</v>
      </c>
      <c r="G9858" t="s">
        <v>7149</v>
      </c>
      <c r="H9858" t="s">
        <v>7843</v>
      </c>
      <c r="I9858">
        <v>0</v>
      </c>
      <c r="J9858" t="s">
        <v>7024</v>
      </c>
      <c r="K9858" t="s">
        <v>290</v>
      </c>
      <c r="L9858" t="s">
        <v>285</v>
      </c>
      <c r="M9858" t="str">
        <f t="shared" si="740"/>
        <v>06</v>
      </c>
      <c r="N9858" t="s">
        <v>12</v>
      </c>
    </row>
    <row r="9859" spans="1:14" x14ac:dyDescent="0.25">
      <c r="A9859">
        <v>20160623</v>
      </c>
      <c r="B9859" t="str">
        <f>"063992"</f>
        <v>063992</v>
      </c>
      <c r="C9859" t="str">
        <f>"60853"</f>
        <v>60853</v>
      </c>
      <c r="D9859" t="s">
        <v>676</v>
      </c>
      <c r="E9859" s="3">
        <v>191.15</v>
      </c>
      <c r="F9859">
        <v>20160622</v>
      </c>
      <c r="G9859" t="s">
        <v>7126</v>
      </c>
      <c r="H9859" t="s">
        <v>7844</v>
      </c>
      <c r="I9859">
        <v>0</v>
      </c>
      <c r="J9859" t="s">
        <v>7024</v>
      </c>
      <c r="K9859" t="s">
        <v>290</v>
      </c>
      <c r="L9859" t="s">
        <v>285</v>
      </c>
      <c r="M9859" t="str">
        <f t="shared" si="740"/>
        <v>06</v>
      </c>
      <c r="N9859" t="s">
        <v>12</v>
      </c>
    </row>
    <row r="9860" spans="1:14" x14ac:dyDescent="0.25">
      <c r="A9860">
        <v>20160623</v>
      </c>
      <c r="B9860" t="str">
        <f t="shared" ref="B9860:B9867" si="741">"063998"</f>
        <v>063998</v>
      </c>
      <c r="C9860" t="str">
        <f t="shared" ref="C9860:C9867" si="742">"70242"</f>
        <v>70242</v>
      </c>
      <c r="D9860" t="s">
        <v>5782</v>
      </c>
      <c r="E9860" s="3">
        <v>142.5</v>
      </c>
      <c r="F9860">
        <v>20160622</v>
      </c>
      <c r="G9860" t="s">
        <v>7810</v>
      </c>
      <c r="H9860" t="s">
        <v>5784</v>
      </c>
      <c r="I9860">
        <v>0</v>
      </c>
      <c r="J9860" t="s">
        <v>7024</v>
      </c>
      <c r="K9860" t="s">
        <v>290</v>
      </c>
      <c r="L9860" t="s">
        <v>285</v>
      </c>
      <c r="M9860" t="str">
        <f t="shared" si="740"/>
        <v>06</v>
      </c>
      <c r="N9860" t="s">
        <v>12</v>
      </c>
    </row>
    <row r="9861" spans="1:14" x14ac:dyDescent="0.25">
      <c r="A9861">
        <v>20160623</v>
      </c>
      <c r="B9861" t="str">
        <f t="shared" si="741"/>
        <v>063998</v>
      </c>
      <c r="C9861" t="str">
        <f t="shared" si="742"/>
        <v>70242</v>
      </c>
      <c r="D9861" t="s">
        <v>5782</v>
      </c>
      <c r="E9861" s="3">
        <v>66.5</v>
      </c>
      <c r="F9861">
        <v>20160622</v>
      </c>
      <c r="G9861" t="s">
        <v>7170</v>
      </c>
      <c r="H9861" t="s">
        <v>5784</v>
      </c>
      <c r="I9861">
        <v>0</v>
      </c>
      <c r="J9861" t="s">
        <v>7024</v>
      </c>
      <c r="K9861" t="s">
        <v>290</v>
      </c>
      <c r="L9861" t="s">
        <v>285</v>
      </c>
      <c r="M9861" t="str">
        <f t="shared" si="740"/>
        <v>06</v>
      </c>
      <c r="N9861" t="s">
        <v>12</v>
      </c>
    </row>
    <row r="9862" spans="1:14" x14ac:dyDescent="0.25">
      <c r="A9862">
        <v>20160623</v>
      </c>
      <c r="B9862" t="str">
        <f t="shared" si="741"/>
        <v>063998</v>
      </c>
      <c r="C9862" t="str">
        <f t="shared" si="742"/>
        <v>70242</v>
      </c>
      <c r="D9862" t="s">
        <v>5782</v>
      </c>
      <c r="E9862" s="3">
        <v>38</v>
      </c>
      <c r="F9862">
        <v>20160622</v>
      </c>
      <c r="G9862" t="s">
        <v>7207</v>
      </c>
      <c r="H9862" t="s">
        <v>5784</v>
      </c>
      <c r="I9862">
        <v>0</v>
      </c>
      <c r="J9862" t="s">
        <v>7024</v>
      </c>
      <c r="K9862" t="s">
        <v>290</v>
      </c>
      <c r="L9862" t="s">
        <v>285</v>
      </c>
      <c r="M9862" t="str">
        <f t="shared" si="740"/>
        <v>06</v>
      </c>
      <c r="N9862" t="s">
        <v>12</v>
      </c>
    </row>
    <row r="9863" spans="1:14" x14ac:dyDescent="0.25">
      <c r="A9863">
        <v>20160623</v>
      </c>
      <c r="B9863" t="str">
        <f t="shared" si="741"/>
        <v>063998</v>
      </c>
      <c r="C9863" t="str">
        <f t="shared" si="742"/>
        <v>70242</v>
      </c>
      <c r="D9863" t="s">
        <v>5782</v>
      </c>
      <c r="E9863" s="3">
        <v>28.5</v>
      </c>
      <c r="F9863">
        <v>20160622</v>
      </c>
      <c r="G9863" t="s">
        <v>7044</v>
      </c>
      <c r="H9863" t="s">
        <v>5784</v>
      </c>
      <c r="I9863">
        <v>0</v>
      </c>
      <c r="J9863" t="s">
        <v>7024</v>
      </c>
      <c r="K9863" t="s">
        <v>290</v>
      </c>
      <c r="L9863" t="s">
        <v>285</v>
      </c>
      <c r="M9863" t="str">
        <f t="shared" ref="M9863:M9879" si="743">"06"</f>
        <v>06</v>
      </c>
      <c r="N9863" t="s">
        <v>12</v>
      </c>
    </row>
    <row r="9864" spans="1:14" x14ac:dyDescent="0.25">
      <c r="A9864">
        <v>20160623</v>
      </c>
      <c r="B9864" t="str">
        <f t="shared" si="741"/>
        <v>063998</v>
      </c>
      <c r="C9864" t="str">
        <f t="shared" si="742"/>
        <v>70242</v>
      </c>
      <c r="D9864" t="s">
        <v>5782</v>
      </c>
      <c r="E9864" s="3">
        <v>176</v>
      </c>
      <c r="F9864">
        <v>20160622</v>
      </c>
      <c r="G9864" t="s">
        <v>7110</v>
      </c>
      <c r="H9864" t="s">
        <v>5784</v>
      </c>
      <c r="I9864">
        <v>0</v>
      </c>
      <c r="J9864" t="s">
        <v>7024</v>
      </c>
      <c r="K9864" t="s">
        <v>290</v>
      </c>
      <c r="L9864" t="s">
        <v>285</v>
      </c>
      <c r="M9864" t="str">
        <f t="shared" si="743"/>
        <v>06</v>
      </c>
      <c r="N9864" t="s">
        <v>12</v>
      </c>
    </row>
    <row r="9865" spans="1:14" x14ac:dyDescent="0.25">
      <c r="A9865">
        <v>20160623</v>
      </c>
      <c r="B9865" t="str">
        <f t="shared" si="741"/>
        <v>063998</v>
      </c>
      <c r="C9865" t="str">
        <f t="shared" si="742"/>
        <v>70242</v>
      </c>
      <c r="D9865" t="s">
        <v>5782</v>
      </c>
      <c r="E9865" s="3">
        <v>63</v>
      </c>
      <c r="F9865">
        <v>20160622</v>
      </c>
      <c r="G9865" t="s">
        <v>7126</v>
      </c>
      <c r="H9865" t="s">
        <v>5784</v>
      </c>
      <c r="I9865">
        <v>0</v>
      </c>
      <c r="J9865" t="s">
        <v>7024</v>
      </c>
      <c r="K9865" t="s">
        <v>290</v>
      </c>
      <c r="L9865" t="s">
        <v>285</v>
      </c>
      <c r="M9865" t="str">
        <f t="shared" si="743"/>
        <v>06</v>
      </c>
      <c r="N9865" t="s">
        <v>12</v>
      </c>
    </row>
    <row r="9866" spans="1:14" x14ac:dyDescent="0.25">
      <c r="A9866">
        <v>20160623</v>
      </c>
      <c r="B9866" t="str">
        <f t="shared" si="741"/>
        <v>063998</v>
      </c>
      <c r="C9866" t="str">
        <f t="shared" si="742"/>
        <v>70242</v>
      </c>
      <c r="D9866" t="s">
        <v>5782</v>
      </c>
      <c r="E9866" s="3">
        <v>142.5</v>
      </c>
      <c r="F9866">
        <v>20160622</v>
      </c>
      <c r="G9866" t="s">
        <v>7845</v>
      </c>
      <c r="H9866" t="s">
        <v>5784</v>
      </c>
      <c r="I9866">
        <v>0</v>
      </c>
      <c r="J9866" t="s">
        <v>7024</v>
      </c>
      <c r="K9866" t="s">
        <v>290</v>
      </c>
      <c r="L9866" t="s">
        <v>285</v>
      </c>
      <c r="M9866" t="str">
        <f t="shared" si="743"/>
        <v>06</v>
      </c>
      <c r="N9866" t="s">
        <v>12</v>
      </c>
    </row>
    <row r="9867" spans="1:14" x14ac:dyDescent="0.25">
      <c r="A9867">
        <v>20160623</v>
      </c>
      <c r="B9867" t="str">
        <f t="shared" si="741"/>
        <v>063998</v>
      </c>
      <c r="C9867" t="str">
        <f t="shared" si="742"/>
        <v>70242</v>
      </c>
      <c r="D9867" t="s">
        <v>5782</v>
      </c>
      <c r="E9867" s="3">
        <v>332.5</v>
      </c>
      <c r="F9867">
        <v>20160622</v>
      </c>
      <c r="G9867" t="s">
        <v>7846</v>
      </c>
      <c r="H9867" t="s">
        <v>5784</v>
      </c>
      <c r="I9867">
        <v>0</v>
      </c>
      <c r="J9867" t="s">
        <v>7024</v>
      </c>
      <c r="K9867" t="s">
        <v>290</v>
      </c>
      <c r="L9867" t="s">
        <v>285</v>
      </c>
      <c r="M9867" t="str">
        <f t="shared" si="743"/>
        <v>06</v>
      </c>
      <c r="N9867" t="s">
        <v>12</v>
      </c>
    </row>
    <row r="9868" spans="1:14" x14ac:dyDescent="0.25">
      <c r="A9868">
        <v>20160623</v>
      </c>
      <c r="B9868" t="str">
        <f>"064009"</f>
        <v>064009</v>
      </c>
      <c r="C9868" t="str">
        <f>"80755"</f>
        <v>80755</v>
      </c>
      <c r="D9868" t="s">
        <v>723</v>
      </c>
      <c r="E9868" s="3">
        <v>690</v>
      </c>
      <c r="F9868">
        <v>20160622</v>
      </c>
      <c r="G9868" t="s">
        <v>7140</v>
      </c>
      <c r="H9868" t="s">
        <v>7847</v>
      </c>
      <c r="I9868">
        <v>0</v>
      </c>
      <c r="J9868" t="s">
        <v>7024</v>
      </c>
      <c r="K9868" t="s">
        <v>290</v>
      </c>
      <c r="L9868" t="s">
        <v>285</v>
      </c>
      <c r="M9868" t="str">
        <f t="shared" si="743"/>
        <v>06</v>
      </c>
      <c r="N9868" t="s">
        <v>12</v>
      </c>
    </row>
    <row r="9869" spans="1:14" x14ac:dyDescent="0.25">
      <c r="A9869">
        <v>20160623</v>
      </c>
      <c r="B9869" t="str">
        <f t="shared" ref="B9869:B9876" si="744">"064010"</f>
        <v>064010</v>
      </c>
      <c r="C9869" t="str">
        <f t="shared" ref="C9869:C9876" si="745">"83022"</f>
        <v>83022</v>
      </c>
      <c r="D9869" t="s">
        <v>394</v>
      </c>
      <c r="E9869" s="3">
        <v>120.55</v>
      </c>
      <c r="F9869">
        <v>20160623</v>
      </c>
      <c r="G9869" t="s">
        <v>7752</v>
      </c>
      <c r="H9869" t="s">
        <v>5799</v>
      </c>
      <c r="I9869">
        <v>0</v>
      </c>
      <c r="J9869" t="s">
        <v>7024</v>
      </c>
      <c r="K9869" t="s">
        <v>95</v>
      </c>
      <c r="L9869" t="s">
        <v>285</v>
      </c>
      <c r="M9869" t="str">
        <f t="shared" si="743"/>
        <v>06</v>
      </c>
      <c r="N9869" t="s">
        <v>12</v>
      </c>
    </row>
    <row r="9870" spans="1:14" x14ac:dyDescent="0.25">
      <c r="A9870">
        <v>20160623</v>
      </c>
      <c r="B9870" t="str">
        <f t="shared" si="744"/>
        <v>064010</v>
      </c>
      <c r="C9870" t="str">
        <f t="shared" si="745"/>
        <v>83022</v>
      </c>
      <c r="D9870" t="s">
        <v>394</v>
      </c>
      <c r="E9870" s="3">
        <v>98.96</v>
      </c>
      <c r="F9870">
        <v>20160623</v>
      </c>
      <c r="G9870" t="s">
        <v>7026</v>
      </c>
      <c r="H9870" t="s">
        <v>7594</v>
      </c>
      <c r="I9870">
        <v>0</v>
      </c>
      <c r="J9870" t="s">
        <v>7024</v>
      </c>
      <c r="K9870" t="s">
        <v>1643</v>
      </c>
      <c r="L9870" t="s">
        <v>285</v>
      </c>
      <c r="M9870" t="str">
        <f t="shared" si="743"/>
        <v>06</v>
      </c>
      <c r="N9870" t="s">
        <v>12</v>
      </c>
    </row>
    <row r="9871" spans="1:14" x14ac:dyDescent="0.25">
      <c r="A9871">
        <v>20160623</v>
      </c>
      <c r="B9871" t="str">
        <f t="shared" si="744"/>
        <v>064010</v>
      </c>
      <c r="C9871" t="str">
        <f t="shared" si="745"/>
        <v>83022</v>
      </c>
      <c r="D9871" t="s">
        <v>394</v>
      </c>
      <c r="E9871" s="3">
        <v>63.24</v>
      </c>
      <c r="F9871">
        <v>20160623</v>
      </c>
      <c r="G9871" t="s">
        <v>7143</v>
      </c>
      <c r="H9871" t="s">
        <v>7715</v>
      </c>
      <c r="I9871">
        <v>0</v>
      </c>
      <c r="J9871" t="s">
        <v>7024</v>
      </c>
      <c r="K9871" t="s">
        <v>290</v>
      </c>
      <c r="L9871" t="s">
        <v>285</v>
      </c>
      <c r="M9871" t="str">
        <f t="shared" si="743"/>
        <v>06</v>
      </c>
      <c r="N9871" t="s">
        <v>12</v>
      </c>
    </row>
    <row r="9872" spans="1:14" x14ac:dyDescent="0.25">
      <c r="A9872">
        <v>20160623</v>
      </c>
      <c r="B9872" t="str">
        <f t="shared" si="744"/>
        <v>064010</v>
      </c>
      <c r="C9872" t="str">
        <f t="shared" si="745"/>
        <v>83022</v>
      </c>
      <c r="D9872" t="s">
        <v>394</v>
      </c>
      <c r="E9872" s="3">
        <v>747.67</v>
      </c>
      <c r="F9872">
        <v>20160623</v>
      </c>
      <c r="G9872" t="s">
        <v>7143</v>
      </c>
      <c r="H9872" t="s">
        <v>7715</v>
      </c>
      <c r="I9872">
        <v>0</v>
      </c>
      <c r="J9872" t="s">
        <v>7024</v>
      </c>
      <c r="K9872" t="s">
        <v>290</v>
      </c>
      <c r="L9872" t="s">
        <v>285</v>
      </c>
      <c r="M9872" t="str">
        <f t="shared" si="743"/>
        <v>06</v>
      </c>
      <c r="N9872" t="s">
        <v>12</v>
      </c>
    </row>
    <row r="9873" spans="1:14" x14ac:dyDescent="0.25">
      <c r="A9873">
        <v>20160623</v>
      </c>
      <c r="B9873" t="str">
        <f t="shared" si="744"/>
        <v>064010</v>
      </c>
      <c r="C9873" t="str">
        <f t="shared" si="745"/>
        <v>83022</v>
      </c>
      <c r="D9873" t="s">
        <v>394</v>
      </c>
      <c r="E9873" s="3">
        <v>10.9</v>
      </c>
      <c r="F9873">
        <v>20160623</v>
      </c>
      <c r="G9873" t="s">
        <v>7143</v>
      </c>
      <c r="H9873" t="s">
        <v>7715</v>
      </c>
      <c r="I9873">
        <v>0</v>
      </c>
      <c r="J9873" t="s">
        <v>7024</v>
      </c>
      <c r="K9873" t="s">
        <v>290</v>
      </c>
      <c r="L9873" t="s">
        <v>285</v>
      </c>
      <c r="M9873" t="str">
        <f t="shared" si="743"/>
        <v>06</v>
      </c>
      <c r="N9873" t="s">
        <v>12</v>
      </c>
    </row>
    <row r="9874" spans="1:14" x14ac:dyDescent="0.25">
      <c r="A9874">
        <v>20160623</v>
      </c>
      <c r="B9874" t="str">
        <f t="shared" si="744"/>
        <v>064010</v>
      </c>
      <c r="C9874" t="str">
        <f t="shared" si="745"/>
        <v>83022</v>
      </c>
      <c r="D9874" t="s">
        <v>394</v>
      </c>
      <c r="E9874" s="3">
        <v>1350</v>
      </c>
      <c r="F9874">
        <v>20160623</v>
      </c>
      <c r="G9874" t="s">
        <v>7143</v>
      </c>
      <c r="H9874" t="s">
        <v>7848</v>
      </c>
      <c r="I9874">
        <v>0</v>
      </c>
      <c r="J9874" t="s">
        <v>7024</v>
      </c>
      <c r="K9874" t="s">
        <v>290</v>
      </c>
      <c r="L9874" t="s">
        <v>285</v>
      </c>
      <c r="M9874" t="str">
        <f t="shared" si="743"/>
        <v>06</v>
      </c>
      <c r="N9874" t="s">
        <v>12</v>
      </c>
    </row>
    <row r="9875" spans="1:14" x14ac:dyDescent="0.25">
      <c r="A9875">
        <v>20160623</v>
      </c>
      <c r="B9875" t="str">
        <f t="shared" si="744"/>
        <v>064010</v>
      </c>
      <c r="C9875" t="str">
        <f t="shared" si="745"/>
        <v>83022</v>
      </c>
      <c r="D9875" t="s">
        <v>394</v>
      </c>
      <c r="E9875" s="3">
        <v>-25</v>
      </c>
      <c r="F9875">
        <v>20160516</v>
      </c>
      <c r="G9875" t="s">
        <v>7143</v>
      </c>
      <c r="H9875" t="s">
        <v>7849</v>
      </c>
      <c r="I9875">
        <v>0</v>
      </c>
      <c r="J9875" t="s">
        <v>7024</v>
      </c>
      <c r="K9875" t="s">
        <v>290</v>
      </c>
      <c r="L9875" t="s">
        <v>1385</v>
      </c>
      <c r="M9875" t="str">
        <f t="shared" si="743"/>
        <v>06</v>
      </c>
      <c r="N9875" t="s">
        <v>12</v>
      </c>
    </row>
    <row r="9876" spans="1:14" x14ac:dyDescent="0.25">
      <c r="A9876">
        <v>20160623</v>
      </c>
      <c r="B9876" t="str">
        <f t="shared" si="744"/>
        <v>064010</v>
      </c>
      <c r="C9876" t="str">
        <f t="shared" si="745"/>
        <v>83022</v>
      </c>
      <c r="D9876" t="s">
        <v>394</v>
      </c>
      <c r="E9876" s="3">
        <v>34.79</v>
      </c>
      <c r="F9876">
        <v>20160623</v>
      </c>
      <c r="G9876" t="s">
        <v>7599</v>
      </c>
      <c r="H9876" t="s">
        <v>5398</v>
      </c>
      <c r="I9876">
        <v>0</v>
      </c>
      <c r="J9876" t="s">
        <v>7024</v>
      </c>
      <c r="K9876" t="s">
        <v>7068</v>
      </c>
      <c r="L9876" t="s">
        <v>285</v>
      </c>
      <c r="M9876" t="str">
        <f t="shared" si="743"/>
        <v>06</v>
      </c>
      <c r="N9876" t="s">
        <v>12</v>
      </c>
    </row>
    <row r="9877" spans="1:14" x14ac:dyDescent="0.25">
      <c r="A9877">
        <v>20160623</v>
      </c>
      <c r="B9877" t="str">
        <f>"064011"</f>
        <v>064011</v>
      </c>
      <c r="C9877" t="str">
        <f>"84370"</f>
        <v>84370</v>
      </c>
      <c r="D9877" t="s">
        <v>329</v>
      </c>
      <c r="E9877" s="3">
        <v>101.61</v>
      </c>
      <c r="F9877">
        <v>20160622</v>
      </c>
      <c r="G9877" t="s">
        <v>7170</v>
      </c>
      <c r="H9877" t="s">
        <v>7850</v>
      </c>
      <c r="I9877">
        <v>0</v>
      </c>
      <c r="J9877" t="s">
        <v>7024</v>
      </c>
      <c r="K9877" t="s">
        <v>290</v>
      </c>
      <c r="L9877" t="s">
        <v>285</v>
      </c>
      <c r="M9877" t="str">
        <f t="shared" si="743"/>
        <v>06</v>
      </c>
      <c r="N9877" t="s">
        <v>12</v>
      </c>
    </row>
    <row r="9878" spans="1:14" x14ac:dyDescent="0.25">
      <c r="A9878">
        <v>20160623</v>
      </c>
      <c r="B9878" t="str">
        <f>"064011"</f>
        <v>064011</v>
      </c>
      <c r="C9878" t="str">
        <f>"84370"</f>
        <v>84370</v>
      </c>
      <c r="D9878" t="s">
        <v>329</v>
      </c>
      <c r="E9878" s="3">
        <v>38.54</v>
      </c>
      <c r="F9878">
        <v>20160622</v>
      </c>
      <c r="G9878" t="s">
        <v>7170</v>
      </c>
      <c r="H9878" t="s">
        <v>7851</v>
      </c>
      <c r="I9878">
        <v>0</v>
      </c>
      <c r="J9878" t="s">
        <v>7024</v>
      </c>
      <c r="K9878" t="s">
        <v>290</v>
      </c>
      <c r="L9878" t="s">
        <v>285</v>
      </c>
      <c r="M9878" t="str">
        <f t="shared" si="743"/>
        <v>06</v>
      </c>
      <c r="N9878" t="s">
        <v>12</v>
      </c>
    </row>
    <row r="9879" spans="1:14" x14ac:dyDescent="0.25">
      <c r="A9879">
        <v>20160623</v>
      </c>
      <c r="B9879" t="str">
        <f>"064011"</f>
        <v>064011</v>
      </c>
      <c r="C9879" t="str">
        <f>"84370"</f>
        <v>84370</v>
      </c>
      <c r="D9879" t="s">
        <v>329</v>
      </c>
      <c r="E9879" s="3">
        <v>88.83</v>
      </c>
      <c r="F9879">
        <v>20160622</v>
      </c>
      <c r="G9879" t="s">
        <v>7170</v>
      </c>
      <c r="H9879" t="s">
        <v>7851</v>
      </c>
      <c r="I9879">
        <v>0</v>
      </c>
      <c r="J9879" t="s">
        <v>7024</v>
      </c>
      <c r="K9879" t="s">
        <v>290</v>
      </c>
      <c r="L9879" t="s">
        <v>285</v>
      </c>
      <c r="M9879" t="str">
        <f t="shared" si="743"/>
        <v>06</v>
      </c>
      <c r="N9879" t="s">
        <v>12</v>
      </c>
    </row>
    <row r="9880" spans="1:14" x14ac:dyDescent="0.25">
      <c r="A9880">
        <v>20160715</v>
      </c>
      <c r="B9880" t="str">
        <f>"064028"</f>
        <v>064028</v>
      </c>
      <c r="C9880" t="str">
        <f>"10020"</f>
        <v>10020</v>
      </c>
      <c r="D9880" t="s">
        <v>1018</v>
      </c>
      <c r="E9880" s="3">
        <v>625.74</v>
      </c>
      <c r="F9880">
        <v>20160713</v>
      </c>
      <c r="G9880" t="s">
        <v>7170</v>
      </c>
      <c r="H9880" t="s">
        <v>7852</v>
      </c>
      <c r="I9880">
        <v>0</v>
      </c>
      <c r="J9880" t="s">
        <v>7024</v>
      </c>
      <c r="K9880" t="s">
        <v>290</v>
      </c>
      <c r="L9880" t="s">
        <v>285</v>
      </c>
      <c r="M9880" t="str">
        <f t="shared" ref="M9880:M9912" si="746">"07"</f>
        <v>07</v>
      </c>
      <c r="N9880" t="s">
        <v>12</v>
      </c>
    </row>
    <row r="9881" spans="1:14" x14ac:dyDescent="0.25">
      <c r="A9881">
        <v>20160715</v>
      </c>
      <c r="B9881" t="str">
        <f>"064028"</f>
        <v>064028</v>
      </c>
      <c r="C9881" t="str">
        <f>"10020"</f>
        <v>10020</v>
      </c>
      <c r="D9881" t="s">
        <v>1018</v>
      </c>
      <c r="E9881" s="3">
        <v>1892.69</v>
      </c>
      <c r="F9881">
        <v>20160713</v>
      </c>
      <c r="G9881" t="s">
        <v>7052</v>
      </c>
      <c r="H9881" t="s">
        <v>1432</v>
      </c>
      <c r="I9881">
        <v>0</v>
      </c>
      <c r="J9881" t="s">
        <v>7024</v>
      </c>
      <c r="K9881" t="s">
        <v>95</v>
      </c>
      <c r="L9881" t="s">
        <v>285</v>
      </c>
      <c r="M9881" t="str">
        <f t="shared" si="746"/>
        <v>07</v>
      </c>
      <c r="N9881" t="s">
        <v>12</v>
      </c>
    </row>
    <row r="9882" spans="1:14" x14ac:dyDescent="0.25">
      <c r="A9882">
        <v>20160715</v>
      </c>
      <c r="B9882" t="str">
        <f>"064042"</f>
        <v>064042</v>
      </c>
      <c r="C9882" t="str">
        <f>"25165"</f>
        <v>25165</v>
      </c>
      <c r="D9882" t="s">
        <v>1563</v>
      </c>
      <c r="E9882" s="3">
        <v>698.59</v>
      </c>
      <c r="F9882">
        <v>20160713</v>
      </c>
      <c r="G9882" t="s">
        <v>7195</v>
      </c>
      <c r="H9882" t="s">
        <v>6328</v>
      </c>
      <c r="I9882">
        <v>0</v>
      </c>
      <c r="J9882" t="s">
        <v>7024</v>
      </c>
      <c r="K9882" t="s">
        <v>95</v>
      </c>
      <c r="L9882" t="s">
        <v>285</v>
      </c>
      <c r="M9882" t="str">
        <f t="shared" si="746"/>
        <v>07</v>
      </c>
      <c r="N9882" t="s">
        <v>12</v>
      </c>
    </row>
    <row r="9883" spans="1:14" x14ac:dyDescent="0.25">
      <c r="A9883">
        <v>20160715</v>
      </c>
      <c r="B9883" t="str">
        <f>"064042"</f>
        <v>064042</v>
      </c>
      <c r="C9883" t="str">
        <f>"25165"</f>
        <v>25165</v>
      </c>
      <c r="D9883" t="s">
        <v>1563</v>
      </c>
      <c r="E9883" s="3">
        <v>661.47</v>
      </c>
      <c r="F9883">
        <v>20160713</v>
      </c>
      <c r="G9883" t="s">
        <v>7049</v>
      </c>
      <c r="H9883" t="s">
        <v>7853</v>
      </c>
      <c r="I9883">
        <v>0</v>
      </c>
      <c r="J9883" t="s">
        <v>7024</v>
      </c>
      <c r="K9883" t="s">
        <v>33</v>
      </c>
      <c r="L9883" t="s">
        <v>285</v>
      </c>
      <c r="M9883" t="str">
        <f t="shared" si="746"/>
        <v>07</v>
      </c>
      <c r="N9883" t="s">
        <v>12</v>
      </c>
    </row>
    <row r="9884" spans="1:14" x14ac:dyDescent="0.25">
      <c r="A9884">
        <v>20160715</v>
      </c>
      <c r="B9884" t="str">
        <f>"064043"</f>
        <v>064043</v>
      </c>
      <c r="C9884" t="str">
        <f>"25221"</f>
        <v>25221</v>
      </c>
      <c r="D9884" t="s">
        <v>2099</v>
      </c>
      <c r="E9884" s="3">
        <v>1042.93</v>
      </c>
      <c r="F9884">
        <v>20160713</v>
      </c>
      <c r="G9884" t="s">
        <v>7049</v>
      </c>
      <c r="H9884" t="s">
        <v>7854</v>
      </c>
      <c r="I9884">
        <v>0</v>
      </c>
      <c r="J9884" t="s">
        <v>7024</v>
      </c>
      <c r="K9884" t="s">
        <v>33</v>
      </c>
      <c r="L9884" t="s">
        <v>285</v>
      </c>
      <c r="M9884" t="str">
        <f t="shared" si="746"/>
        <v>07</v>
      </c>
      <c r="N9884" t="s">
        <v>12</v>
      </c>
    </row>
    <row r="9885" spans="1:14" x14ac:dyDescent="0.25">
      <c r="A9885">
        <v>20160715</v>
      </c>
      <c r="B9885" t="str">
        <f>"064052"</f>
        <v>064052</v>
      </c>
      <c r="C9885" t="str">
        <f>"37500"</f>
        <v>37500</v>
      </c>
      <c r="D9885" t="s">
        <v>1652</v>
      </c>
      <c r="E9885" s="3">
        <v>15.25</v>
      </c>
      <c r="F9885">
        <v>20160713</v>
      </c>
      <c r="G9885" t="s">
        <v>7082</v>
      </c>
      <c r="H9885" t="s">
        <v>7813</v>
      </c>
      <c r="I9885">
        <v>0</v>
      </c>
      <c r="J9885" t="s">
        <v>7024</v>
      </c>
      <c r="K9885" t="s">
        <v>95</v>
      </c>
      <c r="L9885" t="s">
        <v>285</v>
      </c>
      <c r="M9885" t="str">
        <f t="shared" si="746"/>
        <v>07</v>
      </c>
      <c r="N9885" t="s">
        <v>12</v>
      </c>
    </row>
    <row r="9886" spans="1:14" x14ac:dyDescent="0.25">
      <c r="A9886">
        <v>20160715</v>
      </c>
      <c r="B9886" t="str">
        <f>"064065"</f>
        <v>064065</v>
      </c>
      <c r="C9886" t="str">
        <f>"45707"</f>
        <v>45707</v>
      </c>
      <c r="D9886" t="s">
        <v>7208</v>
      </c>
      <c r="E9886" s="3">
        <v>1031.7</v>
      </c>
      <c r="F9886">
        <v>20160713</v>
      </c>
      <c r="G9886" t="s">
        <v>7318</v>
      </c>
      <c r="H9886" t="s">
        <v>7855</v>
      </c>
      <c r="I9886">
        <v>0</v>
      </c>
      <c r="J9886" t="s">
        <v>7024</v>
      </c>
      <c r="K9886" t="s">
        <v>290</v>
      </c>
      <c r="L9886" t="s">
        <v>285</v>
      </c>
      <c r="M9886" t="str">
        <f t="shared" si="746"/>
        <v>07</v>
      </c>
      <c r="N9886" t="s">
        <v>12</v>
      </c>
    </row>
    <row r="9887" spans="1:14" x14ac:dyDescent="0.25">
      <c r="A9887">
        <v>20160715</v>
      </c>
      <c r="B9887" t="str">
        <f>"064091"</f>
        <v>064091</v>
      </c>
      <c r="C9887" t="str">
        <f>"65843"</f>
        <v>65843</v>
      </c>
      <c r="D9887" t="s">
        <v>7856</v>
      </c>
      <c r="E9887" s="3">
        <v>4625</v>
      </c>
      <c r="F9887">
        <v>20160714</v>
      </c>
      <c r="G9887" t="s">
        <v>7400</v>
      </c>
      <c r="H9887" t="s">
        <v>7857</v>
      </c>
      <c r="I9887">
        <v>0</v>
      </c>
      <c r="J9887" t="s">
        <v>7024</v>
      </c>
      <c r="K9887" t="s">
        <v>290</v>
      </c>
      <c r="L9887" t="s">
        <v>285</v>
      </c>
      <c r="M9887" t="str">
        <f t="shared" si="746"/>
        <v>07</v>
      </c>
      <c r="N9887" t="s">
        <v>12</v>
      </c>
    </row>
    <row r="9888" spans="1:14" x14ac:dyDescent="0.25">
      <c r="A9888">
        <v>20160715</v>
      </c>
      <c r="B9888" t="str">
        <f>"064094"</f>
        <v>064094</v>
      </c>
      <c r="C9888" t="str">
        <f>"64650"</f>
        <v>64650</v>
      </c>
      <c r="D9888" t="s">
        <v>1918</v>
      </c>
      <c r="E9888" s="3">
        <v>144</v>
      </c>
      <c r="F9888">
        <v>20160714</v>
      </c>
      <c r="G9888" t="s">
        <v>7049</v>
      </c>
      <c r="H9888" t="s">
        <v>7858</v>
      </c>
      <c r="I9888">
        <v>0</v>
      </c>
      <c r="J9888" t="s">
        <v>7024</v>
      </c>
      <c r="K9888" t="s">
        <v>33</v>
      </c>
      <c r="L9888" t="s">
        <v>285</v>
      </c>
      <c r="M9888" t="str">
        <f t="shared" si="746"/>
        <v>07</v>
      </c>
      <c r="N9888" t="s">
        <v>12</v>
      </c>
    </row>
    <row r="9889" spans="1:14" x14ac:dyDescent="0.25">
      <c r="A9889">
        <v>20160715</v>
      </c>
      <c r="B9889" t="str">
        <f>"064099"</f>
        <v>064099</v>
      </c>
      <c r="C9889" t="str">
        <f>"74131"</f>
        <v>74131</v>
      </c>
      <c r="D9889" t="s">
        <v>453</v>
      </c>
      <c r="E9889" s="3">
        <v>600</v>
      </c>
      <c r="F9889">
        <v>20160714</v>
      </c>
      <c r="G9889" t="s">
        <v>7212</v>
      </c>
      <c r="H9889" t="s">
        <v>7859</v>
      </c>
      <c r="I9889">
        <v>0</v>
      </c>
      <c r="J9889" t="s">
        <v>7024</v>
      </c>
      <c r="K9889" t="s">
        <v>290</v>
      </c>
      <c r="L9889" t="s">
        <v>285</v>
      </c>
      <c r="M9889" t="str">
        <f t="shared" si="746"/>
        <v>07</v>
      </c>
      <c r="N9889" t="s">
        <v>12</v>
      </c>
    </row>
    <row r="9890" spans="1:14" x14ac:dyDescent="0.25">
      <c r="A9890">
        <v>20160715</v>
      </c>
      <c r="B9890" t="str">
        <f>"064103"</f>
        <v>064103</v>
      </c>
      <c r="C9890" t="str">
        <f>"83800"</f>
        <v>83800</v>
      </c>
      <c r="D9890" t="s">
        <v>3745</v>
      </c>
      <c r="E9890" s="3">
        <v>233.49</v>
      </c>
      <c r="F9890">
        <v>20160714</v>
      </c>
      <c r="G9890" t="s">
        <v>7080</v>
      </c>
      <c r="H9890" t="s">
        <v>7860</v>
      </c>
      <c r="I9890">
        <v>0</v>
      </c>
      <c r="J9890" t="s">
        <v>7024</v>
      </c>
      <c r="K9890" t="s">
        <v>33</v>
      </c>
      <c r="L9890" t="s">
        <v>285</v>
      </c>
      <c r="M9890" t="str">
        <f t="shared" si="746"/>
        <v>07</v>
      </c>
      <c r="N9890" t="s">
        <v>12</v>
      </c>
    </row>
    <row r="9891" spans="1:14" x14ac:dyDescent="0.25">
      <c r="A9891">
        <v>20160715</v>
      </c>
      <c r="B9891" t="str">
        <f>"064103"</f>
        <v>064103</v>
      </c>
      <c r="C9891" t="str">
        <f>"83800"</f>
        <v>83800</v>
      </c>
      <c r="D9891" t="s">
        <v>3745</v>
      </c>
      <c r="E9891" s="3">
        <v>385.83</v>
      </c>
      <c r="F9891">
        <v>20160714</v>
      </c>
      <c r="G9891" t="s">
        <v>7080</v>
      </c>
      <c r="H9891" t="s">
        <v>7860</v>
      </c>
      <c r="I9891">
        <v>0</v>
      </c>
      <c r="J9891" t="s">
        <v>7024</v>
      </c>
      <c r="K9891" t="s">
        <v>33</v>
      </c>
      <c r="L9891" t="s">
        <v>285</v>
      </c>
      <c r="M9891" t="str">
        <f t="shared" si="746"/>
        <v>07</v>
      </c>
      <c r="N9891" t="s">
        <v>12</v>
      </c>
    </row>
    <row r="9892" spans="1:14" x14ac:dyDescent="0.25">
      <c r="A9892">
        <v>20160715</v>
      </c>
      <c r="B9892" t="str">
        <f>"064103"</f>
        <v>064103</v>
      </c>
      <c r="C9892" t="str">
        <f>"83800"</f>
        <v>83800</v>
      </c>
      <c r="D9892" t="s">
        <v>3745</v>
      </c>
      <c r="E9892" s="3">
        <v>175.99</v>
      </c>
      <c r="F9892">
        <v>20160714</v>
      </c>
      <c r="G9892" t="s">
        <v>7080</v>
      </c>
      <c r="H9892" t="s">
        <v>7860</v>
      </c>
      <c r="I9892">
        <v>0</v>
      </c>
      <c r="J9892" t="s">
        <v>7024</v>
      </c>
      <c r="K9892" t="s">
        <v>33</v>
      </c>
      <c r="L9892" t="s">
        <v>285</v>
      </c>
      <c r="M9892" t="str">
        <f t="shared" si="746"/>
        <v>07</v>
      </c>
      <c r="N9892" t="s">
        <v>12</v>
      </c>
    </row>
    <row r="9893" spans="1:14" x14ac:dyDescent="0.25">
      <c r="A9893">
        <v>20160715</v>
      </c>
      <c r="B9893" t="str">
        <f>"064103"</f>
        <v>064103</v>
      </c>
      <c r="C9893" t="str">
        <f>"83800"</f>
        <v>83800</v>
      </c>
      <c r="D9893" t="s">
        <v>3745</v>
      </c>
      <c r="E9893" s="3">
        <v>36</v>
      </c>
      <c r="F9893">
        <v>20160714</v>
      </c>
      <c r="G9893" t="s">
        <v>7080</v>
      </c>
      <c r="H9893" t="s">
        <v>7860</v>
      </c>
      <c r="I9893">
        <v>0</v>
      </c>
      <c r="J9893" t="s">
        <v>7024</v>
      </c>
      <c r="K9893" t="s">
        <v>33</v>
      </c>
      <c r="L9893" t="s">
        <v>285</v>
      </c>
      <c r="M9893" t="str">
        <f t="shared" si="746"/>
        <v>07</v>
      </c>
      <c r="N9893" t="s">
        <v>12</v>
      </c>
    </row>
    <row r="9894" spans="1:14" x14ac:dyDescent="0.25">
      <c r="A9894">
        <v>20160722</v>
      </c>
      <c r="B9894" t="str">
        <f>"064108"</f>
        <v>064108</v>
      </c>
      <c r="C9894" t="str">
        <f>"06465"</f>
        <v>06465</v>
      </c>
      <c r="D9894" t="s">
        <v>5615</v>
      </c>
      <c r="E9894" s="3">
        <v>50</v>
      </c>
      <c r="F9894">
        <v>20160720</v>
      </c>
      <c r="G9894" t="s">
        <v>7170</v>
      </c>
      <c r="H9894" t="s">
        <v>7861</v>
      </c>
      <c r="I9894">
        <v>0</v>
      </c>
      <c r="J9894" t="s">
        <v>7024</v>
      </c>
      <c r="K9894" t="s">
        <v>290</v>
      </c>
      <c r="L9894" t="s">
        <v>285</v>
      </c>
      <c r="M9894" t="str">
        <f t="shared" si="746"/>
        <v>07</v>
      </c>
      <c r="N9894" t="s">
        <v>12</v>
      </c>
    </row>
    <row r="9895" spans="1:14" x14ac:dyDescent="0.25">
      <c r="A9895">
        <v>20160722</v>
      </c>
      <c r="B9895" t="str">
        <f>"064108"</f>
        <v>064108</v>
      </c>
      <c r="C9895" t="str">
        <f>"06465"</f>
        <v>06465</v>
      </c>
      <c r="D9895" t="s">
        <v>5615</v>
      </c>
      <c r="E9895" s="3">
        <v>75</v>
      </c>
      <c r="F9895">
        <v>20160720</v>
      </c>
      <c r="G9895" t="s">
        <v>7260</v>
      </c>
      <c r="H9895" t="s">
        <v>7862</v>
      </c>
      <c r="I9895">
        <v>0</v>
      </c>
      <c r="J9895" t="s">
        <v>7024</v>
      </c>
      <c r="K9895" t="s">
        <v>290</v>
      </c>
      <c r="L9895" t="s">
        <v>285</v>
      </c>
      <c r="M9895" t="str">
        <f t="shared" si="746"/>
        <v>07</v>
      </c>
      <c r="N9895" t="s">
        <v>12</v>
      </c>
    </row>
    <row r="9896" spans="1:14" x14ac:dyDescent="0.25">
      <c r="A9896">
        <v>20160722</v>
      </c>
      <c r="B9896" t="str">
        <f>"064131"</f>
        <v>064131</v>
      </c>
      <c r="C9896" t="str">
        <f>"25853"</f>
        <v>25853</v>
      </c>
      <c r="D9896" t="s">
        <v>532</v>
      </c>
      <c r="E9896" s="3">
        <v>2000</v>
      </c>
      <c r="F9896">
        <v>20160720</v>
      </c>
      <c r="G9896" t="s">
        <v>7760</v>
      </c>
      <c r="H9896" t="s">
        <v>5346</v>
      </c>
      <c r="I9896">
        <v>0</v>
      </c>
      <c r="J9896" t="s">
        <v>7024</v>
      </c>
      <c r="K9896" t="s">
        <v>290</v>
      </c>
      <c r="L9896" t="s">
        <v>285</v>
      </c>
      <c r="M9896" t="str">
        <f t="shared" si="746"/>
        <v>07</v>
      </c>
      <c r="N9896" t="s">
        <v>12</v>
      </c>
    </row>
    <row r="9897" spans="1:14" x14ac:dyDescent="0.25">
      <c r="A9897">
        <v>20160722</v>
      </c>
      <c r="B9897" t="str">
        <f>"064137"</f>
        <v>064137</v>
      </c>
      <c r="C9897" t="str">
        <f>"30846"</f>
        <v>30846</v>
      </c>
      <c r="D9897" t="s">
        <v>656</v>
      </c>
      <c r="E9897" s="3">
        <v>2615.3200000000002</v>
      </c>
      <c r="F9897">
        <v>20160720</v>
      </c>
      <c r="G9897" t="s">
        <v>7062</v>
      </c>
      <c r="H9897" t="s">
        <v>7863</v>
      </c>
      <c r="I9897">
        <v>0</v>
      </c>
      <c r="J9897" t="s">
        <v>7024</v>
      </c>
      <c r="K9897" t="s">
        <v>290</v>
      </c>
      <c r="L9897" t="s">
        <v>285</v>
      </c>
      <c r="M9897" t="str">
        <f t="shared" si="746"/>
        <v>07</v>
      </c>
      <c r="N9897" t="s">
        <v>12</v>
      </c>
    </row>
    <row r="9898" spans="1:14" x14ac:dyDescent="0.25">
      <c r="A9898">
        <v>20160722</v>
      </c>
      <c r="B9898" t="str">
        <f>"064153"</f>
        <v>064153</v>
      </c>
      <c r="C9898" t="str">
        <f>"49748"</f>
        <v>49748</v>
      </c>
      <c r="D9898" t="s">
        <v>1885</v>
      </c>
      <c r="E9898" s="3">
        <v>116.37</v>
      </c>
      <c r="F9898">
        <v>20160720</v>
      </c>
      <c r="G9898" t="s">
        <v>7231</v>
      </c>
      <c r="H9898" t="s">
        <v>7864</v>
      </c>
      <c r="I9898">
        <v>0</v>
      </c>
      <c r="J9898" t="s">
        <v>7024</v>
      </c>
      <c r="K9898" t="s">
        <v>290</v>
      </c>
      <c r="L9898" t="s">
        <v>285</v>
      </c>
      <c r="M9898" t="str">
        <f t="shared" si="746"/>
        <v>07</v>
      </c>
      <c r="N9898" t="s">
        <v>12</v>
      </c>
    </row>
    <row r="9899" spans="1:14" x14ac:dyDescent="0.25">
      <c r="A9899">
        <v>20160722</v>
      </c>
      <c r="B9899" t="str">
        <f>"064153"</f>
        <v>064153</v>
      </c>
      <c r="C9899" t="str">
        <f>"49748"</f>
        <v>49748</v>
      </c>
      <c r="D9899" t="s">
        <v>1885</v>
      </c>
      <c r="E9899" s="3">
        <v>120.09</v>
      </c>
      <c r="F9899">
        <v>20160720</v>
      </c>
      <c r="G9899" t="s">
        <v>7083</v>
      </c>
      <c r="H9899" t="s">
        <v>7864</v>
      </c>
      <c r="I9899">
        <v>0</v>
      </c>
      <c r="J9899" t="s">
        <v>7024</v>
      </c>
      <c r="K9899" t="s">
        <v>290</v>
      </c>
      <c r="L9899" t="s">
        <v>285</v>
      </c>
      <c r="M9899" t="str">
        <f t="shared" si="746"/>
        <v>07</v>
      </c>
      <c r="N9899" t="s">
        <v>12</v>
      </c>
    </row>
    <row r="9900" spans="1:14" x14ac:dyDescent="0.25">
      <c r="A9900">
        <v>20160722</v>
      </c>
      <c r="B9900" t="str">
        <f>"064158"</f>
        <v>064158</v>
      </c>
      <c r="C9900" t="str">
        <f>"50825"</f>
        <v>50825</v>
      </c>
      <c r="D9900" t="s">
        <v>5667</v>
      </c>
      <c r="E9900" s="3">
        <v>608.53</v>
      </c>
      <c r="F9900">
        <v>20160720</v>
      </c>
      <c r="G9900" t="s">
        <v>7865</v>
      </c>
      <c r="H9900" t="s">
        <v>7866</v>
      </c>
      <c r="I9900">
        <v>0</v>
      </c>
      <c r="J9900" t="s">
        <v>7024</v>
      </c>
      <c r="K9900" t="s">
        <v>290</v>
      </c>
      <c r="L9900" t="s">
        <v>285</v>
      </c>
      <c r="M9900" t="str">
        <f t="shared" si="746"/>
        <v>07</v>
      </c>
      <c r="N9900" t="s">
        <v>12</v>
      </c>
    </row>
    <row r="9901" spans="1:14" x14ac:dyDescent="0.25">
      <c r="A9901">
        <v>20160722</v>
      </c>
      <c r="B9901" t="str">
        <f>"064161"</f>
        <v>064161</v>
      </c>
      <c r="C9901" t="str">
        <f>"49531"</f>
        <v>49531</v>
      </c>
      <c r="D9901" t="s">
        <v>5998</v>
      </c>
      <c r="E9901" s="3">
        <v>250</v>
      </c>
      <c r="F9901">
        <v>20160720</v>
      </c>
      <c r="G9901" t="s">
        <v>7867</v>
      </c>
      <c r="H9901" t="s">
        <v>6000</v>
      </c>
      <c r="I9901">
        <v>0</v>
      </c>
      <c r="J9901" t="s">
        <v>7024</v>
      </c>
      <c r="K9901" t="s">
        <v>290</v>
      </c>
      <c r="L9901" t="s">
        <v>285</v>
      </c>
      <c r="M9901" t="str">
        <f t="shared" si="746"/>
        <v>07</v>
      </c>
      <c r="N9901" t="s">
        <v>12</v>
      </c>
    </row>
    <row r="9902" spans="1:14" x14ac:dyDescent="0.25">
      <c r="A9902">
        <v>20160722</v>
      </c>
      <c r="B9902" t="str">
        <f>"064165"</f>
        <v>064165</v>
      </c>
      <c r="C9902" t="str">
        <f>"58204"</f>
        <v>58204</v>
      </c>
      <c r="D9902" t="s">
        <v>1816</v>
      </c>
      <c r="E9902" s="3">
        <v>71.959999999999994</v>
      </c>
      <c r="F9902">
        <v>20160720</v>
      </c>
      <c r="G9902" t="s">
        <v>7110</v>
      </c>
      <c r="H9902" t="s">
        <v>4790</v>
      </c>
      <c r="I9902">
        <v>0</v>
      </c>
      <c r="J9902" t="s">
        <v>7024</v>
      </c>
      <c r="K9902" t="s">
        <v>290</v>
      </c>
      <c r="L9902" t="s">
        <v>285</v>
      </c>
      <c r="M9902" t="str">
        <f t="shared" si="746"/>
        <v>07</v>
      </c>
      <c r="N9902" t="s">
        <v>12</v>
      </c>
    </row>
    <row r="9903" spans="1:14" x14ac:dyDescent="0.25">
      <c r="A9903">
        <v>20160722</v>
      </c>
      <c r="B9903" t="str">
        <f>"064165"</f>
        <v>064165</v>
      </c>
      <c r="C9903" t="str">
        <f>"58204"</f>
        <v>58204</v>
      </c>
      <c r="D9903" t="s">
        <v>1816</v>
      </c>
      <c r="E9903" s="3">
        <v>105.01</v>
      </c>
      <c r="F9903">
        <v>20160720</v>
      </c>
      <c r="G9903" t="s">
        <v>7083</v>
      </c>
      <c r="H9903" t="s">
        <v>2169</v>
      </c>
      <c r="I9903">
        <v>0</v>
      </c>
      <c r="J9903" t="s">
        <v>7024</v>
      </c>
      <c r="K9903" t="s">
        <v>290</v>
      </c>
      <c r="L9903" t="s">
        <v>285</v>
      </c>
      <c r="M9903" t="str">
        <f t="shared" si="746"/>
        <v>07</v>
      </c>
      <c r="N9903" t="s">
        <v>12</v>
      </c>
    </row>
    <row r="9904" spans="1:14" x14ac:dyDescent="0.25">
      <c r="A9904">
        <v>20160722</v>
      </c>
      <c r="B9904" t="str">
        <f>"064167"</f>
        <v>064167</v>
      </c>
      <c r="C9904" t="str">
        <f>"60010"</f>
        <v>60010</v>
      </c>
      <c r="D9904" t="s">
        <v>7868</v>
      </c>
      <c r="E9904" s="3">
        <v>1692.4</v>
      </c>
      <c r="F9904">
        <v>20160720</v>
      </c>
      <c r="G9904" t="s">
        <v>7049</v>
      </c>
      <c r="H9904" t="s">
        <v>7869</v>
      </c>
      <c r="I9904">
        <v>0</v>
      </c>
      <c r="J9904" t="s">
        <v>7024</v>
      </c>
      <c r="K9904" t="s">
        <v>33</v>
      </c>
      <c r="L9904" t="s">
        <v>285</v>
      </c>
      <c r="M9904" t="str">
        <f t="shared" si="746"/>
        <v>07</v>
      </c>
      <c r="N9904" t="s">
        <v>12</v>
      </c>
    </row>
    <row r="9905" spans="1:14" x14ac:dyDescent="0.25">
      <c r="A9905">
        <v>20160722</v>
      </c>
      <c r="B9905" t="str">
        <f>"064184"</f>
        <v>064184</v>
      </c>
      <c r="C9905" t="str">
        <f>"77400"</f>
        <v>77400</v>
      </c>
      <c r="D9905" t="s">
        <v>1665</v>
      </c>
      <c r="E9905" s="3">
        <v>729.81</v>
      </c>
      <c r="F9905">
        <v>20160720</v>
      </c>
      <c r="G9905" t="s">
        <v>7865</v>
      </c>
      <c r="H9905" t="s">
        <v>7870</v>
      </c>
      <c r="I9905">
        <v>0</v>
      </c>
      <c r="J9905" t="s">
        <v>7024</v>
      </c>
      <c r="K9905" t="s">
        <v>290</v>
      </c>
      <c r="L9905" t="s">
        <v>285</v>
      </c>
      <c r="M9905" t="str">
        <f t="shared" si="746"/>
        <v>07</v>
      </c>
      <c r="N9905" t="s">
        <v>12</v>
      </c>
    </row>
    <row r="9906" spans="1:14" x14ac:dyDescent="0.25">
      <c r="A9906">
        <v>20160722</v>
      </c>
      <c r="B9906" t="str">
        <f>"064191"</f>
        <v>064191</v>
      </c>
      <c r="C9906" t="str">
        <f>"80755"</f>
        <v>80755</v>
      </c>
      <c r="D9906" t="s">
        <v>723</v>
      </c>
      <c r="E9906" s="3">
        <v>559.6</v>
      </c>
      <c r="F9906">
        <v>20160720</v>
      </c>
      <c r="G9906" t="s">
        <v>7044</v>
      </c>
      <c r="H9906" t="s">
        <v>7871</v>
      </c>
      <c r="I9906">
        <v>0</v>
      </c>
      <c r="J9906" t="s">
        <v>7024</v>
      </c>
      <c r="K9906" t="s">
        <v>290</v>
      </c>
      <c r="L9906" t="s">
        <v>285</v>
      </c>
      <c r="M9906" t="str">
        <f t="shared" si="746"/>
        <v>07</v>
      </c>
      <c r="N9906" t="s">
        <v>12</v>
      </c>
    </row>
    <row r="9907" spans="1:14" x14ac:dyDescent="0.25">
      <c r="A9907">
        <v>20160722</v>
      </c>
      <c r="B9907" t="str">
        <f>"064192"</f>
        <v>064192</v>
      </c>
      <c r="C9907" t="str">
        <f>"82381"</f>
        <v>82381</v>
      </c>
      <c r="D9907" t="s">
        <v>5608</v>
      </c>
      <c r="E9907" s="3">
        <v>38938.370000000003</v>
      </c>
      <c r="F9907">
        <v>20160720</v>
      </c>
      <c r="G9907" t="s">
        <v>7642</v>
      </c>
      <c r="H9907" t="s">
        <v>7872</v>
      </c>
      <c r="I9907">
        <v>0</v>
      </c>
      <c r="J9907" t="s">
        <v>7024</v>
      </c>
      <c r="K9907" t="s">
        <v>1519</v>
      </c>
      <c r="L9907" t="s">
        <v>285</v>
      </c>
      <c r="M9907" t="str">
        <f t="shared" si="746"/>
        <v>07</v>
      </c>
      <c r="N9907" t="s">
        <v>12</v>
      </c>
    </row>
    <row r="9908" spans="1:14" x14ac:dyDescent="0.25">
      <c r="A9908">
        <v>20160722</v>
      </c>
      <c r="B9908" t="str">
        <f>"064192"</f>
        <v>064192</v>
      </c>
      <c r="C9908" t="str">
        <f>"82381"</f>
        <v>82381</v>
      </c>
      <c r="D9908" t="s">
        <v>5608</v>
      </c>
      <c r="E9908" s="3">
        <v>13706.87</v>
      </c>
      <c r="F9908">
        <v>20160720</v>
      </c>
      <c r="G9908" t="s">
        <v>7642</v>
      </c>
      <c r="H9908" t="s">
        <v>7873</v>
      </c>
      <c r="I9908">
        <v>0</v>
      </c>
      <c r="J9908" t="s">
        <v>7024</v>
      </c>
      <c r="K9908" t="s">
        <v>1519</v>
      </c>
      <c r="L9908" t="s">
        <v>285</v>
      </c>
      <c r="M9908" t="str">
        <f t="shared" si="746"/>
        <v>07</v>
      </c>
      <c r="N9908" t="s">
        <v>12</v>
      </c>
    </row>
    <row r="9909" spans="1:14" x14ac:dyDescent="0.25">
      <c r="A9909">
        <v>20160729</v>
      </c>
      <c r="B9909" t="str">
        <f>"064204"</f>
        <v>064204</v>
      </c>
      <c r="C9909" t="str">
        <f>"10020"</f>
        <v>10020</v>
      </c>
      <c r="D9909" t="s">
        <v>1018</v>
      </c>
      <c r="E9909" s="3">
        <v>3347.76</v>
      </c>
      <c r="F9909">
        <v>20160728</v>
      </c>
      <c r="G9909" t="s">
        <v>7052</v>
      </c>
      <c r="H9909" t="s">
        <v>7874</v>
      </c>
      <c r="I9909">
        <v>0</v>
      </c>
      <c r="J9909" t="s">
        <v>7024</v>
      </c>
      <c r="K9909" t="s">
        <v>95</v>
      </c>
      <c r="L9909" t="s">
        <v>285</v>
      </c>
      <c r="M9909" t="str">
        <f t="shared" si="746"/>
        <v>07</v>
      </c>
      <c r="N9909" t="s">
        <v>12</v>
      </c>
    </row>
    <row r="9910" spans="1:14" x14ac:dyDescent="0.25">
      <c r="A9910">
        <v>20160729</v>
      </c>
      <c r="B9910" t="str">
        <f>"064205"</f>
        <v>064205</v>
      </c>
      <c r="C9910" t="str">
        <f>"11759"</f>
        <v>11759</v>
      </c>
      <c r="D9910" t="s">
        <v>2089</v>
      </c>
      <c r="E9910" s="3">
        <v>13.68</v>
      </c>
      <c r="F9910">
        <v>20160727</v>
      </c>
      <c r="G9910" t="s">
        <v>7192</v>
      </c>
      <c r="H9910" t="s">
        <v>6060</v>
      </c>
      <c r="I9910">
        <v>0</v>
      </c>
      <c r="J9910" t="s">
        <v>7024</v>
      </c>
      <c r="K9910" t="s">
        <v>33</v>
      </c>
      <c r="L9910" t="s">
        <v>285</v>
      </c>
      <c r="M9910" t="str">
        <f t="shared" si="746"/>
        <v>07</v>
      </c>
      <c r="N9910" t="s">
        <v>12</v>
      </c>
    </row>
    <row r="9911" spans="1:14" x14ac:dyDescent="0.25">
      <c r="A9911">
        <v>20160729</v>
      </c>
      <c r="B9911" t="str">
        <f>"064243"</f>
        <v>064243</v>
      </c>
      <c r="C9911" t="str">
        <f>"80756"</f>
        <v>80756</v>
      </c>
      <c r="D9911" t="s">
        <v>521</v>
      </c>
      <c r="E9911" s="3">
        <v>530</v>
      </c>
      <c r="F9911">
        <v>20160728</v>
      </c>
      <c r="G9911" t="s">
        <v>7140</v>
      </c>
      <c r="H9911" t="s">
        <v>7875</v>
      </c>
      <c r="I9911">
        <v>0</v>
      </c>
      <c r="J9911" t="s">
        <v>7024</v>
      </c>
      <c r="K9911" t="s">
        <v>290</v>
      </c>
      <c r="L9911" t="s">
        <v>285</v>
      </c>
      <c r="M9911" t="str">
        <f t="shared" si="746"/>
        <v>07</v>
      </c>
      <c r="N9911" t="s">
        <v>12</v>
      </c>
    </row>
    <row r="9912" spans="1:14" x14ac:dyDescent="0.25">
      <c r="A9912">
        <v>20160729</v>
      </c>
      <c r="B9912" t="str">
        <f>"064245"</f>
        <v>064245</v>
      </c>
      <c r="C9912" t="str">
        <f>"83022"</f>
        <v>83022</v>
      </c>
      <c r="D9912" t="s">
        <v>394</v>
      </c>
      <c r="E9912" s="3">
        <v>233.42</v>
      </c>
      <c r="F9912">
        <v>20160728</v>
      </c>
      <c r="G9912" t="s">
        <v>7126</v>
      </c>
      <c r="H9912" t="s">
        <v>2563</v>
      </c>
      <c r="I9912">
        <v>0</v>
      </c>
      <c r="J9912" t="s">
        <v>7024</v>
      </c>
      <c r="K9912" t="s">
        <v>290</v>
      </c>
      <c r="L9912" t="s">
        <v>285</v>
      </c>
      <c r="M9912" t="str">
        <f t="shared" si="746"/>
        <v>07</v>
      </c>
      <c r="N9912" t="s">
        <v>12</v>
      </c>
    </row>
    <row r="9913" spans="1:14" x14ac:dyDescent="0.25">
      <c r="A9913">
        <v>20160805</v>
      </c>
      <c r="B9913" t="str">
        <f>"064259"</f>
        <v>064259</v>
      </c>
      <c r="C9913" t="str">
        <f>"08788"</f>
        <v>08788</v>
      </c>
      <c r="D9913" t="s">
        <v>302</v>
      </c>
      <c r="E9913" s="3">
        <v>755.37</v>
      </c>
      <c r="F9913">
        <v>20160804</v>
      </c>
      <c r="G9913" t="s">
        <v>7170</v>
      </c>
      <c r="H9913" t="s">
        <v>7876</v>
      </c>
      <c r="I9913">
        <v>0</v>
      </c>
      <c r="J9913" t="s">
        <v>7024</v>
      </c>
      <c r="K9913" t="s">
        <v>290</v>
      </c>
      <c r="L9913" t="s">
        <v>285</v>
      </c>
      <c r="M9913" t="str">
        <f t="shared" ref="M9913:M9944" si="747">"08"</f>
        <v>08</v>
      </c>
      <c r="N9913" t="s">
        <v>12</v>
      </c>
    </row>
    <row r="9914" spans="1:14" x14ac:dyDescent="0.25">
      <c r="A9914">
        <v>20160805</v>
      </c>
      <c r="B9914" t="str">
        <f>"064272"</f>
        <v>064272</v>
      </c>
      <c r="C9914" t="str">
        <f>"25165"</f>
        <v>25165</v>
      </c>
      <c r="D9914" t="s">
        <v>1563</v>
      </c>
      <c r="E9914" s="3">
        <v>52.48</v>
      </c>
      <c r="F9914">
        <v>20160804</v>
      </c>
      <c r="G9914" t="s">
        <v>7049</v>
      </c>
      <c r="H9914" t="s">
        <v>7877</v>
      </c>
      <c r="I9914">
        <v>0</v>
      </c>
      <c r="J9914" t="s">
        <v>7024</v>
      </c>
      <c r="K9914" t="s">
        <v>33</v>
      </c>
      <c r="L9914" t="s">
        <v>285</v>
      </c>
      <c r="M9914" t="str">
        <f t="shared" si="747"/>
        <v>08</v>
      </c>
      <c r="N9914" t="s">
        <v>12</v>
      </c>
    </row>
    <row r="9915" spans="1:14" x14ac:dyDescent="0.25">
      <c r="A9915">
        <v>20160805</v>
      </c>
      <c r="B9915" t="str">
        <f>"064278"</f>
        <v>064278</v>
      </c>
      <c r="C9915" t="str">
        <f>"29548"</f>
        <v>29548</v>
      </c>
      <c r="D9915" t="s">
        <v>1862</v>
      </c>
      <c r="E9915" s="3">
        <v>335.65</v>
      </c>
      <c r="F9915">
        <v>20160804</v>
      </c>
      <c r="G9915" t="s">
        <v>7110</v>
      </c>
      <c r="H9915" t="s">
        <v>7878</v>
      </c>
      <c r="I9915">
        <v>0</v>
      </c>
      <c r="J9915" t="s">
        <v>7024</v>
      </c>
      <c r="K9915" t="s">
        <v>290</v>
      </c>
      <c r="L9915" t="s">
        <v>285</v>
      </c>
      <c r="M9915" t="str">
        <f t="shared" si="747"/>
        <v>08</v>
      </c>
      <c r="N9915" t="s">
        <v>12</v>
      </c>
    </row>
    <row r="9916" spans="1:14" x14ac:dyDescent="0.25">
      <c r="A9916">
        <v>20160805</v>
      </c>
      <c r="B9916" t="str">
        <f>"064281"</f>
        <v>064281</v>
      </c>
      <c r="C9916" t="str">
        <f>"81632"</f>
        <v>81632</v>
      </c>
      <c r="D9916" t="s">
        <v>1351</v>
      </c>
      <c r="E9916" s="3">
        <v>504</v>
      </c>
      <c r="F9916">
        <v>20160804</v>
      </c>
      <c r="G9916" t="s">
        <v>7044</v>
      </c>
      <c r="H9916" t="s">
        <v>1452</v>
      </c>
      <c r="I9916">
        <v>0</v>
      </c>
      <c r="J9916" t="s">
        <v>7024</v>
      </c>
      <c r="K9916" t="s">
        <v>290</v>
      </c>
      <c r="L9916" t="s">
        <v>285</v>
      </c>
      <c r="M9916" t="str">
        <f t="shared" si="747"/>
        <v>08</v>
      </c>
      <c r="N9916" t="s">
        <v>12</v>
      </c>
    </row>
    <row r="9917" spans="1:14" x14ac:dyDescent="0.25">
      <c r="A9917">
        <v>20160805</v>
      </c>
      <c r="B9917" t="str">
        <f>"064281"</f>
        <v>064281</v>
      </c>
      <c r="C9917" t="str">
        <f>"81632"</f>
        <v>81632</v>
      </c>
      <c r="D9917" t="s">
        <v>1351</v>
      </c>
      <c r="E9917" s="3">
        <v>-504</v>
      </c>
      <c r="F9917">
        <v>20160817</v>
      </c>
      <c r="G9917" t="s">
        <v>7044</v>
      </c>
      <c r="H9917" t="s">
        <v>214</v>
      </c>
      <c r="I9917">
        <v>0</v>
      </c>
      <c r="J9917" t="s">
        <v>7024</v>
      </c>
      <c r="K9917" t="s">
        <v>290</v>
      </c>
      <c r="L9917" t="s">
        <v>17</v>
      </c>
      <c r="M9917" t="str">
        <f t="shared" si="747"/>
        <v>08</v>
      </c>
      <c r="N9917" t="s">
        <v>12</v>
      </c>
    </row>
    <row r="9918" spans="1:14" x14ac:dyDescent="0.25">
      <c r="A9918">
        <v>20160805</v>
      </c>
      <c r="B9918" t="str">
        <f>"064288"</f>
        <v>064288</v>
      </c>
      <c r="C9918" t="str">
        <f>"40567"</f>
        <v>40567</v>
      </c>
      <c r="D9918" t="s">
        <v>4791</v>
      </c>
      <c r="E9918" s="3">
        <v>43.5</v>
      </c>
      <c r="F9918">
        <v>20160804</v>
      </c>
      <c r="G9918" t="s">
        <v>7435</v>
      </c>
      <c r="H9918" t="s">
        <v>5398</v>
      </c>
      <c r="I9918">
        <v>0</v>
      </c>
      <c r="J9918" t="s">
        <v>7024</v>
      </c>
      <c r="K9918" t="s">
        <v>33</v>
      </c>
      <c r="L9918" t="s">
        <v>285</v>
      </c>
      <c r="M9918" t="str">
        <f t="shared" si="747"/>
        <v>08</v>
      </c>
      <c r="N9918" t="s">
        <v>12</v>
      </c>
    </row>
    <row r="9919" spans="1:14" x14ac:dyDescent="0.25">
      <c r="A9919">
        <v>20160805</v>
      </c>
      <c r="B9919" t="str">
        <f>"064289"</f>
        <v>064289</v>
      </c>
      <c r="C9919" t="str">
        <f>"40855"</f>
        <v>40855</v>
      </c>
      <c r="D9919" t="s">
        <v>7879</v>
      </c>
      <c r="E9919" s="3">
        <v>1284</v>
      </c>
      <c r="F9919">
        <v>20160804</v>
      </c>
      <c r="G9919" t="s">
        <v>7044</v>
      </c>
      <c r="H9919" t="s">
        <v>1452</v>
      </c>
      <c r="I9919">
        <v>0</v>
      </c>
      <c r="J9919" t="s">
        <v>7024</v>
      </c>
      <c r="K9919" t="s">
        <v>290</v>
      </c>
      <c r="L9919" t="s">
        <v>285</v>
      </c>
      <c r="M9919" t="str">
        <f t="shared" si="747"/>
        <v>08</v>
      </c>
      <c r="N9919" t="s">
        <v>12</v>
      </c>
    </row>
    <row r="9920" spans="1:14" x14ac:dyDescent="0.25">
      <c r="A9920">
        <v>20160805</v>
      </c>
      <c r="B9920" t="str">
        <f>"064296"</f>
        <v>064296</v>
      </c>
      <c r="C9920" t="str">
        <f>"47186"</f>
        <v>47186</v>
      </c>
      <c r="D9920" t="s">
        <v>7880</v>
      </c>
      <c r="E9920" s="3">
        <v>492.85</v>
      </c>
      <c r="F9920">
        <v>20160804</v>
      </c>
      <c r="G9920" t="s">
        <v>7147</v>
      </c>
      <c r="H9920" t="s">
        <v>7881</v>
      </c>
      <c r="I9920">
        <v>0</v>
      </c>
      <c r="J9920" t="s">
        <v>7024</v>
      </c>
      <c r="K9920" t="s">
        <v>290</v>
      </c>
      <c r="L9920" t="s">
        <v>285</v>
      </c>
      <c r="M9920" t="str">
        <f t="shared" si="747"/>
        <v>08</v>
      </c>
      <c r="N9920" t="s">
        <v>12</v>
      </c>
    </row>
    <row r="9921" spans="1:14" x14ac:dyDescent="0.25">
      <c r="A9921">
        <v>20160805</v>
      </c>
      <c r="B9921" t="str">
        <f>"064297"</f>
        <v>064297</v>
      </c>
      <c r="C9921" t="str">
        <f>"48631"</f>
        <v>48631</v>
      </c>
      <c r="D9921" t="s">
        <v>7882</v>
      </c>
      <c r="E9921" s="3">
        <v>40</v>
      </c>
      <c r="F9921">
        <v>20160804</v>
      </c>
      <c r="G9921" t="s">
        <v>7044</v>
      </c>
      <c r="H9921" t="s">
        <v>7883</v>
      </c>
      <c r="I9921">
        <v>0</v>
      </c>
      <c r="J9921" t="s">
        <v>7024</v>
      </c>
      <c r="K9921" t="s">
        <v>290</v>
      </c>
      <c r="L9921" t="s">
        <v>285</v>
      </c>
      <c r="M9921" t="str">
        <f t="shared" si="747"/>
        <v>08</v>
      </c>
      <c r="N9921" t="s">
        <v>12</v>
      </c>
    </row>
    <row r="9922" spans="1:14" x14ac:dyDescent="0.25">
      <c r="A9922">
        <v>20160805</v>
      </c>
      <c r="B9922" t="str">
        <f>"064300"</f>
        <v>064300</v>
      </c>
      <c r="C9922" t="str">
        <f>"73600"</f>
        <v>73600</v>
      </c>
      <c r="D9922" t="s">
        <v>387</v>
      </c>
      <c r="E9922" s="3">
        <v>200</v>
      </c>
      <c r="F9922">
        <v>20160804</v>
      </c>
      <c r="G9922" t="s">
        <v>7147</v>
      </c>
      <c r="H9922" t="s">
        <v>7881</v>
      </c>
      <c r="I9922">
        <v>0</v>
      </c>
      <c r="J9922" t="s">
        <v>7024</v>
      </c>
      <c r="K9922" t="s">
        <v>290</v>
      </c>
      <c r="L9922" t="s">
        <v>285</v>
      </c>
      <c r="M9922" t="str">
        <f t="shared" si="747"/>
        <v>08</v>
      </c>
      <c r="N9922" t="s">
        <v>12</v>
      </c>
    </row>
    <row r="9923" spans="1:14" x14ac:dyDescent="0.25">
      <c r="A9923">
        <v>20160805</v>
      </c>
      <c r="B9923" t="str">
        <f>"064303"</f>
        <v>064303</v>
      </c>
      <c r="C9923" t="str">
        <f>"57662"</f>
        <v>57662</v>
      </c>
      <c r="D9923" t="s">
        <v>2364</v>
      </c>
      <c r="E9923" s="3">
        <v>175.5</v>
      </c>
      <c r="F9923">
        <v>20160804</v>
      </c>
      <c r="G9923" t="s">
        <v>7231</v>
      </c>
      <c r="H9923" t="s">
        <v>7884</v>
      </c>
      <c r="I9923">
        <v>0</v>
      </c>
      <c r="J9923" t="s">
        <v>7024</v>
      </c>
      <c r="K9923" t="s">
        <v>290</v>
      </c>
      <c r="L9923" t="s">
        <v>285</v>
      </c>
      <c r="M9923" t="str">
        <f t="shared" si="747"/>
        <v>08</v>
      </c>
      <c r="N9923" t="s">
        <v>12</v>
      </c>
    </row>
    <row r="9924" spans="1:14" x14ac:dyDescent="0.25">
      <c r="A9924">
        <v>20160805</v>
      </c>
      <c r="B9924" t="str">
        <f>"064305"</f>
        <v>064305</v>
      </c>
      <c r="C9924" t="str">
        <f>"58207"</f>
        <v>58207</v>
      </c>
      <c r="D9924" t="s">
        <v>296</v>
      </c>
      <c r="E9924" s="3">
        <v>18.88</v>
      </c>
      <c r="F9924">
        <v>20160804</v>
      </c>
      <c r="G9924" t="s">
        <v>7149</v>
      </c>
      <c r="H9924" t="s">
        <v>395</v>
      </c>
      <c r="I9924">
        <v>0</v>
      </c>
      <c r="J9924" t="s">
        <v>7024</v>
      </c>
      <c r="K9924" t="s">
        <v>290</v>
      </c>
      <c r="L9924" t="s">
        <v>285</v>
      </c>
      <c r="M9924" t="str">
        <f t="shared" si="747"/>
        <v>08</v>
      </c>
      <c r="N9924" t="s">
        <v>12</v>
      </c>
    </row>
    <row r="9925" spans="1:14" x14ac:dyDescent="0.25">
      <c r="A9925">
        <v>20160805</v>
      </c>
      <c r="B9925" t="str">
        <f>"064305"</f>
        <v>064305</v>
      </c>
      <c r="C9925" t="str">
        <f>"58207"</f>
        <v>58207</v>
      </c>
      <c r="D9925" t="s">
        <v>296</v>
      </c>
      <c r="E9925" s="3">
        <v>329.17</v>
      </c>
      <c r="F9925">
        <v>20160804</v>
      </c>
      <c r="G9925" t="s">
        <v>7140</v>
      </c>
      <c r="H9925" t="s">
        <v>7885</v>
      </c>
      <c r="I9925">
        <v>0</v>
      </c>
      <c r="J9925" t="s">
        <v>7024</v>
      </c>
      <c r="K9925" t="s">
        <v>290</v>
      </c>
      <c r="L9925" t="s">
        <v>285</v>
      </c>
      <c r="M9925" t="str">
        <f t="shared" si="747"/>
        <v>08</v>
      </c>
      <c r="N9925" t="s">
        <v>12</v>
      </c>
    </row>
    <row r="9926" spans="1:14" x14ac:dyDescent="0.25">
      <c r="A9926">
        <v>20160805</v>
      </c>
      <c r="B9926" t="str">
        <f>"064313"</f>
        <v>064313</v>
      </c>
      <c r="C9926" t="str">
        <f>"68107"</f>
        <v>68107</v>
      </c>
      <c r="D9926" t="s">
        <v>716</v>
      </c>
      <c r="E9926" s="3">
        <v>384</v>
      </c>
      <c r="F9926">
        <v>20160804</v>
      </c>
      <c r="G9926" t="s">
        <v>7147</v>
      </c>
      <c r="H9926" t="s">
        <v>7886</v>
      </c>
      <c r="I9926">
        <v>0</v>
      </c>
      <c r="J9926" t="s">
        <v>7024</v>
      </c>
      <c r="K9926" t="s">
        <v>290</v>
      </c>
      <c r="L9926" t="s">
        <v>285</v>
      </c>
      <c r="M9926" t="str">
        <f t="shared" si="747"/>
        <v>08</v>
      </c>
      <c r="N9926" t="s">
        <v>12</v>
      </c>
    </row>
    <row r="9927" spans="1:14" x14ac:dyDescent="0.25">
      <c r="A9927">
        <v>20160805</v>
      </c>
      <c r="B9927" t="str">
        <f>"064316"</f>
        <v>064316</v>
      </c>
      <c r="C9927" t="str">
        <f>"72321"</f>
        <v>72321</v>
      </c>
      <c r="D9927" t="s">
        <v>1456</v>
      </c>
      <c r="E9927" s="3">
        <v>12489.22</v>
      </c>
      <c r="F9927">
        <v>20160804</v>
      </c>
      <c r="G9927" t="s">
        <v>7887</v>
      </c>
      <c r="H9927" t="s">
        <v>1457</v>
      </c>
      <c r="I9927">
        <v>0</v>
      </c>
      <c r="J9927" t="s">
        <v>7024</v>
      </c>
      <c r="K9927" t="s">
        <v>290</v>
      </c>
      <c r="L9927" t="s">
        <v>285</v>
      </c>
      <c r="M9927" t="str">
        <f t="shared" si="747"/>
        <v>08</v>
      </c>
      <c r="N9927" t="s">
        <v>12</v>
      </c>
    </row>
    <row r="9928" spans="1:14" x14ac:dyDescent="0.25">
      <c r="A9928">
        <v>20160805</v>
      </c>
      <c r="B9928" t="str">
        <f>"064316"</f>
        <v>064316</v>
      </c>
      <c r="C9928" t="str">
        <f>"72321"</f>
        <v>72321</v>
      </c>
      <c r="D9928" t="s">
        <v>1456</v>
      </c>
      <c r="E9928" s="3">
        <v>354.25</v>
      </c>
      <c r="F9928">
        <v>20160804</v>
      </c>
      <c r="G9928" t="s">
        <v>7887</v>
      </c>
      <c r="H9928" t="s">
        <v>1457</v>
      </c>
      <c r="I9928">
        <v>0</v>
      </c>
      <c r="J9928" t="s">
        <v>7024</v>
      </c>
      <c r="K9928" t="s">
        <v>290</v>
      </c>
      <c r="L9928" t="s">
        <v>285</v>
      </c>
      <c r="M9928" t="str">
        <f t="shared" si="747"/>
        <v>08</v>
      </c>
      <c r="N9928" t="s">
        <v>12</v>
      </c>
    </row>
    <row r="9929" spans="1:14" x14ac:dyDescent="0.25">
      <c r="A9929">
        <v>20160805</v>
      </c>
      <c r="B9929" t="str">
        <f>"064318"</f>
        <v>064318</v>
      </c>
      <c r="C9929" t="str">
        <f>"72730"</f>
        <v>72730</v>
      </c>
      <c r="D9929" t="s">
        <v>1400</v>
      </c>
      <c r="E9929" s="3">
        <v>111.84</v>
      </c>
      <c r="F9929">
        <v>20160804</v>
      </c>
      <c r="G9929" t="s">
        <v>7292</v>
      </c>
      <c r="H9929" t="s">
        <v>7888</v>
      </c>
      <c r="I9929">
        <v>0</v>
      </c>
      <c r="J9929" t="s">
        <v>7024</v>
      </c>
      <c r="K9929" t="s">
        <v>290</v>
      </c>
      <c r="L9929" t="s">
        <v>285</v>
      </c>
      <c r="M9929" t="str">
        <f t="shared" si="747"/>
        <v>08</v>
      </c>
      <c r="N9929" t="s">
        <v>12</v>
      </c>
    </row>
    <row r="9930" spans="1:14" x14ac:dyDescent="0.25">
      <c r="A9930">
        <v>20160805</v>
      </c>
      <c r="B9930" t="str">
        <f>"064318"</f>
        <v>064318</v>
      </c>
      <c r="C9930" t="str">
        <f>"72730"</f>
        <v>72730</v>
      </c>
      <c r="D9930" t="s">
        <v>1400</v>
      </c>
      <c r="E9930" s="3">
        <v>110.66</v>
      </c>
      <c r="F9930">
        <v>20160804</v>
      </c>
      <c r="G9930" t="s">
        <v>7292</v>
      </c>
      <c r="H9930" t="s">
        <v>7888</v>
      </c>
      <c r="I9930">
        <v>0</v>
      </c>
      <c r="J9930" t="s">
        <v>7024</v>
      </c>
      <c r="K9930" t="s">
        <v>290</v>
      </c>
      <c r="L9930" t="s">
        <v>285</v>
      </c>
      <c r="M9930" t="str">
        <f t="shared" si="747"/>
        <v>08</v>
      </c>
      <c r="N9930" t="s">
        <v>12</v>
      </c>
    </row>
    <row r="9931" spans="1:14" x14ac:dyDescent="0.25">
      <c r="A9931">
        <v>20160805</v>
      </c>
      <c r="B9931" t="str">
        <f>"064318"</f>
        <v>064318</v>
      </c>
      <c r="C9931" t="str">
        <f>"72730"</f>
        <v>72730</v>
      </c>
      <c r="D9931" t="s">
        <v>1400</v>
      </c>
      <c r="E9931" s="3">
        <v>185.63</v>
      </c>
      <c r="F9931">
        <v>20160804</v>
      </c>
      <c r="G9931" t="s">
        <v>7292</v>
      </c>
      <c r="H9931" t="s">
        <v>7888</v>
      </c>
      <c r="I9931">
        <v>0</v>
      </c>
      <c r="J9931" t="s">
        <v>7024</v>
      </c>
      <c r="K9931" t="s">
        <v>290</v>
      </c>
      <c r="L9931" t="s">
        <v>285</v>
      </c>
      <c r="M9931" t="str">
        <f t="shared" si="747"/>
        <v>08</v>
      </c>
      <c r="N9931" t="s">
        <v>12</v>
      </c>
    </row>
    <row r="9932" spans="1:14" x14ac:dyDescent="0.25">
      <c r="A9932">
        <v>20160812</v>
      </c>
      <c r="B9932" t="str">
        <f>"064359"</f>
        <v>064359</v>
      </c>
      <c r="C9932" t="str">
        <f>"81632"</f>
        <v>81632</v>
      </c>
      <c r="D9932" t="s">
        <v>1351</v>
      </c>
      <c r="E9932" s="3">
        <v>504</v>
      </c>
      <c r="F9932">
        <v>20160811</v>
      </c>
      <c r="G9932" t="s">
        <v>7044</v>
      </c>
      <c r="H9932" t="s">
        <v>1459</v>
      </c>
      <c r="I9932">
        <v>0</v>
      </c>
      <c r="J9932" t="s">
        <v>7024</v>
      </c>
      <c r="K9932" t="s">
        <v>290</v>
      </c>
      <c r="L9932" t="s">
        <v>285</v>
      </c>
      <c r="M9932" t="str">
        <f t="shared" si="747"/>
        <v>08</v>
      </c>
      <c r="N9932" t="s">
        <v>12</v>
      </c>
    </row>
    <row r="9933" spans="1:14" x14ac:dyDescent="0.25">
      <c r="A9933">
        <v>20160812</v>
      </c>
      <c r="B9933" t="str">
        <f>"064360"</f>
        <v>064360</v>
      </c>
      <c r="C9933" t="str">
        <f>"32926"</f>
        <v>32926</v>
      </c>
      <c r="D9933" t="s">
        <v>7834</v>
      </c>
      <c r="E9933" s="3">
        <v>1081.53</v>
      </c>
      <c r="F9933">
        <v>20160811</v>
      </c>
      <c r="G9933" t="s">
        <v>7140</v>
      </c>
      <c r="H9933" t="s">
        <v>7889</v>
      </c>
      <c r="I9933">
        <v>0</v>
      </c>
      <c r="J9933" t="s">
        <v>7024</v>
      </c>
      <c r="K9933" t="s">
        <v>290</v>
      </c>
      <c r="L9933" t="s">
        <v>285</v>
      </c>
      <c r="M9933" t="str">
        <f t="shared" si="747"/>
        <v>08</v>
      </c>
      <c r="N9933" t="s">
        <v>12</v>
      </c>
    </row>
    <row r="9934" spans="1:14" x14ac:dyDescent="0.25">
      <c r="A9934">
        <v>20160812</v>
      </c>
      <c r="B9934" t="str">
        <f>"064360"</f>
        <v>064360</v>
      </c>
      <c r="C9934" t="str">
        <f>"32926"</f>
        <v>32926</v>
      </c>
      <c r="D9934" t="s">
        <v>7834</v>
      </c>
      <c r="E9934" s="3">
        <v>875</v>
      </c>
      <c r="F9934">
        <v>20160811</v>
      </c>
      <c r="G9934" t="s">
        <v>7140</v>
      </c>
      <c r="H9934" t="s">
        <v>7890</v>
      </c>
      <c r="I9934">
        <v>0</v>
      </c>
      <c r="J9934" t="s">
        <v>7024</v>
      </c>
      <c r="K9934" t="s">
        <v>290</v>
      </c>
      <c r="L9934" t="s">
        <v>285</v>
      </c>
      <c r="M9934" t="str">
        <f t="shared" si="747"/>
        <v>08</v>
      </c>
      <c r="N9934" t="s">
        <v>12</v>
      </c>
    </row>
    <row r="9935" spans="1:14" x14ac:dyDescent="0.25">
      <c r="A9935">
        <v>20160812</v>
      </c>
      <c r="B9935" t="str">
        <f>"064365"</f>
        <v>064365</v>
      </c>
      <c r="C9935" t="str">
        <f>"45069"</f>
        <v>45069</v>
      </c>
      <c r="D9935" t="s">
        <v>2670</v>
      </c>
      <c r="E9935" s="3">
        <v>4300</v>
      </c>
      <c r="F9935">
        <v>20160811</v>
      </c>
      <c r="G9935" t="s">
        <v>7026</v>
      </c>
      <c r="H9935" t="s">
        <v>7891</v>
      </c>
      <c r="I9935">
        <v>0</v>
      </c>
      <c r="J9935" t="s">
        <v>7024</v>
      </c>
      <c r="K9935" t="s">
        <v>1643</v>
      </c>
      <c r="L9935" t="s">
        <v>285</v>
      </c>
      <c r="M9935" t="str">
        <f t="shared" si="747"/>
        <v>08</v>
      </c>
      <c r="N9935" t="s">
        <v>12</v>
      </c>
    </row>
    <row r="9936" spans="1:14" x14ac:dyDescent="0.25">
      <c r="A9936">
        <v>20160812</v>
      </c>
      <c r="B9936" t="str">
        <f>"064371"</f>
        <v>064371</v>
      </c>
      <c r="C9936" t="str">
        <f>"47152"</f>
        <v>47152</v>
      </c>
      <c r="D9936" t="s">
        <v>606</v>
      </c>
      <c r="E9936" s="3">
        <v>2186.4</v>
      </c>
      <c r="F9936">
        <v>20160811</v>
      </c>
      <c r="G9936" t="s">
        <v>7044</v>
      </c>
      <c r="H9936" t="s">
        <v>1459</v>
      </c>
      <c r="I9936">
        <v>0</v>
      </c>
      <c r="J9936" t="s">
        <v>7024</v>
      </c>
      <c r="K9936" t="s">
        <v>290</v>
      </c>
      <c r="L9936" t="s">
        <v>285</v>
      </c>
      <c r="M9936" t="str">
        <f t="shared" si="747"/>
        <v>08</v>
      </c>
      <c r="N9936" t="s">
        <v>12</v>
      </c>
    </row>
    <row r="9937" spans="1:14" x14ac:dyDescent="0.25">
      <c r="A9937">
        <v>20160812</v>
      </c>
      <c r="B9937" t="str">
        <f>"064385"</f>
        <v>064385</v>
      </c>
      <c r="C9937" t="str">
        <f>"64610"</f>
        <v>64610</v>
      </c>
      <c r="D9937" t="s">
        <v>678</v>
      </c>
      <c r="E9937" s="3">
        <v>76.5</v>
      </c>
      <c r="F9937">
        <v>20160811</v>
      </c>
      <c r="G9937" t="s">
        <v>7083</v>
      </c>
      <c r="H9937" t="s">
        <v>7892</v>
      </c>
      <c r="I9937">
        <v>0</v>
      </c>
      <c r="J9937" t="s">
        <v>7024</v>
      </c>
      <c r="K9937" t="s">
        <v>290</v>
      </c>
      <c r="L9937" t="s">
        <v>285</v>
      </c>
      <c r="M9937" t="str">
        <f t="shared" si="747"/>
        <v>08</v>
      </c>
      <c r="N9937" t="s">
        <v>12</v>
      </c>
    </row>
    <row r="9938" spans="1:14" x14ac:dyDescent="0.25">
      <c r="A9938">
        <v>20160817</v>
      </c>
      <c r="B9938" t="str">
        <f>"064392"</f>
        <v>064392</v>
      </c>
      <c r="C9938" t="str">
        <f>"81632"</f>
        <v>81632</v>
      </c>
      <c r="D9938" t="s">
        <v>1351</v>
      </c>
      <c r="E9938" s="3">
        <v>612</v>
      </c>
      <c r="F9938">
        <v>20160817</v>
      </c>
      <c r="G9938" t="s">
        <v>7044</v>
      </c>
      <c r="H9938" t="s">
        <v>1460</v>
      </c>
      <c r="I9938">
        <v>0</v>
      </c>
      <c r="J9938" t="s">
        <v>7024</v>
      </c>
      <c r="K9938" t="s">
        <v>290</v>
      </c>
      <c r="L9938" t="s">
        <v>17</v>
      </c>
      <c r="M9938" t="str">
        <f t="shared" si="747"/>
        <v>08</v>
      </c>
      <c r="N9938" t="s">
        <v>12</v>
      </c>
    </row>
    <row r="9939" spans="1:14" x14ac:dyDescent="0.25">
      <c r="A9939">
        <v>20160819</v>
      </c>
      <c r="B9939" t="str">
        <f>"064396"</f>
        <v>064396</v>
      </c>
      <c r="C9939" t="str">
        <f>"03332"</f>
        <v>03332</v>
      </c>
      <c r="D9939" t="s">
        <v>403</v>
      </c>
      <c r="E9939" s="3">
        <v>337.06</v>
      </c>
      <c r="F9939">
        <v>20160817</v>
      </c>
      <c r="G9939" t="s">
        <v>7284</v>
      </c>
      <c r="H9939" t="s">
        <v>7893</v>
      </c>
      <c r="I9939">
        <v>0</v>
      </c>
      <c r="J9939" t="s">
        <v>7024</v>
      </c>
      <c r="K9939" t="s">
        <v>290</v>
      </c>
      <c r="L9939" t="s">
        <v>285</v>
      </c>
      <c r="M9939" t="str">
        <f t="shared" si="747"/>
        <v>08</v>
      </c>
      <c r="N9939" t="s">
        <v>12</v>
      </c>
    </row>
    <row r="9940" spans="1:14" x14ac:dyDescent="0.25">
      <c r="A9940">
        <v>20160819</v>
      </c>
      <c r="B9940" t="str">
        <f>"064396"</f>
        <v>064396</v>
      </c>
      <c r="C9940" t="str">
        <f>"03332"</f>
        <v>03332</v>
      </c>
      <c r="D9940" t="s">
        <v>403</v>
      </c>
      <c r="E9940" s="3">
        <v>174.66</v>
      </c>
      <c r="F9940">
        <v>20160817</v>
      </c>
      <c r="G9940" t="s">
        <v>7284</v>
      </c>
      <c r="H9940" t="s">
        <v>7894</v>
      </c>
      <c r="I9940">
        <v>0</v>
      </c>
      <c r="J9940" t="s">
        <v>7024</v>
      </c>
      <c r="K9940" t="s">
        <v>290</v>
      </c>
      <c r="L9940" t="s">
        <v>285</v>
      </c>
      <c r="M9940" t="str">
        <f t="shared" si="747"/>
        <v>08</v>
      </c>
      <c r="N9940" t="s">
        <v>12</v>
      </c>
    </row>
    <row r="9941" spans="1:14" x14ac:dyDescent="0.25">
      <c r="A9941">
        <v>20160819</v>
      </c>
      <c r="B9941" t="str">
        <f>"064398"</f>
        <v>064398</v>
      </c>
      <c r="C9941" t="str">
        <f>"00358"</f>
        <v>00358</v>
      </c>
      <c r="D9941" t="s">
        <v>7895</v>
      </c>
      <c r="E9941" s="3">
        <v>720</v>
      </c>
      <c r="F9941">
        <v>20160817</v>
      </c>
      <c r="G9941" t="s">
        <v>7896</v>
      </c>
      <c r="H9941" t="s">
        <v>7897</v>
      </c>
      <c r="I9941">
        <v>0</v>
      </c>
      <c r="J9941" t="s">
        <v>7024</v>
      </c>
      <c r="K9941" t="s">
        <v>290</v>
      </c>
      <c r="L9941" t="s">
        <v>285</v>
      </c>
      <c r="M9941" t="str">
        <f t="shared" si="747"/>
        <v>08</v>
      </c>
      <c r="N9941" t="s">
        <v>12</v>
      </c>
    </row>
    <row r="9942" spans="1:14" x14ac:dyDescent="0.25">
      <c r="A9942">
        <v>20160819</v>
      </c>
      <c r="B9942" t="str">
        <f>"064399"</f>
        <v>064399</v>
      </c>
      <c r="C9942" t="str">
        <f>"05530"</f>
        <v>05530</v>
      </c>
      <c r="D9942" t="s">
        <v>631</v>
      </c>
      <c r="E9942" s="3">
        <v>765</v>
      </c>
      <c r="F9942">
        <v>20160818</v>
      </c>
      <c r="G9942" t="s">
        <v>7110</v>
      </c>
      <c r="H9942" t="s">
        <v>7898</v>
      </c>
      <c r="I9942">
        <v>0</v>
      </c>
      <c r="J9942" t="s">
        <v>7024</v>
      </c>
      <c r="K9942" t="s">
        <v>290</v>
      </c>
      <c r="L9942" t="s">
        <v>285</v>
      </c>
      <c r="M9942" t="str">
        <f t="shared" si="747"/>
        <v>08</v>
      </c>
      <c r="N9942" t="s">
        <v>12</v>
      </c>
    </row>
    <row r="9943" spans="1:14" x14ac:dyDescent="0.25">
      <c r="A9943">
        <v>20160819</v>
      </c>
      <c r="B9943" t="str">
        <f>"064411"</f>
        <v>064411</v>
      </c>
      <c r="C9943" t="str">
        <f>"51345"</f>
        <v>51345</v>
      </c>
      <c r="D9943" t="s">
        <v>419</v>
      </c>
      <c r="E9943" s="3">
        <v>132</v>
      </c>
      <c r="F9943">
        <v>20160818</v>
      </c>
      <c r="G9943" t="s">
        <v>7044</v>
      </c>
      <c r="H9943" t="s">
        <v>7899</v>
      </c>
      <c r="I9943">
        <v>0</v>
      </c>
      <c r="J9943" t="s">
        <v>7024</v>
      </c>
      <c r="K9943" t="s">
        <v>290</v>
      </c>
      <c r="L9943" t="s">
        <v>285</v>
      </c>
      <c r="M9943" t="str">
        <f t="shared" si="747"/>
        <v>08</v>
      </c>
      <c r="N9943" t="s">
        <v>12</v>
      </c>
    </row>
    <row r="9944" spans="1:14" x14ac:dyDescent="0.25">
      <c r="A9944">
        <v>20160819</v>
      </c>
      <c r="B9944" t="str">
        <f>"064417"</f>
        <v>064417</v>
      </c>
      <c r="C9944" t="str">
        <f>"25853"</f>
        <v>25853</v>
      </c>
      <c r="D9944" t="s">
        <v>532</v>
      </c>
      <c r="E9944" s="3">
        <v>2970</v>
      </c>
      <c r="F9944">
        <v>20160817</v>
      </c>
      <c r="G9944" t="s">
        <v>7044</v>
      </c>
      <c r="H9944" t="s">
        <v>1452</v>
      </c>
      <c r="I9944">
        <v>0</v>
      </c>
      <c r="J9944" t="s">
        <v>7024</v>
      </c>
      <c r="K9944" t="s">
        <v>290</v>
      </c>
      <c r="L9944" t="s">
        <v>285</v>
      </c>
      <c r="M9944" t="str">
        <f t="shared" si="747"/>
        <v>08</v>
      </c>
      <c r="N9944" t="s">
        <v>12</v>
      </c>
    </row>
    <row r="9945" spans="1:14" x14ac:dyDescent="0.25">
      <c r="A9945">
        <v>20160819</v>
      </c>
      <c r="B9945" t="str">
        <f>"064425"</f>
        <v>064425</v>
      </c>
      <c r="C9945" t="str">
        <f>"29622"</f>
        <v>29622</v>
      </c>
      <c r="D9945" t="s">
        <v>1734</v>
      </c>
      <c r="E9945" s="3">
        <v>600</v>
      </c>
      <c r="F9945">
        <v>20160817</v>
      </c>
      <c r="G9945" t="s">
        <v>7231</v>
      </c>
      <c r="H9945" t="s">
        <v>7900</v>
      </c>
      <c r="I9945">
        <v>0</v>
      </c>
      <c r="J9945" t="s">
        <v>7024</v>
      </c>
      <c r="K9945" t="s">
        <v>290</v>
      </c>
      <c r="L9945" t="s">
        <v>285</v>
      </c>
      <c r="M9945" t="str">
        <f t="shared" ref="M9945:M9976" si="748">"08"</f>
        <v>08</v>
      </c>
      <c r="N9945" t="s">
        <v>12</v>
      </c>
    </row>
    <row r="9946" spans="1:14" x14ac:dyDescent="0.25">
      <c r="A9946">
        <v>20160819</v>
      </c>
      <c r="B9946" t="str">
        <f>"064425"</f>
        <v>064425</v>
      </c>
      <c r="C9946" t="str">
        <f>"29622"</f>
        <v>29622</v>
      </c>
      <c r="D9946" t="s">
        <v>1734</v>
      </c>
      <c r="E9946" s="3">
        <v>409.2</v>
      </c>
      <c r="F9946">
        <v>20160817</v>
      </c>
      <c r="G9946" t="s">
        <v>7231</v>
      </c>
      <c r="H9946" t="s">
        <v>7901</v>
      </c>
      <c r="I9946">
        <v>0</v>
      </c>
      <c r="J9946" t="s">
        <v>7024</v>
      </c>
      <c r="K9946" t="s">
        <v>290</v>
      </c>
      <c r="L9946" t="s">
        <v>285</v>
      </c>
      <c r="M9946" t="str">
        <f t="shared" si="748"/>
        <v>08</v>
      </c>
      <c r="N9946" t="s">
        <v>12</v>
      </c>
    </row>
    <row r="9947" spans="1:14" x14ac:dyDescent="0.25">
      <c r="A9947">
        <v>20160819</v>
      </c>
      <c r="B9947" t="str">
        <f>"064435"</f>
        <v>064435</v>
      </c>
      <c r="C9947" t="str">
        <f>"45093"</f>
        <v>45093</v>
      </c>
      <c r="D9947" t="s">
        <v>538</v>
      </c>
      <c r="E9947" s="3">
        <v>190.05</v>
      </c>
      <c r="F9947">
        <v>20160818</v>
      </c>
      <c r="G9947" t="s">
        <v>7083</v>
      </c>
      <c r="H9947" t="s">
        <v>7902</v>
      </c>
      <c r="I9947">
        <v>0</v>
      </c>
      <c r="J9947" t="s">
        <v>7024</v>
      </c>
      <c r="K9947" t="s">
        <v>290</v>
      </c>
      <c r="L9947" t="s">
        <v>285</v>
      </c>
      <c r="M9947" t="str">
        <f t="shared" si="748"/>
        <v>08</v>
      </c>
      <c r="N9947" t="s">
        <v>12</v>
      </c>
    </row>
    <row r="9948" spans="1:14" x14ac:dyDescent="0.25">
      <c r="A9948">
        <v>20160819</v>
      </c>
      <c r="B9948" t="str">
        <f>"064441"</f>
        <v>064441</v>
      </c>
      <c r="C9948" t="str">
        <f>"49868"</f>
        <v>49868</v>
      </c>
      <c r="D9948" t="s">
        <v>7839</v>
      </c>
      <c r="E9948" s="3">
        <v>201</v>
      </c>
      <c r="F9948">
        <v>20160817</v>
      </c>
      <c r="G9948" t="s">
        <v>7231</v>
      </c>
      <c r="H9948" t="s">
        <v>7903</v>
      </c>
      <c r="I9948">
        <v>0</v>
      </c>
      <c r="J9948" t="s">
        <v>7024</v>
      </c>
      <c r="K9948" t="s">
        <v>290</v>
      </c>
      <c r="L9948" t="s">
        <v>285</v>
      </c>
      <c r="M9948" t="str">
        <f t="shared" si="748"/>
        <v>08</v>
      </c>
      <c r="N9948" t="s">
        <v>12</v>
      </c>
    </row>
    <row r="9949" spans="1:14" x14ac:dyDescent="0.25">
      <c r="A9949">
        <v>20160819</v>
      </c>
      <c r="B9949" t="str">
        <f>"064449"</f>
        <v>064449</v>
      </c>
      <c r="C9949" t="str">
        <f>"57997"</f>
        <v>57997</v>
      </c>
      <c r="D9949" t="s">
        <v>7904</v>
      </c>
      <c r="E9949" s="3">
        <v>200</v>
      </c>
      <c r="F9949">
        <v>20160817</v>
      </c>
      <c r="G9949" t="s">
        <v>7501</v>
      </c>
      <c r="H9949" t="s">
        <v>7905</v>
      </c>
      <c r="I9949">
        <v>0</v>
      </c>
      <c r="J9949" t="s">
        <v>7024</v>
      </c>
      <c r="K9949" t="s">
        <v>290</v>
      </c>
      <c r="L9949" t="s">
        <v>285</v>
      </c>
      <c r="M9949" t="str">
        <f t="shared" si="748"/>
        <v>08</v>
      </c>
      <c r="N9949" t="s">
        <v>12</v>
      </c>
    </row>
    <row r="9950" spans="1:14" x14ac:dyDescent="0.25">
      <c r="A9950">
        <v>20160819</v>
      </c>
      <c r="B9950" t="str">
        <f>"064453"</f>
        <v>064453</v>
      </c>
      <c r="C9950" t="str">
        <f>"58204"</f>
        <v>58204</v>
      </c>
      <c r="D9950" t="s">
        <v>1816</v>
      </c>
      <c r="E9950" s="3">
        <v>17.27</v>
      </c>
      <c r="F9950">
        <v>20160818</v>
      </c>
      <c r="G9950" t="s">
        <v>7865</v>
      </c>
      <c r="H9950" t="s">
        <v>7906</v>
      </c>
      <c r="I9950">
        <v>0</v>
      </c>
      <c r="J9950" t="s">
        <v>7024</v>
      </c>
      <c r="K9950" t="s">
        <v>290</v>
      </c>
      <c r="L9950" t="s">
        <v>285</v>
      </c>
      <c r="M9950" t="str">
        <f t="shared" si="748"/>
        <v>08</v>
      </c>
      <c r="N9950" t="s">
        <v>12</v>
      </c>
    </row>
    <row r="9951" spans="1:14" x14ac:dyDescent="0.25">
      <c r="A9951">
        <v>20160819</v>
      </c>
      <c r="B9951" t="str">
        <f>"064453"</f>
        <v>064453</v>
      </c>
      <c r="C9951" t="str">
        <f>"58204"</f>
        <v>58204</v>
      </c>
      <c r="D9951" t="s">
        <v>1816</v>
      </c>
      <c r="E9951" s="3">
        <v>97.04</v>
      </c>
      <c r="F9951">
        <v>20160818</v>
      </c>
      <c r="G9951" t="s">
        <v>7110</v>
      </c>
      <c r="H9951" t="s">
        <v>7907</v>
      </c>
      <c r="I9951">
        <v>0</v>
      </c>
      <c r="J9951" t="s">
        <v>7024</v>
      </c>
      <c r="K9951" t="s">
        <v>290</v>
      </c>
      <c r="L9951" t="s">
        <v>285</v>
      </c>
      <c r="M9951" t="str">
        <f t="shared" si="748"/>
        <v>08</v>
      </c>
      <c r="N9951" t="s">
        <v>12</v>
      </c>
    </row>
    <row r="9952" spans="1:14" x14ac:dyDescent="0.25">
      <c r="A9952">
        <v>20160819</v>
      </c>
      <c r="B9952" t="str">
        <f>"064453"</f>
        <v>064453</v>
      </c>
      <c r="C9952" t="str">
        <f>"58204"</f>
        <v>58204</v>
      </c>
      <c r="D9952" t="s">
        <v>1816</v>
      </c>
      <c r="E9952" s="3">
        <v>84.95</v>
      </c>
      <c r="F9952">
        <v>20160818</v>
      </c>
      <c r="G9952" t="s">
        <v>7089</v>
      </c>
      <c r="H9952" t="s">
        <v>7908</v>
      </c>
      <c r="I9952">
        <v>0</v>
      </c>
      <c r="J9952" t="s">
        <v>7024</v>
      </c>
      <c r="K9952" t="s">
        <v>290</v>
      </c>
      <c r="L9952" t="s">
        <v>285</v>
      </c>
      <c r="M9952" t="str">
        <f t="shared" si="748"/>
        <v>08</v>
      </c>
      <c r="N9952" t="s">
        <v>12</v>
      </c>
    </row>
    <row r="9953" spans="1:14" x14ac:dyDescent="0.25">
      <c r="A9953">
        <v>20160819</v>
      </c>
      <c r="B9953" t="str">
        <f>"064453"</f>
        <v>064453</v>
      </c>
      <c r="C9953" t="str">
        <f>"58204"</f>
        <v>58204</v>
      </c>
      <c r="D9953" t="s">
        <v>1816</v>
      </c>
      <c r="E9953" s="3">
        <v>77.95</v>
      </c>
      <c r="F9953">
        <v>20160818</v>
      </c>
      <c r="G9953" t="s">
        <v>7083</v>
      </c>
      <c r="H9953" t="s">
        <v>7909</v>
      </c>
      <c r="I9953">
        <v>0</v>
      </c>
      <c r="J9953" t="s">
        <v>7024</v>
      </c>
      <c r="K9953" t="s">
        <v>290</v>
      </c>
      <c r="L9953" t="s">
        <v>285</v>
      </c>
      <c r="M9953" t="str">
        <f t="shared" si="748"/>
        <v>08</v>
      </c>
      <c r="N9953" t="s">
        <v>12</v>
      </c>
    </row>
    <row r="9954" spans="1:14" x14ac:dyDescent="0.25">
      <c r="A9954">
        <v>20160819</v>
      </c>
      <c r="B9954" t="str">
        <f>"064454"</f>
        <v>064454</v>
      </c>
      <c r="C9954" t="str">
        <f>"58201"</f>
        <v>58201</v>
      </c>
      <c r="D9954" t="s">
        <v>2371</v>
      </c>
      <c r="E9954" s="3">
        <v>38.97</v>
      </c>
      <c r="F9954">
        <v>20160817</v>
      </c>
      <c r="G9954" t="s">
        <v>7280</v>
      </c>
      <c r="H9954" t="s">
        <v>7910</v>
      </c>
      <c r="I9954">
        <v>0</v>
      </c>
      <c r="J9954" t="s">
        <v>7024</v>
      </c>
      <c r="K9954" t="s">
        <v>33</v>
      </c>
      <c r="L9954" t="s">
        <v>285</v>
      </c>
      <c r="M9954" t="str">
        <f t="shared" si="748"/>
        <v>08</v>
      </c>
      <c r="N9954" t="s">
        <v>12</v>
      </c>
    </row>
    <row r="9955" spans="1:14" x14ac:dyDescent="0.25">
      <c r="A9955">
        <v>20160819</v>
      </c>
      <c r="B9955" t="str">
        <f>"064454"</f>
        <v>064454</v>
      </c>
      <c r="C9955" t="str">
        <f>"58201"</f>
        <v>58201</v>
      </c>
      <c r="D9955" t="s">
        <v>2371</v>
      </c>
      <c r="E9955" s="3">
        <v>139.6</v>
      </c>
      <c r="F9955">
        <v>20160817</v>
      </c>
      <c r="G9955" t="s">
        <v>7049</v>
      </c>
      <c r="H9955" t="s">
        <v>6303</v>
      </c>
      <c r="I9955">
        <v>0</v>
      </c>
      <c r="J9955" t="s">
        <v>7024</v>
      </c>
      <c r="K9955" t="s">
        <v>33</v>
      </c>
      <c r="L9955" t="s">
        <v>285</v>
      </c>
      <c r="M9955" t="str">
        <f t="shared" si="748"/>
        <v>08</v>
      </c>
      <c r="N9955" t="s">
        <v>12</v>
      </c>
    </row>
    <row r="9956" spans="1:14" x14ac:dyDescent="0.25">
      <c r="A9956">
        <v>20160819</v>
      </c>
      <c r="B9956" t="str">
        <f>"064455"</f>
        <v>064455</v>
      </c>
      <c r="C9956" t="str">
        <f>"58202"</f>
        <v>58202</v>
      </c>
      <c r="D9956" t="s">
        <v>2695</v>
      </c>
      <c r="E9956" s="3">
        <v>72.3</v>
      </c>
      <c r="F9956">
        <v>20160818</v>
      </c>
      <c r="G9956" t="s">
        <v>7082</v>
      </c>
      <c r="H9956" t="s">
        <v>7813</v>
      </c>
      <c r="I9956">
        <v>0</v>
      </c>
      <c r="J9956" t="s">
        <v>7024</v>
      </c>
      <c r="K9956" t="s">
        <v>95</v>
      </c>
      <c r="L9956" t="s">
        <v>285</v>
      </c>
      <c r="M9956" t="str">
        <f t="shared" si="748"/>
        <v>08</v>
      </c>
      <c r="N9956" t="s">
        <v>12</v>
      </c>
    </row>
    <row r="9957" spans="1:14" x14ac:dyDescent="0.25">
      <c r="A9957">
        <v>20160819</v>
      </c>
      <c r="B9957" t="str">
        <f>"064455"</f>
        <v>064455</v>
      </c>
      <c r="C9957" t="str">
        <f>"58202"</f>
        <v>58202</v>
      </c>
      <c r="D9957" t="s">
        <v>2695</v>
      </c>
      <c r="E9957" s="3">
        <v>35.97</v>
      </c>
      <c r="F9957">
        <v>20160818</v>
      </c>
      <c r="G9957" t="s">
        <v>7064</v>
      </c>
      <c r="H9957" t="s">
        <v>7911</v>
      </c>
      <c r="I9957">
        <v>0</v>
      </c>
      <c r="J9957" t="s">
        <v>7024</v>
      </c>
      <c r="K9957" t="s">
        <v>95</v>
      </c>
      <c r="L9957" t="s">
        <v>285</v>
      </c>
      <c r="M9957" t="str">
        <f t="shared" si="748"/>
        <v>08</v>
      </c>
      <c r="N9957" t="s">
        <v>12</v>
      </c>
    </row>
    <row r="9958" spans="1:14" x14ac:dyDescent="0.25">
      <c r="A9958">
        <v>20160819</v>
      </c>
      <c r="B9958" t="str">
        <f>"064455"</f>
        <v>064455</v>
      </c>
      <c r="C9958" t="str">
        <f>"58202"</f>
        <v>58202</v>
      </c>
      <c r="D9958" t="s">
        <v>2695</v>
      </c>
      <c r="E9958" s="3">
        <v>54.99</v>
      </c>
      <c r="F9958">
        <v>20160818</v>
      </c>
      <c r="G9958" t="s">
        <v>7179</v>
      </c>
      <c r="H9958" t="s">
        <v>7912</v>
      </c>
      <c r="I9958">
        <v>0</v>
      </c>
      <c r="J9958" t="s">
        <v>7024</v>
      </c>
      <c r="K9958" t="s">
        <v>95</v>
      </c>
      <c r="L9958" t="s">
        <v>285</v>
      </c>
      <c r="M9958" t="str">
        <f t="shared" si="748"/>
        <v>08</v>
      </c>
      <c r="N9958" t="s">
        <v>12</v>
      </c>
    </row>
    <row r="9959" spans="1:14" x14ac:dyDescent="0.25">
      <c r="A9959">
        <v>20160819</v>
      </c>
      <c r="B9959" t="str">
        <f>"064462"</f>
        <v>064462</v>
      </c>
      <c r="C9959" t="str">
        <f>"62795"</f>
        <v>62795</v>
      </c>
      <c r="D9959" t="s">
        <v>545</v>
      </c>
      <c r="E9959" s="3">
        <v>179.95</v>
      </c>
      <c r="F9959">
        <v>20160817</v>
      </c>
      <c r="G9959" t="s">
        <v>7140</v>
      </c>
      <c r="H9959" t="s">
        <v>7913</v>
      </c>
      <c r="I9959">
        <v>0</v>
      </c>
      <c r="J9959" t="s">
        <v>7024</v>
      </c>
      <c r="K9959" t="s">
        <v>290</v>
      </c>
      <c r="L9959" t="s">
        <v>285</v>
      </c>
      <c r="M9959" t="str">
        <f t="shared" si="748"/>
        <v>08</v>
      </c>
      <c r="N9959" t="s">
        <v>12</v>
      </c>
    </row>
    <row r="9960" spans="1:14" x14ac:dyDescent="0.25">
      <c r="A9960">
        <v>20160819</v>
      </c>
      <c r="B9960" t="str">
        <f>"064462"</f>
        <v>064462</v>
      </c>
      <c r="C9960" t="str">
        <f>"62795"</f>
        <v>62795</v>
      </c>
      <c r="D9960" t="s">
        <v>545</v>
      </c>
      <c r="E9960" s="3">
        <v>600</v>
      </c>
      <c r="F9960">
        <v>20160817</v>
      </c>
      <c r="G9960" t="s">
        <v>7107</v>
      </c>
      <c r="H9960" t="s">
        <v>7913</v>
      </c>
      <c r="I9960">
        <v>0</v>
      </c>
      <c r="J9960" t="s">
        <v>7024</v>
      </c>
      <c r="K9960" t="s">
        <v>95</v>
      </c>
      <c r="L9960" t="s">
        <v>285</v>
      </c>
      <c r="M9960" t="str">
        <f t="shared" si="748"/>
        <v>08</v>
      </c>
      <c r="N9960" t="s">
        <v>12</v>
      </c>
    </row>
    <row r="9961" spans="1:14" x14ac:dyDescent="0.25">
      <c r="A9961">
        <v>20160819</v>
      </c>
      <c r="B9961" t="str">
        <f>"064463"</f>
        <v>064463</v>
      </c>
      <c r="C9961" t="str">
        <f>"63053"</f>
        <v>63053</v>
      </c>
      <c r="D9961" t="s">
        <v>2012</v>
      </c>
      <c r="E9961" s="3">
        <v>180.59</v>
      </c>
      <c r="F9961">
        <v>20160817</v>
      </c>
      <c r="G9961" t="s">
        <v>7086</v>
      </c>
      <c r="H9961" t="s">
        <v>6309</v>
      </c>
      <c r="I9961">
        <v>0</v>
      </c>
      <c r="J9961" t="s">
        <v>7024</v>
      </c>
      <c r="K9961" t="s">
        <v>290</v>
      </c>
      <c r="L9961" t="s">
        <v>285</v>
      </c>
      <c r="M9961" t="str">
        <f t="shared" si="748"/>
        <v>08</v>
      </c>
      <c r="N9961" t="s">
        <v>12</v>
      </c>
    </row>
    <row r="9962" spans="1:14" x14ac:dyDescent="0.25">
      <c r="A9962">
        <v>20160819</v>
      </c>
      <c r="B9962" t="str">
        <f>"064471"</f>
        <v>064471</v>
      </c>
      <c r="C9962" t="str">
        <f>"65934"</f>
        <v>65934</v>
      </c>
      <c r="D9962" t="s">
        <v>7914</v>
      </c>
      <c r="E9962" s="3">
        <v>81.14</v>
      </c>
      <c r="F9962">
        <v>20160818</v>
      </c>
      <c r="G9962" t="s">
        <v>7110</v>
      </c>
      <c r="H9962" t="s">
        <v>7915</v>
      </c>
      <c r="I9962">
        <v>0</v>
      </c>
      <c r="J9962" t="s">
        <v>7024</v>
      </c>
      <c r="K9962" t="s">
        <v>290</v>
      </c>
      <c r="L9962" t="s">
        <v>285</v>
      </c>
      <c r="M9962" t="str">
        <f t="shared" si="748"/>
        <v>08</v>
      </c>
      <c r="N9962" t="s">
        <v>12</v>
      </c>
    </row>
    <row r="9963" spans="1:14" x14ac:dyDescent="0.25">
      <c r="A9963">
        <v>20160819</v>
      </c>
      <c r="B9963" t="str">
        <f>"064471"</f>
        <v>064471</v>
      </c>
      <c r="C9963" t="str">
        <f>"65934"</f>
        <v>65934</v>
      </c>
      <c r="D9963" t="s">
        <v>7914</v>
      </c>
      <c r="E9963" s="3">
        <v>1400</v>
      </c>
      <c r="F9963">
        <v>20160818</v>
      </c>
      <c r="G9963" t="s">
        <v>7916</v>
      </c>
      <c r="H9963" t="s">
        <v>7915</v>
      </c>
      <c r="I9963">
        <v>0</v>
      </c>
      <c r="J9963" t="s">
        <v>7024</v>
      </c>
      <c r="K9963" t="s">
        <v>290</v>
      </c>
      <c r="L9963" t="s">
        <v>285</v>
      </c>
      <c r="M9963" t="str">
        <f t="shared" si="748"/>
        <v>08</v>
      </c>
      <c r="N9963" t="s">
        <v>12</v>
      </c>
    </row>
    <row r="9964" spans="1:14" x14ac:dyDescent="0.25">
      <c r="A9964">
        <v>20160823</v>
      </c>
      <c r="B9964" t="str">
        <f>"064481"</f>
        <v>064481</v>
      </c>
      <c r="C9964" t="str">
        <f>"81632"</f>
        <v>81632</v>
      </c>
      <c r="D9964" t="s">
        <v>1351</v>
      </c>
      <c r="E9964" s="3">
        <v>108</v>
      </c>
      <c r="F9964">
        <v>20160824</v>
      </c>
      <c r="G9964" t="s">
        <v>7044</v>
      </c>
      <c r="H9964" t="s">
        <v>7917</v>
      </c>
      <c r="I9964">
        <v>0</v>
      </c>
      <c r="J9964" t="s">
        <v>7024</v>
      </c>
      <c r="K9964" t="s">
        <v>290</v>
      </c>
      <c r="L9964" t="s">
        <v>17</v>
      </c>
      <c r="M9964" t="str">
        <f t="shared" si="748"/>
        <v>08</v>
      </c>
      <c r="N9964" t="s">
        <v>12</v>
      </c>
    </row>
    <row r="9965" spans="1:14" x14ac:dyDescent="0.25">
      <c r="A9965">
        <v>20160826</v>
      </c>
      <c r="B9965" t="str">
        <f>"064505"</f>
        <v>064505</v>
      </c>
      <c r="C9965" t="str">
        <f>"20427"</f>
        <v>20427</v>
      </c>
      <c r="D9965" t="s">
        <v>7918</v>
      </c>
      <c r="E9965" s="3">
        <v>350</v>
      </c>
      <c r="F9965">
        <v>20160825</v>
      </c>
      <c r="G9965" t="s">
        <v>7501</v>
      </c>
      <c r="H9965" t="s">
        <v>7919</v>
      </c>
      <c r="I9965">
        <v>0</v>
      </c>
      <c r="J9965" t="s">
        <v>7024</v>
      </c>
      <c r="K9965" t="s">
        <v>290</v>
      </c>
      <c r="L9965" t="s">
        <v>285</v>
      </c>
      <c r="M9965" t="str">
        <f t="shared" si="748"/>
        <v>08</v>
      </c>
      <c r="N9965" t="s">
        <v>12</v>
      </c>
    </row>
    <row r="9966" spans="1:14" x14ac:dyDescent="0.25">
      <c r="A9966">
        <v>20160826</v>
      </c>
      <c r="B9966" t="str">
        <f>"064511"</f>
        <v>064511</v>
      </c>
      <c r="C9966" t="str">
        <f>"23754"</f>
        <v>23754</v>
      </c>
      <c r="D9966" t="s">
        <v>794</v>
      </c>
      <c r="E9966" s="3">
        <v>1887.5</v>
      </c>
      <c r="F9966">
        <v>20160825</v>
      </c>
      <c r="G9966" t="s">
        <v>7044</v>
      </c>
      <c r="H9966" t="s">
        <v>7920</v>
      </c>
      <c r="I9966">
        <v>0</v>
      </c>
      <c r="J9966" t="s">
        <v>7024</v>
      </c>
      <c r="K9966" t="s">
        <v>290</v>
      </c>
      <c r="L9966" t="s">
        <v>285</v>
      </c>
      <c r="M9966" t="str">
        <f t="shared" si="748"/>
        <v>08</v>
      </c>
      <c r="N9966" t="s">
        <v>12</v>
      </c>
    </row>
    <row r="9967" spans="1:14" x14ac:dyDescent="0.25">
      <c r="A9967">
        <v>20160826</v>
      </c>
      <c r="B9967" t="str">
        <f>"064516"</f>
        <v>064516</v>
      </c>
      <c r="C9967" t="str">
        <f>"25225"</f>
        <v>25225</v>
      </c>
      <c r="D9967" t="s">
        <v>3677</v>
      </c>
      <c r="E9967" s="3">
        <v>347.3</v>
      </c>
      <c r="F9967">
        <v>20160825</v>
      </c>
      <c r="G9967" t="s">
        <v>7062</v>
      </c>
      <c r="H9967" t="s">
        <v>7921</v>
      </c>
      <c r="I9967">
        <v>0</v>
      </c>
      <c r="J9967" t="s">
        <v>7024</v>
      </c>
      <c r="K9967" t="s">
        <v>290</v>
      </c>
      <c r="L9967" t="s">
        <v>285</v>
      </c>
      <c r="M9967" t="str">
        <f t="shared" si="748"/>
        <v>08</v>
      </c>
      <c r="N9967" t="s">
        <v>12</v>
      </c>
    </row>
    <row r="9968" spans="1:14" x14ac:dyDescent="0.25">
      <c r="A9968">
        <v>20160826</v>
      </c>
      <c r="B9968" t="str">
        <f>"064516"</f>
        <v>064516</v>
      </c>
      <c r="C9968" t="str">
        <f>"25225"</f>
        <v>25225</v>
      </c>
      <c r="D9968" t="s">
        <v>3677</v>
      </c>
      <c r="E9968" s="3">
        <v>1654.4</v>
      </c>
      <c r="F9968">
        <v>20160825</v>
      </c>
      <c r="G9968" t="s">
        <v>7062</v>
      </c>
      <c r="H9968" t="s">
        <v>7921</v>
      </c>
      <c r="I9968">
        <v>0</v>
      </c>
      <c r="J9968" t="s">
        <v>7024</v>
      </c>
      <c r="K9968" t="s">
        <v>290</v>
      </c>
      <c r="L9968" t="s">
        <v>285</v>
      </c>
      <c r="M9968" t="str">
        <f t="shared" si="748"/>
        <v>08</v>
      </c>
      <c r="N9968" t="s">
        <v>12</v>
      </c>
    </row>
    <row r="9969" spans="1:14" x14ac:dyDescent="0.25">
      <c r="A9969">
        <v>20160826</v>
      </c>
      <c r="B9969" t="str">
        <f>"064516"</f>
        <v>064516</v>
      </c>
      <c r="C9969" t="str">
        <f>"25225"</f>
        <v>25225</v>
      </c>
      <c r="D9969" t="s">
        <v>3677</v>
      </c>
      <c r="E9969" s="3">
        <v>3285.85</v>
      </c>
      <c r="F9969">
        <v>20160825</v>
      </c>
      <c r="G9969" t="s">
        <v>7062</v>
      </c>
      <c r="H9969" t="s">
        <v>7922</v>
      </c>
      <c r="I9969">
        <v>0</v>
      </c>
      <c r="J9969" t="s">
        <v>7024</v>
      </c>
      <c r="K9969" t="s">
        <v>290</v>
      </c>
      <c r="L9969" t="s">
        <v>285</v>
      </c>
      <c r="M9969" t="str">
        <f t="shared" si="748"/>
        <v>08</v>
      </c>
      <c r="N9969" t="s">
        <v>12</v>
      </c>
    </row>
    <row r="9970" spans="1:14" x14ac:dyDescent="0.25">
      <c r="A9970">
        <v>20160826</v>
      </c>
      <c r="B9970" t="str">
        <f>"064518"</f>
        <v>064518</v>
      </c>
      <c r="C9970" t="str">
        <f>"25853"</f>
        <v>25853</v>
      </c>
      <c r="D9970" t="s">
        <v>532</v>
      </c>
      <c r="E9970" s="3">
        <v>2960</v>
      </c>
      <c r="F9970">
        <v>20160825</v>
      </c>
      <c r="G9970" t="s">
        <v>7044</v>
      </c>
      <c r="H9970" t="s">
        <v>7923</v>
      </c>
      <c r="I9970">
        <v>0</v>
      </c>
      <c r="J9970" t="s">
        <v>7024</v>
      </c>
      <c r="K9970" t="s">
        <v>290</v>
      </c>
      <c r="L9970" t="s">
        <v>285</v>
      </c>
      <c r="M9970" t="str">
        <f t="shared" si="748"/>
        <v>08</v>
      </c>
      <c r="N9970" t="s">
        <v>12</v>
      </c>
    </row>
    <row r="9971" spans="1:14" x14ac:dyDescent="0.25">
      <c r="A9971">
        <v>20160826</v>
      </c>
      <c r="B9971" t="str">
        <f>"064522"</f>
        <v>064522</v>
      </c>
      <c r="C9971" t="str">
        <f>"29153"</f>
        <v>29153</v>
      </c>
      <c r="D9971" t="s">
        <v>7924</v>
      </c>
      <c r="E9971" s="3">
        <v>1148.92</v>
      </c>
      <c r="F9971">
        <v>20160825</v>
      </c>
      <c r="G9971" t="s">
        <v>7147</v>
      </c>
      <c r="H9971" t="s">
        <v>7925</v>
      </c>
      <c r="I9971">
        <v>0</v>
      </c>
      <c r="J9971" t="s">
        <v>7024</v>
      </c>
      <c r="K9971" t="s">
        <v>290</v>
      </c>
      <c r="L9971" t="s">
        <v>285</v>
      </c>
      <c r="M9971" t="str">
        <f t="shared" si="748"/>
        <v>08</v>
      </c>
      <c r="N9971" t="s">
        <v>12</v>
      </c>
    </row>
    <row r="9972" spans="1:14" x14ac:dyDescent="0.25">
      <c r="A9972">
        <v>20160826</v>
      </c>
      <c r="B9972" t="str">
        <f>"064533"</f>
        <v>064533</v>
      </c>
      <c r="C9972" t="str">
        <f>"31345"</f>
        <v>31345</v>
      </c>
      <c r="D9972" t="s">
        <v>426</v>
      </c>
      <c r="E9972" s="3">
        <v>246.81</v>
      </c>
      <c r="F9972">
        <v>20160825</v>
      </c>
      <c r="G9972" t="s">
        <v>7062</v>
      </c>
      <c r="H9972" t="s">
        <v>7926</v>
      </c>
      <c r="I9972">
        <v>0</v>
      </c>
      <c r="J9972" t="s">
        <v>7024</v>
      </c>
      <c r="K9972" t="s">
        <v>290</v>
      </c>
      <c r="L9972" t="s">
        <v>285</v>
      </c>
      <c r="M9972" t="str">
        <f t="shared" si="748"/>
        <v>08</v>
      </c>
      <c r="N9972" t="s">
        <v>12</v>
      </c>
    </row>
    <row r="9973" spans="1:14" x14ac:dyDescent="0.25">
      <c r="A9973">
        <v>20160826</v>
      </c>
      <c r="B9973" t="str">
        <f>"064533"</f>
        <v>064533</v>
      </c>
      <c r="C9973" t="str">
        <f>"31345"</f>
        <v>31345</v>
      </c>
      <c r="D9973" t="s">
        <v>426</v>
      </c>
      <c r="E9973" s="3">
        <v>229.92</v>
      </c>
      <c r="F9973">
        <v>20160825</v>
      </c>
      <c r="G9973" t="s">
        <v>7062</v>
      </c>
      <c r="H9973" t="s">
        <v>7926</v>
      </c>
      <c r="I9973">
        <v>0</v>
      </c>
      <c r="J9973" t="s">
        <v>7024</v>
      </c>
      <c r="K9973" t="s">
        <v>290</v>
      </c>
      <c r="L9973" t="s">
        <v>285</v>
      </c>
      <c r="M9973" t="str">
        <f t="shared" si="748"/>
        <v>08</v>
      </c>
      <c r="N9973" t="s">
        <v>12</v>
      </c>
    </row>
    <row r="9974" spans="1:14" x14ac:dyDescent="0.25">
      <c r="A9974">
        <v>20160826</v>
      </c>
      <c r="B9974" t="str">
        <f>"064533"</f>
        <v>064533</v>
      </c>
      <c r="C9974" t="str">
        <f>"31345"</f>
        <v>31345</v>
      </c>
      <c r="D9974" t="s">
        <v>426</v>
      </c>
      <c r="E9974" s="3">
        <v>1431.61</v>
      </c>
      <c r="F9974">
        <v>20160825</v>
      </c>
      <c r="G9974" t="s">
        <v>7062</v>
      </c>
      <c r="H9974" t="s">
        <v>7926</v>
      </c>
      <c r="I9974">
        <v>0</v>
      </c>
      <c r="J9974" t="s">
        <v>7024</v>
      </c>
      <c r="K9974" t="s">
        <v>290</v>
      </c>
      <c r="L9974" t="s">
        <v>285</v>
      </c>
      <c r="M9974" t="str">
        <f t="shared" si="748"/>
        <v>08</v>
      </c>
      <c r="N9974" t="s">
        <v>12</v>
      </c>
    </row>
    <row r="9975" spans="1:14" x14ac:dyDescent="0.25">
      <c r="A9975">
        <v>20160826</v>
      </c>
      <c r="B9975" t="str">
        <f>"064550"</f>
        <v>064550</v>
      </c>
      <c r="C9975" t="str">
        <f>"52217"</f>
        <v>52217</v>
      </c>
      <c r="D9975" t="s">
        <v>577</v>
      </c>
      <c r="E9975" s="3">
        <v>929.36</v>
      </c>
      <c r="F9975">
        <v>20160825</v>
      </c>
      <c r="G9975" t="s">
        <v>7037</v>
      </c>
      <c r="H9975" t="s">
        <v>7927</v>
      </c>
      <c r="I9975">
        <v>0</v>
      </c>
      <c r="J9975" t="s">
        <v>7024</v>
      </c>
      <c r="K9975" t="s">
        <v>290</v>
      </c>
      <c r="L9975" t="s">
        <v>285</v>
      </c>
      <c r="M9975" t="str">
        <f t="shared" si="748"/>
        <v>08</v>
      </c>
      <c r="N9975" t="s">
        <v>12</v>
      </c>
    </row>
    <row r="9976" spans="1:14" x14ac:dyDescent="0.25">
      <c r="A9976">
        <v>20160826</v>
      </c>
      <c r="B9976" t="str">
        <f>"064561"</f>
        <v>064561</v>
      </c>
      <c r="C9976" t="str">
        <f>"58202"</f>
        <v>58202</v>
      </c>
      <c r="D9976" t="s">
        <v>2695</v>
      </c>
      <c r="E9976" s="3">
        <v>66.73</v>
      </c>
      <c r="F9976">
        <v>20160825</v>
      </c>
      <c r="G9976" t="s">
        <v>7179</v>
      </c>
      <c r="H9976" t="s">
        <v>7928</v>
      </c>
      <c r="I9976">
        <v>0</v>
      </c>
      <c r="J9976" t="s">
        <v>7024</v>
      </c>
      <c r="K9976" t="s">
        <v>95</v>
      </c>
      <c r="L9976" t="s">
        <v>285</v>
      </c>
      <c r="M9976" t="str">
        <f t="shared" si="748"/>
        <v>08</v>
      </c>
      <c r="N9976" t="s">
        <v>12</v>
      </c>
    </row>
    <row r="9977" spans="1:14" x14ac:dyDescent="0.25">
      <c r="A9977">
        <v>20160826</v>
      </c>
      <c r="B9977" t="str">
        <f>"064580"</f>
        <v>064580</v>
      </c>
      <c r="C9977" t="str">
        <f>"78430"</f>
        <v>78430</v>
      </c>
      <c r="D9977" t="s">
        <v>721</v>
      </c>
      <c r="E9977" s="3">
        <v>988.85</v>
      </c>
      <c r="F9977">
        <v>20160825</v>
      </c>
      <c r="G9977" t="s">
        <v>7140</v>
      </c>
      <c r="H9977" t="s">
        <v>7929</v>
      </c>
      <c r="I9977">
        <v>0</v>
      </c>
      <c r="J9977" t="s">
        <v>7024</v>
      </c>
      <c r="K9977" t="s">
        <v>290</v>
      </c>
      <c r="L9977" t="s">
        <v>285</v>
      </c>
      <c r="M9977" t="str">
        <f t="shared" ref="M9977:M9992" si="749">"08"</f>
        <v>08</v>
      </c>
      <c r="N9977" t="s">
        <v>12</v>
      </c>
    </row>
    <row r="9978" spans="1:14" x14ac:dyDescent="0.25">
      <c r="A9978">
        <v>20160826</v>
      </c>
      <c r="B9978" t="str">
        <f>"064584"</f>
        <v>064584</v>
      </c>
      <c r="C9978" t="str">
        <f>"80755"</f>
        <v>80755</v>
      </c>
      <c r="D9978" t="s">
        <v>723</v>
      </c>
      <c r="E9978" s="3">
        <v>841.5</v>
      </c>
      <c r="F9978">
        <v>20160825</v>
      </c>
      <c r="G9978" t="s">
        <v>7044</v>
      </c>
      <c r="H9978" t="s">
        <v>7930</v>
      </c>
      <c r="I9978">
        <v>0</v>
      </c>
      <c r="J9978" t="s">
        <v>7024</v>
      </c>
      <c r="K9978" t="s">
        <v>290</v>
      </c>
      <c r="L9978" t="s">
        <v>285</v>
      </c>
      <c r="M9978" t="str">
        <f t="shared" si="749"/>
        <v>08</v>
      </c>
      <c r="N9978" t="s">
        <v>12</v>
      </c>
    </row>
    <row r="9979" spans="1:14" x14ac:dyDescent="0.25">
      <c r="A9979">
        <v>20160826</v>
      </c>
      <c r="B9979" t="str">
        <f>"064586"</f>
        <v>064586</v>
      </c>
      <c r="C9979" t="str">
        <f>"82545"</f>
        <v>82545</v>
      </c>
      <c r="D9979" t="s">
        <v>7931</v>
      </c>
      <c r="E9979" s="3">
        <v>45.61</v>
      </c>
      <c r="F9979">
        <v>20160825</v>
      </c>
      <c r="G9979" t="s">
        <v>7147</v>
      </c>
      <c r="H9979" t="s">
        <v>7932</v>
      </c>
      <c r="I9979">
        <v>0</v>
      </c>
      <c r="J9979" t="s">
        <v>7024</v>
      </c>
      <c r="K9979" t="s">
        <v>290</v>
      </c>
      <c r="L9979" t="s">
        <v>285</v>
      </c>
      <c r="M9979" t="str">
        <f t="shared" si="749"/>
        <v>08</v>
      </c>
      <c r="N9979" t="s">
        <v>12</v>
      </c>
    </row>
    <row r="9980" spans="1:14" x14ac:dyDescent="0.25">
      <c r="A9980">
        <v>20160826</v>
      </c>
      <c r="B9980" t="str">
        <f t="shared" ref="B9980:B9985" si="750">"064587"</f>
        <v>064587</v>
      </c>
      <c r="C9980" t="str">
        <f t="shared" ref="C9980:C9985" si="751">"83022"</f>
        <v>83022</v>
      </c>
      <c r="D9980" t="s">
        <v>394</v>
      </c>
      <c r="E9980" s="3">
        <v>100.7</v>
      </c>
      <c r="F9980">
        <v>20160825</v>
      </c>
      <c r="G9980" t="s">
        <v>7149</v>
      </c>
      <c r="H9980" t="s">
        <v>395</v>
      </c>
      <c r="I9980">
        <v>0</v>
      </c>
      <c r="J9980" t="s">
        <v>7024</v>
      </c>
      <c r="K9980" t="s">
        <v>290</v>
      </c>
      <c r="L9980" t="s">
        <v>285</v>
      </c>
      <c r="M9980" t="str">
        <f t="shared" si="749"/>
        <v>08</v>
      </c>
      <c r="N9980" t="s">
        <v>12</v>
      </c>
    </row>
    <row r="9981" spans="1:14" x14ac:dyDescent="0.25">
      <c r="A9981">
        <v>20160826</v>
      </c>
      <c r="B9981" t="str">
        <f t="shared" si="750"/>
        <v>064587</v>
      </c>
      <c r="C9981" t="str">
        <f t="shared" si="751"/>
        <v>83022</v>
      </c>
      <c r="D9981" t="s">
        <v>394</v>
      </c>
      <c r="E9981" s="3">
        <v>59.76</v>
      </c>
      <c r="F9981">
        <v>20160825</v>
      </c>
      <c r="G9981" t="s">
        <v>7140</v>
      </c>
      <c r="H9981" t="s">
        <v>7933</v>
      </c>
      <c r="I9981">
        <v>0</v>
      </c>
      <c r="J9981" t="s">
        <v>7024</v>
      </c>
      <c r="K9981" t="s">
        <v>290</v>
      </c>
      <c r="L9981" t="s">
        <v>285</v>
      </c>
      <c r="M9981" t="str">
        <f t="shared" si="749"/>
        <v>08</v>
      </c>
      <c r="N9981" t="s">
        <v>12</v>
      </c>
    </row>
    <row r="9982" spans="1:14" x14ac:dyDescent="0.25">
      <c r="A9982">
        <v>20160826</v>
      </c>
      <c r="B9982" t="str">
        <f t="shared" si="750"/>
        <v>064587</v>
      </c>
      <c r="C9982" t="str">
        <f t="shared" si="751"/>
        <v>83022</v>
      </c>
      <c r="D9982" t="s">
        <v>394</v>
      </c>
      <c r="E9982" s="3">
        <v>207.26</v>
      </c>
      <c r="F9982">
        <v>20160825</v>
      </c>
      <c r="G9982" t="s">
        <v>7140</v>
      </c>
      <c r="H9982" t="s">
        <v>5799</v>
      </c>
      <c r="I9982">
        <v>0</v>
      </c>
      <c r="J9982" t="s">
        <v>7024</v>
      </c>
      <c r="K9982" t="s">
        <v>290</v>
      </c>
      <c r="L9982" t="s">
        <v>285</v>
      </c>
      <c r="M9982" t="str">
        <f t="shared" si="749"/>
        <v>08</v>
      </c>
      <c r="N9982" t="s">
        <v>12</v>
      </c>
    </row>
    <row r="9983" spans="1:14" x14ac:dyDescent="0.25">
      <c r="A9983">
        <v>20160826</v>
      </c>
      <c r="B9983" t="str">
        <f t="shared" si="750"/>
        <v>064587</v>
      </c>
      <c r="C9983" t="str">
        <f t="shared" si="751"/>
        <v>83022</v>
      </c>
      <c r="D9983" t="s">
        <v>394</v>
      </c>
      <c r="E9983" s="3">
        <v>207.25</v>
      </c>
      <c r="F9983">
        <v>20160825</v>
      </c>
      <c r="G9983" t="s">
        <v>7044</v>
      </c>
      <c r="H9983" t="s">
        <v>5799</v>
      </c>
      <c r="I9983">
        <v>0</v>
      </c>
      <c r="J9983" t="s">
        <v>7024</v>
      </c>
      <c r="K9983" t="s">
        <v>290</v>
      </c>
      <c r="L9983" t="s">
        <v>285</v>
      </c>
      <c r="M9983" t="str">
        <f t="shared" si="749"/>
        <v>08</v>
      </c>
      <c r="N9983" t="s">
        <v>12</v>
      </c>
    </row>
    <row r="9984" spans="1:14" x14ac:dyDescent="0.25">
      <c r="A9984">
        <v>20160826</v>
      </c>
      <c r="B9984" t="str">
        <f t="shared" si="750"/>
        <v>064587</v>
      </c>
      <c r="C9984" t="str">
        <f t="shared" si="751"/>
        <v>83022</v>
      </c>
      <c r="D9984" t="s">
        <v>394</v>
      </c>
      <c r="E9984" s="3">
        <v>109.21</v>
      </c>
      <c r="F9984">
        <v>20160825</v>
      </c>
      <c r="G9984" t="s">
        <v>7082</v>
      </c>
      <c r="H9984" t="s">
        <v>5398</v>
      </c>
      <c r="I9984">
        <v>0</v>
      </c>
      <c r="J9984" t="s">
        <v>7024</v>
      </c>
      <c r="K9984" t="s">
        <v>95</v>
      </c>
      <c r="L9984" t="s">
        <v>285</v>
      </c>
      <c r="M9984" t="str">
        <f t="shared" si="749"/>
        <v>08</v>
      </c>
      <c r="N9984" t="s">
        <v>12</v>
      </c>
    </row>
    <row r="9985" spans="1:14" x14ac:dyDescent="0.25">
      <c r="A9985">
        <v>20160826</v>
      </c>
      <c r="B9985" t="str">
        <f t="shared" si="750"/>
        <v>064587</v>
      </c>
      <c r="C9985" t="str">
        <f t="shared" si="751"/>
        <v>83022</v>
      </c>
      <c r="D9985" t="s">
        <v>394</v>
      </c>
      <c r="E9985" s="3">
        <v>251.61</v>
      </c>
      <c r="F9985">
        <v>20160825</v>
      </c>
      <c r="G9985" t="s">
        <v>7026</v>
      </c>
      <c r="H9985" t="s">
        <v>7934</v>
      </c>
      <c r="I9985">
        <v>0</v>
      </c>
      <c r="J9985" t="s">
        <v>7024</v>
      </c>
      <c r="K9985" t="s">
        <v>1643</v>
      </c>
      <c r="L9985" t="s">
        <v>285</v>
      </c>
      <c r="M9985" t="str">
        <f t="shared" si="749"/>
        <v>08</v>
      </c>
      <c r="N9985" t="s">
        <v>12</v>
      </c>
    </row>
    <row r="9986" spans="1:14" x14ac:dyDescent="0.25">
      <c r="A9986">
        <v>20160830</v>
      </c>
      <c r="B9986" t="str">
        <f>"064630"</f>
        <v>064630</v>
      </c>
      <c r="C9986" t="str">
        <f>"46233"</f>
        <v>46233</v>
      </c>
      <c r="D9986" t="s">
        <v>1092</v>
      </c>
      <c r="E9986" s="3">
        <v>-373.7</v>
      </c>
      <c r="F9986">
        <v>20160830</v>
      </c>
      <c r="G9986" t="s">
        <v>7935</v>
      </c>
      <c r="H9986" t="s">
        <v>7936</v>
      </c>
      <c r="I9986">
        <v>0</v>
      </c>
      <c r="J9986" t="s">
        <v>7024</v>
      </c>
      <c r="K9986" t="s">
        <v>95</v>
      </c>
      <c r="L9986" t="s">
        <v>1385</v>
      </c>
      <c r="M9986" t="str">
        <f t="shared" si="749"/>
        <v>08</v>
      </c>
      <c r="N9986" t="s">
        <v>12</v>
      </c>
    </row>
    <row r="9987" spans="1:14" x14ac:dyDescent="0.25">
      <c r="A9987">
        <v>20160830</v>
      </c>
      <c r="B9987" t="str">
        <f>"064644"</f>
        <v>064644</v>
      </c>
      <c r="C9987" t="str">
        <f>"58207"</f>
        <v>58207</v>
      </c>
      <c r="D9987" t="s">
        <v>296</v>
      </c>
      <c r="E9987" s="3">
        <v>199.85</v>
      </c>
      <c r="F9987">
        <v>20160830</v>
      </c>
      <c r="G9987" t="s">
        <v>7140</v>
      </c>
      <c r="H9987" t="s">
        <v>7937</v>
      </c>
      <c r="I9987">
        <v>0</v>
      </c>
      <c r="J9987" t="s">
        <v>7024</v>
      </c>
      <c r="K9987" t="s">
        <v>290</v>
      </c>
      <c r="L9987" t="s">
        <v>285</v>
      </c>
      <c r="M9987" t="str">
        <f t="shared" si="749"/>
        <v>08</v>
      </c>
      <c r="N9987" t="s">
        <v>12</v>
      </c>
    </row>
    <row r="9988" spans="1:14" x14ac:dyDescent="0.25">
      <c r="A9988">
        <v>20160830</v>
      </c>
      <c r="B9988" t="str">
        <f>"064644"</f>
        <v>064644</v>
      </c>
      <c r="C9988" t="str">
        <f>"58207"</f>
        <v>58207</v>
      </c>
      <c r="D9988" t="s">
        <v>296</v>
      </c>
      <c r="E9988" s="3">
        <v>80</v>
      </c>
      <c r="F9988">
        <v>20160830</v>
      </c>
      <c r="G9988" t="s">
        <v>7044</v>
      </c>
      <c r="H9988" t="s">
        <v>7938</v>
      </c>
      <c r="I9988">
        <v>0</v>
      </c>
      <c r="J9988" t="s">
        <v>7024</v>
      </c>
      <c r="K9988" t="s">
        <v>290</v>
      </c>
      <c r="L9988" t="s">
        <v>285</v>
      </c>
      <c r="M9988" t="str">
        <f t="shared" si="749"/>
        <v>08</v>
      </c>
      <c r="N9988" t="s">
        <v>12</v>
      </c>
    </row>
    <row r="9989" spans="1:14" x14ac:dyDescent="0.25">
      <c r="A9989">
        <v>20160830</v>
      </c>
      <c r="B9989" t="str">
        <f>"064644"</f>
        <v>064644</v>
      </c>
      <c r="C9989" t="str">
        <f>"58207"</f>
        <v>58207</v>
      </c>
      <c r="D9989" t="s">
        <v>296</v>
      </c>
      <c r="E9989" s="3">
        <v>84</v>
      </c>
      <c r="F9989">
        <v>20160830</v>
      </c>
      <c r="G9989" t="s">
        <v>7939</v>
      </c>
      <c r="H9989" t="s">
        <v>7940</v>
      </c>
      <c r="I9989">
        <v>0</v>
      </c>
      <c r="J9989" t="s">
        <v>7024</v>
      </c>
      <c r="K9989" t="s">
        <v>290</v>
      </c>
      <c r="L9989" t="s">
        <v>285</v>
      </c>
      <c r="M9989" t="str">
        <f t="shared" si="749"/>
        <v>08</v>
      </c>
      <c r="N9989" t="s">
        <v>12</v>
      </c>
    </row>
    <row r="9990" spans="1:14" x14ac:dyDescent="0.25">
      <c r="A9990">
        <v>20160830</v>
      </c>
      <c r="B9990" t="str">
        <f>"064648"</f>
        <v>064648</v>
      </c>
      <c r="C9990" t="str">
        <f>"65106"</f>
        <v>65106</v>
      </c>
      <c r="D9990" t="s">
        <v>1568</v>
      </c>
      <c r="E9990" s="3">
        <v>240.61</v>
      </c>
      <c r="F9990">
        <v>20160830</v>
      </c>
      <c r="G9990" t="s">
        <v>7658</v>
      </c>
      <c r="H9990" t="s">
        <v>6522</v>
      </c>
      <c r="I9990">
        <v>0</v>
      </c>
      <c r="J9990" t="s">
        <v>7024</v>
      </c>
      <c r="K9990" t="s">
        <v>1558</v>
      </c>
      <c r="L9990" t="s">
        <v>285</v>
      </c>
      <c r="M9990" t="str">
        <f t="shared" si="749"/>
        <v>08</v>
      </c>
      <c r="N9990" t="s">
        <v>12</v>
      </c>
    </row>
    <row r="9991" spans="1:14" x14ac:dyDescent="0.25">
      <c r="A9991">
        <v>20160830</v>
      </c>
      <c r="B9991" t="str">
        <f>"064650"</f>
        <v>064650</v>
      </c>
      <c r="C9991" t="str">
        <f>"68107"</f>
        <v>68107</v>
      </c>
      <c r="D9991" t="s">
        <v>716</v>
      </c>
      <c r="E9991" s="3">
        <v>28.53</v>
      </c>
      <c r="F9991">
        <v>20160830</v>
      </c>
      <c r="G9991" t="s">
        <v>7147</v>
      </c>
      <c r="H9991" t="s">
        <v>7932</v>
      </c>
      <c r="I9991">
        <v>0</v>
      </c>
      <c r="J9991" t="s">
        <v>7024</v>
      </c>
      <c r="K9991" t="s">
        <v>290</v>
      </c>
      <c r="L9991" t="s">
        <v>285</v>
      </c>
      <c r="M9991" t="str">
        <f t="shared" si="749"/>
        <v>08</v>
      </c>
      <c r="N9991" t="s">
        <v>12</v>
      </c>
    </row>
    <row r="9992" spans="1:14" x14ac:dyDescent="0.25">
      <c r="A9992">
        <v>20160830</v>
      </c>
      <c r="B9992" t="str">
        <f>"064656"</f>
        <v>064656</v>
      </c>
      <c r="C9992" t="str">
        <f>"77095"</f>
        <v>77095</v>
      </c>
      <c r="D9992" t="s">
        <v>7941</v>
      </c>
      <c r="E9992" s="3">
        <v>987</v>
      </c>
      <c r="F9992">
        <v>20160830</v>
      </c>
      <c r="G9992" t="s">
        <v>7147</v>
      </c>
      <c r="H9992" t="s">
        <v>7942</v>
      </c>
      <c r="I9992">
        <v>0</v>
      </c>
      <c r="J9992" t="s">
        <v>7024</v>
      </c>
      <c r="K9992" t="s">
        <v>290</v>
      </c>
      <c r="L9992" t="s">
        <v>285</v>
      </c>
      <c r="M9992" t="str">
        <f t="shared" si="749"/>
        <v>08</v>
      </c>
      <c r="N9992" t="s">
        <v>12</v>
      </c>
    </row>
    <row r="9993" spans="1:14" x14ac:dyDescent="0.25">
      <c r="A9993">
        <v>20151113</v>
      </c>
      <c r="B9993" t="str">
        <f>"111315"</f>
        <v>111315</v>
      </c>
      <c r="C9993" t="str">
        <f>"78311"</f>
        <v>78311</v>
      </c>
      <c r="D9993" t="s">
        <v>458</v>
      </c>
      <c r="E9993" s="3">
        <v>28.02</v>
      </c>
      <c r="F9993">
        <v>20151204</v>
      </c>
      <c r="G9993" t="s">
        <v>7044</v>
      </c>
      <c r="H9993" t="s">
        <v>654</v>
      </c>
      <c r="I9993">
        <v>0</v>
      </c>
      <c r="J9993" t="s">
        <v>7024</v>
      </c>
      <c r="K9993" t="s">
        <v>290</v>
      </c>
      <c r="L9993" t="s">
        <v>17</v>
      </c>
      <c r="M9993" t="str">
        <f>"11"</f>
        <v>11</v>
      </c>
      <c r="N9993" t="s">
        <v>12</v>
      </c>
    </row>
    <row r="9994" spans="1:14" x14ac:dyDescent="0.25">
      <c r="A9994">
        <v>20151113</v>
      </c>
      <c r="B9994" t="str">
        <f>"111315"</f>
        <v>111315</v>
      </c>
      <c r="C9994" t="str">
        <f>"78311"</f>
        <v>78311</v>
      </c>
      <c r="D9994" t="s">
        <v>458</v>
      </c>
      <c r="E9994" s="3">
        <v>25.89</v>
      </c>
      <c r="F9994">
        <v>20151204</v>
      </c>
      <c r="G9994" t="s">
        <v>7044</v>
      </c>
      <c r="H9994" t="s">
        <v>654</v>
      </c>
      <c r="I9994">
        <v>0</v>
      </c>
      <c r="J9994" t="s">
        <v>7024</v>
      </c>
      <c r="K9994" t="s">
        <v>290</v>
      </c>
      <c r="L9994" t="s">
        <v>17</v>
      </c>
      <c r="M9994" t="str">
        <f>"11"</f>
        <v>11</v>
      </c>
      <c r="N9994" t="s">
        <v>12</v>
      </c>
    </row>
    <row r="9995" spans="1:14" x14ac:dyDescent="0.25">
      <c r="A9995">
        <v>20151113</v>
      </c>
      <c r="B9995" t="str">
        <f>"111315"</f>
        <v>111315</v>
      </c>
      <c r="C9995" t="str">
        <f>"78311"</f>
        <v>78311</v>
      </c>
      <c r="D9995" t="s">
        <v>458</v>
      </c>
      <c r="E9995" s="3">
        <v>34.86</v>
      </c>
      <c r="F9995">
        <v>20151204</v>
      </c>
      <c r="G9995" t="s">
        <v>7044</v>
      </c>
      <c r="H9995" t="s">
        <v>654</v>
      </c>
      <c r="I9995">
        <v>0</v>
      </c>
      <c r="J9995" t="s">
        <v>7024</v>
      </c>
      <c r="K9995" t="s">
        <v>290</v>
      </c>
      <c r="L9995" t="s">
        <v>17</v>
      </c>
      <c r="M9995" t="str">
        <f>"11"</f>
        <v>11</v>
      </c>
      <c r="N9995" t="s">
        <v>12</v>
      </c>
    </row>
    <row r="9996" spans="1:14" x14ac:dyDescent="0.25">
      <c r="A9996">
        <v>20150911</v>
      </c>
      <c r="B9996" t="str">
        <f>"060291"</f>
        <v>060291</v>
      </c>
      <c r="C9996" t="str">
        <f>"81155"</f>
        <v>81155</v>
      </c>
      <c r="D9996" t="s">
        <v>131</v>
      </c>
      <c r="E9996" s="3">
        <v>1204.8</v>
      </c>
      <c r="F9996">
        <v>20150910</v>
      </c>
      <c r="G9996" t="s">
        <v>7943</v>
      </c>
      <c r="H9996" t="s">
        <v>7944</v>
      </c>
      <c r="I9996">
        <v>0</v>
      </c>
      <c r="J9996" t="s">
        <v>7945</v>
      </c>
      <c r="K9996" t="s">
        <v>235</v>
      </c>
      <c r="L9996" t="s">
        <v>285</v>
      </c>
      <c r="M9996" t="str">
        <f>"09"</f>
        <v>09</v>
      </c>
      <c r="N9996" t="s">
        <v>12</v>
      </c>
    </row>
    <row r="9997" spans="1:14" x14ac:dyDescent="0.25">
      <c r="A9997">
        <v>20151120</v>
      </c>
      <c r="B9997" t="str">
        <f>"061130"</f>
        <v>061130</v>
      </c>
      <c r="C9997" t="str">
        <f>"11759"</f>
        <v>11759</v>
      </c>
      <c r="D9997" t="s">
        <v>2089</v>
      </c>
      <c r="E9997" s="3">
        <v>811</v>
      </c>
      <c r="F9997">
        <v>20151118</v>
      </c>
      <c r="G9997" t="s">
        <v>7946</v>
      </c>
      <c r="H9997" t="s">
        <v>7229</v>
      </c>
      <c r="I9997">
        <v>0</v>
      </c>
      <c r="J9997" t="s">
        <v>7945</v>
      </c>
      <c r="K9997" t="s">
        <v>33</v>
      </c>
      <c r="L9997" t="s">
        <v>285</v>
      </c>
      <c r="M9997" t="str">
        <f>"11"</f>
        <v>11</v>
      </c>
      <c r="N9997" t="s">
        <v>12</v>
      </c>
    </row>
    <row r="9998" spans="1:14" x14ac:dyDescent="0.25">
      <c r="A9998">
        <v>20151204</v>
      </c>
      <c r="B9998" t="str">
        <f>"061267"</f>
        <v>061267</v>
      </c>
      <c r="C9998" t="str">
        <f>"09170"</f>
        <v>09170</v>
      </c>
      <c r="D9998" t="s">
        <v>596</v>
      </c>
      <c r="E9998" s="3">
        <v>2722.48</v>
      </c>
      <c r="F9998">
        <v>20151203</v>
      </c>
      <c r="G9998" t="s">
        <v>7947</v>
      </c>
      <c r="H9998" t="s">
        <v>7948</v>
      </c>
      <c r="I9998">
        <v>0</v>
      </c>
      <c r="J9998" t="s">
        <v>7945</v>
      </c>
      <c r="K9998" t="s">
        <v>290</v>
      </c>
      <c r="L9998" t="s">
        <v>285</v>
      </c>
      <c r="M9998" t="str">
        <f t="shared" ref="M9998:M10032" si="752">"12"</f>
        <v>12</v>
      </c>
      <c r="N9998" t="s">
        <v>12</v>
      </c>
    </row>
    <row r="9999" spans="1:14" x14ac:dyDescent="0.25">
      <c r="A9999">
        <v>20151204</v>
      </c>
      <c r="B9999" t="str">
        <f t="shared" ref="B9999:B10009" si="753">"061317"</f>
        <v>061317</v>
      </c>
      <c r="C9999" t="str">
        <f t="shared" ref="C9999:C10009" si="754">"46850"</f>
        <v>46850</v>
      </c>
      <c r="D9999" t="s">
        <v>2677</v>
      </c>
      <c r="E9999" s="3">
        <v>1239.25</v>
      </c>
      <c r="F9999">
        <v>20151203</v>
      </c>
      <c r="G9999" t="s">
        <v>7949</v>
      </c>
      <c r="H9999" t="s">
        <v>2169</v>
      </c>
      <c r="I9999">
        <v>0</v>
      </c>
      <c r="J9999" t="s">
        <v>7945</v>
      </c>
      <c r="K9999" t="s">
        <v>1643</v>
      </c>
      <c r="L9999" t="s">
        <v>285</v>
      </c>
      <c r="M9999" t="str">
        <f t="shared" si="752"/>
        <v>12</v>
      </c>
      <c r="N9999" t="s">
        <v>12</v>
      </c>
    </row>
    <row r="10000" spans="1:14" x14ac:dyDescent="0.25">
      <c r="A10000">
        <v>20151204</v>
      </c>
      <c r="B10000" t="str">
        <f t="shared" si="753"/>
        <v>061317</v>
      </c>
      <c r="C10000" t="str">
        <f t="shared" si="754"/>
        <v>46850</v>
      </c>
      <c r="D10000" t="s">
        <v>2677</v>
      </c>
      <c r="E10000" s="3">
        <v>1799.9</v>
      </c>
      <c r="F10000">
        <v>20151203</v>
      </c>
      <c r="G10000" t="s">
        <v>7950</v>
      </c>
      <c r="H10000" t="s">
        <v>2169</v>
      </c>
      <c r="I10000">
        <v>0</v>
      </c>
      <c r="J10000" t="s">
        <v>7945</v>
      </c>
      <c r="K10000" t="s">
        <v>33</v>
      </c>
      <c r="L10000" t="s">
        <v>285</v>
      </c>
      <c r="M10000" t="str">
        <f t="shared" si="752"/>
        <v>12</v>
      </c>
      <c r="N10000" t="s">
        <v>12</v>
      </c>
    </row>
    <row r="10001" spans="1:14" x14ac:dyDescent="0.25">
      <c r="A10001">
        <v>20151204</v>
      </c>
      <c r="B10001" t="str">
        <f t="shared" si="753"/>
        <v>061317</v>
      </c>
      <c r="C10001" t="str">
        <f t="shared" si="754"/>
        <v>46850</v>
      </c>
      <c r="D10001" t="s">
        <v>2677</v>
      </c>
      <c r="E10001" s="3">
        <v>296.33999999999997</v>
      </c>
      <c r="F10001">
        <v>20151203</v>
      </c>
      <c r="G10001" t="s">
        <v>7951</v>
      </c>
      <c r="H10001" t="s">
        <v>2169</v>
      </c>
      <c r="I10001">
        <v>0</v>
      </c>
      <c r="J10001" t="s">
        <v>7945</v>
      </c>
      <c r="K10001" t="s">
        <v>1643</v>
      </c>
      <c r="L10001" t="s">
        <v>285</v>
      </c>
      <c r="M10001" t="str">
        <f t="shared" si="752"/>
        <v>12</v>
      </c>
      <c r="N10001" t="s">
        <v>12</v>
      </c>
    </row>
    <row r="10002" spans="1:14" x14ac:dyDescent="0.25">
      <c r="A10002">
        <v>20151204</v>
      </c>
      <c r="B10002" t="str">
        <f t="shared" si="753"/>
        <v>061317</v>
      </c>
      <c r="C10002" t="str">
        <f t="shared" si="754"/>
        <v>46850</v>
      </c>
      <c r="D10002" t="s">
        <v>2677</v>
      </c>
      <c r="E10002" s="3">
        <v>314.83</v>
      </c>
      <c r="F10002">
        <v>20151203</v>
      </c>
      <c r="G10002" t="s">
        <v>7951</v>
      </c>
      <c r="H10002" t="s">
        <v>2169</v>
      </c>
      <c r="I10002">
        <v>0</v>
      </c>
      <c r="J10002" t="s">
        <v>7945</v>
      </c>
      <c r="K10002" t="s">
        <v>1643</v>
      </c>
      <c r="L10002" t="s">
        <v>285</v>
      </c>
      <c r="M10002" t="str">
        <f t="shared" si="752"/>
        <v>12</v>
      </c>
      <c r="N10002" t="s">
        <v>12</v>
      </c>
    </row>
    <row r="10003" spans="1:14" x14ac:dyDescent="0.25">
      <c r="A10003">
        <v>20151204</v>
      </c>
      <c r="B10003" t="str">
        <f t="shared" si="753"/>
        <v>061317</v>
      </c>
      <c r="C10003" t="str">
        <f t="shared" si="754"/>
        <v>46850</v>
      </c>
      <c r="D10003" t="s">
        <v>2677</v>
      </c>
      <c r="E10003" s="3">
        <v>312.41000000000003</v>
      </c>
      <c r="F10003">
        <v>20151203</v>
      </c>
      <c r="G10003" t="s">
        <v>7951</v>
      </c>
      <c r="H10003" t="s">
        <v>2169</v>
      </c>
      <c r="I10003">
        <v>0</v>
      </c>
      <c r="J10003" t="s">
        <v>7945</v>
      </c>
      <c r="K10003" t="s">
        <v>1643</v>
      </c>
      <c r="L10003" t="s">
        <v>285</v>
      </c>
      <c r="M10003" t="str">
        <f t="shared" si="752"/>
        <v>12</v>
      </c>
      <c r="N10003" t="s">
        <v>12</v>
      </c>
    </row>
    <row r="10004" spans="1:14" x14ac:dyDescent="0.25">
      <c r="A10004">
        <v>20151204</v>
      </c>
      <c r="B10004" t="str">
        <f t="shared" si="753"/>
        <v>061317</v>
      </c>
      <c r="C10004" t="str">
        <f t="shared" si="754"/>
        <v>46850</v>
      </c>
      <c r="D10004" t="s">
        <v>2677</v>
      </c>
      <c r="E10004" s="3">
        <v>312.95999999999998</v>
      </c>
      <c r="F10004">
        <v>20151203</v>
      </c>
      <c r="G10004" t="s">
        <v>7951</v>
      </c>
      <c r="H10004" t="s">
        <v>2169</v>
      </c>
      <c r="I10004">
        <v>0</v>
      </c>
      <c r="J10004" t="s">
        <v>7945</v>
      </c>
      <c r="K10004" t="s">
        <v>1643</v>
      </c>
      <c r="L10004" t="s">
        <v>285</v>
      </c>
      <c r="M10004" t="str">
        <f t="shared" si="752"/>
        <v>12</v>
      </c>
      <c r="N10004" t="s">
        <v>12</v>
      </c>
    </row>
    <row r="10005" spans="1:14" x14ac:dyDescent="0.25">
      <c r="A10005">
        <v>20151204</v>
      </c>
      <c r="B10005" t="str">
        <f t="shared" si="753"/>
        <v>061317</v>
      </c>
      <c r="C10005" t="str">
        <f t="shared" si="754"/>
        <v>46850</v>
      </c>
      <c r="D10005" t="s">
        <v>2677</v>
      </c>
      <c r="E10005" s="3">
        <v>317.70999999999998</v>
      </c>
      <c r="F10005">
        <v>20151203</v>
      </c>
      <c r="G10005" t="s">
        <v>7951</v>
      </c>
      <c r="H10005" t="s">
        <v>2169</v>
      </c>
      <c r="I10005">
        <v>0</v>
      </c>
      <c r="J10005" t="s">
        <v>7945</v>
      </c>
      <c r="K10005" t="s">
        <v>1643</v>
      </c>
      <c r="L10005" t="s">
        <v>285</v>
      </c>
      <c r="M10005" t="str">
        <f t="shared" si="752"/>
        <v>12</v>
      </c>
      <c r="N10005" t="s">
        <v>12</v>
      </c>
    </row>
    <row r="10006" spans="1:14" x14ac:dyDescent="0.25">
      <c r="A10006">
        <v>20151204</v>
      </c>
      <c r="B10006" t="str">
        <f t="shared" si="753"/>
        <v>061317</v>
      </c>
      <c r="C10006" t="str">
        <f t="shared" si="754"/>
        <v>46850</v>
      </c>
      <c r="D10006" t="s">
        <v>2677</v>
      </c>
      <c r="E10006" s="3">
        <v>314.31</v>
      </c>
      <c r="F10006">
        <v>20151203</v>
      </c>
      <c r="G10006" t="s">
        <v>7951</v>
      </c>
      <c r="H10006" t="s">
        <v>2169</v>
      </c>
      <c r="I10006">
        <v>0</v>
      </c>
      <c r="J10006" t="s">
        <v>7945</v>
      </c>
      <c r="K10006" t="s">
        <v>1643</v>
      </c>
      <c r="L10006" t="s">
        <v>285</v>
      </c>
      <c r="M10006" t="str">
        <f t="shared" si="752"/>
        <v>12</v>
      </c>
      <c r="N10006" t="s">
        <v>12</v>
      </c>
    </row>
    <row r="10007" spans="1:14" x14ac:dyDescent="0.25">
      <c r="A10007">
        <v>20151204</v>
      </c>
      <c r="B10007" t="str">
        <f t="shared" si="753"/>
        <v>061317</v>
      </c>
      <c r="C10007" t="str">
        <f t="shared" si="754"/>
        <v>46850</v>
      </c>
      <c r="D10007" t="s">
        <v>2677</v>
      </c>
      <c r="E10007" s="3">
        <v>1918.79</v>
      </c>
      <c r="F10007">
        <v>20151203</v>
      </c>
      <c r="G10007" t="s">
        <v>7952</v>
      </c>
      <c r="H10007" t="s">
        <v>2169</v>
      </c>
      <c r="I10007">
        <v>0</v>
      </c>
      <c r="J10007" t="s">
        <v>7945</v>
      </c>
      <c r="K10007" t="s">
        <v>33</v>
      </c>
      <c r="L10007" t="s">
        <v>285</v>
      </c>
      <c r="M10007" t="str">
        <f t="shared" si="752"/>
        <v>12</v>
      </c>
      <c r="N10007" t="s">
        <v>12</v>
      </c>
    </row>
    <row r="10008" spans="1:14" x14ac:dyDescent="0.25">
      <c r="A10008">
        <v>20151204</v>
      </c>
      <c r="B10008" t="str">
        <f t="shared" si="753"/>
        <v>061317</v>
      </c>
      <c r="C10008" t="str">
        <f t="shared" si="754"/>
        <v>46850</v>
      </c>
      <c r="D10008" t="s">
        <v>2677</v>
      </c>
      <c r="E10008" s="3">
        <v>319.56</v>
      </c>
      <c r="F10008">
        <v>20151203</v>
      </c>
      <c r="G10008" t="s">
        <v>7953</v>
      </c>
      <c r="H10008" t="s">
        <v>2169</v>
      </c>
      <c r="I10008">
        <v>0</v>
      </c>
      <c r="J10008" t="s">
        <v>7945</v>
      </c>
      <c r="K10008" t="s">
        <v>95</v>
      </c>
      <c r="L10008" t="s">
        <v>285</v>
      </c>
      <c r="M10008" t="str">
        <f t="shared" si="752"/>
        <v>12</v>
      </c>
      <c r="N10008" t="s">
        <v>12</v>
      </c>
    </row>
    <row r="10009" spans="1:14" x14ac:dyDescent="0.25">
      <c r="A10009">
        <v>20151204</v>
      </c>
      <c r="B10009" t="str">
        <f t="shared" si="753"/>
        <v>061317</v>
      </c>
      <c r="C10009" t="str">
        <f t="shared" si="754"/>
        <v>46850</v>
      </c>
      <c r="D10009" t="s">
        <v>2677</v>
      </c>
      <c r="E10009" s="3">
        <v>164.32</v>
      </c>
      <c r="F10009">
        <v>20151203</v>
      </c>
      <c r="G10009" t="s">
        <v>7954</v>
      </c>
      <c r="H10009" t="s">
        <v>2169</v>
      </c>
      <c r="I10009">
        <v>0</v>
      </c>
      <c r="J10009" t="s">
        <v>7945</v>
      </c>
      <c r="K10009" t="s">
        <v>1643</v>
      </c>
      <c r="L10009" t="s">
        <v>285</v>
      </c>
      <c r="M10009" t="str">
        <f t="shared" si="752"/>
        <v>12</v>
      </c>
      <c r="N10009" t="s">
        <v>12</v>
      </c>
    </row>
    <row r="10010" spans="1:14" x14ac:dyDescent="0.25">
      <c r="A10010">
        <v>20151204</v>
      </c>
      <c r="B10010" t="str">
        <f>"061346"</f>
        <v>061346</v>
      </c>
      <c r="C10010" t="str">
        <f>"65767"</f>
        <v>65767</v>
      </c>
      <c r="D10010" t="s">
        <v>7955</v>
      </c>
      <c r="E10010" s="3">
        <v>119</v>
      </c>
      <c r="F10010">
        <v>20151204</v>
      </c>
      <c r="G10010" t="s">
        <v>7956</v>
      </c>
      <c r="H10010" t="s">
        <v>7957</v>
      </c>
      <c r="I10010">
        <v>0</v>
      </c>
      <c r="J10010" t="s">
        <v>7945</v>
      </c>
      <c r="K10010" t="s">
        <v>1643</v>
      </c>
      <c r="L10010" t="s">
        <v>285</v>
      </c>
      <c r="M10010" t="str">
        <f t="shared" si="752"/>
        <v>12</v>
      </c>
      <c r="N10010" t="s">
        <v>12</v>
      </c>
    </row>
    <row r="10011" spans="1:14" x14ac:dyDescent="0.25">
      <c r="A10011">
        <v>20151204</v>
      </c>
      <c r="B10011" t="str">
        <f>"061346"</f>
        <v>061346</v>
      </c>
      <c r="C10011" t="str">
        <f>"65767"</f>
        <v>65767</v>
      </c>
      <c r="D10011" t="s">
        <v>7955</v>
      </c>
      <c r="E10011" s="3">
        <v>180</v>
      </c>
      <c r="F10011">
        <v>20151204</v>
      </c>
      <c r="G10011" t="s">
        <v>7956</v>
      </c>
      <c r="H10011" t="s">
        <v>7958</v>
      </c>
      <c r="I10011">
        <v>0</v>
      </c>
      <c r="J10011" t="s">
        <v>7945</v>
      </c>
      <c r="K10011" t="s">
        <v>1643</v>
      </c>
      <c r="L10011" t="s">
        <v>285</v>
      </c>
      <c r="M10011" t="str">
        <f t="shared" si="752"/>
        <v>12</v>
      </c>
      <c r="N10011" t="s">
        <v>12</v>
      </c>
    </row>
    <row r="10012" spans="1:14" x14ac:dyDescent="0.25">
      <c r="A10012">
        <v>20151204</v>
      </c>
      <c r="B10012" t="str">
        <f>"061346"</f>
        <v>061346</v>
      </c>
      <c r="C10012" t="str">
        <f>"65767"</f>
        <v>65767</v>
      </c>
      <c r="D10012" t="s">
        <v>7955</v>
      </c>
      <c r="E10012" s="3">
        <v>150</v>
      </c>
      <c r="F10012">
        <v>20151204</v>
      </c>
      <c r="G10012" t="s">
        <v>7956</v>
      </c>
      <c r="H10012" t="s">
        <v>7959</v>
      </c>
      <c r="I10012">
        <v>0</v>
      </c>
      <c r="J10012" t="s">
        <v>7945</v>
      </c>
      <c r="K10012" t="s">
        <v>1643</v>
      </c>
      <c r="L10012" t="s">
        <v>285</v>
      </c>
      <c r="M10012" t="str">
        <f t="shared" si="752"/>
        <v>12</v>
      </c>
      <c r="N10012" t="s">
        <v>12</v>
      </c>
    </row>
    <row r="10013" spans="1:14" x14ac:dyDescent="0.25">
      <c r="A10013">
        <v>20151204</v>
      </c>
      <c r="B10013" t="str">
        <f>"061346"</f>
        <v>061346</v>
      </c>
      <c r="C10013" t="str">
        <f>"65767"</f>
        <v>65767</v>
      </c>
      <c r="D10013" t="s">
        <v>7955</v>
      </c>
      <c r="E10013" s="3">
        <v>2</v>
      </c>
      <c r="F10013">
        <v>20151204</v>
      </c>
      <c r="G10013" t="s">
        <v>7956</v>
      </c>
      <c r="H10013" t="s">
        <v>7960</v>
      </c>
      <c r="I10013">
        <v>0</v>
      </c>
      <c r="J10013" t="s">
        <v>7945</v>
      </c>
      <c r="K10013" t="s">
        <v>1643</v>
      </c>
      <c r="L10013" t="s">
        <v>285</v>
      </c>
      <c r="M10013" t="str">
        <f t="shared" si="752"/>
        <v>12</v>
      </c>
      <c r="N10013" t="s">
        <v>12</v>
      </c>
    </row>
    <row r="10014" spans="1:14" x14ac:dyDescent="0.25">
      <c r="A10014">
        <v>20151204</v>
      </c>
      <c r="B10014" t="str">
        <f>"061352"</f>
        <v>061352</v>
      </c>
      <c r="C10014" t="str">
        <f>"74117"</f>
        <v>74117</v>
      </c>
      <c r="D10014" t="s">
        <v>3615</v>
      </c>
      <c r="E10014" s="3">
        <v>671.38</v>
      </c>
      <c r="F10014">
        <v>20151204</v>
      </c>
      <c r="G10014" t="s">
        <v>7954</v>
      </c>
      <c r="H10014" t="s">
        <v>7961</v>
      </c>
      <c r="I10014">
        <v>0</v>
      </c>
      <c r="J10014" t="s">
        <v>7945</v>
      </c>
      <c r="K10014" t="s">
        <v>1643</v>
      </c>
      <c r="L10014" t="s">
        <v>285</v>
      </c>
      <c r="M10014" t="str">
        <f t="shared" si="752"/>
        <v>12</v>
      </c>
      <c r="N10014" t="s">
        <v>12</v>
      </c>
    </row>
    <row r="10015" spans="1:14" x14ac:dyDescent="0.25">
      <c r="A10015">
        <v>20151204</v>
      </c>
      <c r="B10015" t="str">
        <f>"061359"</f>
        <v>061359</v>
      </c>
      <c r="C10015" t="str">
        <f>"80106"</f>
        <v>80106</v>
      </c>
      <c r="D10015" t="s">
        <v>6673</v>
      </c>
      <c r="E10015" s="3">
        <v>228.67</v>
      </c>
      <c r="F10015">
        <v>20151204</v>
      </c>
      <c r="G10015" t="s">
        <v>7954</v>
      </c>
      <c r="H10015" t="s">
        <v>7961</v>
      </c>
      <c r="I10015">
        <v>0</v>
      </c>
      <c r="J10015" t="s">
        <v>7945</v>
      </c>
      <c r="K10015" t="s">
        <v>1643</v>
      </c>
      <c r="L10015" t="s">
        <v>285</v>
      </c>
      <c r="M10015" t="str">
        <f t="shared" si="752"/>
        <v>12</v>
      </c>
      <c r="N10015" t="s">
        <v>12</v>
      </c>
    </row>
    <row r="10016" spans="1:14" x14ac:dyDescent="0.25">
      <c r="A10016">
        <v>20151211</v>
      </c>
      <c r="B10016" t="str">
        <f t="shared" ref="B10016:B10026" si="755">"061375"</f>
        <v>061375</v>
      </c>
      <c r="C10016" t="str">
        <f t="shared" ref="C10016:C10026" si="756">"06509"</f>
        <v>06509</v>
      </c>
      <c r="D10016" t="s">
        <v>1555</v>
      </c>
      <c r="E10016" s="3">
        <v>777</v>
      </c>
      <c r="F10016">
        <v>20151210</v>
      </c>
      <c r="G10016" t="s">
        <v>7962</v>
      </c>
      <c r="H10016" t="s">
        <v>7963</v>
      </c>
      <c r="I10016">
        <v>0</v>
      </c>
      <c r="J10016" t="s">
        <v>7945</v>
      </c>
      <c r="K10016" t="s">
        <v>1643</v>
      </c>
      <c r="L10016" t="s">
        <v>285</v>
      </c>
      <c r="M10016" t="str">
        <f t="shared" si="752"/>
        <v>12</v>
      </c>
      <c r="N10016" t="s">
        <v>12</v>
      </c>
    </row>
    <row r="10017" spans="1:14" x14ac:dyDescent="0.25">
      <c r="A10017">
        <v>20151211</v>
      </c>
      <c r="B10017" t="str">
        <f t="shared" si="755"/>
        <v>061375</v>
      </c>
      <c r="C10017" t="str">
        <f t="shared" si="756"/>
        <v>06509</v>
      </c>
      <c r="D10017" t="s">
        <v>1555</v>
      </c>
      <c r="E10017" s="3">
        <v>84</v>
      </c>
      <c r="F10017">
        <v>20151210</v>
      </c>
      <c r="G10017" t="s">
        <v>7962</v>
      </c>
      <c r="H10017" t="s">
        <v>7287</v>
      </c>
      <c r="I10017">
        <v>0</v>
      </c>
      <c r="J10017" t="s">
        <v>7945</v>
      </c>
      <c r="K10017" t="s">
        <v>1643</v>
      </c>
      <c r="L10017" t="s">
        <v>285</v>
      </c>
      <c r="M10017" t="str">
        <f t="shared" si="752"/>
        <v>12</v>
      </c>
      <c r="N10017" t="s">
        <v>12</v>
      </c>
    </row>
    <row r="10018" spans="1:14" x14ac:dyDescent="0.25">
      <c r="A10018">
        <v>20151211</v>
      </c>
      <c r="B10018" t="str">
        <f t="shared" si="755"/>
        <v>061375</v>
      </c>
      <c r="C10018" t="str">
        <f t="shared" si="756"/>
        <v>06509</v>
      </c>
      <c r="D10018" t="s">
        <v>1555</v>
      </c>
      <c r="E10018" s="3">
        <v>1016</v>
      </c>
      <c r="F10018">
        <v>20151210</v>
      </c>
      <c r="G10018" t="s">
        <v>7964</v>
      </c>
      <c r="H10018" t="s">
        <v>7965</v>
      </c>
      <c r="I10018">
        <v>0</v>
      </c>
      <c r="J10018" t="s">
        <v>7945</v>
      </c>
      <c r="K10018" t="s">
        <v>1643</v>
      </c>
      <c r="L10018" t="s">
        <v>285</v>
      </c>
      <c r="M10018" t="str">
        <f t="shared" si="752"/>
        <v>12</v>
      </c>
      <c r="N10018" t="s">
        <v>12</v>
      </c>
    </row>
    <row r="10019" spans="1:14" x14ac:dyDescent="0.25">
      <c r="A10019">
        <v>20151211</v>
      </c>
      <c r="B10019" t="str">
        <f t="shared" si="755"/>
        <v>061375</v>
      </c>
      <c r="C10019" t="str">
        <f t="shared" si="756"/>
        <v>06509</v>
      </c>
      <c r="D10019" t="s">
        <v>1555</v>
      </c>
      <c r="E10019" s="3">
        <v>112</v>
      </c>
      <c r="F10019">
        <v>20151210</v>
      </c>
      <c r="G10019" t="s">
        <v>7964</v>
      </c>
      <c r="H10019" t="s">
        <v>7287</v>
      </c>
      <c r="I10019">
        <v>0</v>
      </c>
      <c r="J10019" t="s">
        <v>7945</v>
      </c>
      <c r="K10019" t="s">
        <v>1643</v>
      </c>
      <c r="L10019" t="s">
        <v>285</v>
      </c>
      <c r="M10019" t="str">
        <f t="shared" si="752"/>
        <v>12</v>
      </c>
      <c r="N10019" t="s">
        <v>12</v>
      </c>
    </row>
    <row r="10020" spans="1:14" x14ac:dyDescent="0.25">
      <c r="A10020">
        <v>20151211</v>
      </c>
      <c r="B10020" t="str">
        <f t="shared" si="755"/>
        <v>061375</v>
      </c>
      <c r="C10020" t="str">
        <f t="shared" si="756"/>
        <v>06509</v>
      </c>
      <c r="D10020" t="s">
        <v>1555</v>
      </c>
      <c r="E10020" s="3">
        <v>1016</v>
      </c>
      <c r="F10020">
        <v>20151210</v>
      </c>
      <c r="G10020" t="s">
        <v>7966</v>
      </c>
      <c r="H10020" t="s">
        <v>7965</v>
      </c>
      <c r="I10020">
        <v>0</v>
      </c>
      <c r="J10020" t="s">
        <v>7945</v>
      </c>
      <c r="K10020" t="s">
        <v>1643</v>
      </c>
      <c r="L10020" t="s">
        <v>285</v>
      </c>
      <c r="M10020" t="str">
        <f t="shared" si="752"/>
        <v>12</v>
      </c>
      <c r="N10020" t="s">
        <v>12</v>
      </c>
    </row>
    <row r="10021" spans="1:14" x14ac:dyDescent="0.25">
      <c r="A10021">
        <v>20151211</v>
      </c>
      <c r="B10021" t="str">
        <f t="shared" si="755"/>
        <v>061375</v>
      </c>
      <c r="C10021" t="str">
        <f t="shared" si="756"/>
        <v>06509</v>
      </c>
      <c r="D10021" t="s">
        <v>1555</v>
      </c>
      <c r="E10021" s="3">
        <v>1016</v>
      </c>
      <c r="F10021">
        <v>20151210</v>
      </c>
      <c r="G10021" t="s">
        <v>7967</v>
      </c>
      <c r="H10021" t="s">
        <v>7965</v>
      </c>
      <c r="I10021">
        <v>0</v>
      </c>
      <c r="J10021" t="s">
        <v>7945</v>
      </c>
      <c r="K10021" t="s">
        <v>1643</v>
      </c>
      <c r="L10021" t="s">
        <v>285</v>
      </c>
      <c r="M10021" t="str">
        <f t="shared" si="752"/>
        <v>12</v>
      </c>
      <c r="N10021" t="s">
        <v>12</v>
      </c>
    </row>
    <row r="10022" spans="1:14" x14ac:dyDescent="0.25">
      <c r="A10022">
        <v>20151211</v>
      </c>
      <c r="B10022" t="str">
        <f t="shared" si="755"/>
        <v>061375</v>
      </c>
      <c r="C10022" t="str">
        <f t="shared" si="756"/>
        <v>06509</v>
      </c>
      <c r="D10022" t="s">
        <v>1555</v>
      </c>
      <c r="E10022" s="3">
        <v>100</v>
      </c>
      <c r="F10022">
        <v>20151210</v>
      </c>
      <c r="G10022" t="s">
        <v>7967</v>
      </c>
      <c r="H10022" t="s">
        <v>7287</v>
      </c>
      <c r="I10022">
        <v>0</v>
      </c>
      <c r="J10022" t="s">
        <v>7945</v>
      </c>
      <c r="K10022" t="s">
        <v>1643</v>
      </c>
      <c r="L10022" t="s">
        <v>285</v>
      </c>
      <c r="M10022" t="str">
        <f t="shared" si="752"/>
        <v>12</v>
      </c>
      <c r="N10022" t="s">
        <v>12</v>
      </c>
    </row>
    <row r="10023" spans="1:14" x14ac:dyDescent="0.25">
      <c r="A10023">
        <v>20151211</v>
      </c>
      <c r="B10023" t="str">
        <f t="shared" si="755"/>
        <v>061375</v>
      </c>
      <c r="C10023" t="str">
        <f t="shared" si="756"/>
        <v>06509</v>
      </c>
      <c r="D10023" t="s">
        <v>1555</v>
      </c>
      <c r="E10023" s="3">
        <v>1016</v>
      </c>
      <c r="F10023">
        <v>20151210</v>
      </c>
      <c r="G10023" t="s">
        <v>7968</v>
      </c>
      <c r="H10023" t="s">
        <v>7965</v>
      </c>
      <c r="I10023">
        <v>0</v>
      </c>
      <c r="J10023" t="s">
        <v>7945</v>
      </c>
      <c r="K10023" t="s">
        <v>1643</v>
      </c>
      <c r="L10023" t="s">
        <v>285</v>
      </c>
      <c r="M10023" t="str">
        <f t="shared" si="752"/>
        <v>12</v>
      </c>
      <c r="N10023" t="s">
        <v>12</v>
      </c>
    </row>
    <row r="10024" spans="1:14" x14ac:dyDescent="0.25">
      <c r="A10024">
        <v>20151211</v>
      </c>
      <c r="B10024" t="str">
        <f t="shared" si="755"/>
        <v>061375</v>
      </c>
      <c r="C10024" t="str">
        <f t="shared" si="756"/>
        <v>06509</v>
      </c>
      <c r="D10024" t="s">
        <v>1555</v>
      </c>
      <c r="E10024" s="3">
        <v>112</v>
      </c>
      <c r="F10024">
        <v>20151210</v>
      </c>
      <c r="G10024" t="s">
        <v>7968</v>
      </c>
      <c r="H10024" t="s">
        <v>7287</v>
      </c>
      <c r="I10024">
        <v>0</v>
      </c>
      <c r="J10024" t="s">
        <v>7945</v>
      </c>
      <c r="K10024" t="s">
        <v>1643</v>
      </c>
      <c r="L10024" t="s">
        <v>285</v>
      </c>
      <c r="M10024" t="str">
        <f t="shared" si="752"/>
        <v>12</v>
      </c>
      <c r="N10024" t="s">
        <v>12</v>
      </c>
    </row>
    <row r="10025" spans="1:14" x14ac:dyDescent="0.25">
      <c r="A10025">
        <v>20151211</v>
      </c>
      <c r="B10025" t="str">
        <f t="shared" si="755"/>
        <v>061375</v>
      </c>
      <c r="C10025" t="str">
        <f t="shared" si="756"/>
        <v>06509</v>
      </c>
      <c r="D10025" t="s">
        <v>1555</v>
      </c>
      <c r="E10025" s="3">
        <v>1016</v>
      </c>
      <c r="F10025">
        <v>20151210</v>
      </c>
      <c r="G10025" t="s">
        <v>7969</v>
      </c>
      <c r="H10025" t="s">
        <v>7965</v>
      </c>
      <c r="I10025">
        <v>0</v>
      </c>
      <c r="J10025" t="s">
        <v>7945</v>
      </c>
      <c r="K10025" t="s">
        <v>1643</v>
      </c>
      <c r="L10025" t="s">
        <v>285</v>
      </c>
      <c r="M10025" t="str">
        <f t="shared" si="752"/>
        <v>12</v>
      </c>
      <c r="N10025" t="s">
        <v>12</v>
      </c>
    </row>
    <row r="10026" spans="1:14" x14ac:dyDescent="0.25">
      <c r="A10026">
        <v>20151211</v>
      </c>
      <c r="B10026" t="str">
        <f t="shared" si="755"/>
        <v>061375</v>
      </c>
      <c r="C10026" t="str">
        <f t="shared" si="756"/>
        <v>06509</v>
      </c>
      <c r="D10026" t="s">
        <v>1555</v>
      </c>
      <c r="E10026" s="3">
        <v>112</v>
      </c>
      <c r="F10026">
        <v>20151210</v>
      </c>
      <c r="G10026" t="s">
        <v>7969</v>
      </c>
      <c r="H10026" t="s">
        <v>7287</v>
      </c>
      <c r="I10026">
        <v>0</v>
      </c>
      <c r="J10026" t="s">
        <v>7945</v>
      </c>
      <c r="K10026" t="s">
        <v>1643</v>
      </c>
      <c r="L10026" t="s">
        <v>285</v>
      </c>
      <c r="M10026" t="str">
        <f t="shared" si="752"/>
        <v>12</v>
      </c>
      <c r="N10026" t="s">
        <v>12</v>
      </c>
    </row>
    <row r="10027" spans="1:14" x14ac:dyDescent="0.25">
      <c r="A10027">
        <v>20151211</v>
      </c>
      <c r="B10027" t="str">
        <f>"061475"</f>
        <v>061475</v>
      </c>
      <c r="C10027" t="str">
        <f>"74226"</f>
        <v>74226</v>
      </c>
      <c r="D10027" t="s">
        <v>7970</v>
      </c>
      <c r="E10027" s="3">
        <v>159.97999999999999</v>
      </c>
      <c r="F10027">
        <v>20151211</v>
      </c>
      <c r="G10027" t="s">
        <v>7962</v>
      </c>
      <c r="H10027" t="s">
        <v>7971</v>
      </c>
      <c r="I10027">
        <v>0</v>
      </c>
      <c r="J10027" t="s">
        <v>7945</v>
      </c>
      <c r="K10027" t="s">
        <v>1643</v>
      </c>
      <c r="L10027" t="s">
        <v>285</v>
      </c>
      <c r="M10027" t="str">
        <f t="shared" si="752"/>
        <v>12</v>
      </c>
      <c r="N10027" t="s">
        <v>12</v>
      </c>
    </row>
    <row r="10028" spans="1:14" x14ac:dyDescent="0.25">
      <c r="A10028">
        <v>20151218</v>
      </c>
      <c r="B10028" t="str">
        <f>"061502"</f>
        <v>061502</v>
      </c>
      <c r="C10028" t="str">
        <f>"08719"</f>
        <v>08719</v>
      </c>
      <c r="D10028" t="s">
        <v>2052</v>
      </c>
      <c r="E10028" s="3">
        <v>515.96</v>
      </c>
      <c r="F10028">
        <v>20151216</v>
      </c>
      <c r="G10028" t="s">
        <v>7972</v>
      </c>
      <c r="H10028" t="s">
        <v>7973</v>
      </c>
      <c r="I10028">
        <v>0</v>
      </c>
      <c r="J10028" t="s">
        <v>7945</v>
      </c>
      <c r="K10028" t="s">
        <v>290</v>
      </c>
      <c r="L10028" t="s">
        <v>285</v>
      </c>
      <c r="M10028" t="str">
        <f t="shared" si="752"/>
        <v>12</v>
      </c>
      <c r="N10028" t="s">
        <v>12</v>
      </c>
    </row>
    <row r="10029" spans="1:14" x14ac:dyDescent="0.25">
      <c r="A10029">
        <v>20151218</v>
      </c>
      <c r="B10029" t="str">
        <f>"061524"</f>
        <v>061524</v>
      </c>
      <c r="C10029" t="str">
        <f>"19033"</f>
        <v>19033</v>
      </c>
      <c r="D10029" t="s">
        <v>7331</v>
      </c>
      <c r="E10029" s="3">
        <v>3250</v>
      </c>
      <c r="F10029">
        <v>20151217</v>
      </c>
      <c r="G10029" t="s">
        <v>7974</v>
      </c>
      <c r="H10029" t="s">
        <v>7332</v>
      </c>
      <c r="I10029">
        <v>0</v>
      </c>
      <c r="J10029" t="s">
        <v>7945</v>
      </c>
      <c r="K10029" t="s">
        <v>33</v>
      </c>
      <c r="L10029" t="s">
        <v>285</v>
      </c>
      <c r="M10029" t="str">
        <f t="shared" si="752"/>
        <v>12</v>
      </c>
      <c r="N10029" t="s">
        <v>12</v>
      </c>
    </row>
    <row r="10030" spans="1:14" x14ac:dyDescent="0.25">
      <c r="A10030">
        <v>20151218</v>
      </c>
      <c r="B10030" t="str">
        <f>"061558"</f>
        <v>061558</v>
      </c>
      <c r="C10030" t="str">
        <f>"30902"</f>
        <v>30902</v>
      </c>
      <c r="D10030" t="s">
        <v>7975</v>
      </c>
      <c r="E10030" s="3">
        <v>419.46</v>
      </c>
      <c r="F10030">
        <v>20151216</v>
      </c>
      <c r="G10030" t="s">
        <v>7954</v>
      </c>
      <c r="H10030" t="s">
        <v>7961</v>
      </c>
      <c r="I10030">
        <v>0</v>
      </c>
      <c r="J10030" t="s">
        <v>7945</v>
      </c>
      <c r="K10030" t="s">
        <v>1643</v>
      </c>
      <c r="L10030" t="s">
        <v>285</v>
      </c>
      <c r="M10030" t="str">
        <f t="shared" si="752"/>
        <v>12</v>
      </c>
      <c r="N10030" t="s">
        <v>12</v>
      </c>
    </row>
    <row r="10031" spans="1:14" x14ac:dyDescent="0.25">
      <c r="A10031">
        <v>20151218</v>
      </c>
      <c r="B10031" t="str">
        <f>"061601"</f>
        <v>061601</v>
      </c>
      <c r="C10031" t="str">
        <f>"54237"</f>
        <v>54237</v>
      </c>
      <c r="D10031" t="s">
        <v>7976</v>
      </c>
      <c r="E10031" s="3">
        <v>724.1</v>
      </c>
      <c r="F10031">
        <v>20151216</v>
      </c>
      <c r="G10031" t="s">
        <v>7954</v>
      </c>
      <c r="H10031" t="s">
        <v>7961</v>
      </c>
      <c r="I10031">
        <v>0</v>
      </c>
      <c r="J10031" t="s">
        <v>7945</v>
      </c>
      <c r="K10031" t="s">
        <v>1643</v>
      </c>
      <c r="L10031" t="s">
        <v>285</v>
      </c>
      <c r="M10031" t="str">
        <f t="shared" si="752"/>
        <v>12</v>
      </c>
      <c r="N10031" t="s">
        <v>12</v>
      </c>
    </row>
    <row r="10032" spans="1:14" x14ac:dyDescent="0.25">
      <c r="A10032">
        <v>20151218</v>
      </c>
      <c r="B10032" t="str">
        <f>"061627"</f>
        <v>061627</v>
      </c>
      <c r="C10032" t="str">
        <f>"67624"</f>
        <v>67624</v>
      </c>
      <c r="D10032" t="s">
        <v>7040</v>
      </c>
      <c r="E10032" s="3">
        <v>2500</v>
      </c>
      <c r="F10032">
        <v>20151216</v>
      </c>
      <c r="G10032" t="s">
        <v>7977</v>
      </c>
      <c r="H10032" t="s">
        <v>7042</v>
      </c>
      <c r="I10032">
        <v>0</v>
      </c>
      <c r="J10032" t="s">
        <v>7945</v>
      </c>
      <c r="K10032" t="s">
        <v>290</v>
      </c>
      <c r="L10032" t="s">
        <v>285</v>
      </c>
      <c r="M10032" t="str">
        <f t="shared" si="752"/>
        <v>12</v>
      </c>
      <c r="N10032" t="s">
        <v>12</v>
      </c>
    </row>
    <row r="10033" spans="1:14" x14ac:dyDescent="0.25">
      <c r="A10033">
        <v>20160111</v>
      </c>
      <c r="B10033" t="str">
        <f>"061677"</f>
        <v>061677</v>
      </c>
      <c r="C10033" t="str">
        <f>"09170"</f>
        <v>09170</v>
      </c>
      <c r="D10033" t="s">
        <v>596</v>
      </c>
      <c r="E10033" s="3">
        <v>399.13</v>
      </c>
      <c r="F10033">
        <v>20160108</v>
      </c>
      <c r="G10033" t="s">
        <v>7954</v>
      </c>
      <c r="H10033" t="s">
        <v>7978</v>
      </c>
      <c r="I10033">
        <v>0</v>
      </c>
      <c r="J10033" t="s">
        <v>7945</v>
      </c>
      <c r="K10033" t="s">
        <v>1643</v>
      </c>
      <c r="L10033" t="s">
        <v>285</v>
      </c>
      <c r="M10033" t="str">
        <f t="shared" ref="M10033:M10039" si="757">"01"</f>
        <v>01</v>
      </c>
      <c r="N10033" t="s">
        <v>12</v>
      </c>
    </row>
    <row r="10034" spans="1:14" x14ac:dyDescent="0.25">
      <c r="A10034">
        <v>20160111</v>
      </c>
      <c r="B10034" t="str">
        <f>"061677"</f>
        <v>061677</v>
      </c>
      <c r="C10034" t="str">
        <f>"09170"</f>
        <v>09170</v>
      </c>
      <c r="D10034" t="s">
        <v>596</v>
      </c>
      <c r="E10034" s="3">
        <v>1150</v>
      </c>
      <c r="F10034">
        <v>20160108</v>
      </c>
      <c r="G10034" t="s">
        <v>7979</v>
      </c>
      <c r="H10034" t="s">
        <v>7980</v>
      </c>
      <c r="I10034">
        <v>0</v>
      </c>
      <c r="J10034" t="s">
        <v>7945</v>
      </c>
      <c r="K10034" t="s">
        <v>95</v>
      </c>
      <c r="L10034" t="s">
        <v>285</v>
      </c>
      <c r="M10034" t="str">
        <f t="shared" si="757"/>
        <v>01</v>
      </c>
      <c r="N10034" t="s">
        <v>12</v>
      </c>
    </row>
    <row r="10035" spans="1:14" x14ac:dyDescent="0.25">
      <c r="A10035">
        <v>20160111</v>
      </c>
      <c r="B10035" t="str">
        <f>"061677"</f>
        <v>061677</v>
      </c>
      <c r="C10035" t="str">
        <f>"09170"</f>
        <v>09170</v>
      </c>
      <c r="D10035" t="s">
        <v>596</v>
      </c>
      <c r="E10035" s="3">
        <v>51.01</v>
      </c>
      <c r="F10035">
        <v>20160108</v>
      </c>
      <c r="G10035" t="s">
        <v>7966</v>
      </c>
      <c r="H10035" t="s">
        <v>7981</v>
      </c>
      <c r="I10035">
        <v>0</v>
      </c>
      <c r="J10035" t="s">
        <v>7945</v>
      </c>
      <c r="K10035" t="s">
        <v>1643</v>
      </c>
      <c r="L10035" t="s">
        <v>285</v>
      </c>
      <c r="M10035" t="str">
        <f t="shared" si="757"/>
        <v>01</v>
      </c>
      <c r="N10035" t="s">
        <v>12</v>
      </c>
    </row>
    <row r="10036" spans="1:14" x14ac:dyDescent="0.25">
      <c r="A10036">
        <v>20160111</v>
      </c>
      <c r="B10036" t="str">
        <f>"061677"</f>
        <v>061677</v>
      </c>
      <c r="C10036" t="str">
        <f>"09170"</f>
        <v>09170</v>
      </c>
      <c r="D10036" t="s">
        <v>596</v>
      </c>
      <c r="E10036" s="3">
        <v>299</v>
      </c>
      <c r="F10036">
        <v>20160108</v>
      </c>
      <c r="G10036" t="s">
        <v>7947</v>
      </c>
      <c r="H10036" t="s">
        <v>7368</v>
      </c>
      <c r="I10036">
        <v>0</v>
      </c>
      <c r="J10036" t="s">
        <v>7945</v>
      </c>
      <c r="K10036" t="s">
        <v>290</v>
      </c>
      <c r="L10036" t="s">
        <v>285</v>
      </c>
      <c r="M10036" t="str">
        <f t="shared" si="757"/>
        <v>01</v>
      </c>
      <c r="N10036" t="s">
        <v>12</v>
      </c>
    </row>
    <row r="10037" spans="1:14" x14ac:dyDescent="0.25">
      <c r="A10037">
        <v>20160111</v>
      </c>
      <c r="B10037" t="str">
        <f>"061746"</f>
        <v>061746</v>
      </c>
      <c r="C10037" t="str">
        <f>"83022"</f>
        <v>83022</v>
      </c>
      <c r="D10037" t="s">
        <v>394</v>
      </c>
      <c r="E10037" s="3">
        <v>268</v>
      </c>
      <c r="F10037">
        <v>20160108</v>
      </c>
      <c r="G10037" t="s">
        <v>7982</v>
      </c>
      <c r="H10037" t="s">
        <v>7983</v>
      </c>
      <c r="I10037">
        <v>0</v>
      </c>
      <c r="J10037" t="s">
        <v>7945</v>
      </c>
      <c r="K10037" t="s">
        <v>1643</v>
      </c>
      <c r="L10037" t="s">
        <v>285</v>
      </c>
      <c r="M10037" t="str">
        <f t="shared" si="757"/>
        <v>01</v>
      </c>
      <c r="N10037" t="s">
        <v>12</v>
      </c>
    </row>
    <row r="10038" spans="1:14" x14ac:dyDescent="0.25">
      <c r="A10038">
        <v>20160122</v>
      </c>
      <c r="B10038" t="str">
        <f>"061800"</f>
        <v>061800</v>
      </c>
      <c r="C10038" t="str">
        <f>"11759"</f>
        <v>11759</v>
      </c>
      <c r="D10038" t="s">
        <v>2089</v>
      </c>
      <c r="E10038" s="3">
        <v>440.4</v>
      </c>
      <c r="F10038">
        <v>20160121</v>
      </c>
      <c r="G10038" t="s">
        <v>7984</v>
      </c>
      <c r="H10038" t="s">
        <v>7985</v>
      </c>
      <c r="I10038">
        <v>0</v>
      </c>
      <c r="J10038" t="s">
        <v>7945</v>
      </c>
      <c r="K10038" t="s">
        <v>33</v>
      </c>
      <c r="L10038" t="s">
        <v>285</v>
      </c>
      <c r="M10038" t="str">
        <f t="shared" si="757"/>
        <v>01</v>
      </c>
      <c r="N10038" t="s">
        <v>12</v>
      </c>
    </row>
    <row r="10039" spans="1:14" x14ac:dyDescent="0.25">
      <c r="A10039">
        <v>20160122</v>
      </c>
      <c r="B10039" t="str">
        <f>"061857"</f>
        <v>061857</v>
      </c>
      <c r="C10039" t="str">
        <f>"46850"</f>
        <v>46850</v>
      </c>
      <c r="D10039" t="s">
        <v>2677</v>
      </c>
      <c r="E10039" s="3">
        <v>330.05</v>
      </c>
      <c r="F10039">
        <v>20160121</v>
      </c>
      <c r="G10039" t="s">
        <v>7951</v>
      </c>
      <c r="H10039" t="s">
        <v>2169</v>
      </c>
      <c r="I10039">
        <v>0</v>
      </c>
      <c r="J10039" t="s">
        <v>7945</v>
      </c>
      <c r="K10039" t="s">
        <v>1643</v>
      </c>
      <c r="L10039" t="s">
        <v>285</v>
      </c>
      <c r="M10039" t="str">
        <f t="shared" si="757"/>
        <v>01</v>
      </c>
      <c r="N10039" t="s">
        <v>12</v>
      </c>
    </row>
    <row r="10040" spans="1:14" x14ac:dyDescent="0.25">
      <c r="A10040">
        <v>20160205</v>
      </c>
      <c r="B10040" t="str">
        <f>"062189"</f>
        <v>062189</v>
      </c>
      <c r="C10040" t="str">
        <f t="shared" ref="C10040:C10046" si="758">"16807"</f>
        <v>16807</v>
      </c>
      <c r="D10040" t="s">
        <v>1560</v>
      </c>
      <c r="E10040" s="3">
        <v>915.5</v>
      </c>
      <c r="F10040">
        <v>20160203</v>
      </c>
      <c r="G10040" t="s">
        <v>7986</v>
      </c>
      <c r="H10040" t="s">
        <v>7987</v>
      </c>
      <c r="I10040">
        <v>0</v>
      </c>
      <c r="J10040" t="s">
        <v>7945</v>
      </c>
      <c r="K10040" t="s">
        <v>33</v>
      </c>
      <c r="L10040" t="s">
        <v>285</v>
      </c>
      <c r="M10040" t="str">
        <f t="shared" ref="M10040:M10054" si="759">"02"</f>
        <v>02</v>
      </c>
      <c r="N10040" t="s">
        <v>12</v>
      </c>
    </row>
    <row r="10041" spans="1:14" x14ac:dyDescent="0.25">
      <c r="A10041">
        <v>20160212</v>
      </c>
      <c r="B10041" t="str">
        <f t="shared" ref="B10041:B10046" si="760">"062276"</f>
        <v>062276</v>
      </c>
      <c r="C10041" t="str">
        <f t="shared" si="758"/>
        <v>16807</v>
      </c>
      <c r="D10041" t="s">
        <v>1560</v>
      </c>
      <c r="E10041" s="3">
        <v>915.5</v>
      </c>
      <c r="F10041">
        <v>20160211</v>
      </c>
      <c r="G10041" t="s">
        <v>7988</v>
      </c>
      <c r="H10041" t="s">
        <v>7987</v>
      </c>
      <c r="I10041">
        <v>0</v>
      </c>
      <c r="J10041" t="s">
        <v>7945</v>
      </c>
      <c r="K10041" t="s">
        <v>1643</v>
      </c>
      <c r="L10041" t="s">
        <v>285</v>
      </c>
      <c r="M10041" t="str">
        <f t="shared" si="759"/>
        <v>02</v>
      </c>
      <c r="N10041" t="s">
        <v>12</v>
      </c>
    </row>
    <row r="10042" spans="1:14" x14ac:dyDescent="0.25">
      <c r="A10042">
        <v>20160212</v>
      </c>
      <c r="B10042" t="str">
        <f t="shared" si="760"/>
        <v>062276</v>
      </c>
      <c r="C10042" t="str">
        <f t="shared" si="758"/>
        <v>16807</v>
      </c>
      <c r="D10042" t="s">
        <v>1560</v>
      </c>
      <c r="E10042" s="3">
        <v>915.5</v>
      </c>
      <c r="F10042">
        <v>20160211</v>
      </c>
      <c r="G10042" t="s">
        <v>7989</v>
      </c>
      <c r="H10042" t="s">
        <v>7987</v>
      </c>
      <c r="I10042">
        <v>0</v>
      </c>
      <c r="J10042" t="s">
        <v>7945</v>
      </c>
      <c r="K10042" t="s">
        <v>1643</v>
      </c>
      <c r="L10042" t="s">
        <v>285</v>
      </c>
      <c r="M10042" t="str">
        <f t="shared" si="759"/>
        <v>02</v>
      </c>
      <c r="N10042" t="s">
        <v>12</v>
      </c>
    </row>
    <row r="10043" spans="1:14" x14ac:dyDescent="0.25">
      <c r="A10043">
        <v>20160212</v>
      </c>
      <c r="B10043" t="str">
        <f t="shared" si="760"/>
        <v>062276</v>
      </c>
      <c r="C10043" t="str">
        <f t="shared" si="758"/>
        <v>16807</v>
      </c>
      <c r="D10043" t="s">
        <v>1560</v>
      </c>
      <c r="E10043" s="3">
        <v>915.5</v>
      </c>
      <c r="F10043">
        <v>20160211</v>
      </c>
      <c r="G10043" t="s">
        <v>7990</v>
      </c>
      <c r="H10043" t="s">
        <v>7987</v>
      </c>
      <c r="I10043">
        <v>0</v>
      </c>
      <c r="J10043" t="s">
        <v>7945</v>
      </c>
      <c r="K10043" t="s">
        <v>1643</v>
      </c>
      <c r="L10043" t="s">
        <v>285</v>
      </c>
      <c r="M10043" t="str">
        <f t="shared" si="759"/>
        <v>02</v>
      </c>
      <c r="N10043" t="s">
        <v>12</v>
      </c>
    </row>
    <row r="10044" spans="1:14" x14ac:dyDescent="0.25">
      <c r="A10044">
        <v>20160212</v>
      </c>
      <c r="B10044" t="str">
        <f t="shared" si="760"/>
        <v>062276</v>
      </c>
      <c r="C10044" t="str">
        <f t="shared" si="758"/>
        <v>16807</v>
      </c>
      <c r="D10044" t="s">
        <v>1560</v>
      </c>
      <c r="E10044" s="3">
        <v>915.5</v>
      </c>
      <c r="F10044">
        <v>20160211</v>
      </c>
      <c r="G10044" t="s">
        <v>7991</v>
      </c>
      <c r="H10044" t="s">
        <v>7987</v>
      </c>
      <c r="I10044">
        <v>0</v>
      </c>
      <c r="J10044" t="s">
        <v>7945</v>
      </c>
      <c r="K10044" t="s">
        <v>1643</v>
      </c>
      <c r="L10044" t="s">
        <v>285</v>
      </c>
      <c r="M10044" t="str">
        <f t="shared" si="759"/>
        <v>02</v>
      </c>
      <c r="N10044" t="s">
        <v>12</v>
      </c>
    </row>
    <row r="10045" spans="1:14" x14ac:dyDescent="0.25">
      <c r="A10045">
        <v>20160212</v>
      </c>
      <c r="B10045" t="str">
        <f t="shared" si="760"/>
        <v>062276</v>
      </c>
      <c r="C10045" t="str">
        <f t="shared" si="758"/>
        <v>16807</v>
      </c>
      <c r="D10045" t="s">
        <v>1560</v>
      </c>
      <c r="E10045" s="3">
        <v>915.5</v>
      </c>
      <c r="F10045">
        <v>20160211</v>
      </c>
      <c r="G10045" t="s">
        <v>7992</v>
      </c>
      <c r="H10045" t="s">
        <v>7987</v>
      </c>
      <c r="I10045">
        <v>0</v>
      </c>
      <c r="J10045" t="s">
        <v>7945</v>
      </c>
      <c r="K10045" t="s">
        <v>1643</v>
      </c>
      <c r="L10045" t="s">
        <v>285</v>
      </c>
      <c r="M10045" t="str">
        <f t="shared" si="759"/>
        <v>02</v>
      </c>
      <c r="N10045" t="s">
        <v>12</v>
      </c>
    </row>
    <row r="10046" spans="1:14" x14ac:dyDescent="0.25">
      <c r="A10046">
        <v>20160212</v>
      </c>
      <c r="B10046" t="str">
        <f t="shared" si="760"/>
        <v>062276</v>
      </c>
      <c r="C10046" t="str">
        <f t="shared" si="758"/>
        <v>16807</v>
      </c>
      <c r="D10046" t="s">
        <v>1560</v>
      </c>
      <c r="E10046" s="3">
        <v>915.5</v>
      </c>
      <c r="F10046">
        <v>20160211</v>
      </c>
      <c r="G10046" t="s">
        <v>7993</v>
      </c>
      <c r="H10046" t="s">
        <v>7987</v>
      </c>
      <c r="I10046">
        <v>0</v>
      </c>
      <c r="J10046" t="s">
        <v>7945</v>
      </c>
      <c r="K10046" t="s">
        <v>1643</v>
      </c>
      <c r="L10046" t="s">
        <v>285</v>
      </c>
      <c r="M10046" t="str">
        <f t="shared" si="759"/>
        <v>02</v>
      </c>
      <c r="N10046" t="s">
        <v>12</v>
      </c>
    </row>
    <row r="10047" spans="1:14" x14ac:dyDescent="0.25">
      <c r="A10047">
        <v>20160212</v>
      </c>
      <c r="B10047" t="str">
        <f>"062285"</f>
        <v>062285</v>
      </c>
      <c r="C10047" t="str">
        <f>"25853"</f>
        <v>25853</v>
      </c>
      <c r="D10047" t="s">
        <v>532</v>
      </c>
      <c r="E10047" s="3">
        <v>2500</v>
      </c>
      <c r="F10047">
        <v>20160211</v>
      </c>
      <c r="G10047" t="s">
        <v>7994</v>
      </c>
      <c r="H10047" t="s">
        <v>7995</v>
      </c>
      <c r="I10047">
        <v>0</v>
      </c>
      <c r="J10047" t="s">
        <v>7945</v>
      </c>
      <c r="K10047" t="s">
        <v>290</v>
      </c>
      <c r="L10047" t="s">
        <v>285</v>
      </c>
      <c r="M10047" t="str">
        <f t="shared" si="759"/>
        <v>02</v>
      </c>
      <c r="N10047" t="s">
        <v>12</v>
      </c>
    </row>
    <row r="10048" spans="1:14" x14ac:dyDescent="0.25">
      <c r="A10048">
        <v>20160212</v>
      </c>
      <c r="B10048" t="str">
        <f>"062337"</f>
        <v>062337</v>
      </c>
      <c r="C10048" t="str">
        <f>"56564"</f>
        <v>56564</v>
      </c>
      <c r="D10048" t="s">
        <v>1578</v>
      </c>
      <c r="E10048" s="3">
        <v>144.72</v>
      </c>
      <c r="F10048">
        <v>20160212</v>
      </c>
      <c r="G10048" t="s">
        <v>7996</v>
      </c>
      <c r="H10048" t="s">
        <v>2169</v>
      </c>
      <c r="I10048">
        <v>0</v>
      </c>
      <c r="J10048" t="s">
        <v>7945</v>
      </c>
      <c r="K10048" t="s">
        <v>1643</v>
      </c>
      <c r="L10048" t="s">
        <v>285</v>
      </c>
      <c r="M10048" t="str">
        <f t="shared" si="759"/>
        <v>02</v>
      </c>
      <c r="N10048" t="s">
        <v>12</v>
      </c>
    </row>
    <row r="10049" spans="1:14" x14ac:dyDescent="0.25">
      <c r="A10049">
        <v>20160212</v>
      </c>
      <c r="B10049" t="str">
        <f>"062353"</f>
        <v>062353</v>
      </c>
      <c r="C10049" t="str">
        <f>"65780"</f>
        <v>65780</v>
      </c>
      <c r="D10049" t="s">
        <v>7211</v>
      </c>
      <c r="E10049" s="3">
        <v>15</v>
      </c>
      <c r="F10049">
        <v>20160212</v>
      </c>
      <c r="G10049" t="s">
        <v>7996</v>
      </c>
      <c r="H10049" t="s">
        <v>7997</v>
      </c>
      <c r="I10049">
        <v>0</v>
      </c>
      <c r="J10049" t="s">
        <v>7945</v>
      </c>
      <c r="K10049" t="s">
        <v>1643</v>
      </c>
      <c r="L10049" t="s">
        <v>285</v>
      </c>
      <c r="M10049" t="str">
        <f t="shared" si="759"/>
        <v>02</v>
      </c>
      <c r="N10049" t="s">
        <v>12</v>
      </c>
    </row>
    <row r="10050" spans="1:14" x14ac:dyDescent="0.25">
      <c r="A10050">
        <v>20160212</v>
      </c>
      <c r="B10050" t="str">
        <f>"062353"</f>
        <v>062353</v>
      </c>
      <c r="C10050" t="str">
        <f>"65780"</f>
        <v>65780</v>
      </c>
      <c r="D10050" t="s">
        <v>7211</v>
      </c>
      <c r="E10050" s="3">
        <v>90</v>
      </c>
      <c r="F10050">
        <v>20160212</v>
      </c>
      <c r="G10050" t="s">
        <v>7996</v>
      </c>
      <c r="H10050" t="s">
        <v>7998</v>
      </c>
      <c r="I10050">
        <v>0</v>
      </c>
      <c r="J10050" t="s">
        <v>7945</v>
      </c>
      <c r="K10050" t="s">
        <v>1643</v>
      </c>
      <c r="L10050" t="s">
        <v>285</v>
      </c>
      <c r="M10050" t="str">
        <f t="shared" si="759"/>
        <v>02</v>
      </c>
      <c r="N10050" t="s">
        <v>12</v>
      </c>
    </row>
    <row r="10051" spans="1:14" x14ac:dyDescent="0.25">
      <c r="A10051">
        <v>20160212</v>
      </c>
      <c r="B10051" t="str">
        <f>"062353"</f>
        <v>062353</v>
      </c>
      <c r="C10051" t="str">
        <f>"65780"</f>
        <v>65780</v>
      </c>
      <c r="D10051" t="s">
        <v>7211</v>
      </c>
      <c r="E10051" s="3">
        <v>40</v>
      </c>
      <c r="F10051">
        <v>20160212</v>
      </c>
      <c r="G10051" t="s">
        <v>7996</v>
      </c>
      <c r="H10051" t="s">
        <v>7999</v>
      </c>
      <c r="I10051">
        <v>0</v>
      </c>
      <c r="J10051" t="s">
        <v>7945</v>
      </c>
      <c r="K10051" t="s">
        <v>1643</v>
      </c>
      <c r="L10051" t="s">
        <v>285</v>
      </c>
      <c r="M10051" t="str">
        <f t="shared" si="759"/>
        <v>02</v>
      </c>
      <c r="N10051" t="s">
        <v>12</v>
      </c>
    </row>
    <row r="10052" spans="1:14" x14ac:dyDescent="0.25">
      <c r="A10052">
        <v>20160212</v>
      </c>
      <c r="B10052" t="str">
        <f>"062353"</f>
        <v>062353</v>
      </c>
      <c r="C10052" t="str">
        <f>"65780"</f>
        <v>65780</v>
      </c>
      <c r="D10052" t="s">
        <v>7211</v>
      </c>
      <c r="E10052" s="3">
        <v>360</v>
      </c>
      <c r="F10052">
        <v>20160212</v>
      </c>
      <c r="G10052" t="s">
        <v>7996</v>
      </c>
      <c r="H10052" t="s">
        <v>2128</v>
      </c>
      <c r="I10052">
        <v>0</v>
      </c>
      <c r="J10052" t="s">
        <v>7945</v>
      </c>
      <c r="K10052" t="s">
        <v>1643</v>
      </c>
      <c r="L10052" t="s">
        <v>285</v>
      </c>
      <c r="M10052" t="str">
        <f t="shared" si="759"/>
        <v>02</v>
      </c>
      <c r="N10052" t="s">
        <v>12</v>
      </c>
    </row>
    <row r="10053" spans="1:14" x14ac:dyDescent="0.25">
      <c r="A10053">
        <v>20160219</v>
      </c>
      <c r="B10053" t="str">
        <f>"062492"</f>
        <v>062492</v>
      </c>
      <c r="C10053" t="str">
        <f>"77207"</f>
        <v>77207</v>
      </c>
      <c r="D10053" t="s">
        <v>8000</v>
      </c>
      <c r="E10053" s="3">
        <v>7400</v>
      </c>
      <c r="F10053">
        <v>20160218</v>
      </c>
      <c r="G10053" t="s">
        <v>8001</v>
      </c>
      <c r="H10053" t="s">
        <v>8002</v>
      </c>
      <c r="I10053">
        <v>0</v>
      </c>
      <c r="J10053" t="s">
        <v>7945</v>
      </c>
      <c r="K10053" t="s">
        <v>33</v>
      </c>
      <c r="L10053" t="s">
        <v>285</v>
      </c>
      <c r="M10053" t="str">
        <f t="shared" si="759"/>
        <v>02</v>
      </c>
      <c r="N10053" t="s">
        <v>12</v>
      </c>
    </row>
    <row r="10054" spans="1:14" x14ac:dyDescent="0.25">
      <c r="A10054">
        <v>20160219</v>
      </c>
      <c r="B10054" t="str">
        <f>"062493"</f>
        <v>062493</v>
      </c>
      <c r="C10054" t="str">
        <f>"76591"</f>
        <v>76591</v>
      </c>
      <c r="D10054" t="s">
        <v>8003</v>
      </c>
      <c r="E10054" s="3">
        <v>1409.07</v>
      </c>
      <c r="F10054">
        <v>20160218</v>
      </c>
      <c r="G10054" t="s">
        <v>8004</v>
      </c>
      <c r="H10054" t="s">
        <v>8005</v>
      </c>
      <c r="I10054">
        <v>0</v>
      </c>
      <c r="J10054" t="s">
        <v>7945</v>
      </c>
      <c r="K10054" t="s">
        <v>290</v>
      </c>
      <c r="L10054" t="s">
        <v>285</v>
      </c>
      <c r="M10054" t="str">
        <f t="shared" si="759"/>
        <v>02</v>
      </c>
      <c r="N10054" t="s">
        <v>12</v>
      </c>
    </row>
    <row r="10055" spans="1:14" x14ac:dyDescent="0.25">
      <c r="A10055">
        <v>20160311</v>
      </c>
      <c r="B10055" t="str">
        <f>"062642"</f>
        <v>062642</v>
      </c>
      <c r="C10055" t="str">
        <f>"11759"</f>
        <v>11759</v>
      </c>
      <c r="D10055" t="s">
        <v>2089</v>
      </c>
      <c r="E10055" s="3">
        <v>361.8</v>
      </c>
      <c r="F10055">
        <v>20160310</v>
      </c>
      <c r="G10055" t="s">
        <v>8006</v>
      </c>
      <c r="H10055" t="s">
        <v>8007</v>
      </c>
      <c r="I10055">
        <v>0</v>
      </c>
      <c r="J10055" t="s">
        <v>7945</v>
      </c>
      <c r="K10055" t="s">
        <v>33</v>
      </c>
      <c r="L10055" t="s">
        <v>285</v>
      </c>
      <c r="M10055" t="str">
        <f>"03"</f>
        <v>03</v>
      </c>
      <c r="N10055" t="s">
        <v>12</v>
      </c>
    </row>
    <row r="10056" spans="1:14" x14ac:dyDescent="0.25">
      <c r="A10056">
        <v>20160324</v>
      </c>
      <c r="B10056" t="str">
        <f>"062845"</f>
        <v>062845</v>
      </c>
      <c r="C10056" t="str">
        <f>"27119"</f>
        <v>27119</v>
      </c>
      <c r="D10056" t="s">
        <v>4588</v>
      </c>
      <c r="E10056" s="3">
        <v>717.87</v>
      </c>
      <c r="F10056">
        <v>20160322</v>
      </c>
      <c r="G10056" t="s">
        <v>8008</v>
      </c>
      <c r="H10056" t="s">
        <v>4589</v>
      </c>
      <c r="I10056">
        <v>0</v>
      </c>
      <c r="J10056" t="s">
        <v>7945</v>
      </c>
      <c r="K10056" t="s">
        <v>95</v>
      </c>
      <c r="L10056" t="s">
        <v>285</v>
      </c>
      <c r="M10056" t="str">
        <f>"03"</f>
        <v>03</v>
      </c>
      <c r="N10056" t="s">
        <v>12</v>
      </c>
    </row>
    <row r="10057" spans="1:14" x14ac:dyDescent="0.25">
      <c r="A10057">
        <v>20160324</v>
      </c>
      <c r="B10057" t="str">
        <f>"062845"</f>
        <v>062845</v>
      </c>
      <c r="C10057" t="str">
        <f>"27119"</f>
        <v>27119</v>
      </c>
      <c r="D10057" t="s">
        <v>4588</v>
      </c>
      <c r="E10057" s="3">
        <v>208.13</v>
      </c>
      <c r="F10057">
        <v>20160322</v>
      </c>
      <c r="G10057" t="s">
        <v>8008</v>
      </c>
      <c r="H10057" t="s">
        <v>8009</v>
      </c>
      <c r="I10057">
        <v>0</v>
      </c>
      <c r="J10057" t="s">
        <v>7945</v>
      </c>
      <c r="K10057" t="s">
        <v>95</v>
      </c>
      <c r="L10057" t="s">
        <v>285</v>
      </c>
      <c r="M10057" t="str">
        <f>"03"</f>
        <v>03</v>
      </c>
      <c r="N10057" t="s">
        <v>12</v>
      </c>
    </row>
    <row r="10058" spans="1:14" x14ac:dyDescent="0.25">
      <c r="A10058">
        <v>20160429</v>
      </c>
      <c r="B10058" t="str">
        <f>"063326"</f>
        <v>063326</v>
      </c>
      <c r="C10058" t="str">
        <f>"80581"</f>
        <v>80581</v>
      </c>
      <c r="D10058" t="s">
        <v>8010</v>
      </c>
      <c r="E10058" s="3">
        <v>3838.16</v>
      </c>
      <c r="F10058">
        <v>20160427</v>
      </c>
      <c r="G10058" t="s">
        <v>8011</v>
      </c>
      <c r="H10058" t="s">
        <v>8012</v>
      </c>
      <c r="I10058">
        <v>0</v>
      </c>
      <c r="J10058" t="s">
        <v>7945</v>
      </c>
      <c r="K10058" t="s">
        <v>33</v>
      </c>
      <c r="L10058" t="s">
        <v>285</v>
      </c>
      <c r="M10058" t="str">
        <f>"04"</f>
        <v>04</v>
      </c>
      <c r="N10058" t="s">
        <v>12</v>
      </c>
    </row>
    <row r="10059" spans="1:14" x14ac:dyDescent="0.25">
      <c r="A10059">
        <v>20160506</v>
      </c>
      <c r="B10059" t="str">
        <f>"063362"</f>
        <v>063362</v>
      </c>
      <c r="C10059" t="str">
        <f>"25853"</f>
        <v>25853</v>
      </c>
      <c r="D10059" t="s">
        <v>532</v>
      </c>
      <c r="E10059" s="3">
        <v>2457</v>
      </c>
      <c r="F10059">
        <v>20160504</v>
      </c>
      <c r="G10059" t="s">
        <v>8013</v>
      </c>
      <c r="H10059" t="s">
        <v>8014</v>
      </c>
      <c r="I10059">
        <v>0</v>
      </c>
      <c r="J10059" t="s">
        <v>7945</v>
      </c>
      <c r="K10059" t="s">
        <v>290</v>
      </c>
      <c r="L10059" t="s">
        <v>285</v>
      </c>
      <c r="M10059" t="str">
        <f>"05"</f>
        <v>05</v>
      </c>
      <c r="N10059" t="s">
        <v>12</v>
      </c>
    </row>
    <row r="10060" spans="1:14" x14ac:dyDescent="0.25">
      <c r="A10060">
        <v>20160722</v>
      </c>
      <c r="B10060" t="str">
        <f>"064131"</f>
        <v>064131</v>
      </c>
      <c r="C10060" t="str">
        <f>"25853"</f>
        <v>25853</v>
      </c>
      <c r="D10060" t="s">
        <v>532</v>
      </c>
      <c r="E10060" s="3">
        <v>2500</v>
      </c>
      <c r="F10060">
        <v>20160720</v>
      </c>
      <c r="G10060" t="s">
        <v>8015</v>
      </c>
      <c r="H10060" t="s">
        <v>5346</v>
      </c>
      <c r="I10060">
        <v>0</v>
      </c>
      <c r="J10060" t="s">
        <v>7945</v>
      </c>
      <c r="K10060" t="s">
        <v>290</v>
      </c>
      <c r="L10060" t="s">
        <v>285</v>
      </c>
      <c r="M10060" t="str">
        <f>"07"</f>
        <v>07</v>
      </c>
      <c r="N10060" t="s">
        <v>12</v>
      </c>
    </row>
    <row r="10061" spans="1:14" x14ac:dyDescent="0.25">
      <c r="A10061">
        <v>20151009</v>
      </c>
      <c r="B10061" t="str">
        <f>"060536"</f>
        <v>060536</v>
      </c>
      <c r="C10061" t="str">
        <f>"21080"</f>
        <v>21080</v>
      </c>
      <c r="D10061" t="s">
        <v>6212</v>
      </c>
      <c r="E10061" s="3">
        <v>70</v>
      </c>
      <c r="F10061">
        <v>20151008</v>
      </c>
      <c r="G10061" t="s">
        <v>8016</v>
      </c>
      <c r="H10061" t="s">
        <v>8017</v>
      </c>
      <c r="I10061">
        <v>0</v>
      </c>
      <c r="J10061" t="s">
        <v>8018</v>
      </c>
      <c r="K10061" t="s">
        <v>290</v>
      </c>
      <c r="L10061" t="s">
        <v>285</v>
      </c>
      <c r="M10061" t="str">
        <f>"10"</f>
        <v>10</v>
      </c>
      <c r="N10061" t="s">
        <v>12</v>
      </c>
    </row>
    <row r="10062" spans="1:14" x14ac:dyDescent="0.25">
      <c r="A10062">
        <v>20151009</v>
      </c>
      <c r="B10062" t="str">
        <f>"060666"</f>
        <v>060666</v>
      </c>
      <c r="C10062" t="str">
        <f>"81299"</f>
        <v>81299</v>
      </c>
      <c r="D10062" t="s">
        <v>2415</v>
      </c>
      <c r="E10062" s="3">
        <v>406</v>
      </c>
      <c r="F10062">
        <v>20151009</v>
      </c>
      <c r="G10062" t="s">
        <v>8019</v>
      </c>
      <c r="H10062" t="s">
        <v>8020</v>
      </c>
      <c r="I10062">
        <v>0</v>
      </c>
      <c r="J10062" t="s">
        <v>8018</v>
      </c>
      <c r="K10062" t="s">
        <v>2764</v>
      </c>
      <c r="L10062" t="s">
        <v>285</v>
      </c>
      <c r="M10062" t="str">
        <f>"10"</f>
        <v>10</v>
      </c>
      <c r="N10062" t="s">
        <v>12</v>
      </c>
    </row>
    <row r="10063" spans="1:14" x14ac:dyDescent="0.25">
      <c r="A10063">
        <v>20151120</v>
      </c>
      <c r="B10063" t="str">
        <f>"061147"</f>
        <v>061147</v>
      </c>
      <c r="C10063" t="str">
        <f>"24132"</f>
        <v>24132</v>
      </c>
      <c r="D10063" t="s">
        <v>3057</v>
      </c>
      <c r="E10063" s="3">
        <v>427.01</v>
      </c>
      <c r="F10063">
        <v>20151118</v>
      </c>
      <c r="G10063" t="s">
        <v>8019</v>
      </c>
      <c r="H10063" t="s">
        <v>8021</v>
      </c>
      <c r="I10063">
        <v>0</v>
      </c>
      <c r="J10063" t="s">
        <v>8018</v>
      </c>
      <c r="K10063" t="s">
        <v>2764</v>
      </c>
      <c r="L10063" t="s">
        <v>285</v>
      </c>
      <c r="M10063" t="str">
        <f>"11"</f>
        <v>11</v>
      </c>
      <c r="N10063" t="s">
        <v>12</v>
      </c>
    </row>
    <row r="10064" spans="1:14" x14ac:dyDescent="0.25">
      <c r="A10064">
        <v>20151120</v>
      </c>
      <c r="B10064" t="str">
        <f>"061242"</f>
        <v>061242</v>
      </c>
      <c r="C10064" t="str">
        <f>"81299"</f>
        <v>81299</v>
      </c>
      <c r="D10064" t="s">
        <v>2415</v>
      </c>
      <c r="E10064" s="3">
        <v>609</v>
      </c>
      <c r="F10064">
        <v>20151118</v>
      </c>
      <c r="G10064" t="s">
        <v>8019</v>
      </c>
      <c r="H10064" t="s">
        <v>8022</v>
      </c>
      <c r="I10064">
        <v>0</v>
      </c>
      <c r="J10064" t="s">
        <v>8018</v>
      </c>
      <c r="K10064" t="s">
        <v>2764</v>
      </c>
      <c r="L10064" t="s">
        <v>285</v>
      </c>
      <c r="M10064" t="str">
        <f>"11"</f>
        <v>11</v>
      </c>
      <c r="N10064" t="s">
        <v>12</v>
      </c>
    </row>
    <row r="10065" spans="1:14" x14ac:dyDescent="0.25">
      <c r="A10065">
        <v>20160623</v>
      </c>
      <c r="B10065" t="str">
        <f>"064010"</f>
        <v>064010</v>
      </c>
      <c r="C10065" t="str">
        <f>"83022"</f>
        <v>83022</v>
      </c>
      <c r="D10065" t="s">
        <v>394</v>
      </c>
      <c r="E10065" s="3">
        <v>813</v>
      </c>
      <c r="F10065">
        <v>20160623</v>
      </c>
      <c r="G10065" t="s">
        <v>8019</v>
      </c>
      <c r="H10065" t="s">
        <v>8023</v>
      </c>
      <c r="I10065">
        <v>0</v>
      </c>
      <c r="J10065" t="s">
        <v>8018</v>
      </c>
      <c r="K10065" t="s">
        <v>2764</v>
      </c>
      <c r="L10065" t="s">
        <v>285</v>
      </c>
      <c r="M10065" t="str">
        <f>"06"</f>
        <v>06</v>
      </c>
      <c r="N10065" t="s">
        <v>12</v>
      </c>
    </row>
    <row r="10066" spans="1:14" x14ac:dyDescent="0.25">
      <c r="A10066">
        <v>20160111</v>
      </c>
      <c r="B10066" t="str">
        <f>"061678"</f>
        <v>061678</v>
      </c>
      <c r="C10066" t="str">
        <f>"09201"</f>
        <v>09201</v>
      </c>
      <c r="D10066" t="s">
        <v>8024</v>
      </c>
      <c r="E10066" s="3">
        <v>750</v>
      </c>
      <c r="F10066">
        <v>20160108</v>
      </c>
      <c r="G10066" t="s">
        <v>8025</v>
      </c>
      <c r="H10066" t="s">
        <v>8026</v>
      </c>
      <c r="I10066">
        <v>0</v>
      </c>
      <c r="J10066" t="s">
        <v>8027</v>
      </c>
      <c r="K10066" t="s">
        <v>1519</v>
      </c>
      <c r="L10066" t="s">
        <v>285</v>
      </c>
      <c r="M10066" t="str">
        <f>"01"</f>
        <v>01</v>
      </c>
      <c r="N10066" t="s">
        <v>12</v>
      </c>
    </row>
    <row r="10067" spans="1:14" x14ac:dyDescent="0.25">
      <c r="A10067">
        <v>20160122</v>
      </c>
      <c r="B10067" t="str">
        <f>"061911"</f>
        <v>061911</v>
      </c>
      <c r="C10067" t="str">
        <f>"86966"</f>
        <v>86966</v>
      </c>
      <c r="D10067" t="s">
        <v>8028</v>
      </c>
      <c r="E10067" s="3">
        <v>450</v>
      </c>
      <c r="F10067">
        <v>20160122</v>
      </c>
      <c r="G10067" t="s">
        <v>8025</v>
      </c>
      <c r="H10067" t="s">
        <v>8029</v>
      </c>
      <c r="I10067">
        <v>0</v>
      </c>
      <c r="J10067" t="s">
        <v>8027</v>
      </c>
      <c r="K10067" t="s">
        <v>1519</v>
      </c>
      <c r="L10067" t="s">
        <v>285</v>
      </c>
      <c r="M10067" t="str">
        <f>"01"</f>
        <v>01</v>
      </c>
      <c r="N10067" t="s">
        <v>12</v>
      </c>
    </row>
    <row r="10068" spans="1:14" x14ac:dyDescent="0.25">
      <c r="A10068">
        <v>20160205</v>
      </c>
      <c r="B10068" t="str">
        <f>"062204"</f>
        <v>062204</v>
      </c>
      <c r="C10068" t="str">
        <f>"30624"</f>
        <v>30624</v>
      </c>
      <c r="D10068" t="s">
        <v>8030</v>
      </c>
      <c r="E10068" s="3">
        <v>2500</v>
      </c>
      <c r="F10068">
        <v>20160204</v>
      </c>
      <c r="G10068" t="s">
        <v>8025</v>
      </c>
      <c r="H10068" t="s">
        <v>8031</v>
      </c>
      <c r="I10068">
        <v>0</v>
      </c>
      <c r="J10068" t="s">
        <v>8027</v>
      </c>
      <c r="K10068" t="s">
        <v>1519</v>
      </c>
      <c r="L10068" t="s">
        <v>285</v>
      </c>
      <c r="M10068" t="str">
        <f>"02"</f>
        <v>02</v>
      </c>
      <c r="N10068" t="s">
        <v>12</v>
      </c>
    </row>
    <row r="10069" spans="1:14" x14ac:dyDescent="0.25">
      <c r="A10069">
        <v>20160311</v>
      </c>
      <c r="B10069" t="str">
        <f>"062639"</f>
        <v>062639</v>
      </c>
      <c r="C10069" t="str">
        <f>"09201"</f>
        <v>09201</v>
      </c>
      <c r="D10069" t="s">
        <v>8024</v>
      </c>
      <c r="E10069" s="3">
        <v>750</v>
      </c>
      <c r="F10069">
        <v>20160310</v>
      </c>
      <c r="G10069" t="s">
        <v>8025</v>
      </c>
      <c r="H10069" t="s">
        <v>8032</v>
      </c>
      <c r="I10069">
        <v>0</v>
      </c>
      <c r="J10069" t="s">
        <v>8027</v>
      </c>
      <c r="K10069" t="s">
        <v>1519</v>
      </c>
      <c r="L10069" t="s">
        <v>285</v>
      </c>
      <c r="M10069" t="str">
        <f>"03"</f>
        <v>03</v>
      </c>
      <c r="N10069" t="s">
        <v>12</v>
      </c>
    </row>
    <row r="10070" spans="1:14" x14ac:dyDescent="0.25">
      <c r="A10070">
        <v>20160318</v>
      </c>
      <c r="B10070" t="str">
        <f>"062818"</f>
        <v>062818</v>
      </c>
      <c r="C10070" t="str">
        <f>"83409"</f>
        <v>83409</v>
      </c>
      <c r="D10070" t="s">
        <v>8033</v>
      </c>
      <c r="E10070" s="3">
        <v>400</v>
      </c>
      <c r="F10070">
        <v>20160317</v>
      </c>
      <c r="G10070" t="s">
        <v>8025</v>
      </c>
      <c r="H10070" t="s">
        <v>8034</v>
      </c>
      <c r="I10070">
        <v>0</v>
      </c>
      <c r="J10070" t="s">
        <v>8027</v>
      </c>
      <c r="K10070" t="s">
        <v>1519</v>
      </c>
      <c r="L10070" t="s">
        <v>285</v>
      </c>
      <c r="M10070" t="str">
        <f>"03"</f>
        <v>03</v>
      </c>
      <c r="N10070" t="s">
        <v>12</v>
      </c>
    </row>
    <row r="10071" spans="1:14" x14ac:dyDescent="0.25">
      <c r="A10071">
        <v>20160722</v>
      </c>
      <c r="B10071" t="str">
        <f>"064112"</f>
        <v>064112</v>
      </c>
      <c r="C10071" t="str">
        <f>"09201"</f>
        <v>09201</v>
      </c>
      <c r="D10071" t="s">
        <v>8024</v>
      </c>
      <c r="E10071" s="3">
        <v>750</v>
      </c>
      <c r="F10071">
        <v>20160720</v>
      </c>
      <c r="G10071" t="s">
        <v>8035</v>
      </c>
      <c r="H10071" t="s">
        <v>8036</v>
      </c>
      <c r="I10071">
        <v>0</v>
      </c>
      <c r="J10071" t="s">
        <v>8027</v>
      </c>
      <c r="K10071" t="s">
        <v>235</v>
      </c>
      <c r="L10071" t="s">
        <v>285</v>
      </c>
      <c r="M10071" t="str">
        <f>"07"</f>
        <v>07</v>
      </c>
      <c r="N10071" t="s">
        <v>12</v>
      </c>
    </row>
    <row r="10072" spans="1:14" x14ac:dyDescent="0.25">
      <c r="A10072">
        <v>20150903</v>
      </c>
      <c r="B10072" t="str">
        <f>"060193"</f>
        <v>060193</v>
      </c>
      <c r="C10072" t="str">
        <f>"60852"</f>
        <v>60852</v>
      </c>
      <c r="D10072" t="s">
        <v>6095</v>
      </c>
      <c r="E10072" s="3">
        <v>4125</v>
      </c>
      <c r="F10072">
        <v>20150903</v>
      </c>
      <c r="G10072" t="s">
        <v>8037</v>
      </c>
      <c r="H10072" t="s">
        <v>8038</v>
      </c>
      <c r="I10072">
        <v>0</v>
      </c>
      <c r="J10072" t="s">
        <v>8039</v>
      </c>
      <c r="K10072" t="s">
        <v>235</v>
      </c>
      <c r="L10072" t="s">
        <v>285</v>
      </c>
      <c r="M10072" t="str">
        <f>"09"</f>
        <v>09</v>
      </c>
      <c r="N10072" t="s">
        <v>12</v>
      </c>
    </row>
    <row r="10073" spans="1:14" x14ac:dyDescent="0.25">
      <c r="A10073">
        <v>20150903</v>
      </c>
      <c r="B10073" t="str">
        <f>"060194"</f>
        <v>060194</v>
      </c>
      <c r="C10073" t="str">
        <f>"60852"</f>
        <v>60852</v>
      </c>
      <c r="D10073" t="s">
        <v>6095</v>
      </c>
      <c r="E10073" s="3">
        <v>4125</v>
      </c>
      <c r="F10073">
        <v>20150903</v>
      </c>
      <c r="G10073" t="s">
        <v>8037</v>
      </c>
      <c r="H10073" t="s">
        <v>8038</v>
      </c>
      <c r="I10073">
        <v>0</v>
      </c>
      <c r="J10073" t="s">
        <v>8039</v>
      </c>
      <c r="K10073" t="s">
        <v>235</v>
      </c>
      <c r="L10073" t="s">
        <v>285</v>
      </c>
      <c r="M10073" t="str">
        <f>"09"</f>
        <v>09</v>
      </c>
      <c r="N10073" t="s">
        <v>12</v>
      </c>
    </row>
    <row r="10074" spans="1:14" x14ac:dyDescent="0.25">
      <c r="A10074">
        <v>20150925</v>
      </c>
      <c r="B10074" t="str">
        <f>"060464"</f>
        <v>060464</v>
      </c>
      <c r="C10074" t="str">
        <f>"42194"</f>
        <v>42194</v>
      </c>
      <c r="D10074" t="s">
        <v>1874</v>
      </c>
      <c r="E10074" s="3">
        <v>110</v>
      </c>
      <c r="F10074">
        <v>20150924</v>
      </c>
      <c r="G10074" t="s">
        <v>8037</v>
      </c>
      <c r="H10074" t="s">
        <v>8040</v>
      </c>
      <c r="I10074">
        <v>0</v>
      </c>
      <c r="J10074" t="s">
        <v>8039</v>
      </c>
      <c r="K10074" t="s">
        <v>235</v>
      </c>
      <c r="L10074" t="s">
        <v>285</v>
      </c>
      <c r="M10074" t="str">
        <f>"09"</f>
        <v>09</v>
      </c>
      <c r="N10074" t="s">
        <v>12</v>
      </c>
    </row>
    <row r="10075" spans="1:14" x14ac:dyDescent="0.25">
      <c r="A10075">
        <v>20150925</v>
      </c>
      <c r="B10075" t="str">
        <f>"060482"</f>
        <v>060482</v>
      </c>
      <c r="C10075" t="str">
        <f>"63618"</f>
        <v>63618</v>
      </c>
      <c r="D10075" t="s">
        <v>8041</v>
      </c>
      <c r="E10075" s="3">
        <v>5782</v>
      </c>
      <c r="F10075">
        <v>20150924</v>
      </c>
      <c r="G10075" t="s">
        <v>8042</v>
      </c>
      <c r="H10075" t="s">
        <v>8043</v>
      </c>
      <c r="I10075">
        <v>0</v>
      </c>
      <c r="J10075" t="s">
        <v>8039</v>
      </c>
      <c r="K10075" t="s">
        <v>235</v>
      </c>
      <c r="L10075" t="s">
        <v>285</v>
      </c>
      <c r="M10075" t="str">
        <f>"09"</f>
        <v>09</v>
      </c>
      <c r="N10075" t="s">
        <v>12</v>
      </c>
    </row>
    <row r="10076" spans="1:14" x14ac:dyDescent="0.25">
      <c r="A10076">
        <v>20150925</v>
      </c>
      <c r="B10076" t="str">
        <f>"060484"</f>
        <v>060484</v>
      </c>
      <c r="C10076" t="str">
        <f>"63618"</f>
        <v>63618</v>
      </c>
      <c r="D10076" t="s">
        <v>8041</v>
      </c>
      <c r="E10076" s="3">
        <v>1786.5</v>
      </c>
      <c r="F10076">
        <v>20150924</v>
      </c>
      <c r="G10076" t="s">
        <v>8037</v>
      </c>
      <c r="H10076" t="s">
        <v>8044</v>
      </c>
      <c r="I10076">
        <v>0</v>
      </c>
      <c r="J10076" t="s">
        <v>8039</v>
      </c>
      <c r="K10076" t="s">
        <v>235</v>
      </c>
      <c r="L10076" t="s">
        <v>285</v>
      </c>
      <c r="M10076" t="str">
        <f>"09"</f>
        <v>09</v>
      </c>
      <c r="N10076" t="s">
        <v>12</v>
      </c>
    </row>
    <row r="10077" spans="1:14" x14ac:dyDescent="0.25">
      <c r="A10077">
        <v>20151009</v>
      </c>
      <c r="B10077" t="str">
        <f>"060561"</f>
        <v>060561</v>
      </c>
      <c r="C10077" t="str">
        <f>"32915"</f>
        <v>32915</v>
      </c>
      <c r="D10077" t="s">
        <v>8045</v>
      </c>
      <c r="E10077" s="3">
        <v>5912.4</v>
      </c>
      <c r="F10077">
        <v>20151009</v>
      </c>
      <c r="G10077" t="s">
        <v>8037</v>
      </c>
      <c r="H10077" t="s">
        <v>8046</v>
      </c>
      <c r="I10077">
        <v>0</v>
      </c>
      <c r="J10077" t="s">
        <v>8039</v>
      </c>
      <c r="K10077" t="s">
        <v>235</v>
      </c>
      <c r="L10077" t="s">
        <v>285</v>
      </c>
      <c r="M10077" t="str">
        <f t="shared" ref="M10077:M10084" si="761">"10"</f>
        <v>10</v>
      </c>
      <c r="N10077" t="s">
        <v>12</v>
      </c>
    </row>
    <row r="10078" spans="1:14" x14ac:dyDescent="0.25">
      <c r="A10078">
        <v>20151009</v>
      </c>
      <c r="B10078" t="str">
        <f>"060562"</f>
        <v>060562</v>
      </c>
      <c r="C10078" t="str">
        <f>"32915"</f>
        <v>32915</v>
      </c>
      <c r="D10078" t="s">
        <v>8045</v>
      </c>
      <c r="E10078" s="3">
        <v>1379.09</v>
      </c>
      <c r="F10078">
        <v>20151009</v>
      </c>
      <c r="G10078" t="s">
        <v>8037</v>
      </c>
      <c r="H10078" t="s">
        <v>8047</v>
      </c>
      <c r="I10078">
        <v>0</v>
      </c>
      <c r="J10078" t="s">
        <v>8039</v>
      </c>
      <c r="K10078" t="s">
        <v>235</v>
      </c>
      <c r="L10078" t="s">
        <v>285</v>
      </c>
      <c r="M10078" t="str">
        <f t="shared" si="761"/>
        <v>10</v>
      </c>
      <c r="N10078" t="s">
        <v>12</v>
      </c>
    </row>
    <row r="10079" spans="1:14" x14ac:dyDescent="0.25">
      <c r="A10079">
        <v>20151009</v>
      </c>
      <c r="B10079" t="str">
        <f>"060563"</f>
        <v>060563</v>
      </c>
      <c r="C10079" t="str">
        <f>"32915"</f>
        <v>32915</v>
      </c>
      <c r="D10079" t="s">
        <v>8045</v>
      </c>
      <c r="E10079" s="3">
        <v>532.64</v>
      </c>
      <c r="F10079">
        <v>20151009</v>
      </c>
      <c r="G10079" t="s">
        <v>8037</v>
      </c>
      <c r="H10079" t="s">
        <v>8047</v>
      </c>
      <c r="I10079">
        <v>0</v>
      </c>
      <c r="J10079" t="s">
        <v>8039</v>
      </c>
      <c r="K10079" t="s">
        <v>235</v>
      </c>
      <c r="L10079" t="s">
        <v>285</v>
      </c>
      <c r="M10079" t="str">
        <f t="shared" si="761"/>
        <v>10</v>
      </c>
      <c r="N10079" t="s">
        <v>12</v>
      </c>
    </row>
    <row r="10080" spans="1:14" x14ac:dyDescent="0.25">
      <c r="A10080">
        <v>20151009</v>
      </c>
      <c r="B10080" t="str">
        <f>"060628"</f>
        <v>060628</v>
      </c>
      <c r="C10080" t="str">
        <f>"60852"</f>
        <v>60852</v>
      </c>
      <c r="D10080" t="s">
        <v>6095</v>
      </c>
      <c r="E10080" s="3">
        <v>4125</v>
      </c>
      <c r="F10080">
        <v>20151009</v>
      </c>
      <c r="G10080" t="s">
        <v>8048</v>
      </c>
      <c r="H10080" t="s">
        <v>8049</v>
      </c>
      <c r="I10080">
        <v>0</v>
      </c>
      <c r="J10080" t="s">
        <v>8039</v>
      </c>
      <c r="K10080" t="s">
        <v>290</v>
      </c>
      <c r="L10080" t="s">
        <v>285</v>
      </c>
      <c r="M10080" t="str">
        <f t="shared" si="761"/>
        <v>10</v>
      </c>
      <c r="N10080" t="s">
        <v>12</v>
      </c>
    </row>
    <row r="10081" spans="1:14" x14ac:dyDescent="0.25">
      <c r="A10081">
        <v>20151009</v>
      </c>
      <c r="B10081" t="str">
        <f>"060629"</f>
        <v>060629</v>
      </c>
      <c r="C10081" t="str">
        <f>"60852"</f>
        <v>60852</v>
      </c>
      <c r="D10081" t="s">
        <v>6095</v>
      </c>
      <c r="E10081" s="3">
        <v>4125</v>
      </c>
      <c r="F10081">
        <v>20151009</v>
      </c>
      <c r="G10081" t="s">
        <v>8050</v>
      </c>
      <c r="H10081" t="s">
        <v>8049</v>
      </c>
      <c r="I10081">
        <v>0</v>
      </c>
      <c r="J10081" t="s">
        <v>8039</v>
      </c>
      <c r="K10081" t="s">
        <v>33</v>
      </c>
      <c r="L10081" t="s">
        <v>285</v>
      </c>
      <c r="M10081" t="str">
        <f t="shared" si="761"/>
        <v>10</v>
      </c>
      <c r="N10081" t="s">
        <v>12</v>
      </c>
    </row>
    <row r="10082" spans="1:14" x14ac:dyDescent="0.25">
      <c r="A10082">
        <v>20151023</v>
      </c>
      <c r="B10082" t="str">
        <f>"060866"</f>
        <v>060866</v>
      </c>
      <c r="C10082" t="str">
        <f>"45708"</f>
        <v>45708</v>
      </c>
      <c r="D10082" t="s">
        <v>8051</v>
      </c>
      <c r="E10082" s="3">
        <v>217075</v>
      </c>
      <c r="F10082">
        <v>20151022</v>
      </c>
      <c r="G10082" t="s">
        <v>8052</v>
      </c>
      <c r="H10082" t="s">
        <v>8053</v>
      </c>
      <c r="I10082">
        <v>0</v>
      </c>
      <c r="J10082" t="s">
        <v>8039</v>
      </c>
      <c r="K10082" t="s">
        <v>33</v>
      </c>
      <c r="L10082" t="s">
        <v>285</v>
      </c>
      <c r="M10082" t="str">
        <f t="shared" si="761"/>
        <v>10</v>
      </c>
      <c r="N10082" t="s">
        <v>12</v>
      </c>
    </row>
    <row r="10083" spans="1:14" x14ac:dyDescent="0.25">
      <c r="A10083">
        <v>20151023</v>
      </c>
      <c r="B10083" t="str">
        <f>"060889"</f>
        <v>060889</v>
      </c>
      <c r="C10083" t="str">
        <f>"63618"</f>
        <v>63618</v>
      </c>
      <c r="D10083" t="s">
        <v>8041</v>
      </c>
      <c r="E10083" s="3">
        <v>3146</v>
      </c>
      <c r="F10083">
        <v>20151022</v>
      </c>
      <c r="G10083" t="s">
        <v>8054</v>
      </c>
      <c r="H10083" t="s">
        <v>8055</v>
      </c>
      <c r="I10083">
        <v>0</v>
      </c>
      <c r="J10083" t="s">
        <v>8039</v>
      </c>
      <c r="K10083" t="s">
        <v>290</v>
      </c>
      <c r="L10083" t="s">
        <v>285</v>
      </c>
      <c r="M10083" t="str">
        <f t="shared" si="761"/>
        <v>10</v>
      </c>
      <c r="N10083" t="s">
        <v>12</v>
      </c>
    </row>
    <row r="10084" spans="1:14" x14ac:dyDescent="0.25">
      <c r="A10084">
        <v>20151023</v>
      </c>
      <c r="B10084" t="str">
        <f>"060890"</f>
        <v>060890</v>
      </c>
      <c r="C10084" t="str">
        <f>"63618"</f>
        <v>63618</v>
      </c>
      <c r="D10084" t="s">
        <v>8041</v>
      </c>
      <c r="E10084" s="3">
        <v>266</v>
      </c>
      <c r="F10084">
        <v>20151022</v>
      </c>
      <c r="G10084" t="s">
        <v>8056</v>
      </c>
      <c r="H10084" t="s">
        <v>8057</v>
      </c>
      <c r="I10084">
        <v>0</v>
      </c>
      <c r="J10084" t="s">
        <v>8039</v>
      </c>
      <c r="K10084" t="s">
        <v>33</v>
      </c>
      <c r="L10084" t="s">
        <v>285</v>
      </c>
      <c r="M10084" t="str">
        <f t="shared" si="761"/>
        <v>10</v>
      </c>
      <c r="N10084" t="s">
        <v>12</v>
      </c>
    </row>
    <row r="10085" spans="1:14" x14ac:dyDescent="0.25">
      <c r="A10085">
        <v>20151106</v>
      </c>
      <c r="B10085" t="str">
        <f>"061032"</f>
        <v>061032</v>
      </c>
      <c r="C10085" t="str">
        <f>"42194"</f>
        <v>42194</v>
      </c>
      <c r="D10085" t="s">
        <v>1874</v>
      </c>
      <c r="E10085" s="3">
        <v>107.96</v>
      </c>
      <c r="F10085">
        <v>20151104</v>
      </c>
      <c r="G10085" t="s">
        <v>8058</v>
      </c>
      <c r="H10085" t="s">
        <v>8059</v>
      </c>
      <c r="I10085">
        <v>0</v>
      </c>
      <c r="J10085" t="s">
        <v>8039</v>
      </c>
      <c r="K10085" t="s">
        <v>33</v>
      </c>
      <c r="L10085" t="s">
        <v>285</v>
      </c>
      <c r="M10085" t="str">
        <f>"11"</f>
        <v>11</v>
      </c>
      <c r="N10085" t="s">
        <v>12</v>
      </c>
    </row>
    <row r="10086" spans="1:14" x14ac:dyDescent="0.25">
      <c r="A10086">
        <v>20151113</v>
      </c>
      <c r="B10086" t="str">
        <f>"061075"</f>
        <v>061075</v>
      </c>
      <c r="C10086" t="str">
        <f>"10024"</f>
        <v>10024</v>
      </c>
      <c r="D10086" t="s">
        <v>1701</v>
      </c>
      <c r="E10086" s="3">
        <v>436880.01</v>
      </c>
      <c r="F10086">
        <v>20151112</v>
      </c>
      <c r="G10086" t="s">
        <v>8060</v>
      </c>
      <c r="H10086" t="s">
        <v>8061</v>
      </c>
      <c r="I10086">
        <v>0</v>
      </c>
      <c r="J10086" t="s">
        <v>8039</v>
      </c>
      <c r="K10086" t="s">
        <v>290</v>
      </c>
      <c r="L10086" t="s">
        <v>285</v>
      </c>
      <c r="M10086" t="str">
        <f>"11"</f>
        <v>11</v>
      </c>
      <c r="N10086" t="s">
        <v>12</v>
      </c>
    </row>
    <row r="10087" spans="1:14" x14ac:dyDescent="0.25">
      <c r="A10087">
        <v>20151113</v>
      </c>
      <c r="B10087" t="str">
        <f>"061093"</f>
        <v>061093</v>
      </c>
      <c r="C10087" t="str">
        <f>"45708"</f>
        <v>45708</v>
      </c>
      <c r="D10087" t="s">
        <v>8051</v>
      </c>
      <c r="E10087" s="3">
        <v>67782.5</v>
      </c>
      <c r="F10087">
        <v>20151112</v>
      </c>
      <c r="G10087" t="s">
        <v>8052</v>
      </c>
      <c r="H10087" t="s">
        <v>8053</v>
      </c>
      <c r="I10087">
        <v>0</v>
      </c>
      <c r="J10087" t="s">
        <v>8039</v>
      </c>
      <c r="K10087" t="s">
        <v>33</v>
      </c>
      <c r="L10087" t="s">
        <v>285</v>
      </c>
      <c r="M10087" t="str">
        <f>"11"</f>
        <v>11</v>
      </c>
      <c r="N10087" t="s">
        <v>12</v>
      </c>
    </row>
    <row r="10088" spans="1:14" x14ac:dyDescent="0.25">
      <c r="A10088">
        <v>20151113</v>
      </c>
      <c r="B10088" t="str">
        <f>"061104"</f>
        <v>061104</v>
      </c>
      <c r="C10088" t="str">
        <f>"60852"</f>
        <v>60852</v>
      </c>
      <c r="D10088" t="s">
        <v>6095</v>
      </c>
      <c r="E10088" s="3">
        <v>4125</v>
      </c>
      <c r="F10088">
        <v>20151112</v>
      </c>
      <c r="G10088" t="s">
        <v>8048</v>
      </c>
      <c r="H10088" t="s">
        <v>8062</v>
      </c>
      <c r="I10088">
        <v>0</v>
      </c>
      <c r="J10088" t="s">
        <v>8039</v>
      </c>
      <c r="K10088" t="s">
        <v>290</v>
      </c>
      <c r="L10088" t="s">
        <v>285</v>
      </c>
      <c r="M10088" t="str">
        <f>"11"</f>
        <v>11</v>
      </c>
      <c r="N10088" t="s">
        <v>12</v>
      </c>
    </row>
    <row r="10089" spans="1:14" x14ac:dyDescent="0.25">
      <c r="A10089">
        <v>20151113</v>
      </c>
      <c r="B10089" t="str">
        <f>"061105"</f>
        <v>061105</v>
      </c>
      <c r="C10089" t="str">
        <f>"60852"</f>
        <v>60852</v>
      </c>
      <c r="D10089" t="s">
        <v>6095</v>
      </c>
      <c r="E10089" s="3">
        <v>4125</v>
      </c>
      <c r="F10089">
        <v>20151112</v>
      </c>
      <c r="G10089" t="s">
        <v>8050</v>
      </c>
      <c r="H10089" t="s">
        <v>8062</v>
      </c>
      <c r="I10089">
        <v>0</v>
      </c>
      <c r="J10089" t="s">
        <v>8039</v>
      </c>
      <c r="K10089" t="s">
        <v>33</v>
      </c>
      <c r="L10089" t="s">
        <v>285</v>
      </c>
      <c r="M10089" t="str">
        <f>"11"</f>
        <v>11</v>
      </c>
      <c r="N10089" t="s">
        <v>12</v>
      </c>
    </row>
    <row r="10090" spans="1:14" x14ac:dyDescent="0.25">
      <c r="A10090">
        <v>20151211</v>
      </c>
      <c r="B10090" t="str">
        <f>"061380"</f>
        <v>061380</v>
      </c>
      <c r="C10090" t="str">
        <f>"10024"</f>
        <v>10024</v>
      </c>
      <c r="D10090" t="s">
        <v>1701</v>
      </c>
      <c r="E10090" s="3">
        <v>384038.53</v>
      </c>
      <c r="F10090">
        <v>20151210</v>
      </c>
      <c r="G10090" t="s">
        <v>8060</v>
      </c>
      <c r="H10090" t="s">
        <v>8061</v>
      </c>
      <c r="I10090">
        <v>0</v>
      </c>
      <c r="J10090" t="s">
        <v>8039</v>
      </c>
      <c r="K10090" t="s">
        <v>290</v>
      </c>
      <c r="L10090" t="s">
        <v>285</v>
      </c>
      <c r="M10090" t="str">
        <f t="shared" ref="M10090:M10100" si="762">"12"</f>
        <v>12</v>
      </c>
      <c r="N10090" t="s">
        <v>12</v>
      </c>
    </row>
    <row r="10091" spans="1:14" x14ac:dyDescent="0.25">
      <c r="A10091">
        <v>20151211</v>
      </c>
      <c r="B10091" t="str">
        <f>"061426"</f>
        <v>061426</v>
      </c>
      <c r="C10091" t="str">
        <f>"42194"</f>
        <v>42194</v>
      </c>
      <c r="D10091" t="s">
        <v>1874</v>
      </c>
      <c r="E10091" s="3">
        <v>92.73</v>
      </c>
      <c r="F10091">
        <v>20151210</v>
      </c>
      <c r="G10091" t="s">
        <v>8058</v>
      </c>
      <c r="H10091" t="s">
        <v>8063</v>
      </c>
      <c r="I10091">
        <v>0</v>
      </c>
      <c r="J10091" t="s">
        <v>8039</v>
      </c>
      <c r="K10091" t="s">
        <v>33</v>
      </c>
      <c r="L10091" t="s">
        <v>285</v>
      </c>
      <c r="M10091" t="str">
        <f t="shared" si="762"/>
        <v>12</v>
      </c>
      <c r="N10091" t="s">
        <v>12</v>
      </c>
    </row>
    <row r="10092" spans="1:14" x14ac:dyDescent="0.25">
      <c r="A10092">
        <v>20151211</v>
      </c>
      <c r="B10092" t="str">
        <f>"061434"</f>
        <v>061434</v>
      </c>
      <c r="C10092" t="str">
        <f>"45708"</f>
        <v>45708</v>
      </c>
      <c r="D10092" t="s">
        <v>8051</v>
      </c>
      <c r="E10092" s="3">
        <v>107151.45</v>
      </c>
      <c r="F10092">
        <v>20151210</v>
      </c>
      <c r="G10092" t="s">
        <v>8052</v>
      </c>
      <c r="H10092" t="s">
        <v>8053</v>
      </c>
      <c r="I10092">
        <v>0</v>
      </c>
      <c r="J10092" t="s">
        <v>8039</v>
      </c>
      <c r="K10092" t="s">
        <v>33</v>
      </c>
      <c r="L10092" t="s">
        <v>285</v>
      </c>
      <c r="M10092" t="str">
        <f t="shared" si="762"/>
        <v>12</v>
      </c>
      <c r="N10092" t="s">
        <v>12</v>
      </c>
    </row>
    <row r="10093" spans="1:14" x14ac:dyDescent="0.25">
      <c r="A10093">
        <v>20151211</v>
      </c>
      <c r="B10093" t="str">
        <f>"061453"</f>
        <v>061453</v>
      </c>
      <c r="C10093" t="str">
        <f>"60852"</f>
        <v>60852</v>
      </c>
      <c r="D10093" t="s">
        <v>6095</v>
      </c>
      <c r="E10093" s="3">
        <v>4125</v>
      </c>
      <c r="F10093">
        <v>20151210</v>
      </c>
      <c r="G10093" t="s">
        <v>8050</v>
      </c>
      <c r="H10093" t="s">
        <v>8064</v>
      </c>
      <c r="I10093">
        <v>0</v>
      </c>
      <c r="J10093" t="s">
        <v>8039</v>
      </c>
      <c r="K10093" t="s">
        <v>33</v>
      </c>
      <c r="L10093" t="s">
        <v>285</v>
      </c>
      <c r="M10093" t="str">
        <f t="shared" si="762"/>
        <v>12</v>
      </c>
      <c r="N10093" t="s">
        <v>12</v>
      </c>
    </row>
    <row r="10094" spans="1:14" x14ac:dyDescent="0.25">
      <c r="A10094">
        <v>20151211</v>
      </c>
      <c r="B10094" t="str">
        <f>"061454"</f>
        <v>061454</v>
      </c>
      <c r="C10094" t="str">
        <f>"60852"</f>
        <v>60852</v>
      </c>
      <c r="D10094" t="s">
        <v>6095</v>
      </c>
      <c r="E10094" s="3">
        <v>4125</v>
      </c>
      <c r="F10094">
        <v>20151210</v>
      </c>
      <c r="G10094" t="s">
        <v>8048</v>
      </c>
      <c r="H10094" t="s">
        <v>8064</v>
      </c>
      <c r="I10094">
        <v>0</v>
      </c>
      <c r="J10094" t="s">
        <v>8039</v>
      </c>
      <c r="K10094" t="s">
        <v>290</v>
      </c>
      <c r="L10094" t="s">
        <v>285</v>
      </c>
      <c r="M10094" t="str">
        <f t="shared" si="762"/>
        <v>12</v>
      </c>
      <c r="N10094" t="s">
        <v>12</v>
      </c>
    </row>
    <row r="10095" spans="1:14" x14ac:dyDescent="0.25">
      <c r="A10095">
        <v>20151211</v>
      </c>
      <c r="B10095" t="str">
        <f>"061459"</f>
        <v>061459</v>
      </c>
      <c r="C10095" t="str">
        <f>"63618"</f>
        <v>63618</v>
      </c>
      <c r="D10095" t="s">
        <v>8041</v>
      </c>
      <c r="E10095" s="3">
        <v>2553.5</v>
      </c>
      <c r="F10095">
        <v>20151210</v>
      </c>
      <c r="G10095" t="s">
        <v>8054</v>
      </c>
      <c r="H10095" t="s">
        <v>8065</v>
      </c>
      <c r="I10095">
        <v>0</v>
      </c>
      <c r="J10095" t="s">
        <v>8039</v>
      </c>
      <c r="K10095" t="s">
        <v>290</v>
      </c>
      <c r="L10095" t="s">
        <v>285</v>
      </c>
      <c r="M10095" t="str">
        <f t="shared" si="762"/>
        <v>12</v>
      </c>
      <c r="N10095" t="s">
        <v>12</v>
      </c>
    </row>
    <row r="10096" spans="1:14" x14ac:dyDescent="0.25">
      <c r="A10096">
        <v>20151211</v>
      </c>
      <c r="B10096" t="str">
        <f>"061460"</f>
        <v>061460</v>
      </c>
      <c r="C10096" t="str">
        <f>"63618"</f>
        <v>63618</v>
      </c>
      <c r="D10096" t="s">
        <v>8041</v>
      </c>
      <c r="E10096" s="3">
        <v>1749</v>
      </c>
      <c r="F10096">
        <v>20151210</v>
      </c>
      <c r="G10096" t="s">
        <v>8056</v>
      </c>
      <c r="H10096" t="s">
        <v>8066</v>
      </c>
      <c r="I10096">
        <v>0</v>
      </c>
      <c r="J10096" t="s">
        <v>8039</v>
      </c>
      <c r="K10096" t="s">
        <v>33</v>
      </c>
      <c r="L10096" t="s">
        <v>285</v>
      </c>
      <c r="M10096" t="str">
        <f t="shared" si="762"/>
        <v>12</v>
      </c>
      <c r="N10096" t="s">
        <v>12</v>
      </c>
    </row>
    <row r="10097" spans="1:14" x14ac:dyDescent="0.25">
      <c r="A10097">
        <v>20151211</v>
      </c>
      <c r="B10097" t="str">
        <f>"061461"</f>
        <v>061461</v>
      </c>
      <c r="C10097" t="str">
        <f>"63618"</f>
        <v>63618</v>
      </c>
      <c r="D10097" t="s">
        <v>8041</v>
      </c>
      <c r="E10097" s="3">
        <v>1720</v>
      </c>
      <c r="F10097">
        <v>20151210</v>
      </c>
      <c r="G10097" t="s">
        <v>8054</v>
      </c>
      <c r="H10097" t="s">
        <v>8067</v>
      </c>
      <c r="I10097">
        <v>0</v>
      </c>
      <c r="J10097" t="s">
        <v>8039</v>
      </c>
      <c r="K10097" t="s">
        <v>290</v>
      </c>
      <c r="L10097" t="s">
        <v>285</v>
      </c>
      <c r="M10097" t="str">
        <f t="shared" si="762"/>
        <v>12</v>
      </c>
      <c r="N10097" t="s">
        <v>12</v>
      </c>
    </row>
    <row r="10098" spans="1:14" x14ac:dyDescent="0.25">
      <c r="A10098">
        <v>20151211</v>
      </c>
      <c r="B10098" t="str">
        <f>"061462"</f>
        <v>061462</v>
      </c>
      <c r="C10098" t="str">
        <f>"63618"</f>
        <v>63618</v>
      </c>
      <c r="D10098" t="s">
        <v>8041</v>
      </c>
      <c r="E10098" s="3">
        <v>1329.5</v>
      </c>
      <c r="F10098">
        <v>20151210</v>
      </c>
      <c r="G10098" t="s">
        <v>8056</v>
      </c>
      <c r="H10098" t="s">
        <v>8068</v>
      </c>
      <c r="I10098">
        <v>0</v>
      </c>
      <c r="J10098" t="s">
        <v>8039</v>
      </c>
      <c r="K10098" t="s">
        <v>33</v>
      </c>
      <c r="L10098" t="s">
        <v>285</v>
      </c>
      <c r="M10098" t="str">
        <f t="shared" si="762"/>
        <v>12</v>
      </c>
      <c r="N10098" t="s">
        <v>12</v>
      </c>
    </row>
    <row r="10099" spans="1:14" x14ac:dyDescent="0.25">
      <c r="A10099">
        <v>20151218</v>
      </c>
      <c r="B10099" t="str">
        <f>"061504"</f>
        <v>061504</v>
      </c>
      <c r="C10099" t="str">
        <f>"10024"</f>
        <v>10024</v>
      </c>
      <c r="D10099" t="s">
        <v>1701</v>
      </c>
      <c r="E10099" s="3">
        <v>362714.55</v>
      </c>
      <c r="F10099">
        <v>20151216</v>
      </c>
      <c r="G10099" t="s">
        <v>8060</v>
      </c>
      <c r="H10099" t="s">
        <v>8061</v>
      </c>
      <c r="I10099">
        <v>0</v>
      </c>
      <c r="J10099" t="s">
        <v>8039</v>
      </c>
      <c r="K10099" t="s">
        <v>290</v>
      </c>
      <c r="L10099" t="s">
        <v>285</v>
      </c>
      <c r="M10099" t="str">
        <f t="shared" si="762"/>
        <v>12</v>
      </c>
      <c r="N10099" t="s">
        <v>12</v>
      </c>
    </row>
    <row r="10100" spans="1:14" x14ac:dyDescent="0.25">
      <c r="A10100">
        <v>20151218</v>
      </c>
      <c r="B10100" t="str">
        <f>"061505"</f>
        <v>061505</v>
      </c>
      <c r="C10100" t="str">
        <f>"10024"</f>
        <v>10024</v>
      </c>
      <c r="D10100" t="s">
        <v>1701</v>
      </c>
      <c r="E10100" s="3">
        <v>51469.72</v>
      </c>
      <c r="F10100">
        <v>20151216</v>
      </c>
      <c r="G10100" t="s">
        <v>8069</v>
      </c>
      <c r="H10100" t="s">
        <v>8061</v>
      </c>
      <c r="I10100">
        <v>0</v>
      </c>
      <c r="J10100" t="s">
        <v>8039</v>
      </c>
      <c r="K10100" t="s">
        <v>290</v>
      </c>
      <c r="L10100" t="s">
        <v>285</v>
      </c>
      <c r="M10100" t="str">
        <f t="shared" si="762"/>
        <v>12</v>
      </c>
      <c r="N10100" t="s">
        <v>12</v>
      </c>
    </row>
    <row r="10101" spans="1:14" x14ac:dyDescent="0.25">
      <c r="A10101">
        <v>20160111</v>
      </c>
      <c r="B10101" t="str">
        <f>"061707"</f>
        <v>061707</v>
      </c>
      <c r="C10101" t="str">
        <f>"42194"</f>
        <v>42194</v>
      </c>
      <c r="D10101" t="s">
        <v>1874</v>
      </c>
      <c r="E10101" s="3">
        <v>172.43</v>
      </c>
      <c r="F10101">
        <v>20160108</v>
      </c>
      <c r="G10101" t="s">
        <v>8058</v>
      </c>
      <c r="H10101" t="s">
        <v>8070</v>
      </c>
      <c r="I10101">
        <v>0</v>
      </c>
      <c r="J10101" t="s">
        <v>8039</v>
      </c>
      <c r="K10101" t="s">
        <v>33</v>
      </c>
      <c r="L10101" t="s">
        <v>285</v>
      </c>
      <c r="M10101" t="str">
        <f t="shared" ref="M10101:M10110" si="763">"01"</f>
        <v>01</v>
      </c>
      <c r="N10101" t="s">
        <v>12</v>
      </c>
    </row>
    <row r="10102" spans="1:14" x14ac:dyDescent="0.25">
      <c r="A10102">
        <v>20160111</v>
      </c>
      <c r="B10102" t="str">
        <f>"061707"</f>
        <v>061707</v>
      </c>
      <c r="C10102" t="str">
        <f>"42194"</f>
        <v>42194</v>
      </c>
      <c r="D10102" t="s">
        <v>1874</v>
      </c>
      <c r="E10102" s="3">
        <v>-172.43</v>
      </c>
      <c r="F10102">
        <v>20160111</v>
      </c>
      <c r="G10102" t="s">
        <v>8058</v>
      </c>
      <c r="H10102" t="s">
        <v>214</v>
      </c>
      <c r="I10102">
        <v>0</v>
      </c>
      <c r="J10102" t="s">
        <v>8039</v>
      </c>
      <c r="K10102" t="s">
        <v>33</v>
      </c>
      <c r="L10102" t="s">
        <v>17</v>
      </c>
      <c r="M10102" t="str">
        <f t="shared" si="763"/>
        <v>01</v>
      </c>
      <c r="N10102" t="s">
        <v>12</v>
      </c>
    </row>
    <row r="10103" spans="1:14" x14ac:dyDescent="0.25">
      <c r="A10103">
        <v>20160111</v>
      </c>
      <c r="B10103" t="str">
        <f>"061748"</f>
        <v>061748</v>
      </c>
      <c r="C10103" t="str">
        <f>"42194"</f>
        <v>42194</v>
      </c>
      <c r="D10103" t="s">
        <v>1874</v>
      </c>
      <c r="E10103" s="3">
        <v>79.7</v>
      </c>
      <c r="F10103">
        <v>20160111</v>
      </c>
      <c r="G10103" t="s">
        <v>8058</v>
      </c>
      <c r="H10103" t="s">
        <v>3636</v>
      </c>
      <c r="I10103">
        <v>0</v>
      </c>
      <c r="J10103" t="s">
        <v>8039</v>
      </c>
      <c r="K10103" t="s">
        <v>33</v>
      </c>
      <c r="L10103" t="s">
        <v>17</v>
      </c>
      <c r="M10103" t="str">
        <f t="shared" si="763"/>
        <v>01</v>
      </c>
      <c r="N10103" t="s">
        <v>12</v>
      </c>
    </row>
    <row r="10104" spans="1:14" x14ac:dyDescent="0.25">
      <c r="A10104">
        <v>20160129</v>
      </c>
      <c r="B10104" t="str">
        <f>"061919"</f>
        <v>061919</v>
      </c>
      <c r="C10104" t="str">
        <f>"10024"</f>
        <v>10024</v>
      </c>
      <c r="D10104" t="s">
        <v>1701</v>
      </c>
      <c r="E10104" s="3">
        <v>28695.99</v>
      </c>
      <c r="F10104">
        <v>20160128</v>
      </c>
      <c r="G10104" t="s">
        <v>8069</v>
      </c>
      <c r="H10104" t="s">
        <v>8061</v>
      </c>
      <c r="I10104">
        <v>0</v>
      </c>
      <c r="J10104" t="s">
        <v>8039</v>
      </c>
      <c r="K10104" t="s">
        <v>290</v>
      </c>
      <c r="L10104" t="s">
        <v>285</v>
      </c>
      <c r="M10104" t="str">
        <f t="shared" si="763"/>
        <v>01</v>
      </c>
      <c r="N10104" t="s">
        <v>12</v>
      </c>
    </row>
    <row r="10105" spans="1:14" x14ac:dyDescent="0.25">
      <c r="A10105">
        <v>20160129</v>
      </c>
      <c r="B10105" t="str">
        <f>"061920"</f>
        <v>061920</v>
      </c>
      <c r="C10105" t="str">
        <f>"10024"</f>
        <v>10024</v>
      </c>
      <c r="D10105" t="s">
        <v>1701</v>
      </c>
      <c r="E10105" s="3">
        <v>193789.95</v>
      </c>
      <c r="F10105">
        <v>20160128</v>
      </c>
      <c r="G10105" t="s">
        <v>8060</v>
      </c>
      <c r="H10105" t="s">
        <v>8061</v>
      </c>
      <c r="I10105">
        <v>0</v>
      </c>
      <c r="J10105" t="s">
        <v>8039</v>
      </c>
      <c r="K10105" t="s">
        <v>290</v>
      </c>
      <c r="L10105" t="s">
        <v>285</v>
      </c>
      <c r="M10105" t="str">
        <f t="shared" si="763"/>
        <v>01</v>
      </c>
      <c r="N10105" t="s">
        <v>12</v>
      </c>
    </row>
    <row r="10106" spans="1:14" x14ac:dyDescent="0.25">
      <c r="A10106">
        <v>20160129</v>
      </c>
      <c r="B10106" t="str">
        <f>"061963"</f>
        <v>061963</v>
      </c>
      <c r="C10106" t="str">
        <f>"42194"</f>
        <v>42194</v>
      </c>
      <c r="D10106" t="s">
        <v>1874</v>
      </c>
      <c r="E10106" s="3">
        <v>100.41</v>
      </c>
      <c r="F10106">
        <v>20160128</v>
      </c>
      <c r="G10106" t="s">
        <v>8058</v>
      </c>
      <c r="H10106" t="s">
        <v>8071</v>
      </c>
      <c r="I10106">
        <v>0</v>
      </c>
      <c r="J10106" t="s">
        <v>8039</v>
      </c>
      <c r="K10106" t="s">
        <v>33</v>
      </c>
      <c r="L10106" t="s">
        <v>285</v>
      </c>
      <c r="M10106" t="str">
        <f t="shared" si="763"/>
        <v>01</v>
      </c>
      <c r="N10106" t="s">
        <v>12</v>
      </c>
    </row>
    <row r="10107" spans="1:14" x14ac:dyDescent="0.25">
      <c r="A10107">
        <v>20160129</v>
      </c>
      <c r="B10107" t="str">
        <f>"061999"</f>
        <v>061999</v>
      </c>
      <c r="C10107" t="str">
        <f>"60852"</f>
        <v>60852</v>
      </c>
      <c r="D10107" t="s">
        <v>6095</v>
      </c>
      <c r="E10107" s="3">
        <v>4125</v>
      </c>
      <c r="F10107">
        <v>20160128</v>
      </c>
      <c r="G10107" t="s">
        <v>8048</v>
      </c>
      <c r="H10107" t="s">
        <v>8072</v>
      </c>
      <c r="I10107">
        <v>0</v>
      </c>
      <c r="J10107" t="s">
        <v>8039</v>
      </c>
      <c r="K10107" t="s">
        <v>290</v>
      </c>
      <c r="L10107" t="s">
        <v>285</v>
      </c>
      <c r="M10107" t="str">
        <f t="shared" si="763"/>
        <v>01</v>
      </c>
      <c r="N10107" t="s">
        <v>12</v>
      </c>
    </row>
    <row r="10108" spans="1:14" x14ac:dyDescent="0.25">
      <c r="A10108">
        <v>20160129</v>
      </c>
      <c r="B10108" t="str">
        <f>"062000"</f>
        <v>062000</v>
      </c>
      <c r="C10108" t="str">
        <f>"60852"</f>
        <v>60852</v>
      </c>
      <c r="D10108" t="s">
        <v>6095</v>
      </c>
      <c r="E10108" s="3">
        <v>4125</v>
      </c>
      <c r="F10108">
        <v>20160128</v>
      </c>
      <c r="G10108" t="s">
        <v>8050</v>
      </c>
      <c r="H10108" t="s">
        <v>8072</v>
      </c>
      <c r="I10108">
        <v>0</v>
      </c>
      <c r="J10108" t="s">
        <v>8039</v>
      </c>
      <c r="K10108" t="s">
        <v>33</v>
      </c>
      <c r="L10108" t="s">
        <v>285</v>
      </c>
      <c r="M10108" t="str">
        <f t="shared" si="763"/>
        <v>01</v>
      </c>
      <c r="N10108" t="s">
        <v>12</v>
      </c>
    </row>
    <row r="10109" spans="1:14" x14ac:dyDescent="0.25">
      <c r="A10109">
        <v>20160129</v>
      </c>
      <c r="B10109" t="str">
        <f>"062003"</f>
        <v>062003</v>
      </c>
      <c r="C10109" t="str">
        <f>"63618"</f>
        <v>63618</v>
      </c>
      <c r="D10109" t="s">
        <v>8041</v>
      </c>
      <c r="E10109" s="3">
        <v>1408.5</v>
      </c>
      <c r="F10109">
        <v>20160128</v>
      </c>
      <c r="G10109" t="s">
        <v>8056</v>
      </c>
      <c r="H10109" t="s">
        <v>8073</v>
      </c>
      <c r="I10109">
        <v>0</v>
      </c>
      <c r="J10109" t="s">
        <v>8039</v>
      </c>
      <c r="K10109" t="s">
        <v>33</v>
      </c>
      <c r="L10109" t="s">
        <v>285</v>
      </c>
      <c r="M10109" t="str">
        <f t="shared" si="763"/>
        <v>01</v>
      </c>
      <c r="N10109" t="s">
        <v>12</v>
      </c>
    </row>
    <row r="10110" spans="1:14" x14ac:dyDescent="0.25">
      <c r="A10110">
        <v>20160129</v>
      </c>
      <c r="B10110" t="str">
        <f>"062004"</f>
        <v>062004</v>
      </c>
      <c r="C10110" t="str">
        <f>"63618"</f>
        <v>63618</v>
      </c>
      <c r="D10110" t="s">
        <v>8041</v>
      </c>
      <c r="E10110" s="3">
        <v>961</v>
      </c>
      <c r="F10110">
        <v>20160128</v>
      </c>
      <c r="G10110" t="s">
        <v>8054</v>
      </c>
      <c r="H10110" t="s">
        <v>8074</v>
      </c>
      <c r="I10110">
        <v>0</v>
      </c>
      <c r="J10110" t="s">
        <v>8039</v>
      </c>
      <c r="K10110" t="s">
        <v>290</v>
      </c>
      <c r="L10110" t="s">
        <v>285</v>
      </c>
      <c r="M10110" t="str">
        <f t="shared" si="763"/>
        <v>01</v>
      </c>
      <c r="N10110" t="s">
        <v>12</v>
      </c>
    </row>
    <row r="10111" spans="1:14" x14ac:dyDescent="0.25">
      <c r="A10111">
        <v>20160212</v>
      </c>
      <c r="B10111" t="str">
        <f>"062320"</f>
        <v>062320</v>
      </c>
      <c r="C10111" t="str">
        <f>"45708"</f>
        <v>45708</v>
      </c>
      <c r="D10111" t="s">
        <v>8051</v>
      </c>
      <c r="E10111" s="3">
        <v>189619.05</v>
      </c>
      <c r="F10111">
        <v>20160212</v>
      </c>
      <c r="G10111" t="s">
        <v>8052</v>
      </c>
      <c r="H10111" t="s">
        <v>8053</v>
      </c>
      <c r="I10111">
        <v>0</v>
      </c>
      <c r="J10111" t="s">
        <v>8039</v>
      </c>
      <c r="K10111" t="s">
        <v>33</v>
      </c>
      <c r="L10111" t="s">
        <v>285</v>
      </c>
      <c r="M10111" t="str">
        <f t="shared" ref="M10111:M10119" si="764">"02"</f>
        <v>02</v>
      </c>
      <c r="N10111" t="s">
        <v>12</v>
      </c>
    </row>
    <row r="10112" spans="1:14" x14ac:dyDescent="0.25">
      <c r="A10112">
        <v>20160219</v>
      </c>
      <c r="B10112" t="str">
        <f>"062382"</f>
        <v>062382</v>
      </c>
      <c r="C10112" t="str">
        <f>"10024"</f>
        <v>10024</v>
      </c>
      <c r="D10112" t="s">
        <v>1701</v>
      </c>
      <c r="E10112" s="3">
        <v>9689.36</v>
      </c>
      <c r="F10112">
        <v>20160218</v>
      </c>
      <c r="G10112" t="s">
        <v>8075</v>
      </c>
      <c r="H10112" t="s">
        <v>8076</v>
      </c>
      <c r="I10112">
        <v>0</v>
      </c>
      <c r="J10112" t="s">
        <v>8039</v>
      </c>
      <c r="K10112" t="s">
        <v>290</v>
      </c>
      <c r="L10112" t="s">
        <v>285</v>
      </c>
      <c r="M10112" t="str">
        <f t="shared" si="764"/>
        <v>02</v>
      </c>
      <c r="N10112" t="s">
        <v>12</v>
      </c>
    </row>
    <row r="10113" spans="1:14" x14ac:dyDescent="0.25">
      <c r="A10113">
        <v>20160219</v>
      </c>
      <c r="B10113" t="str">
        <f>"062382"</f>
        <v>062382</v>
      </c>
      <c r="C10113" t="str">
        <f>"10024"</f>
        <v>10024</v>
      </c>
      <c r="D10113" t="s">
        <v>1701</v>
      </c>
      <c r="E10113" s="3">
        <v>36889.42</v>
      </c>
      <c r="F10113">
        <v>20160218</v>
      </c>
      <c r="G10113" t="s">
        <v>8075</v>
      </c>
      <c r="H10113" t="s">
        <v>8076</v>
      </c>
      <c r="I10113">
        <v>0</v>
      </c>
      <c r="J10113" t="s">
        <v>8039</v>
      </c>
      <c r="K10113" t="s">
        <v>290</v>
      </c>
      <c r="L10113" t="s">
        <v>285</v>
      </c>
      <c r="M10113" t="str">
        <f t="shared" si="764"/>
        <v>02</v>
      </c>
      <c r="N10113" t="s">
        <v>12</v>
      </c>
    </row>
    <row r="10114" spans="1:14" x14ac:dyDescent="0.25">
      <c r="A10114">
        <v>20160219</v>
      </c>
      <c r="B10114" t="str">
        <f>"062383"</f>
        <v>062383</v>
      </c>
      <c r="C10114" t="str">
        <f>"10024"</f>
        <v>10024</v>
      </c>
      <c r="D10114" t="s">
        <v>1701</v>
      </c>
      <c r="E10114" s="3">
        <v>248271.66</v>
      </c>
      <c r="F10114">
        <v>20160218</v>
      </c>
      <c r="G10114" t="s">
        <v>8060</v>
      </c>
      <c r="H10114" t="s">
        <v>8061</v>
      </c>
      <c r="I10114">
        <v>0</v>
      </c>
      <c r="J10114" t="s">
        <v>8039</v>
      </c>
      <c r="K10114" t="s">
        <v>290</v>
      </c>
      <c r="L10114" t="s">
        <v>285</v>
      </c>
      <c r="M10114" t="str">
        <f t="shared" si="764"/>
        <v>02</v>
      </c>
      <c r="N10114" t="s">
        <v>12</v>
      </c>
    </row>
    <row r="10115" spans="1:14" x14ac:dyDescent="0.25">
      <c r="A10115">
        <v>20160219</v>
      </c>
      <c r="B10115" t="str">
        <f>"062384"</f>
        <v>062384</v>
      </c>
      <c r="C10115" t="str">
        <f>"10024"</f>
        <v>10024</v>
      </c>
      <c r="D10115" t="s">
        <v>1701</v>
      </c>
      <c r="E10115" s="3">
        <v>29145.759999999998</v>
      </c>
      <c r="F10115">
        <v>20160218</v>
      </c>
      <c r="G10115" t="s">
        <v>8069</v>
      </c>
      <c r="H10115" t="s">
        <v>8061</v>
      </c>
      <c r="I10115">
        <v>0</v>
      </c>
      <c r="J10115" t="s">
        <v>8039</v>
      </c>
      <c r="K10115" t="s">
        <v>290</v>
      </c>
      <c r="L10115" t="s">
        <v>285</v>
      </c>
      <c r="M10115" t="str">
        <f t="shared" si="764"/>
        <v>02</v>
      </c>
      <c r="N10115" t="s">
        <v>12</v>
      </c>
    </row>
    <row r="10116" spans="1:14" x14ac:dyDescent="0.25">
      <c r="A10116">
        <v>20160219</v>
      </c>
      <c r="B10116" t="str">
        <f>"062473"</f>
        <v>062473</v>
      </c>
      <c r="C10116" t="str">
        <f>"60852"</f>
        <v>60852</v>
      </c>
      <c r="D10116" t="s">
        <v>6095</v>
      </c>
      <c r="E10116" s="3">
        <v>4125</v>
      </c>
      <c r="F10116">
        <v>20160218</v>
      </c>
      <c r="G10116" t="s">
        <v>8048</v>
      </c>
      <c r="H10116" t="s">
        <v>8077</v>
      </c>
      <c r="I10116">
        <v>0</v>
      </c>
      <c r="J10116" t="s">
        <v>8039</v>
      </c>
      <c r="K10116" t="s">
        <v>290</v>
      </c>
      <c r="L10116" t="s">
        <v>285</v>
      </c>
      <c r="M10116" t="str">
        <f t="shared" si="764"/>
        <v>02</v>
      </c>
      <c r="N10116" t="s">
        <v>12</v>
      </c>
    </row>
    <row r="10117" spans="1:14" x14ac:dyDescent="0.25">
      <c r="A10117">
        <v>20160219</v>
      </c>
      <c r="B10117" t="str">
        <f>"062474"</f>
        <v>062474</v>
      </c>
      <c r="C10117" t="str">
        <f>"60852"</f>
        <v>60852</v>
      </c>
      <c r="D10117" t="s">
        <v>6095</v>
      </c>
      <c r="E10117" s="3">
        <v>4125</v>
      </c>
      <c r="F10117">
        <v>20160218</v>
      </c>
      <c r="G10117" t="s">
        <v>8050</v>
      </c>
      <c r="H10117" t="s">
        <v>8077</v>
      </c>
      <c r="I10117">
        <v>0</v>
      </c>
      <c r="J10117" t="s">
        <v>8039</v>
      </c>
      <c r="K10117" t="s">
        <v>33</v>
      </c>
      <c r="L10117" t="s">
        <v>285</v>
      </c>
      <c r="M10117" t="str">
        <f t="shared" si="764"/>
        <v>02</v>
      </c>
      <c r="N10117" t="s">
        <v>12</v>
      </c>
    </row>
    <row r="10118" spans="1:14" x14ac:dyDescent="0.25">
      <c r="A10118">
        <v>20160219</v>
      </c>
      <c r="B10118" t="str">
        <f>"062480"</f>
        <v>062480</v>
      </c>
      <c r="C10118" t="str">
        <f>"63618"</f>
        <v>63618</v>
      </c>
      <c r="D10118" t="s">
        <v>8041</v>
      </c>
      <c r="E10118" s="3">
        <v>399</v>
      </c>
      <c r="F10118">
        <v>20160218</v>
      </c>
      <c r="G10118" t="s">
        <v>8054</v>
      </c>
      <c r="H10118" t="s">
        <v>8078</v>
      </c>
      <c r="I10118">
        <v>0</v>
      </c>
      <c r="J10118" t="s">
        <v>8039</v>
      </c>
      <c r="K10118" t="s">
        <v>290</v>
      </c>
      <c r="L10118" t="s">
        <v>285</v>
      </c>
      <c r="M10118" t="str">
        <f t="shared" si="764"/>
        <v>02</v>
      </c>
      <c r="N10118" t="s">
        <v>12</v>
      </c>
    </row>
    <row r="10119" spans="1:14" x14ac:dyDescent="0.25">
      <c r="A10119">
        <v>20160219</v>
      </c>
      <c r="B10119" t="str">
        <f>"062481"</f>
        <v>062481</v>
      </c>
      <c r="C10119" t="str">
        <f>"63618"</f>
        <v>63618</v>
      </c>
      <c r="D10119" t="s">
        <v>8041</v>
      </c>
      <c r="E10119" s="3">
        <v>119</v>
      </c>
      <c r="F10119">
        <v>20160218</v>
      </c>
      <c r="G10119" t="s">
        <v>8056</v>
      </c>
      <c r="H10119" t="s">
        <v>8079</v>
      </c>
      <c r="I10119">
        <v>0</v>
      </c>
      <c r="J10119" t="s">
        <v>8039</v>
      </c>
      <c r="K10119" t="s">
        <v>33</v>
      </c>
      <c r="L10119" t="s">
        <v>285</v>
      </c>
      <c r="M10119" t="str">
        <f t="shared" si="764"/>
        <v>02</v>
      </c>
      <c r="N10119" t="s">
        <v>12</v>
      </c>
    </row>
    <row r="10120" spans="1:14" x14ac:dyDescent="0.25">
      <c r="A10120">
        <v>20160304</v>
      </c>
      <c r="B10120" t="str">
        <f>"062573"</f>
        <v>062573</v>
      </c>
      <c r="C10120" t="str">
        <f>"42194"</f>
        <v>42194</v>
      </c>
      <c r="D10120" t="s">
        <v>1874</v>
      </c>
      <c r="E10120" s="3">
        <v>100.22</v>
      </c>
      <c r="F10120">
        <v>20160303</v>
      </c>
      <c r="G10120" t="s">
        <v>8058</v>
      </c>
      <c r="H10120" t="s">
        <v>8080</v>
      </c>
      <c r="I10120">
        <v>0</v>
      </c>
      <c r="J10120" t="s">
        <v>8039</v>
      </c>
      <c r="K10120" t="s">
        <v>33</v>
      </c>
      <c r="L10120" t="s">
        <v>285</v>
      </c>
      <c r="M10120" t="str">
        <f t="shared" ref="M10120:M10131" si="765">"03"</f>
        <v>03</v>
      </c>
      <c r="N10120" t="s">
        <v>12</v>
      </c>
    </row>
    <row r="10121" spans="1:14" x14ac:dyDescent="0.25">
      <c r="A10121">
        <v>20160318</v>
      </c>
      <c r="B10121" t="str">
        <f>"062762"</f>
        <v>062762</v>
      </c>
      <c r="C10121" t="str">
        <f>"45708"</f>
        <v>45708</v>
      </c>
      <c r="D10121" t="s">
        <v>8051</v>
      </c>
      <c r="E10121" s="3">
        <v>296969.05</v>
      </c>
      <c r="F10121">
        <v>20160316</v>
      </c>
      <c r="G10121" t="s">
        <v>8052</v>
      </c>
      <c r="H10121" t="s">
        <v>8053</v>
      </c>
      <c r="I10121">
        <v>0</v>
      </c>
      <c r="J10121" t="s">
        <v>8039</v>
      </c>
      <c r="K10121" t="s">
        <v>33</v>
      </c>
      <c r="L10121" t="s">
        <v>285</v>
      </c>
      <c r="M10121" t="str">
        <f t="shared" si="765"/>
        <v>03</v>
      </c>
      <c r="N10121" t="s">
        <v>12</v>
      </c>
    </row>
    <row r="10122" spans="1:14" x14ac:dyDescent="0.25">
      <c r="A10122">
        <v>20160318</v>
      </c>
      <c r="B10122" t="str">
        <f>"062789"</f>
        <v>062789</v>
      </c>
      <c r="C10122" t="str">
        <f>"60852"</f>
        <v>60852</v>
      </c>
      <c r="D10122" t="s">
        <v>6095</v>
      </c>
      <c r="E10122" s="3">
        <v>4125</v>
      </c>
      <c r="F10122">
        <v>20160317</v>
      </c>
      <c r="G10122" t="s">
        <v>8048</v>
      </c>
      <c r="H10122" t="s">
        <v>8081</v>
      </c>
      <c r="I10122">
        <v>0</v>
      </c>
      <c r="J10122" t="s">
        <v>8039</v>
      </c>
      <c r="K10122" t="s">
        <v>290</v>
      </c>
      <c r="L10122" t="s">
        <v>285</v>
      </c>
      <c r="M10122" t="str">
        <f t="shared" si="765"/>
        <v>03</v>
      </c>
      <c r="N10122" t="s">
        <v>12</v>
      </c>
    </row>
    <row r="10123" spans="1:14" x14ac:dyDescent="0.25">
      <c r="A10123">
        <v>20160318</v>
      </c>
      <c r="B10123" t="str">
        <f>"062790"</f>
        <v>062790</v>
      </c>
      <c r="C10123" t="str">
        <f>"60852"</f>
        <v>60852</v>
      </c>
      <c r="D10123" t="s">
        <v>6095</v>
      </c>
      <c r="E10123" s="3">
        <v>4125</v>
      </c>
      <c r="F10123">
        <v>20160317</v>
      </c>
      <c r="G10123" t="s">
        <v>8050</v>
      </c>
      <c r="H10123" t="s">
        <v>8081</v>
      </c>
      <c r="I10123">
        <v>0</v>
      </c>
      <c r="J10123" t="s">
        <v>8039</v>
      </c>
      <c r="K10123" t="s">
        <v>33</v>
      </c>
      <c r="L10123" t="s">
        <v>285</v>
      </c>
      <c r="M10123" t="str">
        <f t="shared" si="765"/>
        <v>03</v>
      </c>
      <c r="N10123" t="s">
        <v>12</v>
      </c>
    </row>
    <row r="10124" spans="1:14" x14ac:dyDescent="0.25">
      <c r="A10124">
        <v>20160318</v>
      </c>
      <c r="B10124" t="str">
        <f>"062791"</f>
        <v>062791</v>
      </c>
      <c r="C10124" t="str">
        <f>"60852"</f>
        <v>60852</v>
      </c>
      <c r="D10124" t="s">
        <v>6095</v>
      </c>
      <c r="E10124" s="3">
        <v>3571</v>
      </c>
      <c r="F10124">
        <v>20160317</v>
      </c>
      <c r="G10124" t="s">
        <v>8082</v>
      </c>
      <c r="H10124" t="s">
        <v>8083</v>
      </c>
      <c r="I10124">
        <v>0</v>
      </c>
      <c r="J10124" t="s">
        <v>8039</v>
      </c>
      <c r="K10124" t="s">
        <v>290</v>
      </c>
      <c r="L10124" t="s">
        <v>285</v>
      </c>
      <c r="M10124" t="str">
        <f t="shared" si="765"/>
        <v>03</v>
      </c>
      <c r="N10124" t="s">
        <v>12</v>
      </c>
    </row>
    <row r="10125" spans="1:14" x14ac:dyDescent="0.25">
      <c r="A10125">
        <v>20160324</v>
      </c>
      <c r="B10125" t="str">
        <f>"062890"</f>
        <v>062890</v>
      </c>
      <c r="C10125" t="str">
        <f>"32915"</f>
        <v>32915</v>
      </c>
      <c r="D10125" t="s">
        <v>8045</v>
      </c>
      <c r="E10125" s="3">
        <v>14098.8</v>
      </c>
      <c r="F10125">
        <v>20160324</v>
      </c>
      <c r="G10125" t="s">
        <v>8084</v>
      </c>
      <c r="H10125" t="s">
        <v>8046</v>
      </c>
      <c r="I10125">
        <v>0</v>
      </c>
      <c r="J10125" t="s">
        <v>8039</v>
      </c>
      <c r="K10125" t="s">
        <v>33</v>
      </c>
      <c r="L10125" t="s">
        <v>285</v>
      </c>
      <c r="M10125" t="str">
        <f t="shared" si="765"/>
        <v>03</v>
      </c>
      <c r="N10125" t="s">
        <v>12</v>
      </c>
    </row>
    <row r="10126" spans="1:14" x14ac:dyDescent="0.25">
      <c r="A10126">
        <v>20160324</v>
      </c>
      <c r="B10126" t="str">
        <f>"062891"</f>
        <v>062891</v>
      </c>
      <c r="C10126" t="str">
        <f>"32915"</f>
        <v>32915</v>
      </c>
      <c r="D10126" t="s">
        <v>8045</v>
      </c>
      <c r="E10126" s="3">
        <v>1270.1500000000001</v>
      </c>
      <c r="F10126">
        <v>20160324</v>
      </c>
      <c r="G10126" t="s">
        <v>8085</v>
      </c>
      <c r="H10126" t="s">
        <v>8047</v>
      </c>
      <c r="I10126">
        <v>0</v>
      </c>
      <c r="J10126" t="s">
        <v>8039</v>
      </c>
      <c r="K10126" t="s">
        <v>33</v>
      </c>
      <c r="L10126" t="s">
        <v>285</v>
      </c>
      <c r="M10126" t="str">
        <f t="shared" si="765"/>
        <v>03</v>
      </c>
      <c r="N10126" t="s">
        <v>12</v>
      </c>
    </row>
    <row r="10127" spans="1:14" x14ac:dyDescent="0.25">
      <c r="A10127">
        <v>20160324</v>
      </c>
      <c r="B10127" t="str">
        <f>"062893"</f>
        <v>062893</v>
      </c>
      <c r="C10127" t="str">
        <f>"45708"</f>
        <v>45708</v>
      </c>
      <c r="D10127" t="s">
        <v>8051</v>
      </c>
      <c r="E10127" s="3">
        <v>235403.35</v>
      </c>
      <c r="F10127">
        <v>20160324</v>
      </c>
      <c r="G10127" t="s">
        <v>8052</v>
      </c>
      <c r="H10127" t="s">
        <v>8053</v>
      </c>
      <c r="I10127">
        <v>0</v>
      </c>
      <c r="J10127" t="s">
        <v>8039</v>
      </c>
      <c r="K10127" t="s">
        <v>33</v>
      </c>
      <c r="L10127" t="s">
        <v>285</v>
      </c>
      <c r="M10127" t="str">
        <f t="shared" si="765"/>
        <v>03</v>
      </c>
      <c r="N10127" t="s">
        <v>12</v>
      </c>
    </row>
    <row r="10128" spans="1:14" x14ac:dyDescent="0.25">
      <c r="A10128">
        <v>20160324</v>
      </c>
      <c r="B10128" t="str">
        <f>"062898"</f>
        <v>062898</v>
      </c>
      <c r="C10128" t="str">
        <f>"63618"</f>
        <v>63618</v>
      </c>
      <c r="D10128" t="s">
        <v>8041</v>
      </c>
      <c r="E10128" s="3">
        <v>2524.5</v>
      </c>
      <c r="F10128">
        <v>20160324</v>
      </c>
      <c r="G10128" t="s">
        <v>8054</v>
      </c>
      <c r="H10128" t="s">
        <v>8086</v>
      </c>
      <c r="I10128">
        <v>0</v>
      </c>
      <c r="J10128" t="s">
        <v>8039</v>
      </c>
      <c r="K10128" t="s">
        <v>290</v>
      </c>
      <c r="L10128" t="s">
        <v>285</v>
      </c>
      <c r="M10128" t="str">
        <f t="shared" si="765"/>
        <v>03</v>
      </c>
      <c r="N10128" t="s">
        <v>12</v>
      </c>
    </row>
    <row r="10129" spans="1:14" x14ac:dyDescent="0.25">
      <c r="A10129">
        <v>20160324</v>
      </c>
      <c r="B10129" t="str">
        <f>"062900"</f>
        <v>062900</v>
      </c>
      <c r="C10129" t="str">
        <f>"63618"</f>
        <v>63618</v>
      </c>
      <c r="D10129" t="s">
        <v>8041</v>
      </c>
      <c r="E10129" s="3">
        <v>799</v>
      </c>
      <c r="F10129">
        <v>20160324</v>
      </c>
      <c r="G10129" t="s">
        <v>8056</v>
      </c>
      <c r="H10129" t="s">
        <v>8087</v>
      </c>
      <c r="I10129">
        <v>0</v>
      </c>
      <c r="J10129" t="s">
        <v>8039</v>
      </c>
      <c r="K10129" t="s">
        <v>33</v>
      </c>
      <c r="L10129" t="s">
        <v>285</v>
      </c>
      <c r="M10129" t="str">
        <f t="shared" si="765"/>
        <v>03</v>
      </c>
      <c r="N10129" t="s">
        <v>12</v>
      </c>
    </row>
    <row r="10130" spans="1:14" x14ac:dyDescent="0.25">
      <c r="A10130">
        <v>20160331</v>
      </c>
      <c r="B10130" t="str">
        <f>"062913"</f>
        <v>062913</v>
      </c>
      <c r="C10130" t="str">
        <f>"10024"</f>
        <v>10024</v>
      </c>
      <c r="D10130" t="s">
        <v>1701</v>
      </c>
      <c r="E10130" s="3">
        <v>19141.12</v>
      </c>
      <c r="F10130">
        <v>20160329</v>
      </c>
      <c r="G10130" t="s">
        <v>8069</v>
      </c>
      <c r="H10130" t="s">
        <v>8061</v>
      </c>
      <c r="I10130">
        <v>0</v>
      </c>
      <c r="J10130" t="s">
        <v>8039</v>
      </c>
      <c r="K10130" t="s">
        <v>290</v>
      </c>
      <c r="L10130" t="s">
        <v>285</v>
      </c>
      <c r="M10130" t="str">
        <f t="shared" si="765"/>
        <v>03</v>
      </c>
      <c r="N10130" t="s">
        <v>12</v>
      </c>
    </row>
    <row r="10131" spans="1:14" x14ac:dyDescent="0.25">
      <c r="A10131">
        <v>20160331</v>
      </c>
      <c r="B10131" t="str">
        <f>"062914"</f>
        <v>062914</v>
      </c>
      <c r="C10131" t="str">
        <f>"10024"</f>
        <v>10024</v>
      </c>
      <c r="D10131" t="s">
        <v>1701</v>
      </c>
      <c r="E10131" s="3">
        <v>215895.46</v>
      </c>
      <c r="F10131">
        <v>20160329</v>
      </c>
      <c r="G10131" t="s">
        <v>8060</v>
      </c>
      <c r="H10131" t="s">
        <v>8061</v>
      </c>
      <c r="I10131">
        <v>0</v>
      </c>
      <c r="J10131" t="s">
        <v>8039</v>
      </c>
      <c r="K10131" t="s">
        <v>290</v>
      </c>
      <c r="L10131" t="s">
        <v>285</v>
      </c>
      <c r="M10131" t="str">
        <f t="shared" si="765"/>
        <v>03</v>
      </c>
      <c r="N10131" t="s">
        <v>12</v>
      </c>
    </row>
    <row r="10132" spans="1:14" x14ac:dyDescent="0.25">
      <c r="A10132">
        <v>20160407</v>
      </c>
      <c r="B10132" t="str">
        <f>"062999"</f>
        <v>062999</v>
      </c>
      <c r="C10132" t="str">
        <f>"21468"</f>
        <v>21468</v>
      </c>
      <c r="D10132" t="s">
        <v>4492</v>
      </c>
      <c r="E10132" s="3">
        <v>31675.35</v>
      </c>
      <c r="F10132">
        <v>20160406</v>
      </c>
      <c r="G10132" t="s">
        <v>8088</v>
      </c>
      <c r="H10132" t="s">
        <v>8089</v>
      </c>
      <c r="I10132">
        <v>0</v>
      </c>
      <c r="J10132" t="s">
        <v>8039</v>
      </c>
      <c r="K10132" t="s">
        <v>290</v>
      </c>
      <c r="L10132" t="s">
        <v>285</v>
      </c>
      <c r="M10132" t="str">
        <f t="shared" ref="M10132:M10152" si="766">"04"</f>
        <v>04</v>
      </c>
      <c r="N10132" t="s">
        <v>12</v>
      </c>
    </row>
    <row r="10133" spans="1:14" x14ac:dyDescent="0.25">
      <c r="A10133">
        <v>20160407</v>
      </c>
      <c r="B10133" t="str">
        <f>"062999"</f>
        <v>062999</v>
      </c>
      <c r="C10133" t="str">
        <f>"21468"</f>
        <v>21468</v>
      </c>
      <c r="D10133" t="s">
        <v>4492</v>
      </c>
      <c r="E10133" s="3">
        <v>31673.34</v>
      </c>
      <c r="F10133">
        <v>20160406</v>
      </c>
      <c r="G10133" t="s">
        <v>8088</v>
      </c>
      <c r="H10133" t="s">
        <v>8089</v>
      </c>
      <c r="I10133">
        <v>0</v>
      </c>
      <c r="J10133" t="s">
        <v>8039</v>
      </c>
      <c r="K10133" t="s">
        <v>290</v>
      </c>
      <c r="L10133" t="s">
        <v>285</v>
      </c>
      <c r="M10133" t="str">
        <f t="shared" si="766"/>
        <v>04</v>
      </c>
      <c r="N10133" t="s">
        <v>12</v>
      </c>
    </row>
    <row r="10134" spans="1:14" x14ac:dyDescent="0.25">
      <c r="A10134">
        <v>20160407</v>
      </c>
      <c r="B10134" t="str">
        <f>"062999"</f>
        <v>062999</v>
      </c>
      <c r="C10134" t="str">
        <f>"21468"</f>
        <v>21468</v>
      </c>
      <c r="D10134" t="s">
        <v>4492</v>
      </c>
      <c r="E10134" s="3">
        <v>10047.27</v>
      </c>
      <c r="F10134">
        <v>20160406</v>
      </c>
      <c r="G10134" t="s">
        <v>8088</v>
      </c>
      <c r="H10134" t="s">
        <v>8089</v>
      </c>
      <c r="I10134">
        <v>0</v>
      </c>
      <c r="J10134" t="s">
        <v>8039</v>
      </c>
      <c r="K10134" t="s">
        <v>290</v>
      </c>
      <c r="L10134" t="s">
        <v>285</v>
      </c>
      <c r="M10134" t="str">
        <f t="shared" si="766"/>
        <v>04</v>
      </c>
      <c r="N10134" t="s">
        <v>12</v>
      </c>
    </row>
    <row r="10135" spans="1:14" x14ac:dyDescent="0.25">
      <c r="A10135">
        <v>20160407</v>
      </c>
      <c r="B10135" t="str">
        <f>"062999"</f>
        <v>062999</v>
      </c>
      <c r="C10135" t="str">
        <f>"21468"</f>
        <v>21468</v>
      </c>
      <c r="D10135" t="s">
        <v>4492</v>
      </c>
      <c r="E10135" s="3">
        <v>1211.1099999999999</v>
      </c>
      <c r="F10135">
        <v>20160406</v>
      </c>
      <c r="G10135" t="s">
        <v>8090</v>
      </c>
      <c r="H10135" t="s">
        <v>8091</v>
      </c>
      <c r="I10135">
        <v>0</v>
      </c>
      <c r="J10135" t="s">
        <v>8039</v>
      </c>
      <c r="K10135" t="s">
        <v>290</v>
      </c>
      <c r="L10135" t="s">
        <v>285</v>
      </c>
      <c r="M10135" t="str">
        <f t="shared" si="766"/>
        <v>04</v>
      </c>
      <c r="N10135" t="s">
        <v>12</v>
      </c>
    </row>
    <row r="10136" spans="1:14" x14ac:dyDescent="0.25">
      <c r="A10136">
        <v>20160407</v>
      </c>
      <c r="B10136" t="str">
        <f>"062999"</f>
        <v>062999</v>
      </c>
      <c r="C10136" t="str">
        <f>"21468"</f>
        <v>21468</v>
      </c>
      <c r="D10136" t="s">
        <v>4492</v>
      </c>
      <c r="E10136" s="3">
        <v>52437.52</v>
      </c>
      <c r="F10136">
        <v>20160406</v>
      </c>
      <c r="G10136" t="s">
        <v>8092</v>
      </c>
      <c r="H10136" t="s">
        <v>8093</v>
      </c>
      <c r="I10136">
        <v>0</v>
      </c>
      <c r="J10136" t="s">
        <v>8039</v>
      </c>
      <c r="K10136" t="s">
        <v>33</v>
      </c>
      <c r="L10136" t="s">
        <v>285</v>
      </c>
      <c r="M10136" t="str">
        <f t="shared" si="766"/>
        <v>04</v>
      </c>
      <c r="N10136" t="s">
        <v>12</v>
      </c>
    </row>
    <row r="10137" spans="1:14" x14ac:dyDescent="0.25">
      <c r="A10137">
        <v>20160415</v>
      </c>
      <c r="B10137" t="str">
        <f>"063082"</f>
        <v>063082</v>
      </c>
      <c r="C10137" t="str">
        <f t="shared" ref="C10137:C10143" si="767">"32915"</f>
        <v>32915</v>
      </c>
      <c r="D10137" t="s">
        <v>8045</v>
      </c>
      <c r="E10137" s="3">
        <v>23112</v>
      </c>
      <c r="F10137">
        <v>20160413</v>
      </c>
      <c r="G10137" t="s">
        <v>8094</v>
      </c>
      <c r="H10137" t="s">
        <v>8046</v>
      </c>
      <c r="I10137">
        <v>0</v>
      </c>
      <c r="J10137" t="s">
        <v>8039</v>
      </c>
      <c r="K10137" t="s">
        <v>290</v>
      </c>
      <c r="L10137" t="s">
        <v>285</v>
      </c>
      <c r="M10137" t="str">
        <f t="shared" si="766"/>
        <v>04</v>
      </c>
      <c r="N10137" t="s">
        <v>12</v>
      </c>
    </row>
    <row r="10138" spans="1:14" x14ac:dyDescent="0.25">
      <c r="A10138">
        <v>20160415</v>
      </c>
      <c r="B10138" t="str">
        <f>"063084"</f>
        <v>063084</v>
      </c>
      <c r="C10138" t="str">
        <f t="shared" si="767"/>
        <v>32915</v>
      </c>
      <c r="D10138" t="s">
        <v>8045</v>
      </c>
      <c r="E10138" s="3">
        <v>9822.6</v>
      </c>
      <c r="F10138">
        <v>20160413</v>
      </c>
      <c r="G10138" t="s">
        <v>8094</v>
      </c>
      <c r="H10138" t="s">
        <v>8046</v>
      </c>
      <c r="I10138">
        <v>0</v>
      </c>
      <c r="J10138" t="s">
        <v>8039</v>
      </c>
      <c r="K10138" t="s">
        <v>290</v>
      </c>
      <c r="L10138" t="s">
        <v>285</v>
      </c>
      <c r="M10138" t="str">
        <f t="shared" si="766"/>
        <v>04</v>
      </c>
      <c r="N10138" t="s">
        <v>12</v>
      </c>
    </row>
    <row r="10139" spans="1:14" x14ac:dyDescent="0.25">
      <c r="A10139">
        <v>20160415</v>
      </c>
      <c r="B10139" t="str">
        <f>"063085"</f>
        <v>063085</v>
      </c>
      <c r="C10139" t="str">
        <f t="shared" si="767"/>
        <v>32915</v>
      </c>
      <c r="D10139" t="s">
        <v>8045</v>
      </c>
      <c r="E10139" s="3">
        <v>4093.2</v>
      </c>
      <c r="F10139">
        <v>20160413</v>
      </c>
      <c r="G10139" t="s">
        <v>8084</v>
      </c>
      <c r="H10139" t="s">
        <v>8046</v>
      </c>
      <c r="I10139">
        <v>0</v>
      </c>
      <c r="J10139" t="s">
        <v>8039</v>
      </c>
      <c r="K10139" t="s">
        <v>33</v>
      </c>
      <c r="L10139" t="s">
        <v>285</v>
      </c>
      <c r="M10139" t="str">
        <f t="shared" si="766"/>
        <v>04</v>
      </c>
      <c r="N10139" t="s">
        <v>12</v>
      </c>
    </row>
    <row r="10140" spans="1:14" x14ac:dyDescent="0.25">
      <c r="A10140">
        <v>20160415</v>
      </c>
      <c r="B10140" t="str">
        <f>"063087"</f>
        <v>063087</v>
      </c>
      <c r="C10140" t="str">
        <f t="shared" si="767"/>
        <v>32915</v>
      </c>
      <c r="D10140" t="s">
        <v>8045</v>
      </c>
      <c r="E10140" s="3">
        <v>2311.1999999999998</v>
      </c>
      <c r="F10140">
        <v>20160413</v>
      </c>
      <c r="G10140" t="s">
        <v>8094</v>
      </c>
      <c r="H10140" t="s">
        <v>8046</v>
      </c>
      <c r="I10140">
        <v>0</v>
      </c>
      <c r="J10140" t="s">
        <v>8039</v>
      </c>
      <c r="K10140" t="s">
        <v>290</v>
      </c>
      <c r="L10140" t="s">
        <v>285</v>
      </c>
      <c r="M10140" t="str">
        <f t="shared" si="766"/>
        <v>04</v>
      </c>
      <c r="N10140" t="s">
        <v>12</v>
      </c>
    </row>
    <row r="10141" spans="1:14" x14ac:dyDescent="0.25">
      <c r="A10141">
        <v>20160415</v>
      </c>
      <c r="B10141" t="str">
        <f>"063088"</f>
        <v>063088</v>
      </c>
      <c r="C10141" t="str">
        <f t="shared" si="767"/>
        <v>32915</v>
      </c>
      <c r="D10141" t="s">
        <v>8045</v>
      </c>
      <c r="E10141" s="3">
        <v>2109.19</v>
      </c>
      <c r="F10141">
        <v>20160413</v>
      </c>
      <c r="G10141" t="s">
        <v>8095</v>
      </c>
      <c r="H10141" t="s">
        <v>8047</v>
      </c>
      <c r="I10141">
        <v>0</v>
      </c>
      <c r="J10141" t="s">
        <v>8039</v>
      </c>
      <c r="K10141" t="s">
        <v>290</v>
      </c>
      <c r="L10141" t="s">
        <v>285</v>
      </c>
      <c r="M10141" t="str">
        <f t="shared" si="766"/>
        <v>04</v>
      </c>
      <c r="N10141" t="s">
        <v>12</v>
      </c>
    </row>
    <row r="10142" spans="1:14" x14ac:dyDescent="0.25">
      <c r="A10142">
        <v>20160415</v>
      </c>
      <c r="B10142" t="str">
        <f>"063089"</f>
        <v>063089</v>
      </c>
      <c r="C10142" t="str">
        <f t="shared" si="767"/>
        <v>32915</v>
      </c>
      <c r="D10142" t="s">
        <v>8045</v>
      </c>
      <c r="E10142" s="3">
        <v>1460.21</v>
      </c>
      <c r="F10142">
        <v>20160413</v>
      </c>
      <c r="G10142" t="s">
        <v>8095</v>
      </c>
      <c r="H10142" t="s">
        <v>8047</v>
      </c>
      <c r="I10142">
        <v>0</v>
      </c>
      <c r="J10142" t="s">
        <v>8039</v>
      </c>
      <c r="K10142" t="s">
        <v>290</v>
      </c>
      <c r="L10142" t="s">
        <v>285</v>
      </c>
      <c r="M10142" t="str">
        <f t="shared" si="766"/>
        <v>04</v>
      </c>
      <c r="N10142" t="s">
        <v>12</v>
      </c>
    </row>
    <row r="10143" spans="1:14" x14ac:dyDescent="0.25">
      <c r="A10143">
        <v>20160415</v>
      </c>
      <c r="B10143" t="str">
        <f>"063090"</f>
        <v>063090</v>
      </c>
      <c r="C10143" t="str">
        <f t="shared" si="767"/>
        <v>32915</v>
      </c>
      <c r="D10143" t="s">
        <v>8045</v>
      </c>
      <c r="E10143" s="3">
        <v>368.75</v>
      </c>
      <c r="F10143">
        <v>20160413</v>
      </c>
      <c r="G10143" t="s">
        <v>8085</v>
      </c>
      <c r="H10143" t="s">
        <v>8047</v>
      </c>
      <c r="I10143">
        <v>0</v>
      </c>
      <c r="J10143" t="s">
        <v>8039</v>
      </c>
      <c r="K10143" t="s">
        <v>33</v>
      </c>
      <c r="L10143" t="s">
        <v>285</v>
      </c>
      <c r="M10143" t="str">
        <f t="shared" si="766"/>
        <v>04</v>
      </c>
      <c r="N10143" t="s">
        <v>12</v>
      </c>
    </row>
    <row r="10144" spans="1:14" x14ac:dyDescent="0.25">
      <c r="A10144">
        <v>20160415</v>
      </c>
      <c r="B10144" t="str">
        <f>"063099"</f>
        <v>063099</v>
      </c>
      <c r="C10144" t="str">
        <f>"42194"</f>
        <v>42194</v>
      </c>
      <c r="D10144" t="s">
        <v>1874</v>
      </c>
      <c r="E10144" s="3">
        <v>105.41</v>
      </c>
      <c r="F10144">
        <v>20160412</v>
      </c>
      <c r="G10144" t="s">
        <v>8058</v>
      </c>
      <c r="H10144" t="s">
        <v>8096</v>
      </c>
      <c r="I10144">
        <v>0</v>
      </c>
      <c r="J10144" t="s">
        <v>8039</v>
      </c>
      <c r="K10144" t="s">
        <v>33</v>
      </c>
      <c r="L10144" t="s">
        <v>285</v>
      </c>
      <c r="M10144" t="str">
        <f t="shared" si="766"/>
        <v>04</v>
      </c>
      <c r="N10144" t="s">
        <v>12</v>
      </c>
    </row>
    <row r="10145" spans="1:14" x14ac:dyDescent="0.25">
      <c r="A10145">
        <v>20160415</v>
      </c>
      <c r="B10145" t="str">
        <f>"063136"</f>
        <v>063136</v>
      </c>
      <c r="C10145" t="str">
        <f>"60852"</f>
        <v>60852</v>
      </c>
      <c r="D10145" t="s">
        <v>6095</v>
      </c>
      <c r="E10145" s="3">
        <v>4125</v>
      </c>
      <c r="F10145">
        <v>20160413</v>
      </c>
      <c r="G10145" t="s">
        <v>8050</v>
      </c>
      <c r="H10145" t="s">
        <v>8097</v>
      </c>
      <c r="I10145">
        <v>0</v>
      </c>
      <c r="J10145" t="s">
        <v>8039</v>
      </c>
      <c r="K10145" t="s">
        <v>33</v>
      </c>
      <c r="L10145" t="s">
        <v>285</v>
      </c>
      <c r="M10145" t="str">
        <f t="shared" si="766"/>
        <v>04</v>
      </c>
      <c r="N10145" t="s">
        <v>12</v>
      </c>
    </row>
    <row r="10146" spans="1:14" x14ac:dyDescent="0.25">
      <c r="A10146">
        <v>20160415</v>
      </c>
      <c r="B10146" t="str">
        <f>"063137"</f>
        <v>063137</v>
      </c>
      <c r="C10146" t="str">
        <f>"60852"</f>
        <v>60852</v>
      </c>
      <c r="D10146" t="s">
        <v>6095</v>
      </c>
      <c r="E10146" s="3">
        <v>4125</v>
      </c>
      <c r="F10146">
        <v>20160413</v>
      </c>
      <c r="G10146" t="s">
        <v>8048</v>
      </c>
      <c r="H10146" t="s">
        <v>8097</v>
      </c>
      <c r="I10146">
        <v>0</v>
      </c>
      <c r="J10146" t="s">
        <v>8039</v>
      </c>
      <c r="K10146" t="s">
        <v>290</v>
      </c>
      <c r="L10146" t="s">
        <v>285</v>
      </c>
      <c r="M10146" t="str">
        <f t="shared" si="766"/>
        <v>04</v>
      </c>
      <c r="N10146" t="s">
        <v>12</v>
      </c>
    </row>
    <row r="10147" spans="1:14" x14ac:dyDescent="0.25">
      <c r="A10147">
        <v>20160415</v>
      </c>
      <c r="B10147" t="str">
        <f>"063138"</f>
        <v>063138</v>
      </c>
      <c r="C10147" t="str">
        <f>"60852"</f>
        <v>60852</v>
      </c>
      <c r="D10147" t="s">
        <v>6095</v>
      </c>
      <c r="E10147" s="3">
        <v>3571</v>
      </c>
      <c r="F10147">
        <v>20160413</v>
      </c>
      <c r="G10147" t="s">
        <v>8082</v>
      </c>
      <c r="H10147" t="s">
        <v>8098</v>
      </c>
      <c r="I10147">
        <v>0</v>
      </c>
      <c r="J10147" t="s">
        <v>8039</v>
      </c>
      <c r="K10147" t="s">
        <v>290</v>
      </c>
      <c r="L10147" t="s">
        <v>285</v>
      </c>
      <c r="M10147" t="str">
        <f t="shared" si="766"/>
        <v>04</v>
      </c>
      <c r="N10147" t="s">
        <v>12</v>
      </c>
    </row>
    <row r="10148" spans="1:14" x14ac:dyDescent="0.25">
      <c r="A10148">
        <v>20160415</v>
      </c>
      <c r="B10148" t="str">
        <f>"063145"</f>
        <v>063145</v>
      </c>
      <c r="C10148" t="str">
        <f>"63618"</f>
        <v>63618</v>
      </c>
      <c r="D10148" t="s">
        <v>8041</v>
      </c>
      <c r="E10148" s="3">
        <v>221</v>
      </c>
      <c r="F10148">
        <v>20160413</v>
      </c>
      <c r="G10148" t="s">
        <v>8054</v>
      </c>
      <c r="H10148" t="s">
        <v>8099</v>
      </c>
      <c r="I10148">
        <v>0</v>
      </c>
      <c r="J10148" t="s">
        <v>8039</v>
      </c>
      <c r="K10148" t="s">
        <v>290</v>
      </c>
      <c r="L10148" t="s">
        <v>285</v>
      </c>
      <c r="M10148" t="str">
        <f t="shared" si="766"/>
        <v>04</v>
      </c>
      <c r="N10148" t="s">
        <v>12</v>
      </c>
    </row>
    <row r="10149" spans="1:14" x14ac:dyDescent="0.25">
      <c r="A10149">
        <v>20160429</v>
      </c>
      <c r="B10149" t="str">
        <f>"063307"</f>
        <v>063307</v>
      </c>
      <c r="C10149" t="str">
        <f>"42194"</f>
        <v>42194</v>
      </c>
      <c r="D10149" t="s">
        <v>1874</v>
      </c>
      <c r="E10149" s="3">
        <v>148.77000000000001</v>
      </c>
      <c r="F10149">
        <v>20160427</v>
      </c>
      <c r="G10149" t="s">
        <v>8058</v>
      </c>
      <c r="H10149" t="s">
        <v>8100</v>
      </c>
      <c r="I10149">
        <v>0</v>
      </c>
      <c r="J10149" t="s">
        <v>8039</v>
      </c>
      <c r="K10149" t="s">
        <v>33</v>
      </c>
      <c r="L10149" t="s">
        <v>285</v>
      </c>
      <c r="M10149" t="str">
        <f t="shared" si="766"/>
        <v>04</v>
      </c>
      <c r="N10149" t="s">
        <v>12</v>
      </c>
    </row>
    <row r="10150" spans="1:14" x14ac:dyDescent="0.25">
      <c r="A10150">
        <v>20160503</v>
      </c>
      <c r="B10150" t="str">
        <f>"063332"</f>
        <v>063332</v>
      </c>
      <c r="C10150" t="str">
        <f>"10024"</f>
        <v>10024</v>
      </c>
      <c r="D10150" t="s">
        <v>1701</v>
      </c>
      <c r="E10150" s="3">
        <v>11014.11</v>
      </c>
      <c r="F10150">
        <v>20160503</v>
      </c>
      <c r="G10150" t="s">
        <v>8069</v>
      </c>
      <c r="H10150" t="s">
        <v>8061</v>
      </c>
      <c r="I10150">
        <v>0</v>
      </c>
      <c r="J10150" t="s">
        <v>8039</v>
      </c>
      <c r="K10150" t="s">
        <v>290</v>
      </c>
      <c r="L10150" t="s">
        <v>285</v>
      </c>
      <c r="M10150" t="str">
        <f t="shared" si="766"/>
        <v>04</v>
      </c>
      <c r="N10150" t="s">
        <v>12</v>
      </c>
    </row>
    <row r="10151" spans="1:14" x14ac:dyDescent="0.25">
      <c r="A10151">
        <v>20160503</v>
      </c>
      <c r="B10151" t="str">
        <f>"063333"</f>
        <v>063333</v>
      </c>
      <c r="C10151" t="str">
        <f>"10024"</f>
        <v>10024</v>
      </c>
      <c r="D10151" t="s">
        <v>1701</v>
      </c>
      <c r="E10151" s="3">
        <v>20501.89</v>
      </c>
      <c r="F10151">
        <v>20160503</v>
      </c>
      <c r="G10151" t="s">
        <v>8060</v>
      </c>
      <c r="H10151" t="s">
        <v>8061</v>
      </c>
      <c r="I10151">
        <v>0</v>
      </c>
      <c r="J10151" t="s">
        <v>8039</v>
      </c>
      <c r="K10151" t="s">
        <v>290</v>
      </c>
      <c r="L10151" t="s">
        <v>285</v>
      </c>
      <c r="M10151" t="str">
        <f t="shared" si="766"/>
        <v>04</v>
      </c>
      <c r="N10151" t="s">
        <v>12</v>
      </c>
    </row>
    <row r="10152" spans="1:14" x14ac:dyDescent="0.25">
      <c r="A10152">
        <v>20160503</v>
      </c>
      <c r="B10152" t="str">
        <f>"063336"</f>
        <v>063336</v>
      </c>
      <c r="C10152" t="str">
        <f>"45708"</f>
        <v>45708</v>
      </c>
      <c r="D10152" t="s">
        <v>8051</v>
      </c>
      <c r="E10152" s="3">
        <v>182238.07999999999</v>
      </c>
      <c r="F10152">
        <v>20160503</v>
      </c>
      <c r="G10152" t="s">
        <v>8052</v>
      </c>
      <c r="H10152" t="s">
        <v>8053</v>
      </c>
      <c r="I10152">
        <v>0</v>
      </c>
      <c r="J10152" t="s">
        <v>8039</v>
      </c>
      <c r="K10152" t="s">
        <v>33</v>
      </c>
      <c r="L10152" t="s">
        <v>285</v>
      </c>
      <c r="M10152" t="str">
        <f t="shared" si="766"/>
        <v>04</v>
      </c>
      <c r="N10152" t="s">
        <v>12</v>
      </c>
    </row>
    <row r="10153" spans="1:14" x14ac:dyDescent="0.25">
      <c r="A10153">
        <v>20160527</v>
      </c>
      <c r="B10153" t="str">
        <f>"063595"</f>
        <v>063595</v>
      </c>
      <c r="C10153" t="str">
        <f>"10024"</f>
        <v>10024</v>
      </c>
      <c r="D10153" t="s">
        <v>1701</v>
      </c>
      <c r="E10153" s="3">
        <v>2451.52</v>
      </c>
      <c r="F10153">
        <v>20160526</v>
      </c>
      <c r="G10153" t="s">
        <v>8075</v>
      </c>
      <c r="H10153" t="s">
        <v>8076</v>
      </c>
      <c r="I10153">
        <v>0</v>
      </c>
      <c r="J10153" t="s">
        <v>8039</v>
      </c>
      <c r="K10153" t="s">
        <v>290</v>
      </c>
      <c r="L10153" t="s">
        <v>285</v>
      </c>
      <c r="M10153" t="str">
        <f t="shared" ref="M10153:M10162" si="768">"05"</f>
        <v>05</v>
      </c>
      <c r="N10153" t="s">
        <v>12</v>
      </c>
    </row>
    <row r="10154" spans="1:14" x14ac:dyDescent="0.25">
      <c r="A10154">
        <v>20160527</v>
      </c>
      <c r="B10154" t="str">
        <f>"063626"</f>
        <v>063626</v>
      </c>
      <c r="C10154" t="str">
        <f>"32915"</f>
        <v>32915</v>
      </c>
      <c r="D10154" t="s">
        <v>8045</v>
      </c>
      <c r="E10154" s="3">
        <v>4093.2</v>
      </c>
      <c r="F10154">
        <v>20160526</v>
      </c>
      <c r="G10154" t="s">
        <v>8084</v>
      </c>
      <c r="H10154" t="s">
        <v>8046</v>
      </c>
      <c r="I10154">
        <v>0</v>
      </c>
      <c r="J10154" t="s">
        <v>8039</v>
      </c>
      <c r="K10154" t="s">
        <v>33</v>
      </c>
      <c r="L10154" t="s">
        <v>285</v>
      </c>
      <c r="M10154" t="str">
        <f t="shared" si="768"/>
        <v>05</v>
      </c>
      <c r="N10154" t="s">
        <v>12</v>
      </c>
    </row>
    <row r="10155" spans="1:14" x14ac:dyDescent="0.25">
      <c r="A10155">
        <v>20160527</v>
      </c>
      <c r="B10155" t="str">
        <f>"063627"</f>
        <v>063627</v>
      </c>
      <c r="C10155" t="str">
        <f>"32915"</f>
        <v>32915</v>
      </c>
      <c r="D10155" t="s">
        <v>8045</v>
      </c>
      <c r="E10155" s="3">
        <v>1155.5999999999999</v>
      </c>
      <c r="F10155">
        <v>20160526</v>
      </c>
      <c r="G10155" t="s">
        <v>8094</v>
      </c>
      <c r="H10155" t="s">
        <v>8046</v>
      </c>
      <c r="I10155">
        <v>0</v>
      </c>
      <c r="J10155" t="s">
        <v>8039</v>
      </c>
      <c r="K10155" t="s">
        <v>290</v>
      </c>
      <c r="L10155" t="s">
        <v>285</v>
      </c>
      <c r="M10155" t="str">
        <f t="shared" si="768"/>
        <v>05</v>
      </c>
      <c r="N10155" t="s">
        <v>12</v>
      </c>
    </row>
    <row r="10156" spans="1:14" x14ac:dyDescent="0.25">
      <c r="A10156">
        <v>20160527</v>
      </c>
      <c r="B10156" t="str">
        <f>"063628"</f>
        <v>063628</v>
      </c>
      <c r="C10156" t="str">
        <f>"32915"</f>
        <v>32915</v>
      </c>
      <c r="D10156" t="s">
        <v>8045</v>
      </c>
      <c r="E10156" s="3">
        <v>368.75</v>
      </c>
      <c r="F10156">
        <v>20160526</v>
      </c>
      <c r="G10156" t="s">
        <v>8085</v>
      </c>
      <c r="H10156" t="s">
        <v>8047</v>
      </c>
      <c r="I10156">
        <v>0</v>
      </c>
      <c r="J10156" t="s">
        <v>8039</v>
      </c>
      <c r="K10156" t="s">
        <v>33</v>
      </c>
      <c r="L10156" t="s">
        <v>285</v>
      </c>
      <c r="M10156" t="str">
        <f t="shared" si="768"/>
        <v>05</v>
      </c>
      <c r="N10156" t="s">
        <v>12</v>
      </c>
    </row>
    <row r="10157" spans="1:14" x14ac:dyDescent="0.25">
      <c r="A10157">
        <v>20160527</v>
      </c>
      <c r="B10157" t="str">
        <f>"063629"</f>
        <v>063629</v>
      </c>
      <c r="C10157" t="str">
        <f>"32915"</f>
        <v>32915</v>
      </c>
      <c r="D10157" t="s">
        <v>8045</v>
      </c>
      <c r="E10157" s="3">
        <v>162.24</v>
      </c>
      <c r="F10157">
        <v>20160526</v>
      </c>
      <c r="G10157" t="s">
        <v>8095</v>
      </c>
      <c r="H10157" t="s">
        <v>8047</v>
      </c>
      <c r="I10157">
        <v>0</v>
      </c>
      <c r="J10157" t="s">
        <v>8039</v>
      </c>
      <c r="K10157" t="s">
        <v>290</v>
      </c>
      <c r="L10157" t="s">
        <v>285</v>
      </c>
      <c r="M10157" t="str">
        <f t="shared" si="768"/>
        <v>05</v>
      </c>
      <c r="N10157" t="s">
        <v>12</v>
      </c>
    </row>
    <row r="10158" spans="1:14" x14ac:dyDescent="0.25">
      <c r="A10158">
        <v>20160527</v>
      </c>
      <c r="B10158" t="str">
        <f>"063640"</f>
        <v>063640</v>
      </c>
      <c r="C10158" t="str">
        <f>"42194"</f>
        <v>42194</v>
      </c>
      <c r="D10158" t="s">
        <v>1874</v>
      </c>
      <c r="E10158" s="3">
        <v>155.01</v>
      </c>
      <c r="F10158">
        <v>20160526</v>
      </c>
      <c r="G10158" t="s">
        <v>8058</v>
      </c>
      <c r="H10158" t="s">
        <v>8101</v>
      </c>
      <c r="I10158">
        <v>0</v>
      </c>
      <c r="J10158" t="s">
        <v>8039</v>
      </c>
      <c r="K10158" t="s">
        <v>33</v>
      </c>
      <c r="L10158" t="s">
        <v>285</v>
      </c>
      <c r="M10158" t="str">
        <f t="shared" si="768"/>
        <v>05</v>
      </c>
      <c r="N10158" t="s">
        <v>12</v>
      </c>
    </row>
    <row r="10159" spans="1:14" x14ac:dyDescent="0.25">
      <c r="A10159">
        <v>20160527</v>
      </c>
      <c r="B10159" t="str">
        <f>"063659"</f>
        <v>063659</v>
      </c>
      <c r="C10159" t="str">
        <f>"60852"</f>
        <v>60852</v>
      </c>
      <c r="D10159" t="s">
        <v>6095</v>
      </c>
      <c r="E10159" s="3">
        <v>4125</v>
      </c>
      <c r="F10159">
        <v>20160526</v>
      </c>
      <c r="G10159" t="s">
        <v>8048</v>
      </c>
      <c r="H10159" t="s">
        <v>8102</v>
      </c>
      <c r="I10159">
        <v>0</v>
      </c>
      <c r="J10159" t="s">
        <v>8039</v>
      </c>
      <c r="K10159" t="s">
        <v>290</v>
      </c>
      <c r="L10159" t="s">
        <v>285</v>
      </c>
      <c r="M10159" t="str">
        <f t="shared" si="768"/>
        <v>05</v>
      </c>
      <c r="N10159" t="s">
        <v>12</v>
      </c>
    </row>
    <row r="10160" spans="1:14" x14ac:dyDescent="0.25">
      <c r="A10160">
        <v>20160527</v>
      </c>
      <c r="B10160" t="str">
        <f>"063660"</f>
        <v>063660</v>
      </c>
      <c r="C10160" t="str">
        <f>"60852"</f>
        <v>60852</v>
      </c>
      <c r="D10160" t="s">
        <v>6095</v>
      </c>
      <c r="E10160" s="3">
        <v>4125</v>
      </c>
      <c r="F10160">
        <v>20160526</v>
      </c>
      <c r="G10160" t="s">
        <v>8050</v>
      </c>
      <c r="H10160" t="s">
        <v>8102</v>
      </c>
      <c r="I10160">
        <v>0</v>
      </c>
      <c r="J10160" t="s">
        <v>8039</v>
      </c>
      <c r="K10160" t="s">
        <v>33</v>
      </c>
      <c r="L10160" t="s">
        <v>285</v>
      </c>
      <c r="M10160" t="str">
        <f t="shared" si="768"/>
        <v>05</v>
      </c>
      <c r="N10160" t="s">
        <v>12</v>
      </c>
    </row>
    <row r="10161" spans="1:14" x14ac:dyDescent="0.25">
      <c r="A10161">
        <v>20160527</v>
      </c>
      <c r="B10161" t="str">
        <f>"063661"</f>
        <v>063661</v>
      </c>
      <c r="C10161" t="str">
        <f>"60852"</f>
        <v>60852</v>
      </c>
      <c r="D10161" t="s">
        <v>6095</v>
      </c>
      <c r="E10161" s="3">
        <v>3571</v>
      </c>
      <c r="F10161">
        <v>20160526</v>
      </c>
      <c r="G10161" t="s">
        <v>8082</v>
      </c>
      <c r="H10161" t="s">
        <v>8103</v>
      </c>
      <c r="I10161">
        <v>0</v>
      </c>
      <c r="J10161" t="s">
        <v>8039</v>
      </c>
      <c r="K10161" t="s">
        <v>290</v>
      </c>
      <c r="L10161" t="s">
        <v>285</v>
      </c>
      <c r="M10161" t="str">
        <f t="shared" si="768"/>
        <v>05</v>
      </c>
      <c r="N10161" t="s">
        <v>12</v>
      </c>
    </row>
    <row r="10162" spans="1:14" x14ac:dyDescent="0.25">
      <c r="A10162">
        <v>20160527</v>
      </c>
      <c r="B10162" t="str">
        <f>"063664"</f>
        <v>063664</v>
      </c>
      <c r="C10162" t="str">
        <f>"63618"</f>
        <v>63618</v>
      </c>
      <c r="D10162" t="s">
        <v>8041</v>
      </c>
      <c r="E10162" s="3">
        <v>31</v>
      </c>
      <c r="F10162">
        <v>20160526</v>
      </c>
      <c r="G10162" t="s">
        <v>8054</v>
      </c>
      <c r="H10162" t="s">
        <v>8104</v>
      </c>
      <c r="I10162">
        <v>0</v>
      </c>
      <c r="J10162" t="s">
        <v>8039</v>
      </c>
      <c r="K10162" t="s">
        <v>290</v>
      </c>
      <c r="L10162" t="s">
        <v>285</v>
      </c>
      <c r="M10162" t="str">
        <f t="shared" si="768"/>
        <v>05</v>
      </c>
      <c r="N10162" t="s">
        <v>12</v>
      </c>
    </row>
    <row r="10163" spans="1:14" x14ac:dyDescent="0.25">
      <c r="A10163">
        <v>20160610</v>
      </c>
      <c r="B10163" t="str">
        <f>"063714"</f>
        <v>063714</v>
      </c>
      <c r="C10163" t="str">
        <f>"10024"</f>
        <v>10024</v>
      </c>
      <c r="D10163" t="s">
        <v>1701</v>
      </c>
      <c r="E10163" s="3">
        <v>8275.08</v>
      </c>
      <c r="F10163">
        <v>20160608</v>
      </c>
      <c r="G10163" t="s">
        <v>8060</v>
      </c>
      <c r="H10163" t="s">
        <v>8061</v>
      </c>
      <c r="I10163">
        <v>0</v>
      </c>
      <c r="J10163" t="s">
        <v>8039</v>
      </c>
      <c r="K10163" t="s">
        <v>290</v>
      </c>
      <c r="L10163" t="s">
        <v>285</v>
      </c>
      <c r="M10163" t="str">
        <f t="shared" ref="M10163:M10170" si="769">"06"</f>
        <v>06</v>
      </c>
      <c r="N10163" t="s">
        <v>12</v>
      </c>
    </row>
    <row r="10164" spans="1:14" x14ac:dyDescent="0.25">
      <c r="A10164">
        <v>20160610</v>
      </c>
      <c r="B10164" t="str">
        <f>"063782"</f>
        <v>063782</v>
      </c>
      <c r="C10164" t="str">
        <f>"45708"</f>
        <v>45708</v>
      </c>
      <c r="D10164" t="s">
        <v>8051</v>
      </c>
      <c r="E10164" s="3">
        <v>76752.399999999994</v>
      </c>
      <c r="F10164">
        <v>20160608</v>
      </c>
      <c r="G10164" t="s">
        <v>8052</v>
      </c>
      <c r="H10164" t="s">
        <v>8053</v>
      </c>
      <c r="I10164">
        <v>0</v>
      </c>
      <c r="J10164" t="s">
        <v>8039</v>
      </c>
      <c r="K10164" t="s">
        <v>33</v>
      </c>
      <c r="L10164" t="s">
        <v>285</v>
      </c>
      <c r="M10164" t="str">
        <f t="shared" si="769"/>
        <v>06</v>
      </c>
      <c r="N10164" t="s">
        <v>12</v>
      </c>
    </row>
    <row r="10165" spans="1:14" x14ac:dyDescent="0.25">
      <c r="A10165">
        <v>20160617</v>
      </c>
      <c r="B10165" t="str">
        <f>"063908"</f>
        <v>063908</v>
      </c>
      <c r="C10165" t="str">
        <f>"60852"</f>
        <v>60852</v>
      </c>
      <c r="D10165" t="s">
        <v>6095</v>
      </c>
      <c r="E10165" s="3">
        <v>4125</v>
      </c>
      <c r="F10165">
        <v>20160615</v>
      </c>
      <c r="G10165" t="s">
        <v>8048</v>
      </c>
      <c r="H10165" t="s">
        <v>8105</v>
      </c>
      <c r="I10165">
        <v>0</v>
      </c>
      <c r="J10165" t="s">
        <v>8039</v>
      </c>
      <c r="K10165" t="s">
        <v>290</v>
      </c>
      <c r="L10165" t="s">
        <v>285</v>
      </c>
      <c r="M10165" t="str">
        <f t="shared" si="769"/>
        <v>06</v>
      </c>
      <c r="N10165" t="s">
        <v>12</v>
      </c>
    </row>
    <row r="10166" spans="1:14" x14ac:dyDescent="0.25">
      <c r="A10166">
        <v>20160617</v>
      </c>
      <c r="B10166" t="str">
        <f>"063909"</f>
        <v>063909</v>
      </c>
      <c r="C10166" t="str">
        <f>"60852"</f>
        <v>60852</v>
      </c>
      <c r="D10166" t="s">
        <v>6095</v>
      </c>
      <c r="E10166" s="3">
        <v>4125</v>
      </c>
      <c r="F10166">
        <v>20160615</v>
      </c>
      <c r="G10166" t="s">
        <v>8050</v>
      </c>
      <c r="H10166" t="s">
        <v>8105</v>
      </c>
      <c r="I10166">
        <v>0</v>
      </c>
      <c r="J10166" t="s">
        <v>8039</v>
      </c>
      <c r="K10166" t="s">
        <v>33</v>
      </c>
      <c r="L10166" t="s">
        <v>285</v>
      </c>
      <c r="M10166" t="str">
        <f t="shared" si="769"/>
        <v>06</v>
      </c>
      <c r="N10166" t="s">
        <v>12</v>
      </c>
    </row>
    <row r="10167" spans="1:14" x14ac:dyDescent="0.25">
      <c r="A10167">
        <v>20160617</v>
      </c>
      <c r="B10167" t="str">
        <f>"063910"</f>
        <v>063910</v>
      </c>
      <c r="C10167" t="str">
        <f>"60852"</f>
        <v>60852</v>
      </c>
      <c r="D10167" t="s">
        <v>6095</v>
      </c>
      <c r="E10167" s="3">
        <v>3571</v>
      </c>
      <c r="F10167">
        <v>20160615</v>
      </c>
      <c r="G10167" t="s">
        <v>8082</v>
      </c>
      <c r="H10167" t="s">
        <v>8106</v>
      </c>
      <c r="I10167">
        <v>0</v>
      </c>
      <c r="J10167" t="s">
        <v>8039</v>
      </c>
      <c r="K10167" t="s">
        <v>290</v>
      </c>
      <c r="L10167" t="s">
        <v>285</v>
      </c>
      <c r="M10167" t="str">
        <f t="shared" si="769"/>
        <v>06</v>
      </c>
      <c r="N10167" t="s">
        <v>12</v>
      </c>
    </row>
    <row r="10168" spans="1:14" x14ac:dyDescent="0.25">
      <c r="A10168">
        <v>20160617</v>
      </c>
      <c r="B10168" t="str">
        <f>"063913"</f>
        <v>063913</v>
      </c>
      <c r="C10168" t="str">
        <f>"63618"</f>
        <v>63618</v>
      </c>
      <c r="D10168" t="s">
        <v>8041</v>
      </c>
      <c r="E10168" s="3">
        <v>238</v>
      </c>
      <c r="F10168">
        <v>20160615</v>
      </c>
      <c r="G10168" t="s">
        <v>8056</v>
      </c>
      <c r="H10168" t="s">
        <v>8107</v>
      </c>
      <c r="I10168">
        <v>0</v>
      </c>
      <c r="J10168" t="s">
        <v>8039</v>
      </c>
      <c r="K10168" t="s">
        <v>33</v>
      </c>
      <c r="L10168" t="s">
        <v>285</v>
      </c>
      <c r="M10168" t="str">
        <f t="shared" si="769"/>
        <v>06</v>
      </c>
      <c r="N10168" t="s">
        <v>12</v>
      </c>
    </row>
    <row r="10169" spans="1:14" x14ac:dyDescent="0.25">
      <c r="A10169">
        <v>20160617</v>
      </c>
      <c r="B10169" t="str">
        <f>"063930"</f>
        <v>063930</v>
      </c>
      <c r="C10169" t="str">
        <f>"82530"</f>
        <v>82530</v>
      </c>
      <c r="D10169" t="s">
        <v>8108</v>
      </c>
      <c r="E10169" s="3">
        <v>2765.78</v>
      </c>
      <c r="F10169">
        <v>20160615</v>
      </c>
      <c r="G10169" t="s">
        <v>8109</v>
      </c>
      <c r="H10169" t="s">
        <v>8110</v>
      </c>
      <c r="I10169">
        <v>0</v>
      </c>
      <c r="J10169" t="s">
        <v>8039</v>
      </c>
      <c r="K10169" t="s">
        <v>290</v>
      </c>
      <c r="L10169" t="s">
        <v>285</v>
      </c>
      <c r="M10169" t="str">
        <f t="shared" si="769"/>
        <v>06</v>
      </c>
      <c r="N10169" t="s">
        <v>12</v>
      </c>
    </row>
    <row r="10170" spans="1:14" x14ac:dyDescent="0.25">
      <c r="A10170">
        <v>20160623</v>
      </c>
      <c r="B10170" t="str">
        <f>"063971"</f>
        <v>063971</v>
      </c>
      <c r="C10170" t="str">
        <f>"42194"</f>
        <v>42194</v>
      </c>
      <c r="D10170" t="s">
        <v>1874</v>
      </c>
      <c r="E10170" s="3">
        <v>173.5</v>
      </c>
      <c r="F10170">
        <v>20160623</v>
      </c>
      <c r="G10170" t="s">
        <v>8058</v>
      </c>
      <c r="H10170" t="s">
        <v>8111</v>
      </c>
      <c r="I10170">
        <v>0</v>
      </c>
      <c r="J10170" t="s">
        <v>8039</v>
      </c>
      <c r="K10170" t="s">
        <v>33</v>
      </c>
      <c r="L10170" t="s">
        <v>285</v>
      </c>
      <c r="M10170" t="str">
        <f t="shared" si="769"/>
        <v>06</v>
      </c>
      <c r="N10170" t="s">
        <v>12</v>
      </c>
    </row>
    <row r="10171" spans="1:14" x14ac:dyDescent="0.25">
      <c r="A10171">
        <v>20160715</v>
      </c>
      <c r="B10171" t="str">
        <f>"064039"</f>
        <v>064039</v>
      </c>
      <c r="C10171" t="str">
        <f>"21468"</f>
        <v>21468</v>
      </c>
      <c r="D10171" t="s">
        <v>4492</v>
      </c>
      <c r="E10171" s="3">
        <v>31195.64</v>
      </c>
      <c r="F10171">
        <v>20160713</v>
      </c>
      <c r="G10171" t="s">
        <v>8088</v>
      </c>
      <c r="H10171" t="s">
        <v>8112</v>
      </c>
      <c r="I10171">
        <v>0</v>
      </c>
      <c r="J10171" t="s">
        <v>8039</v>
      </c>
      <c r="K10171" t="s">
        <v>290</v>
      </c>
      <c r="L10171" t="s">
        <v>285</v>
      </c>
      <c r="M10171" t="str">
        <f t="shared" ref="M10171:M10181" si="770">"07"</f>
        <v>07</v>
      </c>
      <c r="N10171" t="s">
        <v>12</v>
      </c>
    </row>
    <row r="10172" spans="1:14" x14ac:dyDescent="0.25">
      <c r="A10172">
        <v>20160722</v>
      </c>
      <c r="B10172" t="str">
        <f>"064147"</f>
        <v>064147</v>
      </c>
      <c r="C10172" t="str">
        <f>"45708"</f>
        <v>45708</v>
      </c>
      <c r="D10172" t="s">
        <v>8051</v>
      </c>
      <c r="E10172" s="3">
        <v>142398.54</v>
      </c>
      <c r="F10172">
        <v>20160721</v>
      </c>
      <c r="G10172" t="s">
        <v>8052</v>
      </c>
      <c r="H10172" t="s">
        <v>8053</v>
      </c>
      <c r="I10172">
        <v>0</v>
      </c>
      <c r="J10172" t="s">
        <v>8039</v>
      </c>
      <c r="K10172" t="s">
        <v>33</v>
      </c>
      <c r="L10172" t="s">
        <v>285</v>
      </c>
      <c r="M10172" t="str">
        <f t="shared" si="770"/>
        <v>07</v>
      </c>
      <c r="N10172" t="s">
        <v>12</v>
      </c>
    </row>
    <row r="10173" spans="1:14" x14ac:dyDescent="0.25">
      <c r="A10173">
        <v>20160722</v>
      </c>
      <c r="B10173" t="str">
        <f>"064148"</f>
        <v>064148</v>
      </c>
      <c r="C10173" t="str">
        <f>"45708"</f>
        <v>45708</v>
      </c>
      <c r="D10173" t="s">
        <v>8051</v>
      </c>
      <c r="E10173" s="3">
        <v>118871.55</v>
      </c>
      <c r="F10173">
        <v>20160721</v>
      </c>
      <c r="G10173" t="s">
        <v>8052</v>
      </c>
      <c r="H10173" t="s">
        <v>8053</v>
      </c>
      <c r="I10173">
        <v>0</v>
      </c>
      <c r="J10173" t="s">
        <v>8039</v>
      </c>
      <c r="K10173" t="s">
        <v>33</v>
      </c>
      <c r="L10173" t="s">
        <v>285</v>
      </c>
      <c r="M10173" t="str">
        <f t="shared" si="770"/>
        <v>07</v>
      </c>
      <c r="N10173" t="s">
        <v>12</v>
      </c>
    </row>
    <row r="10174" spans="1:14" x14ac:dyDescent="0.25">
      <c r="A10174">
        <v>20160722</v>
      </c>
      <c r="B10174" t="str">
        <f>"064149"</f>
        <v>064149</v>
      </c>
      <c r="C10174" t="str">
        <f>"45708"</f>
        <v>45708</v>
      </c>
      <c r="D10174" t="s">
        <v>8051</v>
      </c>
      <c r="E10174" s="3">
        <v>4781.3500000000004</v>
      </c>
      <c r="F10174">
        <v>20160721</v>
      </c>
      <c r="G10174" t="s">
        <v>8113</v>
      </c>
      <c r="H10174" t="s">
        <v>8053</v>
      </c>
      <c r="I10174">
        <v>0</v>
      </c>
      <c r="J10174" t="s">
        <v>8039</v>
      </c>
      <c r="K10174" t="s">
        <v>33</v>
      </c>
      <c r="L10174" t="s">
        <v>285</v>
      </c>
      <c r="M10174" t="str">
        <f t="shared" si="770"/>
        <v>07</v>
      </c>
      <c r="N10174" t="s">
        <v>12</v>
      </c>
    </row>
    <row r="10175" spans="1:14" x14ac:dyDescent="0.25">
      <c r="A10175">
        <v>20160722</v>
      </c>
      <c r="B10175" t="str">
        <f>"064171"</f>
        <v>064171</v>
      </c>
      <c r="C10175" t="str">
        <f>"60852"</f>
        <v>60852</v>
      </c>
      <c r="D10175" t="s">
        <v>6095</v>
      </c>
      <c r="E10175" s="3">
        <v>4125</v>
      </c>
      <c r="F10175">
        <v>20160721</v>
      </c>
      <c r="G10175" t="s">
        <v>8050</v>
      </c>
      <c r="H10175" t="s">
        <v>8114</v>
      </c>
      <c r="I10175">
        <v>0</v>
      </c>
      <c r="J10175" t="s">
        <v>8039</v>
      </c>
      <c r="K10175" t="s">
        <v>33</v>
      </c>
      <c r="L10175" t="s">
        <v>285</v>
      </c>
      <c r="M10175" t="str">
        <f t="shared" si="770"/>
        <v>07</v>
      </c>
      <c r="N10175" t="s">
        <v>12</v>
      </c>
    </row>
    <row r="10176" spans="1:14" x14ac:dyDescent="0.25">
      <c r="A10176">
        <v>20160722</v>
      </c>
      <c r="B10176" t="str">
        <f>"064172"</f>
        <v>064172</v>
      </c>
      <c r="C10176" t="str">
        <f>"60852"</f>
        <v>60852</v>
      </c>
      <c r="D10176" t="s">
        <v>6095</v>
      </c>
      <c r="E10176" s="3">
        <v>992</v>
      </c>
      <c r="F10176">
        <v>20160721</v>
      </c>
      <c r="G10176" t="s">
        <v>8082</v>
      </c>
      <c r="H10176" t="s">
        <v>8114</v>
      </c>
      <c r="I10176">
        <v>0</v>
      </c>
      <c r="J10176" t="s">
        <v>8039</v>
      </c>
      <c r="K10176" t="s">
        <v>290</v>
      </c>
      <c r="L10176" t="s">
        <v>285</v>
      </c>
      <c r="M10176" t="str">
        <f t="shared" si="770"/>
        <v>07</v>
      </c>
      <c r="N10176" t="s">
        <v>12</v>
      </c>
    </row>
    <row r="10177" spans="1:14" x14ac:dyDescent="0.25">
      <c r="A10177">
        <v>20160722</v>
      </c>
      <c r="B10177" t="str">
        <f>"064177"</f>
        <v>064177</v>
      </c>
      <c r="C10177" t="str">
        <f>"63618"</f>
        <v>63618</v>
      </c>
      <c r="D10177" t="s">
        <v>8041</v>
      </c>
      <c r="E10177" s="3">
        <v>221</v>
      </c>
      <c r="F10177">
        <v>20160721</v>
      </c>
      <c r="G10177" t="s">
        <v>8056</v>
      </c>
      <c r="H10177" t="s">
        <v>8115</v>
      </c>
      <c r="I10177">
        <v>0</v>
      </c>
      <c r="J10177" t="s">
        <v>8039</v>
      </c>
      <c r="K10177" t="s">
        <v>33</v>
      </c>
      <c r="L10177" t="s">
        <v>285</v>
      </c>
      <c r="M10177" t="str">
        <f t="shared" si="770"/>
        <v>07</v>
      </c>
      <c r="N10177" t="s">
        <v>12</v>
      </c>
    </row>
    <row r="10178" spans="1:14" x14ac:dyDescent="0.25">
      <c r="A10178">
        <v>20160722</v>
      </c>
      <c r="B10178" t="str">
        <f>"064178"</f>
        <v>064178</v>
      </c>
      <c r="C10178" t="str">
        <f>"63618"</f>
        <v>63618</v>
      </c>
      <c r="D10178" t="s">
        <v>8041</v>
      </c>
      <c r="E10178" s="3">
        <v>119</v>
      </c>
      <c r="F10178">
        <v>20160721</v>
      </c>
      <c r="G10178" t="s">
        <v>8054</v>
      </c>
      <c r="H10178" t="s">
        <v>8116</v>
      </c>
      <c r="I10178">
        <v>0</v>
      </c>
      <c r="J10178" t="s">
        <v>8039</v>
      </c>
      <c r="K10178" t="s">
        <v>290</v>
      </c>
      <c r="L10178" t="s">
        <v>285</v>
      </c>
      <c r="M10178" t="str">
        <f t="shared" si="770"/>
        <v>07</v>
      </c>
      <c r="N10178" t="s">
        <v>12</v>
      </c>
    </row>
    <row r="10179" spans="1:14" x14ac:dyDescent="0.25">
      <c r="A10179">
        <v>20160729</v>
      </c>
      <c r="B10179" t="str">
        <f>"064217"</f>
        <v>064217</v>
      </c>
      <c r="C10179" t="str">
        <f>"32915"</f>
        <v>32915</v>
      </c>
      <c r="D10179" t="s">
        <v>8045</v>
      </c>
      <c r="E10179" s="3">
        <v>1819.2</v>
      </c>
      <c r="F10179">
        <v>20160728</v>
      </c>
      <c r="G10179" t="s">
        <v>8084</v>
      </c>
      <c r="H10179" t="s">
        <v>8046</v>
      </c>
      <c r="I10179">
        <v>0</v>
      </c>
      <c r="J10179" t="s">
        <v>8039</v>
      </c>
      <c r="K10179" t="s">
        <v>33</v>
      </c>
      <c r="L10179" t="s">
        <v>285</v>
      </c>
      <c r="M10179" t="str">
        <f t="shared" si="770"/>
        <v>07</v>
      </c>
      <c r="N10179" t="s">
        <v>12</v>
      </c>
    </row>
    <row r="10180" spans="1:14" x14ac:dyDescent="0.25">
      <c r="A10180">
        <v>20160729</v>
      </c>
      <c r="B10180" t="str">
        <f>"064218"</f>
        <v>064218</v>
      </c>
      <c r="C10180" t="str">
        <f>"32915"</f>
        <v>32915</v>
      </c>
      <c r="D10180" t="s">
        <v>8045</v>
      </c>
      <c r="E10180" s="3">
        <v>163.89</v>
      </c>
      <c r="F10180">
        <v>20160728</v>
      </c>
      <c r="G10180" t="s">
        <v>8085</v>
      </c>
      <c r="H10180" t="s">
        <v>8047</v>
      </c>
      <c r="I10180">
        <v>0</v>
      </c>
      <c r="J10180" t="s">
        <v>8039</v>
      </c>
      <c r="K10180" t="s">
        <v>33</v>
      </c>
      <c r="L10180" t="s">
        <v>285</v>
      </c>
      <c r="M10180" t="str">
        <f t="shared" si="770"/>
        <v>07</v>
      </c>
      <c r="N10180" t="s">
        <v>12</v>
      </c>
    </row>
    <row r="10181" spans="1:14" x14ac:dyDescent="0.25">
      <c r="A10181">
        <v>20160729</v>
      </c>
      <c r="B10181" t="str">
        <f>"064219"</f>
        <v>064219</v>
      </c>
      <c r="C10181" t="str">
        <f>"42194"</f>
        <v>42194</v>
      </c>
      <c r="D10181" t="s">
        <v>1874</v>
      </c>
      <c r="E10181" s="3">
        <v>243.57</v>
      </c>
      <c r="F10181">
        <v>20160728</v>
      </c>
      <c r="G10181" t="s">
        <v>8058</v>
      </c>
      <c r="H10181" t="s">
        <v>6127</v>
      </c>
      <c r="I10181">
        <v>0</v>
      </c>
      <c r="J10181" t="s">
        <v>8039</v>
      </c>
      <c r="K10181" t="s">
        <v>33</v>
      </c>
      <c r="L10181" t="s">
        <v>285</v>
      </c>
      <c r="M10181" t="str">
        <f t="shared" si="770"/>
        <v>07</v>
      </c>
      <c r="N10181" t="s">
        <v>12</v>
      </c>
    </row>
    <row r="10182" spans="1:14" x14ac:dyDescent="0.25">
      <c r="A10182">
        <v>20160812</v>
      </c>
      <c r="B10182" t="str">
        <f>"064334"</f>
        <v>064334</v>
      </c>
      <c r="C10182" t="str">
        <f>"10024"</f>
        <v>10024</v>
      </c>
      <c r="D10182" t="s">
        <v>1701</v>
      </c>
      <c r="E10182" s="3">
        <v>66257.259999999995</v>
      </c>
      <c r="F10182">
        <v>20160811</v>
      </c>
      <c r="G10182" t="s">
        <v>8069</v>
      </c>
      <c r="H10182" t="s">
        <v>8061</v>
      </c>
      <c r="I10182">
        <v>0</v>
      </c>
      <c r="J10182" t="s">
        <v>8039</v>
      </c>
      <c r="K10182" t="s">
        <v>290</v>
      </c>
      <c r="L10182" t="s">
        <v>285</v>
      </c>
      <c r="M10182" t="str">
        <f t="shared" ref="M10182:M10190" si="771">"08"</f>
        <v>08</v>
      </c>
      <c r="N10182" t="s">
        <v>12</v>
      </c>
    </row>
    <row r="10183" spans="1:14" x14ac:dyDescent="0.25">
      <c r="A10183">
        <v>20160812</v>
      </c>
      <c r="B10183" t="str">
        <f>"064336"</f>
        <v>064336</v>
      </c>
      <c r="C10183" t="str">
        <f>"10024"</f>
        <v>10024</v>
      </c>
      <c r="D10183" t="s">
        <v>1701</v>
      </c>
      <c r="E10183" s="3">
        <v>1546.76</v>
      </c>
      <c r="F10183">
        <v>20160811</v>
      </c>
      <c r="G10183" t="s">
        <v>8060</v>
      </c>
      <c r="H10183" t="s">
        <v>8061</v>
      </c>
      <c r="I10183">
        <v>0</v>
      </c>
      <c r="J10183" t="s">
        <v>8039</v>
      </c>
      <c r="K10183" t="s">
        <v>290</v>
      </c>
      <c r="L10183" t="s">
        <v>285</v>
      </c>
      <c r="M10183" t="str">
        <f t="shared" si="771"/>
        <v>08</v>
      </c>
      <c r="N10183" t="s">
        <v>12</v>
      </c>
    </row>
    <row r="10184" spans="1:14" x14ac:dyDescent="0.25">
      <c r="A10184">
        <v>20160812</v>
      </c>
      <c r="B10184" t="str">
        <f>"064358"</f>
        <v>064358</v>
      </c>
      <c r="C10184" t="str">
        <f>"32915"</f>
        <v>32915</v>
      </c>
      <c r="D10184" t="s">
        <v>8045</v>
      </c>
      <c r="E10184" s="3">
        <v>51191.95</v>
      </c>
      <c r="F10184">
        <v>20160812</v>
      </c>
      <c r="G10184" t="s">
        <v>8117</v>
      </c>
      <c r="H10184" t="s">
        <v>8118</v>
      </c>
      <c r="I10184">
        <v>0</v>
      </c>
      <c r="J10184" t="s">
        <v>8039</v>
      </c>
      <c r="K10184" t="s">
        <v>290</v>
      </c>
      <c r="L10184" t="s">
        <v>285</v>
      </c>
      <c r="M10184" t="str">
        <f t="shared" si="771"/>
        <v>08</v>
      </c>
      <c r="N10184" t="s">
        <v>12</v>
      </c>
    </row>
    <row r="10185" spans="1:14" x14ac:dyDescent="0.25">
      <c r="A10185">
        <v>20160812</v>
      </c>
      <c r="B10185" t="str">
        <f>"064358"</f>
        <v>064358</v>
      </c>
      <c r="C10185" t="str">
        <f>"32915"</f>
        <v>32915</v>
      </c>
      <c r="D10185" t="s">
        <v>8045</v>
      </c>
      <c r="E10185" s="3">
        <v>29595.27</v>
      </c>
      <c r="F10185">
        <v>20160812</v>
      </c>
      <c r="G10185" t="s">
        <v>8119</v>
      </c>
      <c r="H10185" t="s">
        <v>8120</v>
      </c>
      <c r="I10185">
        <v>0</v>
      </c>
      <c r="J10185" t="s">
        <v>8039</v>
      </c>
      <c r="K10185" t="s">
        <v>33</v>
      </c>
      <c r="L10185" t="s">
        <v>285</v>
      </c>
      <c r="M10185" t="str">
        <f t="shared" si="771"/>
        <v>08</v>
      </c>
      <c r="N10185" t="s">
        <v>12</v>
      </c>
    </row>
    <row r="10186" spans="1:14" x14ac:dyDescent="0.25">
      <c r="A10186">
        <v>20160812</v>
      </c>
      <c r="B10186" t="str">
        <f>"064382"</f>
        <v>064382</v>
      </c>
      <c r="C10186" t="str">
        <f>"60852"</f>
        <v>60852</v>
      </c>
      <c r="D10186" t="s">
        <v>6095</v>
      </c>
      <c r="E10186" s="3">
        <v>4125</v>
      </c>
      <c r="F10186">
        <v>20160812</v>
      </c>
      <c r="G10186" t="s">
        <v>8050</v>
      </c>
      <c r="H10186" t="s">
        <v>8121</v>
      </c>
      <c r="I10186">
        <v>0</v>
      </c>
      <c r="J10186" t="s">
        <v>8039</v>
      </c>
      <c r="K10186" t="s">
        <v>33</v>
      </c>
      <c r="L10186" t="s">
        <v>285</v>
      </c>
      <c r="M10186" t="str">
        <f t="shared" si="771"/>
        <v>08</v>
      </c>
      <c r="N10186" t="s">
        <v>12</v>
      </c>
    </row>
    <row r="10187" spans="1:14" x14ac:dyDescent="0.25">
      <c r="A10187">
        <v>20160812</v>
      </c>
      <c r="B10187" t="str">
        <f>"064382"</f>
        <v>064382</v>
      </c>
      <c r="C10187" t="str">
        <f>"60852"</f>
        <v>60852</v>
      </c>
      <c r="D10187" t="s">
        <v>6095</v>
      </c>
      <c r="E10187" s="3">
        <v>3028</v>
      </c>
      <c r="F10187">
        <v>20160812</v>
      </c>
      <c r="G10187" t="s">
        <v>8122</v>
      </c>
      <c r="H10187" t="s">
        <v>8123</v>
      </c>
      <c r="I10187">
        <v>0</v>
      </c>
      <c r="J10187" t="s">
        <v>8039</v>
      </c>
      <c r="K10187" t="s">
        <v>33</v>
      </c>
      <c r="L10187" t="s">
        <v>285</v>
      </c>
      <c r="M10187" t="str">
        <f t="shared" si="771"/>
        <v>08</v>
      </c>
      <c r="N10187" t="s">
        <v>12</v>
      </c>
    </row>
    <row r="10188" spans="1:14" x14ac:dyDescent="0.25">
      <c r="A10188">
        <v>20160812</v>
      </c>
      <c r="B10188" t="str">
        <f>"064384"</f>
        <v>064384</v>
      </c>
      <c r="C10188" t="str">
        <f>"63618"</f>
        <v>63618</v>
      </c>
      <c r="D10188" t="s">
        <v>8041</v>
      </c>
      <c r="E10188" s="3">
        <v>137.5</v>
      </c>
      <c r="F10188">
        <v>20160811</v>
      </c>
      <c r="G10188" t="s">
        <v>8056</v>
      </c>
      <c r="H10188" t="s">
        <v>8124</v>
      </c>
      <c r="I10188">
        <v>0</v>
      </c>
      <c r="J10188" t="s">
        <v>8039</v>
      </c>
      <c r="K10188" t="s">
        <v>33</v>
      </c>
      <c r="L10188" t="s">
        <v>285</v>
      </c>
      <c r="M10188" t="str">
        <f t="shared" si="771"/>
        <v>08</v>
      </c>
      <c r="N10188" t="s">
        <v>12</v>
      </c>
    </row>
    <row r="10189" spans="1:14" x14ac:dyDescent="0.25">
      <c r="A10189">
        <v>20160819</v>
      </c>
      <c r="B10189" t="str">
        <f>"064437"</f>
        <v>064437</v>
      </c>
      <c r="C10189" t="str">
        <f>"45708"</f>
        <v>45708</v>
      </c>
      <c r="D10189" t="s">
        <v>8051</v>
      </c>
      <c r="E10189" s="3">
        <v>159063.64000000001</v>
      </c>
      <c r="F10189">
        <v>20160818</v>
      </c>
      <c r="G10189" t="s">
        <v>8052</v>
      </c>
      <c r="H10189" t="s">
        <v>8053</v>
      </c>
      <c r="I10189">
        <v>0</v>
      </c>
      <c r="J10189" t="s">
        <v>8039</v>
      </c>
      <c r="K10189" t="s">
        <v>33</v>
      </c>
      <c r="L10189" t="s">
        <v>285</v>
      </c>
      <c r="M10189" t="str">
        <f t="shared" si="771"/>
        <v>08</v>
      </c>
      <c r="N10189" t="s">
        <v>12</v>
      </c>
    </row>
    <row r="10190" spans="1:14" x14ac:dyDescent="0.25">
      <c r="A10190">
        <v>20160830</v>
      </c>
      <c r="B10190" t="str">
        <f>"064626"</f>
        <v>064626</v>
      </c>
      <c r="C10190" t="str">
        <f>"42194"</f>
        <v>42194</v>
      </c>
      <c r="D10190" t="s">
        <v>1874</v>
      </c>
      <c r="E10190" s="3">
        <v>210.67</v>
      </c>
      <c r="F10190">
        <v>20160829</v>
      </c>
      <c r="G10190" t="s">
        <v>8058</v>
      </c>
      <c r="H10190" t="s">
        <v>6479</v>
      </c>
      <c r="I10190">
        <v>0</v>
      </c>
      <c r="J10190" t="s">
        <v>8039</v>
      </c>
      <c r="K10190" t="s">
        <v>33</v>
      </c>
      <c r="L10190" t="s">
        <v>285</v>
      </c>
      <c r="M10190" t="str">
        <f t="shared" si="771"/>
        <v>08</v>
      </c>
      <c r="N10190" t="s">
        <v>12</v>
      </c>
    </row>
    <row r="10191" spans="1:14" x14ac:dyDescent="0.25">
      <c r="A10191">
        <v>20150901</v>
      </c>
      <c r="B10191" t="str">
        <f>"059120"</f>
        <v>059120</v>
      </c>
      <c r="C10191" t="str">
        <f>"20703"</f>
        <v>20703</v>
      </c>
      <c r="D10191" t="s">
        <v>1823</v>
      </c>
      <c r="E10191" s="3">
        <v>900</v>
      </c>
      <c r="F10191">
        <v>20150901</v>
      </c>
      <c r="G10191" t="s">
        <v>8125</v>
      </c>
      <c r="H10191" t="s">
        <v>8126</v>
      </c>
      <c r="I10191">
        <v>0</v>
      </c>
      <c r="J10191" t="s">
        <v>8127</v>
      </c>
      <c r="K10191" t="s">
        <v>290</v>
      </c>
      <c r="L10191" t="s">
        <v>17</v>
      </c>
      <c r="M10191" t="str">
        <f t="shared" ref="M10191:M10196" si="772">"09"</f>
        <v>09</v>
      </c>
      <c r="N10191" t="s">
        <v>12</v>
      </c>
    </row>
    <row r="10192" spans="1:14" x14ac:dyDescent="0.25">
      <c r="A10192">
        <v>20150903</v>
      </c>
      <c r="B10192" t="str">
        <f>"060192"</f>
        <v>060192</v>
      </c>
      <c r="C10192" t="str">
        <f>"60852"</f>
        <v>60852</v>
      </c>
      <c r="D10192" t="s">
        <v>6095</v>
      </c>
      <c r="E10192" s="3">
        <v>7175</v>
      </c>
      <c r="F10192">
        <v>20150903</v>
      </c>
      <c r="G10192" t="s">
        <v>8128</v>
      </c>
      <c r="H10192" t="s">
        <v>8129</v>
      </c>
      <c r="I10192">
        <v>0</v>
      </c>
      <c r="J10192" t="s">
        <v>8127</v>
      </c>
      <c r="K10192" t="s">
        <v>235</v>
      </c>
      <c r="L10192" t="s">
        <v>285</v>
      </c>
      <c r="M10192" t="str">
        <f t="shared" si="772"/>
        <v>09</v>
      </c>
      <c r="N10192" t="s">
        <v>12</v>
      </c>
    </row>
    <row r="10193" spans="1:14" x14ac:dyDescent="0.25">
      <c r="A10193">
        <v>20150903</v>
      </c>
      <c r="B10193" t="str">
        <f>"060192"</f>
        <v>060192</v>
      </c>
      <c r="C10193" t="str">
        <f>"60852"</f>
        <v>60852</v>
      </c>
      <c r="D10193" t="s">
        <v>6095</v>
      </c>
      <c r="E10193" s="3">
        <v>14500</v>
      </c>
      <c r="F10193">
        <v>20150903</v>
      </c>
      <c r="G10193" t="s">
        <v>8128</v>
      </c>
      <c r="H10193" t="s">
        <v>8129</v>
      </c>
      <c r="I10193">
        <v>0</v>
      </c>
      <c r="J10193" t="s">
        <v>8127</v>
      </c>
      <c r="K10193" t="s">
        <v>235</v>
      </c>
      <c r="L10193" t="s">
        <v>285</v>
      </c>
      <c r="M10193" t="str">
        <f t="shared" si="772"/>
        <v>09</v>
      </c>
      <c r="N10193" t="s">
        <v>12</v>
      </c>
    </row>
    <row r="10194" spans="1:14" x14ac:dyDescent="0.25">
      <c r="A10194">
        <v>20150911</v>
      </c>
      <c r="B10194" t="str">
        <f>"060278"</f>
        <v>060278</v>
      </c>
      <c r="C10194" t="str">
        <f>"63618"</f>
        <v>63618</v>
      </c>
      <c r="D10194" t="s">
        <v>8041</v>
      </c>
      <c r="E10194" s="3">
        <v>4302</v>
      </c>
      <c r="F10194">
        <v>20150909</v>
      </c>
      <c r="G10194" t="s">
        <v>8128</v>
      </c>
      <c r="H10194" t="s">
        <v>8130</v>
      </c>
      <c r="I10194">
        <v>0</v>
      </c>
      <c r="J10194" t="s">
        <v>8127</v>
      </c>
      <c r="K10194" t="s">
        <v>235</v>
      </c>
      <c r="L10194" t="s">
        <v>285</v>
      </c>
      <c r="M10194" t="str">
        <f t="shared" si="772"/>
        <v>09</v>
      </c>
      <c r="N10194" t="s">
        <v>12</v>
      </c>
    </row>
    <row r="10195" spans="1:14" x14ac:dyDescent="0.25">
      <c r="A10195">
        <v>20150911</v>
      </c>
      <c r="B10195" t="str">
        <f>"060278"</f>
        <v>060278</v>
      </c>
      <c r="C10195" t="str">
        <f>"63618"</f>
        <v>63618</v>
      </c>
      <c r="D10195" t="s">
        <v>8041</v>
      </c>
      <c r="E10195" s="3">
        <v>12968</v>
      </c>
      <c r="F10195">
        <v>20150909</v>
      </c>
      <c r="G10195" t="s">
        <v>8128</v>
      </c>
      <c r="H10195" t="s">
        <v>8131</v>
      </c>
      <c r="I10195">
        <v>0</v>
      </c>
      <c r="J10195" t="s">
        <v>8127</v>
      </c>
      <c r="K10195" t="s">
        <v>235</v>
      </c>
      <c r="L10195" t="s">
        <v>285</v>
      </c>
      <c r="M10195" t="str">
        <f t="shared" si="772"/>
        <v>09</v>
      </c>
      <c r="N10195" t="s">
        <v>12</v>
      </c>
    </row>
    <row r="10196" spans="1:14" x14ac:dyDescent="0.25">
      <c r="A10196">
        <v>20150925</v>
      </c>
      <c r="B10196" t="str">
        <f>"060483"</f>
        <v>060483</v>
      </c>
      <c r="C10196" t="str">
        <f>"63618"</f>
        <v>63618</v>
      </c>
      <c r="D10196" t="s">
        <v>8041</v>
      </c>
      <c r="E10196" s="3">
        <v>8482.5</v>
      </c>
      <c r="F10196">
        <v>20150924</v>
      </c>
      <c r="G10196" t="s">
        <v>8128</v>
      </c>
      <c r="H10196" t="s">
        <v>8132</v>
      </c>
      <c r="I10196">
        <v>0</v>
      </c>
      <c r="J10196" t="s">
        <v>8127</v>
      </c>
      <c r="K10196" t="s">
        <v>235</v>
      </c>
      <c r="L10196" t="s">
        <v>285</v>
      </c>
      <c r="M10196" t="str">
        <f t="shared" si="772"/>
        <v>09</v>
      </c>
      <c r="N10196" t="s">
        <v>12</v>
      </c>
    </row>
    <row r="10197" spans="1:14" x14ac:dyDescent="0.25">
      <c r="A10197">
        <v>20151009</v>
      </c>
      <c r="B10197" t="str">
        <f>"060560"</f>
        <v>060560</v>
      </c>
      <c r="C10197" t="str">
        <f>"32915"</f>
        <v>32915</v>
      </c>
      <c r="D10197" t="s">
        <v>8045</v>
      </c>
      <c r="E10197" s="3">
        <v>7433.72</v>
      </c>
      <c r="F10197">
        <v>20151009</v>
      </c>
      <c r="G10197" t="s">
        <v>8128</v>
      </c>
      <c r="H10197" t="s">
        <v>8133</v>
      </c>
      <c r="I10197">
        <v>0</v>
      </c>
      <c r="J10197" t="s">
        <v>8127</v>
      </c>
      <c r="K10197" t="s">
        <v>235</v>
      </c>
      <c r="L10197" t="s">
        <v>285</v>
      </c>
      <c r="M10197" t="str">
        <f t="shared" ref="M10197:M10205" si="773">"10"</f>
        <v>10</v>
      </c>
      <c r="N10197" t="s">
        <v>12</v>
      </c>
    </row>
    <row r="10198" spans="1:14" x14ac:dyDescent="0.25">
      <c r="A10198">
        <v>20151009</v>
      </c>
      <c r="B10198" t="str">
        <f>"060560"</f>
        <v>060560</v>
      </c>
      <c r="C10198" t="str">
        <f>"32915"</f>
        <v>32915</v>
      </c>
      <c r="D10198" t="s">
        <v>8045</v>
      </c>
      <c r="E10198" s="3">
        <v>8886.84</v>
      </c>
      <c r="F10198">
        <v>20151009</v>
      </c>
      <c r="G10198" t="s">
        <v>8128</v>
      </c>
      <c r="H10198" t="s">
        <v>8133</v>
      </c>
      <c r="I10198">
        <v>0</v>
      </c>
      <c r="J10198" t="s">
        <v>8127</v>
      </c>
      <c r="K10198" t="s">
        <v>235</v>
      </c>
      <c r="L10198" t="s">
        <v>285</v>
      </c>
      <c r="M10198" t="str">
        <f t="shared" si="773"/>
        <v>10</v>
      </c>
      <c r="N10198" t="s">
        <v>12</v>
      </c>
    </row>
    <row r="10199" spans="1:14" x14ac:dyDescent="0.25">
      <c r="A10199">
        <v>20151009</v>
      </c>
      <c r="B10199" t="str">
        <f>"060627"</f>
        <v>060627</v>
      </c>
      <c r="C10199" t="str">
        <f>"60852"</f>
        <v>60852</v>
      </c>
      <c r="D10199" t="s">
        <v>6095</v>
      </c>
      <c r="E10199" s="3">
        <v>7175</v>
      </c>
      <c r="F10199">
        <v>20151009</v>
      </c>
      <c r="G10199" t="s">
        <v>8134</v>
      </c>
      <c r="H10199" t="s">
        <v>8135</v>
      </c>
      <c r="I10199">
        <v>0</v>
      </c>
      <c r="J10199" t="s">
        <v>8127</v>
      </c>
      <c r="K10199" t="s">
        <v>290</v>
      </c>
      <c r="L10199" t="s">
        <v>285</v>
      </c>
      <c r="M10199" t="str">
        <f t="shared" si="773"/>
        <v>10</v>
      </c>
      <c r="N10199" t="s">
        <v>12</v>
      </c>
    </row>
    <row r="10200" spans="1:14" x14ac:dyDescent="0.25">
      <c r="A10200">
        <v>20151009</v>
      </c>
      <c r="B10200" t="str">
        <f>"060627"</f>
        <v>060627</v>
      </c>
      <c r="C10200" t="str">
        <f>"60852"</f>
        <v>60852</v>
      </c>
      <c r="D10200" t="s">
        <v>6095</v>
      </c>
      <c r="E10200" s="3">
        <v>14500</v>
      </c>
      <c r="F10200">
        <v>20151009</v>
      </c>
      <c r="G10200" t="s">
        <v>8136</v>
      </c>
      <c r="H10200" t="s">
        <v>8135</v>
      </c>
      <c r="I10200">
        <v>0</v>
      </c>
      <c r="J10200" t="s">
        <v>8127</v>
      </c>
      <c r="K10200" t="s">
        <v>33</v>
      </c>
      <c r="L10200" t="s">
        <v>285</v>
      </c>
      <c r="M10200" t="str">
        <f t="shared" si="773"/>
        <v>10</v>
      </c>
      <c r="N10200" t="s">
        <v>12</v>
      </c>
    </row>
    <row r="10201" spans="1:14" x14ac:dyDescent="0.25">
      <c r="A10201">
        <v>20151023</v>
      </c>
      <c r="B10201" t="str">
        <f>"060862"</f>
        <v>060862</v>
      </c>
      <c r="C10201" t="str">
        <f>"45668"</f>
        <v>45668</v>
      </c>
      <c r="D10201" t="s">
        <v>6076</v>
      </c>
      <c r="E10201" s="3">
        <v>131801.1</v>
      </c>
      <c r="F10201">
        <v>20151022</v>
      </c>
      <c r="G10201" t="s">
        <v>8137</v>
      </c>
      <c r="H10201" t="s">
        <v>6077</v>
      </c>
      <c r="I10201">
        <v>0</v>
      </c>
      <c r="J10201" t="s">
        <v>8127</v>
      </c>
      <c r="K10201" t="s">
        <v>290</v>
      </c>
      <c r="L10201" t="s">
        <v>285</v>
      </c>
      <c r="M10201" t="str">
        <f t="shared" si="773"/>
        <v>10</v>
      </c>
      <c r="N10201" t="s">
        <v>12</v>
      </c>
    </row>
    <row r="10202" spans="1:14" x14ac:dyDescent="0.25">
      <c r="A10202">
        <v>20151023</v>
      </c>
      <c r="B10202" t="str">
        <f>"060865"</f>
        <v>060865</v>
      </c>
      <c r="C10202" t="str">
        <f>"45708"</f>
        <v>45708</v>
      </c>
      <c r="D10202" t="s">
        <v>8051</v>
      </c>
      <c r="E10202" s="3">
        <v>97199.53</v>
      </c>
      <c r="F10202">
        <v>20151022</v>
      </c>
      <c r="G10202" t="s">
        <v>8138</v>
      </c>
      <c r="H10202" t="s">
        <v>8139</v>
      </c>
      <c r="I10202">
        <v>0</v>
      </c>
      <c r="J10202" t="s">
        <v>8127</v>
      </c>
      <c r="K10202" t="s">
        <v>33</v>
      </c>
      <c r="L10202" t="s">
        <v>285</v>
      </c>
      <c r="M10202" t="str">
        <f t="shared" si="773"/>
        <v>10</v>
      </c>
      <c r="N10202" t="s">
        <v>12</v>
      </c>
    </row>
    <row r="10203" spans="1:14" x14ac:dyDescent="0.25">
      <c r="A10203">
        <v>20151023</v>
      </c>
      <c r="B10203" t="str">
        <f>"060888"</f>
        <v>060888</v>
      </c>
      <c r="C10203" t="str">
        <f>"63618"</f>
        <v>63618</v>
      </c>
      <c r="D10203" t="s">
        <v>8041</v>
      </c>
      <c r="E10203" s="3">
        <v>929</v>
      </c>
      <c r="F10203">
        <v>20151022</v>
      </c>
      <c r="G10203" t="s">
        <v>8128</v>
      </c>
      <c r="H10203" t="s">
        <v>8140</v>
      </c>
      <c r="I10203">
        <v>0</v>
      </c>
      <c r="J10203" t="s">
        <v>8127</v>
      </c>
      <c r="K10203" t="s">
        <v>235</v>
      </c>
      <c r="L10203" t="s">
        <v>285</v>
      </c>
      <c r="M10203" t="str">
        <f t="shared" si="773"/>
        <v>10</v>
      </c>
      <c r="N10203" t="s">
        <v>12</v>
      </c>
    </row>
    <row r="10204" spans="1:14" x14ac:dyDescent="0.25">
      <c r="A10204">
        <v>20151023</v>
      </c>
      <c r="B10204" t="str">
        <f>"060888"</f>
        <v>060888</v>
      </c>
      <c r="C10204" t="str">
        <f>"63618"</f>
        <v>63618</v>
      </c>
      <c r="D10204" t="s">
        <v>8041</v>
      </c>
      <c r="E10204" s="3">
        <v>709</v>
      </c>
      <c r="F10204">
        <v>20151022</v>
      </c>
      <c r="G10204" t="s">
        <v>8134</v>
      </c>
      <c r="H10204" t="s">
        <v>8141</v>
      </c>
      <c r="I10204">
        <v>0</v>
      </c>
      <c r="J10204" t="s">
        <v>8127</v>
      </c>
      <c r="K10204" t="s">
        <v>290</v>
      </c>
      <c r="L10204" t="s">
        <v>285</v>
      </c>
      <c r="M10204" t="str">
        <f t="shared" si="773"/>
        <v>10</v>
      </c>
      <c r="N10204" t="s">
        <v>12</v>
      </c>
    </row>
    <row r="10205" spans="1:14" x14ac:dyDescent="0.25">
      <c r="A10205">
        <v>20151023</v>
      </c>
      <c r="B10205" t="str">
        <f>"060888"</f>
        <v>060888</v>
      </c>
      <c r="C10205" t="str">
        <f>"63618"</f>
        <v>63618</v>
      </c>
      <c r="D10205" t="s">
        <v>8041</v>
      </c>
      <c r="E10205" s="3">
        <v>1372.5</v>
      </c>
      <c r="F10205">
        <v>20151022</v>
      </c>
      <c r="G10205" t="s">
        <v>8136</v>
      </c>
      <c r="H10205" t="s">
        <v>8142</v>
      </c>
      <c r="I10205">
        <v>0</v>
      </c>
      <c r="J10205" t="s">
        <v>8127</v>
      </c>
      <c r="K10205" t="s">
        <v>33</v>
      </c>
      <c r="L10205" t="s">
        <v>285</v>
      </c>
      <c r="M10205" t="str">
        <f t="shared" si="773"/>
        <v>10</v>
      </c>
      <c r="N10205" t="s">
        <v>12</v>
      </c>
    </row>
    <row r="10206" spans="1:14" x14ac:dyDescent="0.25">
      <c r="A10206">
        <v>20151113</v>
      </c>
      <c r="B10206" t="str">
        <f>"061090"</f>
        <v>061090</v>
      </c>
      <c r="C10206" t="str">
        <f>"45668"</f>
        <v>45668</v>
      </c>
      <c r="D10206" t="s">
        <v>6076</v>
      </c>
      <c r="E10206" s="3">
        <v>175380.45</v>
      </c>
      <c r="F10206">
        <v>20151112</v>
      </c>
      <c r="G10206" t="s">
        <v>8137</v>
      </c>
      <c r="H10206" t="s">
        <v>6077</v>
      </c>
      <c r="I10206">
        <v>0</v>
      </c>
      <c r="J10206" t="s">
        <v>8127</v>
      </c>
      <c r="K10206" t="s">
        <v>290</v>
      </c>
      <c r="L10206" t="s">
        <v>285</v>
      </c>
      <c r="M10206" t="str">
        <f>"11"</f>
        <v>11</v>
      </c>
      <c r="N10206" t="s">
        <v>12</v>
      </c>
    </row>
    <row r="10207" spans="1:14" x14ac:dyDescent="0.25">
      <c r="A10207">
        <v>20151113</v>
      </c>
      <c r="B10207" t="str">
        <f>"061092"</f>
        <v>061092</v>
      </c>
      <c r="C10207" t="str">
        <f>"45708"</f>
        <v>45708</v>
      </c>
      <c r="D10207" t="s">
        <v>8051</v>
      </c>
      <c r="E10207" s="3">
        <v>239643.05</v>
      </c>
      <c r="F10207">
        <v>20151112</v>
      </c>
      <c r="G10207" t="s">
        <v>8138</v>
      </c>
      <c r="H10207" t="s">
        <v>8139</v>
      </c>
      <c r="I10207">
        <v>0</v>
      </c>
      <c r="J10207" t="s">
        <v>8127</v>
      </c>
      <c r="K10207" t="s">
        <v>33</v>
      </c>
      <c r="L10207" t="s">
        <v>285</v>
      </c>
      <c r="M10207" t="str">
        <f>"11"</f>
        <v>11</v>
      </c>
      <c r="N10207" t="s">
        <v>12</v>
      </c>
    </row>
    <row r="10208" spans="1:14" x14ac:dyDescent="0.25">
      <c r="A10208">
        <v>20151113</v>
      </c>
      <c r="B10208" t="str">
        <f>"061103"</f>
        <v>061103</v>
      </c>
      <c r="C10208" t="str">
        <f>"60852"</f>
        <v>60852</v>
      </c>
      <c r="D10208" t="s">
        <v>6095</v>
      </c>
      <c r="E10208" s="3">
        <v>7175</v>
      </c>
      <c r="F10208">
        <v>20151112</v>
      </c>
      <c r="G10208" t="s">
        <v>8134</v>
      </c>
      <c r="H10208" t="s">
        <v>8143</v>
      </c>
      <c r="I10208">
        <v>0</v>
      </c>
      <c r="J10208" t="s">
        <v>8127</v>
      </c>
      <c r="K10208" t="s">
        <v>290</v>
      </c>
      <c r="L10208" t="s">
        <v>285</v>
      </c>
      <c r="M10208" t="str">
        <f>"11"</f>
        <v>11</v>
      </c>
      <c r="N10208" t="s">
        <v>12</v>
      </c>
    </row>
    <row r="10209" spans="1:14" x14ac:dyDescent="0.25">
      <c r="A10209">
        <v>20151113</v>
      </c>
      <c r="B10209" t="str">
        <f>"061103"</f>
        <v>061103</v>
      </c>
      <c r="C10209" t="str">
        <f>"60852"</f>
        <v>60852</v>
      </c>
      <c r="D10209" t="s">
        <v>6095</v>
      </c>
      <c r="E10209" s="3">
        <v>14500</v>
      </c>
      <c r="F10209">
        <v>20151112</v>
      </c>
      <c r="G10209" t="s">
        <v>8136</v>
      </c>
      <c r="H10209" t="s">
        <v>8143</v>
      </c>
      <c r="I10209">
        <v>0</v>
      </c>
      <c r="J10209" t="s">
        <v>8127</v>
      </c>
      <c r="K10209" t="s">
        <v>33</v>
      </c>
      <c r="L10209" t="s">
        <v>285</v>
      </c>
      <c r="M10209" t="str">
        <f>"11"</f>
        <v>11</v>
      </c>
      <c r="N10209" t="s">
        <v>12</v>
      </c>
    </row>
    <row r="10210" spans="1:14" x14ac:dyDescent="0.25">
      <c r="A10210">
        <v>20151113</v>
      </c>
      <c r="B10210" t="str">
        <f>"061110"</f>
        <v>061110</v>
      </c>
      <c r="C10210" t="str">
        <f>"72091"</f>
        <v>72091</v>
      </c>
      <c r="D10210" t="s">
        <v>8144</v>
      </c>
      <c r="E10210" s="3">
        <v>10000</v>
      </c>
      <c r="F10210">
        <v>20151112</v>
      </c>
      <c r="G10210" t="s">
        <v>8145</v>
      </c>
      <c r="H10210" t="s">
        <v>8146</v>
      </c>
      <c r="I10210">
        <v>0</v>
      </c>
      <c r="J10210" t="s">
        <v>8127</v>
      </c>
      <c r="K10210" t="s">
        <v>235</v>
      </c>
      <c r="L10210" t="s">
        <v>285</v>
      </c>
      <c r="M10210" t="str">
        <f>"11"</f>
        <v>11</v>
      </c>
      <c r="N10210" t="s">
        <v>12</v>
      </c>
    </row>
    <row r="10211" spans="1:14" x14ac:dyDescent="0.25">
      <c r="A10211">
        <v>20151211</v>
      </c>
      <c r="B10211" t="str">
        <f>"061430"</f>
        <v>061430</v>
      </c>
      <c r="C10211" t="str">
        <f>"45668"</f>
        <v>45668</v>
      </c>
      <c r="D10211" t="s">
        <v>6076</v>
      </c>
      <c r="E10211" s="3">
        <v>109451.4</v>
      </c>
      <c r="F10211">
        <v>20151210</v>
      </c>
      <c r="G10211" t="s">
        <v>8137</v>
      </c>
      <c r="H10211" t="s">
        <v>6077</v>
      </c>
      <c r="I10211">
        <v>0</v>
      </c>
      <c r="J10211" t="s">
        <v>8127</v>
      </c>
      <c r="K10211" t="s">
        <v>290</v>
      </c>
      <c r="L10211" t="s">
        <v>285</v>
      </c>
      <c r="M10211" t="str">
        <f t="shared" ref="M10211:M10218" si="774">"12"</f>
        <v>12</v>
      </c>
      <c r="N10211" t="s">
        <v>12</v>
      </c>
    </row>
    <row r="10212" spans="1:14" x14ac:dyDescent="0.25">
      <c r="A10212">
        <v>20151211</v>
      </c>
      <c r="B10212" t="str">
        <f>"061433"</f>
        <v>061433</v>
      </c>
      <c r="C10212" t="str">
        <f>"45708"</f>
        <v>45708</v>
      </c>
      <c r="D10212" t="s">
        <v>8051</v>
      </c>
      <c r="E10212" s="3">
        <v>324791.36</v>
      </c>
      <c r="F10212">
        <v>20151210</v>
      </c>
      <c r="G10212" t="s">
        <v>8138</v>
      </c>
      <c r="H10212" t="s">
        <v>8139</v>
      </c>
      <c r="I10212">
        <v>0</v>
      </c>
      <c r="J10212" t="s">
        <v>8127</v>
      </c>
      <c r="K10212" t="s">
        <v>33</v>
      </c>
      <c r="L10212" t="s">
        <v>285</v>
      </c>
      <c r="M10212" t="str">
        <f t="shared" si="774"/>
        <v>12</v>
      </c>
      <c r="N10212" t="s">
        <v>12</v>
      </c>
    </row>
    <row r="10213" spans="1:14" x14ac:dyDescent="0.25">
      <c r="A10213">
        <v>20151211</v>
      </c>
      <c r="B10213" t="str">
        <f>"061452"</f>
        <v>061452</v>
      </c>
      <c r="C10213" t="str">
        <f>"60852"</f>
        <v>60852</v>
      </c>
      <c r="D10213" t="s">
        <v>6095</v>
      </c>
      <c r="E10213" s="3">
        <v>7175</v>
      </c>
      <c r="F10213">
        <v>20151210</v>
      </c>
      <c r="G10213" t="s">
        <v>8134</v>
      </c>
      <c r="H10213" t="s">
        <v>8147</v>
      </c>
      <c r="I10213">
        <v>0</v>
      </c>
      <c r="J10213" t="s">
        <v>8127</v>
      </c>
      <c r="K10213" t="s">
        <v>290</v>
      </c>
      <c r="L10213" t="s">
        <v>285</v>
      </c>
      <c r="M10213" t="str">
        <f t="shared" si="774"/>
        <v>12</v>
      </c>
      <c r="N10213" t="s">
        <v>12</v>
      </c>
    </row>
    <row r="10214" spans="1:14" x14ac:dyDescent="0.25">
      <c r="A10214">
        <v>20151211</v>
      </c>
      <c r="B10214" t="str">
        <f>"061452"</f>
        <v>061452</v>
      </c>
      <c r="C10214" t="str">
        <f>"60852"</f>
        <v>60852</v>
      </c>
      <c r="D10214" t="s">
        <v>6095</v>
      </c>
      <c r="E10214" s="3">
        <v>14500</v>
      </c>
      <c r="F10214">
        <v>20151210</v>
      </c>
      <c r="G10214" t="s">
        <v>8136</v>
      </c>
      <c r="H10214" t="s">
        <v>8147</v>
      </c>
      <c r="I10214">
        <v>0</v>
      </c>
      <c r="J10214" t="s">
        <v>8127</v>
      </c>
      <c r="K10214" t="s">
        <v>33</v>
      </c>
      <c r="L10214" t="s">
        <v>285</v>
      </c>
      <c r="M10214" t="str">
        <f t="shared" si="774"/>
        <v>12</v>
      </c>
      <c r="N10214" t="s">
        <v>12</v>
      </c>
    </row>
    <row r="10215" spans="1:14" x14ac:dyDescent="0.25">
      <c r="A10215">
        <v>20151211</v>
      </c>
      <c r="B10215" t="str">
        <f>"061458"</f>
        <v>061458</v>
      </c>
      <c r="C10215" t="str">
        <f>"63618"</f>
        <v>63618</v>
      </c>
      <c r="D10215" t="s">
        <v>8041</v>
      </c>
      <c r="E10215" s="3">
        <v>972</v>
      </c>
      <c r="F10215">
        <v>20151210</v>
      </c>
      <c r="G10215" t="s">
        <v>8134</v>
      </c>
      <c r="H10215" t="s">
        <v>8148</v>
      </c>
      <c r="I10215">
        <v>0</v>
      </c>
      <c r="J10215" t="s">
        <v>8127</v>
      </c>
      <c r="K10215" t="s">
        <v>290</v>
      </c>
      <c r="L10215" t="s">
        <v>285</v>
      </c>
      <c r="M10215" t="str">
        <f t="shared" si="774"/>
        <v>12</v>
      </c>
      <c r="N10215" t="s">
        <v>12</v>
      </c>
    </row>
    <row r="10216" spans="1:14" x14ac:dyDescent="0.25">
      <c r="A10216">
        <v>20151211</v>
      </c>
      <c r="B10216" t="str">
        <f>"061458"</f>
        <v>061458</v>
      </c>
      <c r="C10216" t="str">
        <f>"63618"</f>
        <v>63618</v>
      </c>
      <c r="D10216" t="s">
        <v>8041</v>
      </c>
      <c r="E10216" s="3">
        <v>1275</v>
      </c>
      <c r="F10216">
        <v>20151210</v>
      </c>
      <c r="G10216" t="s">
        <v>8136</v>
      </c>
      <c r="H10216" t="s">
        <v>8149</v>
      </c>
      <c r="I10216">
        <v>0</v>
      </c>
      <c r="J10216" t="s">
        <v>8127</v>
      </c>
      <c r="K10216" t="s">
        <v>33</v>
      </c>
      <c r="L10216" t="s">
        <v>285</v>
      </c>
      <c r="M10216" t="str">
        <f t="shared" si="774"/>
        <v>12</v>
      </c>
      <c r="N10216" t="s">
        <v>12</v>
      </c>
    </row>
    <row r="10217" spans="1:14" x14ac:dyDescent="0.25">
      <c r="A10217">
        <v>20151211</v>
      </c>
      <c r="B10217" t="str">
        <f>"061458"</f>
        <v>061458</v>
      </c>
      <c r="C10217" t="str">
        <f>"63618"</f>
        <v>63618</v>
      </c>
      <c r="D10217" t="s">
        <v>8041</v>
      </c>
      <c r="E10217" s="3">
        <v>1039.5</v>
      </c>
      <c r="F10217">
        <v>20151210</v>
      </c>
      <c r="G10217" t="s">
        <v>8136</v>
      </c>
      <c r="H10217" t="s">
        <v>8150</v>
      </c>
      <c r="I10217">
        <v>0</v>
      </c>
      <c r="J10217" t="s">
        <v>8127</v>
      </c>
      <c r="K10217" t="s">
        <v>33</v>
      </c>
      <c r="L10217" t="s">
        <v>285</v>
      </c>
      <c r="M10217" t="str">
        <f t="shared" si="774"/>
        <v>12</v>
      </c>
      <c r="N10217" t="s">
        <v>12</v>
      </c>
    </row>
    <row r="10218" spans="1:14" x14ac:dyDescent="0.25">
      <c r="A10218">
        <v>20151218</v>
      </c>
      <c r="B10218" t="str">
        <f>"061649"</f>
        <v>061649</v>
      </c>
      <c r="C10218" t="str">
        <f>"72091"</f>
        <v>72091</v>
      </c>
      <c r="D10218" t="s">
        <v>8144</v>
      </c>
      <c r="E10218" s="3">
        <v>2359</v>
      </c>
      <c r="F10218">
        <v>20151218</v>
      </c>
      <c r="G10218" t="s">
        <v>8151</v>
      </c>
      <c r="H10218" t="s">
        <v>8152</v>
      </c>
      <c r="I10218">
        <v>0</v>
      </c>
      <c r="J10218" t="s">
        <v>8127</v>
      </c>
      <c r="K10218" t="s">
        <v>95</v>
      </c>
      <c r="L10218" t="s">
        <v>17</v>
      </c>
      <c r="M10218" t="str">
        <f t="shared" si="774"/>
        <v>12</v>
      </c>
      <c r="N10218" t="s">
        <v>12</v>
      </c>
    </row>
    <row r="10219" spans="1:14" x14ac:dyDescent="0.25">
      <c r="A10219">
        <v>20160122</v>
      </c>
      <c r="B10219" t="str">
        <f>"061890"</f>
        <v>061890</v>
      </c>
      <c r="C10219" t="str">
        <f>"72091"</f>
        <v>72091</v>
      </c>
      <c r="D10219" t="s">
        <v>8144</v>
      </c>
      <c r="E10219" s="3">
        <v>3339</v>
      </c>
      <c r="F10219">
        <v>20160122</v>
      </c>
      <c r="G10219" t="s">
        <v>8153</v>
      </c>
      <c r="H10219" t="s">
        <v>8154</v>
      </c>
      <c r="I10219">
        <v>0</v>
      </c>
      <c r="J10219" t="s">
        <v>8127</v>
      </c>
      <c r="K10219" t="s">
        <v>290</v>
      </c>
      <c r="L10219" t="s">
        <v>285</v>
      </c>
      <c r="M10219" t="str">
        <f t="shared" ref="M10219:M10227" si="775">"01"</f>
        <v>01</v>
      </c>
      <c r="N10219" t="s">
        <v>12</v>
      </c>
    </row>
    <row r="10220" spans="1:14" x14ac:dyDescent="0.25">
      <c r="A10220">
        <v>20160122</v>
      </c>
      <c r="B10220" t="str">
        <f>"061890"</f>
        <v>061890</v>
      </c>
      <c r="C10220" t="str">
        <f>"72091"</f>
        <v>72091</v>
      </c>
      <c r="D10220" t="s">
        <v>8144</v>
      </c>
      <c r="E10220" s="3">
        <v>3555</v>
      </c>
      <c r="F10220">
        <v>20160122</v>
      </c>
      <c r="G10220" t="s">
        <v>8153</v>
      </c>
      <c r="H10220" t="s">
        <v>8155</v>
      </c>
      <c r="I10220">
        <v>0</v>
      </c>
      <c r="J10220" t="s">
        <v>8127</v>
      </c>
      <c r="K10220" t="s">
        <v>290</v>
      </c>
      <c r="L10220" t="s">
        <v>285</v>
      </c>
      <c r="M10220" t="str">
        <f t="shared" si="775"/>
        <v>01</v>
      </c>
      <c r="N10220" t="s">
        <v>12</v>
      </c>
    </row>
    <row r="10221" spans="1:14" x14ac:dyDescent="0.25">
      <c r="A10221">
        <v>20160122</v>
      </c>
      <c r="B10221" t="str">
        <f>"061891"</f>
        <v>061891</v>
      </c>
      <c r="C10221" t="str">
        <f>"72091"</f>
        <v>72091</v>
      </c>
      <c r="D10221" t="s">
        <v>8144</v>
      </c>
      <c r="E10221" s="3">
        <v>10000</v>
      </c>
      <c r="F10221">
        <v>20160122</v>
      </c>
      <c r="G10221" t="s">
        <v>8156</v>
      </c>
      <c r="H10221" t="s">
        <v>8157</v>
      </c>
      <c r="I10221">
        <v>0</v>
      </c>
      <c r="J10221" t="s">
        <v>8127</v>
      </c>
      <c r="K10221" t="s">
        <v>235</v>
      </c>
      <c r="L10221" t="s">
        <v>285</v>
      </c>
      <c r="M10221" t="str">
        <f t="shared" si="775"/>
        <v>01</v>
      </c>
      <c r="N10221" t="s">
        <v>12</v>
      </c>
    </row>
    <row r="10222" spans="1:14" x14ac:dyDescent="0.25">
      <c r="A10222">
        <v>20160129</v>
      </c>
      <c r="B10222" t="str">
        <f>"061968"</f>
        <v>061968</v>
      </c>
      <c r="C10222" t="str">
        <f>"45668"</f>
        <v>45668</v>
      </c>
      <c r="D10222" t="s">
        <v>6076</v>
      </c>
      <c r="E10222" s="3">
        <v>312344.03999999998</v>
      </c>
      <c r="F10222">
        <v>20160128</v>
      </c>
      <c r="G10222" t="s">
        <v>8137</v>
      </c>
      <c r="H10222" t="s">
        <v>6077</v>
      </c>
      <c r="I10222">
        <v>0</v>
      </c>
      <c r="J10222" t="s">
        <v>8127</v>
      </c>
      <c r="K10222" t="s">
        <v>290</v>
      </c>
      <c r="L10222" t="s">
        <v>285</v>
      </c>
      <c r="M10222" t="str">
        <f t="shared" si="775"/>
        <v>01</v>
      </c>
      <c r="N10222" t="s">
        <v>12</v>
      </c>
    </row>
    <row r="10223" spans="1:14" x14ac:dyDescent="0.25">
      <c r="A10223">
        <v>20160129</v>
      </c>
      <c r="B10223" t="str">
        <f>"061998"</f>
        <v>061998</v>
      </c>
      <c r="C10223" t="str">
        <f>"60852"</f>
        <v>60852</v>
      </c>
      <c r="D10223" t="s">
        <v>6095</v>
      </c>
      <c r="E10223" s="3">
        <v>7175</v>
      </c>
      <c r="F10223">
        <v>20160128</v>
      </c>
      <c r="G10223" t="s">
        <v>8134</v>
      </c>
      <c r="H10223" t="s">
        <v>8158</v>
      </c>
      <c r="I10223">
        <v>0</v>
      </c>
      <c r="J10223" t="s">
        <v>8127</v>
      </c>
      <c r="K10223" t="s">
        <v>290</v>
      </c>
      <c r="L10223" t="s">
        <v>285</v>
      </c>
      <c r="M10223" t="str">
        <f t="shared" si="775"/>
        <v>01</v>
      </c>
      <c r="N10223" t="s">
        <v>12</v>
      </c>
    </row>
    <row r="10224" spans="1:14" x14ac:dyDescent="0.25">
      <c r="A10224">
        <v>20160129</v>
      </c>
      <c r="B10224" t="str">
        <f>"061998"</f>
        <v>061998</v>
      </c>
      <c r="C10224" t="str">
        <f>"60852"</f>
        <v>60852</v>
      </c>
      <c r="D10224" t="s">
        <v>6095</v>
      </c>
      <c r="E10224" s="3">
        <v>14500</v>
      </c>
      <c r="F10224">
        <v>20160128</v>
      </c>
      <c r="G10224" t="s">
        <v>8136</v>
      </c>
      <c r="H10224" t="s">
        <v>8158</v>
      </c>
      <c r="I10224">
        <v>0</v>
      </c>
      <c r="J10224" t="s">
        <v>8127</v>
      </c>
      <c r="K10224" t="s">
        <v>33</v>
      </c>
      <c r="L10224" t="s">
        <v>285</v>
      </c>
      <c r="M10224" t="str">
        <f t="shared" si="775"/>
        <v>01</v>
      </c>
      <c r="N10224" t="s">
        <v>12</v>
      </c>
    </row>
    <row r="10225" spans="1:14" x14ac:dyDescent="0.25">
      <c r="A10225">
        <v>20160129</v>
      </c>
      <c r="B10225" t="str">
        <f>"062002"</f>
        <v>062002</v>
      </c>
      <c r="C10225" t="str">
        <f>"63618"</f>
        <v>63618</v>
      </c>
      <c r="D10225" t="s">
        <v>8041</v>
      </c>
      <c r="E10225" s="3">
        <v>1410</v>
      </c>
      <c r="F10225">
        <v>20160128</v>
      </c>
      <c r="G10225" t="s">
        <v>8134</v>
      </c>
      <c r="H10225" t="s">
        <v>8159</v>
      </c>
      <c r="I10225">
        <v>0</v>
      </c>
      <c r="J10225" t="s">
        <v>8127</v>
      </c>
      <c r="K10225" t="s">
        <v>290</v>
      </c>
      <c r="L10225" t="s">
        <v>285</v>
      </c>
      <c r="M10225" t="str">
        <f t="shared" si="775"/>
        <v>01</v>
      </c>
      <c r="N10225" t="s">
        <v>12</v>
      </c>
    </row>
    <row r="10226" spans="1:14" x14ac:dyDescent="0.25">
      <c r="A10226">
        <v>20160129</v>
      </c>
      <c r="B10226" t="str">
        <f>"062002"</f>
        <v>062002</v>
      </c>
      <c r="C10226" t="str">
        <f>"63618"</f>
        <v>63618</v>
      </c>
      <c r="D10226" t="s">
        <v>8041</v>
      </c>
      <c r="E10226" s="3">
        <v>1767</v>
      </c>
      <c r="F10226">
        <v>20160128</v>
      </c>
      <c r="G10226" t="s">
        <v>8134</v>
      </c>
      <c r="H10226" t="s">
        <v>8160</v>
      </c>
      <c r="I10226">
        <v>0</v>
      </c>
      <c r="J10226" t="s">
        <v>8127</v>
      </c>
      <c r="K10226" t="s">
        <v>290</v>
      </c>
      <c r="L10226" t="s">
        <v>285</v>
      </c>
      <c r="M10226" t="str">
        <f t="shared" si="775"/>
        <v>01</v>
      </c>
      <c r="N10226" t="s">
        <v>12</v>
      </c>
    </row>
    <row r="10227" spans="1:14" x14ac:dyDescent="0.25">
      <c r="A10227">
        <v>20160129</v>
      </c>
      <c r="B10227" t="str">
        <f>"062002"</f>
        <v>062002</v>
      </c>
      <c r="C10227" t="str">
        <f>"63618"</f>
        <v>63618</v>
      </c>
      <c r="D10227" t="s">
        <v>8041</v>
      </c>
      <c r="E10227" s="3">
        <v>4525</v>
      </c>
      <c r="F10227">
        <v>20160128</v>
      </c>
      <c r="G10227" t="s">
        <v>8136</v>
      </c>
      <c r="H10227" t="s">
        <v>8161</v>
      </c>
      <c r="I10227">
        <v>0</v>
      </c>
      <c r="J10227" t="s">
        <v>8127</v>
      </c>
      <c r="K10227" t="s">
        <v>33</v>
      </c>
      <c r="L10227" t="s">
        <v>285</v>
      </c>
      <c r="M10227" t="str">
        <f t="shared" si="775"/>
        <v>01</v>
      </c>
      <c r="N10227" t="s">
        <v>12</v>
      </c>
    </row>
    <row r="10228" spans="1:14" x14ac:dyDescent="0.25">
      <c r="A10228">
        <v>20160212</v>
      </c>
      <c r="B10228" t="str">
        <f>"062321"</f>
        <v>062321</v>
      </c>
      <c r="C10228" t="str">
        <f>"45708"</f>
        <v>45708</v>
      </c>
      <c r="D10228" t="s">
        <v>8051</v>
      </c>
      <c r="E10228" s="3">
        <v>330570.21000000002</v>
      </c>
      <c r="F10228">
        <v>20160212</v>
      </c>
      <c r="G10228" t="s">
        <v>8138</v>
      </c>
      <c r="H10228" t="s">
        <v>8139</v>
      </c>
      <c r="I10228">
        <v>0</v>
      </c>
      <c r="J10228" t="s">
        <v>8127</v>
      </c>
      <c r="K10228" t="s">
        <v>33</v>
      </c>
      <c r="L10228" t="s">
        <v>285</v>
      </c>
      <c r="M10228" t="str">
        <f t="shared" ref="M10228:M10236" si="776">"02"</f>
        <v>02</v>
      </c>
      <c r="N10228" t="s">
        <v>12</v>
      </c>
    </row>
    <row r="10229" spans="1:14" x14ac:dyDescent="0.25">
      <c r="A10229">
        <v>20160219</v>
      </c>
      <c r="B10229" t="str">
        <f>"062439"</f>
        <v>062439</v>
      </c>
      <c r="C10229" t="str">
        <f>"45668"</f>
        <v>45668</v>
      </c>
      <c r="D10229" t="s">
        <v>6076</v>
      </c>
      <c r="E10229" s="3">
        <v>452151.12</v>
      </c>
      <c r="F10229">
        <v>20160218</v>
      </c>
      <c r="G10229" t="s">
        <v>8137</v>
      </c>
      <c r="H10229" t="s">
        <v>6077</v>
      </c>
      <c r="I10229">
        <v>0</v>
      </c>
      <c r="J10229" t="s">
        <v>8127</v>
      </c>
      <c r="K10229" t="s">
        <v>290</v>
      </c>
      <c r="L10229" t="s">
        <v>285</v>
      </c>
      <c r="M10229" t="str">
        <f t="shared" si="776"/>
        <v>02</v>
      </c>
      <c r="N10229" t="s">
        <v>12</v>
      </c>
    </row>
    <row r="10230" spans="1:14" x14ac:dyDescent="0.25">
      <c r="A10230">
        <v>20160219</v>
      </c>
      <c r="B10230" t="str">
        <f>"062472"</f>
        <v>062472</v>
      </c>
      <c r="C10230" t="str">
        <f>"60852"</f>
        <v>60852</v>
      </c>
      <c r="D10230" t="s">
        <v>6095</v>
      </c>
      <c r="E10230" s="3">
        <v>7175</v>
      </c>
      <c r="F10230">
        <v>20160218</v>
      </c>
      <c r="G10230" t="s">
        <v>8134</v>
      </c>
      <c r="H10230" t="s">
        <v>8162</v>
      </c>
      <c r="I10230">
        <v>0</v>
      </c>
      <c r="J10230" t="s">
        <v>8127</v>
      </c>
      <c r="K10230" t="s">
        <v>290</v>
      </c>
      <c r="L10230" t="s">
        <v>285</v>
      </c>
      <c r="M10230" t="str">
        <f t="shared" si="776"/>
        <v>02</v>
      </c>
      <c r="N10230" t="s">
        <v>12</v>
      </c>
    </row>
    <row r="10231" spans="1:14" x14ac:dyDescent="0.25">
      <c r="A10231">
        <v>20160219</v>
      </c>
      <c r="B10231" t="str">
        <f>"062472"</f>
        <v>062472</v>
      </c>
      <c r="C10231" t="str">
        <f>"60852"</f>
        <v>60852</v>
      </c>
      <c r="D10231" t="s">
        <v>6095</v>
      </c>
      <c r="E10231" s="3">
        <v>14500</v>
      </c>
      <c r="F10231">
        <v>20160218</v>
      </c>
      <c r="G10231" t="s">
        <v>8136</v>
      </c>
      <c r="H10231" t="s">
        <v>8162</v>
      </c>
      <c r="I10231">
        <v>0</v>
      </c>
      <c r="J10231" t="s">
        <v>8127</v>
      </c>
      <c r="K10231" t="s">
        <v>33</v>
      </c>
      <c r="L10231" t="s">
        <v>285</v>
      </c>
      <c r="M10231" t="str">
        <f t="shared" si="776"/>
        <v>02</v>
      </c>
      <c r="N10231" t="s">
        <v>12</v>
      </c>
    </row>
    <row r="10232" spans="1:14" x14ac:dyDescent="0.25">
      <c r="A10232">
        <v>20160219</v>
      </c>
      <c r="B10232" t="str">
        <f>"062479"</f>
        <v>062479</v>
      </c>
      <c r="C10232" t="str">
        <f>"63618"</f>
        <v>63618</v>
      </c>
      <c r="D10232" t="s">
        <v>8041</v>
      </c>
      <c r="E10232" s="3">
        <v>895</v>
      </c>
      <c r="F10232">
        <v>20160218</v>
      </c>
      <c r="G10232" t="s">
        <v>8134</v>
      </c>
      <c r="H10232" t="s">
        <v>8163</v>
      </c>
      <c r="I10232">
        <v>0</v>
      </c>
      <c r="J10232" t="s">
        <v>8127</v>
      </c>
      <c r="K10232" t="s">
        <v>290</v>
      </c>
      <c r="L10232" t="s">
        <v>285</v>
      </c>
      <c r="M10232" t="str">
        <f t="shared" si="776"/>
        <v>02</v>
      </c>
      <c r="N10232" t="s">
        <v>12</v>
      </c>
    </row>
    <row r="10233" spans="1:14" x14ac:dyDescent="0.25">
      <c r="A10233">
        <v>20160219</v>
      </c>
      <c r="B10233" t="str">
        <f>"062479"</f>
        <v>062479</v>
      </c>
      <c r="C10233" t="str">
        <f>"63618"</f>
        <v>63618</v>
      </c>
      <c r="D10233" t="s">
        <v>8041</v>
      </c>
      <c r="E10233" s="3">
        <v>925</v>
      </c>
      <c r="F10233">
        <v>20160218</v>
      </c>
      <c r="G10233" t="s">
        <v>8134</v>
      </c>
      <c r="H10233" t="s">
        <v>8164</v>
      </c>
      <c r="I10233">
        <v>0</v>
      </c>
      <c r="J10233" t="s">
        <v>8127</v>
      </c>
      <c r="K10233" t="s">
        <v>290</v>
      </c>
      <c r="L10233" t="s">
        <v>285</v>
      </c>
      <c r="M10233" t="str">
        <f t="shared" si="776"/>
        <v>02</v>
      </c>
      <c r="N10233" t="s">
        <v>12</v>
      </c>
    </row>
    <row r="10234" spans="1:14" x14ac:dyDescent="0.25">
      <c r="A10234">
        <v>20160219</v>
      </c>
      <c r="B10234" t="str">
        <f>"062507"</f>
        <v>062507</v>
      </c>
      <c r="C10234" t="str">
        <f>"82301"</f>
        <v>82301</v>
      </c>
      <c r="D10234" t="s">
        <v>8165</v>
      </c>
      <c r="E10234" s="3">
        <v>2208.8200000000002</v>
      </c>
      <c r="F10234">
        <v>20160218</v>
      </c>
      <c r="G10234" t="s">
        <v>8125</v>
      </c>
      <c r="H10234" t="s">
        <v>6077</v>
      </c>
      <c r="I10234">
        <v>0</v>
      </c>
      <c r="J10234" t="s">
        <v>8127</v>
      </c>
      <c r="K10234" t="s">
        <v>290</v>
      </c>
      <c r="L10234" t="s">
        <v>285</v>
      </c>
      <c r="M10234" t="str">
        <f t="shared" si="776"/>
        <v>02</v>
      </c>
      <c r="N10234" t="s">
        <v>12</v>
      </c>
    </row>
    <row r="10235" spans="1:14" x14ac:dyDescent="0.25">
      <c r="A10235">
        <v>20160219</v>
      </c>
      <c r="B10235" t="str">
        <f>"062507"</f>
        <v>062507</v>
      </c>
      <c r="C10235" t="str">
        <f>"82301"</f>
        <v>82301</v>
      </c>
      <c r="D10235" t="s">
        <v>8165</v>
      </c>
      <c r="E10235" s="3">
        <v>10221.200000000001</v>
      </c>
      <c r="F10235">
        <v>20160218</v>
      </c>
      <c r="G10235" t="s">
        <v>8166</v>
      </c>
      <c r="H10235" t="s">
        <v>6077</v>
      </c>
      <c r="I10235">
        <v>0</v>
      </c>
      <c r="J10235" t="s">
        <v>8127</v>
      </c>
      <c r="K10235" t="s">
        <v>290</v>
      </c>
      <c r="L10235" t="s">
        <v>285</v>
      </c>
      <c r="M10235" t="str">
        <f t="shared" si="776"/>
        <v>02</v>
      </c>
      <c r="N10235" t="s">
        <v>12</v>
      </c>
    </row>
    <row r="10236" spans="1:14" x14ac:dyDescent="0.25">
      <c r="A10236">
        <v>20160219</v>
      </c>
      <c r="B10236" t="str">
        <f>"062507"</f>
        <v>062507</v>
      </c>
      <c r="C10236" t="str">
        <f>"82301"</f>
        <v>82301</v>
      </c>
      <c r="D10236" t="s">
        <v>8165</v>
      </c>
      <c r="E10236" s="3">
        <v>675</v>
      </c>
      <c r="F10236">
        <v>20160218</v>
      </c>
      <c r="G10236" t="s">
        <v>8134</v>
      </c>
      <c r="H10236" t="s">
        <v>6077</v>
      </c>
      <c r="I10236">
        <v>0</v>
      </c>
      <c r="J10236" t="s">
        <v>8127</v>
      </c>
      <c r="K10236" t="s">
        <v>290</v>
      </c>
      <c r="L10236" t="s">
        <v>285</v>
      </c>
      <c r="M10236" t="str">
        <f t="shared" si="776"/>
        <v>02</v>
      </c>
      <c r="N10236" t="s">
        <v>12</v>
      </c>
    </row>
    <row r="10237" spans="1:14" x14ac:dyDescent="0.25">
      <c r="A10237">
        <v>20160311</v>
      </c>
      <c r="B10237" t="str">
        <f>"062663"</f>
        <v>062663</v>
      </c>
      <c r="C10237" t="str">
        <f>"43534"</f>
        <v>43534</v>
      </c>
      <c r="D10237" t="s">
        <v>3093</v>
      </c>
      <c r="E10237" s="3">
        <v>20765</v>
      </c>
      <c r="F10237">
        <v>20160310</v>
      </c>
      <c r="G10237" t="s">
        <v>8167</v>
      </c>
      <c r="H10237" t="s">
        <v>8168</v>
      </c>
      <c r="I10237">
        <v>0</v>
      </c>
      <c r="J10237" t="s">
        <v>8127</v>
      </c>
      <c r="K10237" t="s">
        <v>33</v>
      </c>
      <c r="L10237" t="s">
        <v>285</v>
      </c>
      <c r="M10237" t="str">
        <f t="shared" ref="M10237:M10254" si="777">"03"</f>
        <v>03</v>
      </c>
      <c r="N10237" t="s">
        <v>12</v>
      </c>
    </row>
    <row r="10238" spans="1:14" x14ac:dyDescent="0.25">
      <c r="A10238">
        <v>20160311</v>
      </c>
      <c r="B10238" t="str">
        <f>"062664"</f>
        <v>062664</v>
      </c>
      <c r="C10238" t="str">
        <f>"43532"</f>
        <v>43532</v>
      </c>
      <c r="D10238" t="s">
        <v>1979</v>
      </c>
      <c r="E10238" s="3">
        <v>24013.26</v>
      </c>
      <c r="F10238">
        <v>20160311</v>
      </c>
      <c r="G10238" t="s">
        <v>8169</v>
      </c>
      <c r="H10238" t="s">
        <v>8170</v>
      </c>
      <c r="I10238">
        <v>0</v>
      </c>
      <c r="J10238" t="s">
        <v>8127</v>
      </c>
      <c r="K10238" t="s">
        <v>33</v>
      </c>
      <c r="L10238" t="s">
        <v>285</v>
      </c>
      <c r="M10238" t="str">
        <f t="shared" si="777"/>
        <v>03</v>
      </c>
      <c r="N10238" t="s">
        <v>12</v>
      </c>
    </row>
    <row r="10239" spans="1:14" x14ac:dyDescent="0.25">
      <c r="A10239">
        <v>20160311</v>
      </c>
      <c r="B10239" t="str">
        <f>"062664"</f>
        <v>062664</v>
      </c>
      <c r="C10239" t="str">
        <f>"43532"</f>
        <v>43532</v>
      </c>
      <c r="D10239" t="s">
        <v>1979</v>
      </c>
      <c r="E10239" s="3">
        <v>8608.14</v>
      </c>
      <c r="F10239">
        <v>20160311</v>
      </c>
      <c r="G10239" t="s">
        <v>8169</v>
      </c>
      <c r="H10239" t="s">
        <v>8171</v>
      </c>
      <c r="I10239">
        <v>0</v>
      </c>
      <c r="J10239" t="s">
        <v>8127</v>
      </c>
      <c r="K10239" t="s">
        <v>33</v>
      </c>
      <c r="L10239" t="s">
        <v>285</v>
      </c>
      <c r="M10239" t="str">
        <f t="shared" si="777"/>
        <v>03</v>
      </c>
      <c r="N10239" t="s">
        <v>12</v>
      </c>
    </row>
    <row r="10240" spans="1:14" x14ac:dyDescent="0.25">
      <c r="A10240">
        <v>20160318</v>
      </c>
      <c r="B10240" t="str">
        <f>"062749"</f>
        <v>062749</v>
      </c>
      <c r="C10240" t="str">
        <f>"34271"</f>
        <v>34271</v>
      </c>
      <c r="D10240" t="s">
        <v>1704</v>
      </c>
      <c r="E10240" s="3">
        <v>1300</v>
      </c>
      <c r="F10240">
        <v>20160316</v>
      </c>
      <c r="G10240" t="s">
        <v>8172</v>
      </c>
      <c r="H10240" t="s">
        <v>8173</v>
      </c>
      <c r="I10240">
        <v>0</v>
      </c>
      <c r="J10240" t="s">
        <v>8127</v>
      </c>
      <c r="K10240" t="s">
        <v>290</v>
      </c>
      <c r="L10240" t="s">
        <v>285</v>
      </c>
      <c r="M10240" t="str">
        <f t="shared" si="777"/>
        <v>03</v>
      </c>
      <c r="N10240" t="s">
        <v>12</v>
      </c>
    </row>
    <row r="10241" spans="1:14" x14ac:dyDescent="0.25">
      <c r="A10241">
        <v>20160318</v>
      </c>
      <c r="B10241" t="str">
        <f>"062763"</f>
        <v>062763</v>
      </c>
      <c r="C10241" t="str">
        <f>"45708"</f>
        <v>45708</v>
      </c>
      <c r="D10241" t="s">
        <v>8051</v>
      </c>
      <c r="E10241" s="3">
        <v>293622.71000000002</v>
      </c>
      <c r="F10241">
        <v>20160316</v>
      </c>
      <c r="G10241" t="s">
        <v>8138</v>
      </c>
      <c r="H10241" t="s">
        <v>8139</v>
      </c>
      <c r="I10241">
        <v>0</v>
      </c>
      <c r="J10241" t="s">
        <v>8127</v>
      </c>
      <c r="K10241" t="s">
        <v>33</v>
      </c>
      <c r="L10241" t="s">
        <v>285</v>
      </c>
      <c r="M10241" t="str">
        <f t="shared" si="777"/>
        <v>03</v>
      </c>
      <c r="N10241" t="s">
        <v>12</v>
      </c>
    </row>
    <row r="10242" spans="1:14" x14ac:dyDescent="0.25">
      <c r="A10242">
        <v>20160318</v>
      </c>
      <c r="B10242" t="str">
        <f>"062788"</f>
        <v>062788</v>
      </c>
      <c r="C10242" t="str">
        <f>"60852"</f>
        <v>60852</v>
      </c>
      <c r="D10242" t="s">
        <v>6095</v>
      </c>
      <c r="E10242" s="3">
        <v>7175</v>
      </c>
      <c r="F10242">
        <v>20160317</v>
      </c>
      <c r="G10242" t="s">
        <v>8134</v>
      </c>
      <c r="H10242" t="s">
        <v>8174</v>
      </c>
      <c r="I10242">
        <v>0</v>
      </c>
      <c r="J10242" t="s">
        <v>8127</v>
      </c>
      <c r="K10242" t="s">
        <v>290</v>
      </c>
      <c r="L10242" t="s">
        <v>285</v>
      </c>
      <c r="M10242" t="str">
        <f t="shared" si="777"/>
        <v>03</v>
      </c>
      <c r="N10242" t="s">
        <v>12</v>
      </c>
    </row>
    <row r="10243" spans="1:14" x14ac:dyDescent="0.25">
      <c r="A10243">
        <v>20160318</v>
      </c>
      <c r="B10243" t="str">
        <f>"062788"</f>
        <v>062788</v>
      </c>
      <c r="C10243" t="str">
        <f>"60852"</f>
        <v>60852</v>
      </c>
      <c r="D10243" t="s">
        <v>6095</v>
      </c>
      <c r="E10243" s="3">
        <v>14500</v>
      </c>
      <c r="F10243">
        <v>20160317</v>
      </c>
      <c r="G10243" t="s">
        <v>8136</v>
      </c>
      <c r="H10243" t="s">
        <v>8174</v>
      </c>
      <c r="I10243">
        <v>0</v>
      </c>
      <c r="J10243" t="s">
        <v>8127</v>
      </c>
      <c r="K10243" t="s">
        <v>33</v>
      </c>
      <c r="L10243" t="s">
        <v>285</v>
      </c>
      <c r="M10243" t="str">
        <f t="shared" si="777"/>
        <v>03</v>
      </c>
      <c r="N10243" t="s">
        <v>12</v>
      </c>
    </row>
    <row r="10244" spans="1:14" x14ac:dyDescent="0.25">
      <c r="A10244">
        <v>20160318</v>
      </c>
      <c r="B10244" t="str">
        <f>"062792"</f>
        <v>062792</v>
      </c>
      <c r="C10244" t="str">
        <f>"63618"</f>
        <v>63618</v>
      </c>
      <c r="D10244" t="s">
        <v>8041</v>
      </c>
      <c r="E10244" s="3">
        <v>140</v>
      </c>
      <c r="F10244">
        <v>20160317</v>
      </c>
      <c r="G10244" t="s">
        <v>8134</v>
      </c>
      <c r="H10244" t="s">
        <v>8175</v>
      </c>
      <c r="I10244">
        <v>0</v>
      </c>
      <c r="J10244" t="s">
        <v>8127</v>
      </c>
      <c r="K10244" t="s">
        <v>290</v>
      </c>
      <c r="L10244" t="s">
        <v>285</v>
      </c>
      <c r="M10244" t="str">
        <f t="shared" si="777"/>
        <v>03</v>
      </c>
      <c r="N10244" t="s">
        <v>12</v>
      </c>
    </row>
    <row r="10245" spans="1:14" x14ac:dyDescent="0.25">
      <c r="A10245">
        <v>20160318</v>
      </c>
      <c r="B10245" t="str">
        <f>"062792"</f>
        <v>062792</v>
      </c>
      <c r="C10245" t="str">
        <f>"63618"</f>
        <v>63618</v>
      </c>
      <c r="D10245" t="s">
        <v>8041</v>
      </c>
      <c r="E10245" s="3">
        <v>3864</v>
      </c>
      <c r="F10245">
        <v>20160317</v>
      </c>
      <c r="G10245" t="s">
        <v>8136</v>
      </c>
      <c r="H10245" t="s">
        <v>8176</v>
      </c>
      <c r="I10245">
        <v>0</v>
      </c>
      <c r="J10245" t="s">
        <v>8127</v>
      </c>
      <c r="K10245" t="s">
        <v>33</v>
      </c>
      <c r="L10245" t="s">
        <v>285</v>
      </c>
      <c r="M10245" t="str">
        <f t="shared" si="777"/>
        <v>03</v>
      </c>
      <c r="N10245" t="s">
        <v>12</v>
      </c>
    </row>
    <row r="10246" spans="1:14" x14ac:dyDescent="0.25">
      <c r="A10246">
        <v>20160318</v>
      </c>
      <c r="B10246" t="str">
        <f>"062804"</f>
        <v>062804</v>
      </c>
      <c r="C10246" t="str">
        <f>"72091"</f>
        <v>72091</v>
      </c>
      <c r="D10246" t="s">
        <v>8144</v>
      </c>
      <c r="E10246" s="3">
        <v>48972</v>
      </c>
      <c r="F10246">
        <v>20160317</v>
      </c>
      <c r="G10246" t="s">
        <v>8151</v>
      </c>
      <c r="H10246" t="s">
        <v>8177</v>
      </c>
      <c r="I10246">
        <v>0</v>
      </c>
      <c r="J10246" t="s">
        <v>8127</v>
      </c>
      <c r="K10246" t="s">
        <v>95</v>
      </c>
      <c r="L10246" t="s">
        <v>285</v>
      </c>
      <c r="M10246" t="str">
        <f t="shared" si="777"/>
        <v>03</v>
      </c>
      <c r="N10246" t="s">
        <v>12</v>
      </c>
    </row>
    <row r="10247" spans="1:14" x14ac:dyDescent="0.25">
      <c r="A10247">
        <v>20160324</v>
      </c>
      <c r="B10247" t="str">
        <f>"062830"</f>
        <v>062830</v>
      </c>
      <c r="C10247" t="str">
        <f>"16807"</f>
        <v>16807</v>
      </c>
      <c r="D10247" t="s">
        <v>1560</v>
      </c>
      <c r="E10247" s="3">
        <v>7090.6</v>
      </c>
      <c r="F10247">
        <v>20160322</v>
      </c>
      <c r="G10247" t="s">
        <v>8167</v>
      </c>
      <c r="H10247" t="s">
        <v>4583</v>
      </c>
      <c r="I10247">
        <v>0</v>
      </c>
      <c r="J10247" t="s">
        <v>8127</v>
      </c>
      <c r="K10247" t="s">
        <v>33</v>
      </c>
      <c r="L10247" t="s">
        <v>285</v>
      </c>
      <c r="M10247" t="str">
        <f t="shared" si="777"/>
        <v>03</v>
      </c>
      <c r="N10247" t="s">
        <v>12</v>
      </c>
    </row>
    <row r="10248" spans="1:14" x14ac:dyDescent="0.25">
      <c r="A10248">
        <v>20160324</v>
      </c>
      <c r="B10248" t="str">
        <f>"062851"</f>
        <v>062851</v>
      </c>
      <c r="C10248" t="str">
        <f>"34680"</f>
        <v>34680</v>
      </c>
      <c r="D10248" t="s">
        <v>1683</v>
      </c>
      <c r="E10248" s="3">
        <v>13247.52</v>
      </c>
      <c r="F10248">
        <v>20160322</v>
      </c>
      <c r="G10248" t="s">
        <v>8178</v>
      </c>
      <c r="H10248" t="s">
        <v>5856</v>
      </c>
      <c r="I10248">
        <v>0</v>
      </c>
      <c r="J10248" t="s">
        <v>8127</v>
      </c>
      <c r="K10248" t="s">
        <v>33</v>
      </c>
      <c r="L10248" t="s">
        <v>285</v>
      </c>
      <c r="M10248" t="str">
        <f t="shared" si="777"/>
        <v>03</v>
      </c>
      <c r="N10248" t="s">
        <v>12</v>
      </c>
    </row>
    <row r="10249" spans="1:14" x14ac:dyDescent="0.25">
      <c r="A10249">
        <v>20160324</v>
      </c>
      <c r="B10249" t="str">
        <f>"062851"</f>
        <v>062851</v>
      </c>
      <c r="C10249" t="str">
        <f>"34680"</f>
        <v>34680</v>
      </c>
      <c r="D10249" t="s">
        <v>1683</v>
      </c>
      <c r="E10249" s="3">
        <v>7689</v>
      </c>
      <c r="F10249">
        <v>20160322</v>
      </c>
      <c r="G10249" t="s">
        <v>8178</v>
      </c>
      <c r="H10249" t="s">
        <v>5856</v>
      </c>
      <c r="I10249">
        <v>0</v>
      </c>
      <c r="J10249" t="s">
        <v>8127</v>
      </c>
      <c r="K10249" t="s">
        <v>33</v>
      </c>
      <c r="L10249" t="s">
        <v>285</v>
      </c>
      <c r="M10249" t="str">
        <f t="shared" si="777"/>
        <v>03</v>
      </c>
      <c r="N10249" t="s">
        <v>12</v>
      </c>
    </row>
    <row r="10250" spans="1:14" x14ac:dyDescent="0.25">
      <c r="A10250">
        <v>20160324</v>
      </c>
      <c r="B10250" t="str">
        <f>"062851"</f>
        <v>062851</v>
      </c>
      <c r="C10250" t="str">
        <f>"34680"</f>
        <v>34680</v>
      </c>
      <c r="D10250" t="s">
        <v>1683</v>
      </c>
      <c r="E10250" s="3">
        <v>34.54</v>
      </c>
      <c r="F10250">
        <v>20160322</v>
      </c>
      <c r="G10250" t="s">
        <v>8178</v>
      </c>
      <c r="H10250" t="s">
        <v>8179</v>
      </c>
      <c r="I10250">
        <v>0</v>
      </c>
      <c r="J10250" t="s">
        <v>8127</v>
      </c>
      <c r="K10250" t="s">
        <v>33</v>
      </c>
      <c r="L10250" t="s">
        <v>285</v>
      </c>
      <c r="M10250" t="str">
        <f t="shared" si="777"/>
        <v>03</v>
      </c>
      <c r="N10250" t="s">
        <v>12</v>
      </c>
    </row>
    <row r="10251" spans="1:14" x14ac:dyDescent="0.25">
      <c r="A10251">
        <v>20160324</v>
      </c>
      <c r="B10251" t="str">
        <f>"062892"</f>
        <v>062892</v>
      </c>
      <c r="C10251" t="str">
        <f>"45668"</f>
        <v>45668</v>
      </c>
      <c r="D10251" t="s">
        <v>6076</v>
      </c>
      <c r="E10251" s="3">
        <v>427714.99</v>
      </c>
      <c r="F10251">
        <v>20160324</v>
      </c>
      <c r="G10251" t="s">
        <v>8137</v>
      </c>
      <c r="H10251" t="s">
        <v>6077</v>
      </c>
      <c r="I10251">
        <v>0</v>
      </c>
      <c r="J10251" t="s">
        <v>8127</v>
      </c>
      <c r="K10251" t="s">
        <v>290</v>
      </c>
      <c r="L10251" t="s">
        <v>285</v>
      </c>
      <c r="M10251" t="str">
        <f t="shared" si="777"/>
        <v>03</v>
      </c>
      <c r="N10251" t="s">
        <v>12</v>
      </c>
    </row>
    <row r="10252" spans="1:14" x14ac:dyDescent="0.25">
      <c r="A10252">
        <v>20160324</v>
      </c>
      <c r="B10252" t="str">
        <f>"062894"</f>
        <v>062894</v>
      </c>
      <c r="C10252" t="str">
        <f>"45708"</f>
        <v>45708</v>
      </c>
      <c r="D10252" t="s">
        <v>8051</v>
      </c>
      <c r="E10252" s="3">
        <v>174963.3</v>
      </c>
      <c r="F10252">
        <v>20160324</v>
      </c>
      <c r="G10252" t="s">
        <v>8138</v>
      </c>
      <c r="H10252" t="s">
        <v>8139</v>
      </c>
      <c r="I10252">
        <v>0</v>
      </c>
      <c r="J10252" t="s">
        <v>8127</v>
      </c>
      <c r="K10252" t="s">
        <v>33</v>
      </c>
      <c r="L10252" t="s">
        <v>285</v>
      </c>
      <c r="M10252" t="str">
        <f t="shared" si="777"/>
        <v>03</v>
      </c>
      <c r="N10252" t="s">
        <v>12</v>
      </c>
    </row>
    <row r="10253" spans="1:14" x14ac:dyDescent="0.25">
      <c r="A10253">
        <v>20160324</v>
      </c>
      <c r="B10253" t="str">
        <f>"062897"</f>
        <v>062897</v>
      </c>
      <c r="C10253" t="str">
        <f>"63618"</f>
        <v>63618</v>
      </c>
      <c r="D10253" t="s">
        <v>8041</v>
      </c>
      <c r="E10253" s="3">
        <v>2566</v>
      </c>
      <c r="F10253">
        <v>20160324</v>
      </c>
      <c r="G10253" t="s">
        <v>8134</v>
      </c>
      <c r="H10253" t="s">
        <v>8180</v>
      </c>
      <c r="I10253">
        <v>0</v>
      </c>
      <c r="J10253" t="s">
        <v>8127</v>
      </c>
      <c r="K10253" t="s">
        <v>290</v>
      </c>
      <c r="L10253" t="s">
        <v>285</v>
      </c>
      <c r="M10253" t="str">
        <f t="shared" si="777"/>
        <v>03</v>
      </c>
      <c r="N10253" t="s">
        <v>12</v>
      </c>
    </row>
    <row r="10254" spans="1:14" x14ac:dyDescent="0.25">
      <c r="A10254">
        <v>20160331</v>
      </c>
      <c r="B10254" t="str">
        <f>"062936"</f>
        <v>062936</v>
      </c>
      <c r="C10254" t="str">
        <f>"29500"</f>
        <v>29500</v>
      </c>
      <c r="D10254" t="s">
        <v>1698</v>
      </c>
      <c r="E10254" s="3">
        <v>220.64</v>
      </c>
      <c r="F10254">
        <v>20160329</v>
      </c>
      <c r="G10254" t="s">
        <v>8178</v>
      </c>
      <c r="H10254" t="s">
        <v>8181</v>
      </c>
      <c r="I10254">
        <v>0</v>
      </c>
      <c r="J10254" t="s">
        <v>8127</v>
      </c>
      <c r="K10254" t="s">
        <v>33</v>
      </c>
      <c r="L10254" t="s">
        <v>285</v>
      </c>
      <c r="M10254" t="str">
        <f t="shared" si="777"/>
        <v>03</v>
      </c>
      <c r="N10254" t="s">
        <v>12</v>
      </c>
    </row>
    <row r="10255" spans="1:14" x14ac:dyDescent="0.25">
      <c r="A10255">
        <v>20160407</v>
      </c>
      <c r="B10255" t="str">
        <f t="shared" ref="B10255:B10263" si="778">"062999"</f>
        <v>062999</v>
      </c>
      <c r="C10255" t="str">
        <f t="shared" ref="C10255:C10263" si="779">"21468"</f>
        <v>21468</v>
      </c>
      <c r="D10255" t="s">
        <v>4492</v>
      </c>
      <c r="E10255" s="3">
        <v>24991.91</v>
      </c>
      <c r="F10255">
        <v>20160406</v>
      </c>
      <c r="G10255" t="s">
        <v>8182</v>
      </c>
      <c r="H10255" t="s">
        <v>8183</v>
      </c>
      <c r="I10255">
        <v>0</v>
      </c>
      <c r="J10255" t="s">
        <v>8127</v>
      </c>
      <c r="K10255" t="s">
        <v>290</v>
      </c>
      <c r="L10255" t="s">
        <v>285</v>
      </c>
      <c r="M10255" t="str">
        <f t="shared" ref="M10255:M10281" si="780">"04"</f>
        <v>04</v>
      </c>
      <c r="N10255" t="s">
        <v>12</v>
      </c>
    </row>
    <row r="10256" spans="1:14" x14ac:dyDescent="0.25">
      <c r="A10256">
        <v>20160407</v>
      </c>
      <c r="B10256" t="str">
        <f t="shared" si="778"/>
        <v>062999</v>
      </c>
      <c r="C10256" t="str">
        <f t="shared" si="779"/>
        <v>21468</v>
      </c>
      <c r="D10256" t="s">
        <v>4492</v>
      </c>
      <c r="E10256" s="3">
        <v>48401.36</v>
      </c>
      <c r="F10256">
        <v>20160406</v>
      </c>
      <c r="G10256" t="s">
        <v>8182</v>
      </c>
      <c r="H10256" t="s">
        <v>8183</v>
      </c>
      <c r="I10256">
        <v>0</v>
      </c>
      <c r="J10256" t="s">
        <v>8127</v>
      </c>
      <c r="K10256" t="s">
        <v>290</v>
      </c>
      <c r="L10256" t="s">
        <v>285</v>
      </c>
      <c r="M10256" t="str">
        <f t="shared" si="780"/>
        <v>04</v>
      </c>
      <c r="N10256" t="s">
        <v>12</v>
      </c>
    </row>
    <row r="10257" spans="1:14" x14ac:dyDescent="0.25">
      <c r="A10257">
        <v>20160407</v>
      </c>
      <c r="B10257" t="str">
        <f t="shared" si="778"/>
        <v>062999</v>
      </c>
      <c r="C10257" t="str">
        <f t="shared" si="779"/>
        <v>21468</v>
      </c>
      <c r="D10257" t="s">
        <v>4492</v>
      </c>
      <c r="E10257" s="3">
        <v>51541.120000000003</v>
      </c>
      <c r="F10257">
        <v>20160406</v>
      </c>
      <c r="G10257" t="s">
        <v>8182</v>
      </c>
      <c r="H10257" t="s">
        <v>8091</v>
      </c>
      <c r="I10257">
        <v>0</v>
      </c>
      <c r="J10257" t="s">
        <v>8127</v>
      </c>
      <c r="K10257" t="s">
        <v>290</v>
      </c>
      <c r="L10257" t="s">
        <v>285</v>
      </c>
      <c r="M10257" t="str">
        <f t="shared" si="780"/>
        <v>04</v>
      </c>
      <c r="N10257" t="s">
        <v>12</v>
      </c>
    </row>
    <row r="10258" spans="1:14" x14ac:dyDescent="0.25">
      <c r="A10258">
        <v>20160407</v>
      </c>
      <c r="B10258" t="str">
        <f t="shared" si="778"/>
        <v>062999</v>
      </c>
      <c r="C10258" t="str">
        <f t="shared" si="779"/>
        <v>21468</v>
      </c>
      <c r="D10258" t="s">
        <v>4492</v>
      </c>
      <c r="E10258" s="3">
        <v>62015.360000000001</v>
      </c>
      <c r="F10258">
        <v>20160406</v>
      </c>
      <c r="G10258" t="s">
        <v>8184</v>
      </c>
      <c r="H10258" t="s">
        <v>8183</v>
      </c>
      <c r="I10258">
        <v>0</v>
      </c>
      <c r="J10258" t="s">
        <v>8127</v>
      </c>
      <c r="K10258" t="s">
        <v>33</v>
      </c>
      <c r="L10258" t="s">
        <v>285</v>
      </c>
      <c r="M10258" t="str">
        <f t="shared" si="780"/>
        <v>04</v>
      </c>
      <c r="N10258" t="s">
        <v>12</v>
      </c>
    </row>
    <row r="10259" spans="1:14" x14ac:dyDescent="0.25">
      <c r="A10259">
        <v>20160407</v>
      </c>
      <c r="B10259" t="str">
        <f t="shared" si="778"/>
        <v>062999</v>
      </c>
      <c r="C10259" t="str">
        <f t="shared" si="779"/>
        <v>21468</v>
      </c>
      <c r="D10259" t="s">
        <v>4492</v>
      </c>
      <c r="E10259" s="3">
        <v>1135.5999999999999</v>
      </c>
      <c r="F10259">
        <v>20160406</v>
      </c>
      <c r="G10259" t="s">
        <v>8184</v>
      </c>
      <c r="H10259" t="s">
        <v>8183</v>
      </c>
      <c r="I10259">
        <v>0</v>
      </c>
      <c r="J10259" t="s">
        <v>8127</v>
      </c>
      <c r="K10259" t="s">
        <v>33</v>
      </c>
      <c r="L10259" t="s">
        <v>285</v>
      </c>
      <c r="M10259" t="str">
        <f t="shared" si="780"/>
        <v>04</v>
      </c>
      <c r="N10259" t="s">
        <v>12</v>
      </c>
    </row>
    <row r="10260" spans="1:14" x14ac:dyDescent="0.25">
      <c r="A10260">
        <v>20160407</v>
      </c>
      <c r="B10260" t="str">
        <f t="shared" si="778"/>
        <v>062999</v>
      </c>
      <c r="C10260" t="str">
        <f t="shared" si="779"/>
        <v>21468</v>
      </c>
      <c r="D10260" t="s">
        <v>4492</v>
      </c>
      <c r="E10260" s="3">
        <v>30844.71</v>
      </c>
      <c r="F10260">
        <v>20160406</v>
      </c>
      <c r="G10260" t="s">
        <v>8184</v>
      </c>
      <c r="H10260" t="s">
        <v>8091</v>
      </c>
      <c r="I10260">
        <v>0</v>
      </c>
      <c r="J10260" t="s">
        <v>8127</v>
      </c>
      <c r="K10260" t="s">
        <v>33</v>
      </c>
      <c r="L10260" t="s">
        <v>285</v>
      </c>
      <c r="M10260" t="str">
        <f t="shared" si="780"/>
        <v>04</v>
      </c>
      <c r="N10260" t="s">
        <v>12</v>
      </c>
    </row>
    <row r="10261" spans="1:14" x14ac:dyDescent="0.25">
      <c r="A10261">
        <v>20160407</v>
      </c>
      <c r="B10261" t="str">
        <f t="shared" si="778"/>
        <v>062999</v>
      </c>
      <c r="C10261" t="str">
        <f t="shared" si="779"/>
        <v>21468</v>
      </c>
      <c r="D10261" t="s">
        <v>4492</v>
      </c>
      <c r="E10261" s="3">
        <v>25309.7</v>
      </c>
      <c r="F10261">
        <v>20160406</v>
      </c>
      <c r="G10261" t="s">
        <v>8185</v>
      </c>
      <c r="H10261" t="s">
        <v>8186</v>
      </c>
      <c r="I10261">
        <v>0</v>
      </c>
      <c r="J10261" t="s">
        <v>8127</v>
      </c>
      <c r="K10261" t="s">
        <v>290</v>
      </c>
      <c r="L10261" t="s">
        <v>285</v>
      </c>
      <c r="M10261" t="str">
        <f t="shared" si="780"/>
        <v>04</v>
      </c>
      <c r="N10261" t="s">
        <v>12</v>
      </c>
    </row>
    <row r="10262" spans="1:14" x14ac:dyDescent="0.25">
      <c r="A10262">
        <v>20160407</v>
      </c>
      <c r="B10262" t="str">
        <f t="shared" si="778"/>
        <v>062999</v>
      </c>
      <c r="C10262" t="str">
        <f t="shared" si="779"/>
        <v>21468</v>
      </c>
      <c r="D10262" t="s">
        <v>4492</v>
      </c>
      <c r="E10262" s="3">
        <v>35303.53</v>
      </c>
      <c r="F10262">
        <v>20160406</v>
      </c>
      <c r="G10262" t="s">
        <v>8185</v>
      </c>
      <c r="H10262" t="s">
        <v>8091</v>
      </c>
      <c r="I10262">
        <v>0</v>
      </c>
      <c r="J10262" t="s">
        <v>8127</v>
      </c>
      <c r="K10262" t="s">
        <v>290</v>
      </c>
      <c r="L10262" t="s">
        <v>285</v>
      </c>
      <c r="M10262" t="str">
        <f t="shared" si="780"/>
        <v>04</v>
      </c>
      <c r="N10262" t="s">
        <v>12</v>
      </c>
    </row>
    <row r="10263" spans="1:14" x14ac:dyDescent="0.25">
      <c r="A10263">
        <v>20160407</v>
      </c>
      <c r="B10263" t="str">
        <f t="shared" si="778"/>
        <v>062999</v>
      </c>
      <c r="C10263" t="str">
        <f t="shared" si="779"/>
        <v>21468</v>
      </c>
      <c r="D10263" t="s">
        <v>4492</v>
      </c>
      <c r="E10263" s="3">
        <v>106279.3</v>
      </c>
      <c r="F10263">
        <v>20160406</v>
      </c>
      <c r="G10263" t="s">
        <v>8187</v>
      </c>
      <c r="H10263" t="s">
        <v>8188</v>
      </c>
      <c r="I10263">
        <v>0</v>
      </c>
      <c r="J10263" t="s">
        <v>8127</v>
      </c>
      <c r="K10263" t="s">
        <v>33</v>
      </c>
      <c r="L10263" t="s">
        <v>285</v>
      </c>
      <c r="M10263" t="str">
        <f t="shared" si="780"/>
        <v>04</v>
      </c>
      <c r="N10263" t="s">
        <v>12</v>
      </c>
    </row>
    <row r="10264" spans="1:14" x14ac:dyDescent="0.25">
      <c r="A10264">
        <v>20160415</v>
      </c>
      <c r="B10264" t="str">
        <f>"063034"</f>
        <v>063034</v>
      </c>
      <c r="C10264" t="str">
        <f>"04240"</f>
        <v>04240</v>
      </c>
      <c r="D10264" t="s">
        <v>2432</v>
      </c>
      <c r="E10264" s="3">
        <v>1947.5</v>
      </c>
      <c r="F10264">
        <v>20160412</v>
      </c>
      <c r="G10264" t="s">
        <v>8167</v>
      </c>
      <c r="H10264" t="s">
        <v>8189</v>
      </c>
      <c r="I10264">
        <v>0</v>
      </c>
      <c r="J10264" t="s">
        <v>8127</v>
      </c>
      <c r="K10264" t="s">
        <v>33</v>
      </c>
      <c r="L10264" t="s">
        <v>285</v>
      </c>
      <c r="M10264" t="str">
        <f t="shared" si="780"/>
        <v>04</v>
      </c>
      <c r="N10264" t="s">
        <v>12</v>
      </c>
    </row>
    <row r="10265" spans="1:14" x14ac:dyDescent="0.25">
      <c r="A10265">
        <v>20160415</v>
      </c>
      <c r="B10265" t="str">
        <f>"063055"</f>
        <v>063055</v>
      </c>
      <c r="C10265" t="str">
        <f>"16807"</f>
        <v>16807</v>
      </c>
      <c r="D10265" t="s">
        <v>1560</v>
      </c>
      <c r="E10265" s="3">
        <v>469.06</v>
      </c>
      <c r="F10265">
        <v>20160412</v>
      </c>
      <c r="G10265" t="s">
        <v>8190</v>
      </c>
      <c r="H10265" t="s">
        <v>8191</v>
      </c>
      <c r="I10265">
        <v>0</v>
      </c>
      <c r="J10265" t="s">
        <v>8127</v>
      </c>
      <c r="K10265" t="s">
        <v>290</v>
      </c>
      <c r="L10265" t="s">
        <v>285</v>
      </c>
      <c r="M10265" t="str">
        <f t="shared" si="780"/>
        <v>04</v>
      </c>
      <c r="N10265" t="s">
        <v>12</v>
      </c>
    </row>
    <row r="10266" spans="1:14" x14ac:dyDescent="0.25">
      <c r="A10266">
        <v>20160415</v>
      </c>
      <c r="B10266" t="str">
        <f>"063055"</f>
        <v>063055</v>
      </c>
      <c r="C10266" t="str">
        <f>"16807"</f>
        <v>16807</v>
      </c>
      <c r="D10266" t="s">
        <v>1560</v>
      </c>
      <c r="E10266" s="3">
        <v>25854.5</v>
      </c>
      <c r="F10266">
        <v>20160412</v>
      </c>
      <c r="G10266" t="s">
        <v>8167</v>
      </c>
      <c r="H10266" t="s">
        <v>6947</v>
      </c>
      <c r="I10266">
        <v>0</v>
      </c>
      <c r="J10266" t="s">
        <v>8127</v>
      </c>
      <c r="K10266" t="s">
        <v>33</v>
      </c>
      <c r="L10266" t="s">
        <v>285</v>
      </c>
      <c r="M10266" t="str">
        <f t="shared" si="780"/>
        <v>04</v>
      </c>
      <c r="N10266" t="s">
        <v>12</v>
      </c>
    </row>
    <row r="10267" spans="1:14" x14ac:dyDescent="0.25">
      <c r="A10267">
        <v>20160415</v>
      </c>
      <c r="B10267" t="str">
        <f>"063055"</f>
        <v>063055</v>
      </c>
      <c r="C10267" t="str">
        <f>"16807"</f>
        <v>16807</v>
      </c>
      <c r="D10267" t="s">
        <v>1560</v>
      </c>
      <c r="E10267" s="3">
        <v>20673.599999999999</v>
      </c>
      <c r="F10267">
        <v>20160412</v>
      </c>
      <c r="G10267" t="s">
        <v>8167</v>
      </c>
      <c r="H10267" t="s">
        <v>7019</v>
      </c>
      <c r="I10267">
        <v>0</v>
      </c>
      <c r="J10267" t="s">
        <v>8127</v>
      </c>
      <c r="K10267" t="s">
        <v>33</v>
      </c>
      <c r="L10267" t="s">
        <v>285</v>
      </c>
      <c r="M10267" t="str">
        <f t="shared" si="780"/>
        <v>04</v>
      </c>
      <c r="N10267" t="s">
        <v>12</v>
      </c>
    </row>
    <row r="10268" spans="1:14" x14ac:dyDescent="0.25">
      <c r="A10268">
        <v>20160415</v>
      </c>
      <c r="B10268" t="str">
        <f>"063083"</f>
        <v>063083</v>
      </c>
      <c r="C10268" t="str">
        <f>"32915"</f>
        <v>32915</v>
      </c>
      <c r="D10268" t="s">
        <v>8045</v>
      </c>
      <c r="E10268" s="3">
        <v>19254.82</v>
      </c>
      <c r="F10268">
        <v>20160413</v>
      </c>
      <c r="G10268" t="s">
        <v>8192</v>
      </c>
      <c r="H10268" t="s">
        <v>8139</v>
      </c>
      <c r="I10268">
        <v>0</v>
      </c>
      <c r="J10268" t="s">
        <v>8127</v>
      </c>
      <c r="K10268" t="s">
        <v>33</v>
      </c>
      <c r="L10268" t="s">
        <v>285</v>
      </c>
      <c r="M10268" t="str">
        <f t="shared" si="780"/>
        <v>04</v>
      </c>
      <c r="N10268" t="s">
        <v>12</v>
      </c>
    </row>
    <row r="10269" spans="1:14" x14ac:dyDescent="0.25">
      <c r="A10269">
        <v>20160415</v>
      </c>
      <c r="B10269" t="str">
        <f>"063086"</f>
        <v>063086</v>
      </c>
      <c r="C10269" t="str">
        <f>"32915"</f>
        <v>32915</v>
      </c>
      <c r="D10269" t="s">
        <v>8045</v>
      </c>
      <c r="E10269" s="3">
        <v>2962.27</v>
      </c>
      <c r="F10269">
        <v>20160413</v>
      </c>
      <c r="G10269" t="s">
        <v>8192</v>
      </c>
      <c r="H10269" t="s">
        <v>8139</v>
      </c>
      <c r="I10269">
        <v>0</v>
      </c>
      <c r="J10269" t="s">
        <v>8127</v>
      </c>
      <c r="K10269" t="s">
        <v>33</v>
      </c>
      <c r="L10269" t="s">
        <v>285</v>
      </c>
      <c r="M10269" t="str">
        <f t="shared" si="780"/>
        <v>04</v>
      </c>
      <c r="N10269" t="s">
        <v>12</v>
      </c>
    </row>
    <row r="10270" spans="1:14" x14ac:dyDescent="0.25">
      <c r="A10270">
        <v>20160415</v>
      </c>
      <c r="B10270" t="str">
        <f>"063091"</f>
        <v>063091</v>
      </c>
      <c r="C10270" t="str">
        <f>"34680"</f>
        <v>34680</v>
      </c>
      <c r="D10270" t="s">
        <v>1683</v>
      </c>
      <c r="E10270" s="3">
        <v>14.85</v>
      </c>
      <c r="F10270">
        <v>20160412</v>
      </c>
      <c r="G10270" t="s">
        <v>8178</v>
      </c>
      <c r="H10270" t="s">
        <v>8193</v>
      </c>
      <c r="I10270">
        <v>0</v>
      </c>
      <c r="J10270" t="s">
        <v>8127</v>
      </c>
      <c r="K10270" t="s">
        <v>33</v>
      </c>
      <c r="L10270" t="s">
        <v>285</v>
      </c>
      <c r="M10270" t="str">
        <f t="shared" si="780"/>
        <v>04</v>
      </c>
      <c r="N10270" t="s">
        <v>12</v>
      </c>
    </row>
    <row r="10271" spans="1:14" x14ac:dyDescent="0.25">
      <c r="A10271">
        <v>20160415</v>
      </c>
      <c r="B10271" t="str">
        <f>"063091"</f>
        <v>063091</v>
      </c>
      <c r="C10271" t="str">
        <f>"34680"</f>
        <v>34680</v>
      </c>
      <c r="D10271" t="s">
        <v>1683</v>
      </c>
      <c r="E10271" s="3">
        <v>5972.15</v>
      </c>
      <c r="F10271">
        <v>20160412</v>
      </c>
      <c r="G10271" t="s">
        <v>8178</v>
      </c>
      <c r="H10271" t="s">
        <v>5856</v>
      </c>
      <c r="I10271">
        <v>0</v>
      </c>
      <c r="J10271" t="s">
        <v>8127</v>
      </c>
      <c r="K10271" t="s">
        <v>33</v>
      </c>
      <c r="L10271" t="s">
        <v>285</v>
      </c>
      <c r="M10271" t="str">
        <f t="shared" si="780"/>
        <v>04</v>
      </c>
      <c r="N10271" t="s">
        <v>12</v>
      </c>
    </row>
    <row r="10272" spans="1:14" x14ac:dyDescent="0.25">
      <c r="A10272">
        <v>20160415</v>
      </c>
      <c r="B10272" t="str">
        <f>"063099"</f>
        <v>063099</v>
      </c>
      <c r="C10272" t="str">
        <f>"42194"</f>
        <v>42194</v>
      </c>
      <c r="D10272" t="s">
        <v>1874</v>
      </c>
      <c r="E10272" s="3">
        <v>542.97</v>
      </c>
      <c r="F10272">
        <v>20160412</v>
      </c>
      <c r="G10272" t="s">
        <v>8194</v>
      </c>
      <c r="H10272" t="s">
        <v>8195</v>
      </c>
      <c r="I10272">
        <v>0</v>
      </c>
      <c r="J10272" t="s">
        <v>8127</v>
      </c>
      <c r="K10272" t="s">
        <v>290</v>
      </c>
      <c r="L10272" t="s">
        <v>285</v>
      </c>
      <c r="M10272" t="str">
        <f t="shared" si="780"/>
        <v>04</v>
      </c>
      <c r="N10272" t="s">
        <v>12</v>
      </c>
    </row>
    <row r="10273" spans="1:14" x14ac:dyDescent="0.25">
      <c r="A10273">
        <v>20160415</v>
      </c>
      <c r="B10273" t="str">
        <f>"063135"</f>
        <v>063135</v>
      </c>
      <c r="C10273" t="str">
        <f>"60852"</f>
        <v>60852</v>
      </c>
      <c r="D10273" t="s">
        <v>6095</v>
      </c>
      <c r="E10273" s="3">
        <v>7175</v>
      </c>
      <c r="F10273">
        <v>20160413</v>
      </c>
      <c r="G10273" t="s">
        <v>8134</v>
      </c>
      <c r="H10273" t="s">
        <v>8196</v>
      </c>
      <c r="I10273">
        <v>0</v>
      </c>
      <c r="J10273" t="s">
        <v>8127</v>
      </c>
      <c r="K10273" t="s">
        <v>290</v>
      </c>
      <c r="L10273" t="s">
        <v>285</v>
      </c>
      <c r="M10273" t="str">
        <f t="shared" si="780"/>
        <v>04</v>
      </c>
      <c r="N10273" t="s">
        <v>12</v>
      </c>
    </row>
    <row r="10274" spans="1:14" x14ac:dyDescent="0.25">
      <c r="A10274">
        <v>20160415</v>
      </c>
      <c r="B10274" t="str">
        <f>"063135"</f>
        <v>063135</v>
      </c>
      <c r="C10274" t="str">
        <f>"60852"</f>
        <v>60852</v>
      </c>
      <c r="D10274" t="s">
        <v>6095</v>
      </c>
      <c r="E10274" s="3">
        <v>14500</v>
      </c>
      <c r="F10274">
        <v>20160413</v>
      </c>
      <c r="G10274" t="s">
        <v>8136</v>
      </c>
      <c r="H10274" t="s">
        <v>8196</v>
      </c>
      <c r="I10274">
        <v>0</v>
      </c>
      <c r="J10274" t="s">
        <v>8127</v>
      </c>
      <c r="K10274" t="s">
        <v>33</v>
      </c>
      <c r="L10274" t="s">
        <v>285</v>
      </c>
      <c r="M10274" t="str">
        <f t="shared" si="780"/>
        <v>04</v>
      </c>
      <c r="N10274" t="s">
        <v>12</v>
      </c>
    </row>
    <row r="10275" spans="1:14" x14ac:dyDescent="0.25">
      <c r="A10275">
        <v>20160415</v>
      </c>
      <c r="B10275" t="str">
        <f>"063142"</f>
        <v>063142</v>
      </c>
      <c r="C10275" t="str">
        <f>"63618"</f>
        <v>63618</v>
      </c>
      <c r="D10275" t="s">
        <v>8041</v>
      </c>
      <c r="E10275" s="3">
        <v>1599</v>
      </c>
      <c r="F10275">
        <v>20160413</v>
      </c>
      <c r="G10275" t="s">
        <v>8136</v>
      </c>
      <c r="H10275" t="s">
        <v>8197</v>
      </c>
      <c r="I10275">
        <v>0</v>
      </c>
      <c r="J10275" t="s">
        <v>8127</v>
      </c>
      <c r="K10275" t="s">
        <v>33</v>
      </c>
      <c r="L10275" t="s">
        <v>285</v>
      </c>
      <c r="M10275" t="str">
        <f t="shared" si="780"/>
        <v>04</v>
      </c>
      <c r="N10275" t="s">
        <v>12</v>
      </c>
    </row>
    <row r="10276" spans="1:14" x14ac:dyDescent="0.25">
      <c r="A10276">
        <v>20160415</v>
      </c>
      <c r="B10276" t="str">
        <f>"063144"</f>
        <v>063144</v>
      </c>
      <c r="C10276" t="str">
        <f>"63618"</f>
        <v>63618</v>
      </c>
      <c r="D10276" t="s">
        <v>8041</v>
      </c>
      <c r="E10276" s="3">
        <v>1062</v>
      </c>
      <c r="F10276">
        <v>20160413</v>
      </c>
      <c r="G10276" t="s">
        <v>8134</v>
      </c>
      <c r="H10276" t="s">
        <v>8198</v>
      </c>
      <c r="I10276">
        <v>0</v>
      </c>
      <c r="J10276" t="s">
        <v>8127</v>
      </c>
      <c r="K10276" t="s">
        <v>290</v>
      </c>
      <c r="L10276" t="s">
        <v>285</v>
      </c>
      <c r="M10276" t="str">
        <f t="shared" si="780"/>
        <v>04</v>
      </c>
      <c r="N10276" t="s">
        <v>12</v>
      </c>
    </row>
    <row r="10277" spans="1:14" x14ac:dyDescent="0.25">
      <c r="A10277">
        <v>20160415</v>
      </c>
      <c r="B10277" t="str">
        <f>"063160"</f>
        <v>063160</v>
      </c>
      <c r="C10277" t="str">
        <f>"74104"</f>
        <v>74104</v>
      </c>
      <c r="D10277" t="s">
        <v>8199</v>
      </c>
      <c r="E10277" s="3">
        <v>836.85</v>
      </c>
      <c r="F10277">
        <v>20160413</v>
      </c>
      <c r="G10277" t="s">
        <v>8200</v>
      </c>
      <c r="H10277" t="s">
        <v>8201</v>
      </c>
      <c r="I10277">
        <v>0</v>
      </c>
      <c r="J10277" t="s">
        <v>8127</v>
      </c>
      <c r="K10277" t="s">
        <v>290</v>
      </c>
      <c r="L10277" t="s">
        <v>285</v>
      </c>
      <c r="M10277" t="str">
        <f t="shared" si="780"/>
        <v>04</v>
      </c>
      <c r="N10277" t="s">
        <v>12</v>
      </c>
    </row>
    <row r="10278" spans="1:14" x14ac:dyDescent="0.25">
      <c r="A10278">
        <v>20160429</v>
      </c>
      <c r="B10278" t="str">
        <f>"063307"</f>
        <v>063307</v>
      </c>
      <c r="C10278" t="str">
        <f>"42194"</f>
        <v>42194</v>
      </c>
      <c r="D10278" t="s">
        <v>1874</v>
      </c>
      <c r="E10278" s="3">
        <v>837.13</v>
      </c>
      <c r="F10278">
        <v>20160427</v>
      </c>
      <c r="G10278" t="s">
        <v>8194</v>
      </c>
      <c r="H10278" t="s">
        <v>8100</v>
      </c>
      <c r="I10278">
        <v>0</v>
      </c>
      <c r="J10278" t="s">
        <v>8127</v>
      </c>
      <c r="K10278" t="s">
        <v>290</v>
      </c>
      <c r="L10278" t="s">
        <v>285</v>
      </c>
      <c r="M10278" t="str">
        <f t="shared" si="780"/>
        <v>04</v>
      </c>
      <c r="N10278" t="s">
        <v>12</v>
      </c>
    </row>
    <row r="10279" spans="1:14" x14ac:dyDescent="0.25">
      <c r="A10279">
        <v>20160429</v>
      </c>
      <c r="B10279" t="str">
        <f>"063314"</f>
        <v>063314</v>
      </c>
      <c r="C10279" t="str">
        <f>"53466"</f>
        <v>53466</v>
      </c>
      <c r="D10279" t="s">
        <v>8202</v>
      </c>
      <c r="E10279" s="3">
        <v>4100</v>
      </c>
      <c r="F10279">
        <v>20160427</v>
      </c>
      <c r="G10279" t="s">
        <v>8200</v>
      </c>
      <c r="H10279" t="s">
        <v>8203</v>
      </c>
      <c r="I10279">
        <v>0</v>
      </c>
      <c r="J10279" t="s">
        <v>8127</v>
      </c>
      <c r="K10279" t="s">
        <v>290</v>
      </c>
      <c r="L10279" t="s">
        <v>285</v>
      </c>
      <c r="M10279" t="str">
        <f t="shared" si="780"/>
        <v>04</v>
      </c>
      <c r="N10279" t="s">
        <v>12</v>
      </c>
    </row>
    <row r="10280" spans="1:14" x14ac:dyDescent="0.25">
      <c r="A10280">
        <v>20160503</v>
      </c>
      <c r="B10280" t="str">
        <f>"063332"</f>
        <v>063332</v>
      </c>
      <c r="C10280" t="str">
        <f>"10024"</f>
        <v>10024</v>
      </c>
      <c r="D10280" t="s">
        <v>1701</v>
      </c>
      <c r="E10280" s="3">
        <v>35087.06</v>
      </c>
      <c r="F10280">
        <v>20160503</v>
      </c>
      <c r="G10280" t="s">
        <v>8204</v>
      </c>
      <c r="H10280" t="s">
        <v>8061</v>
      </c>
      <c r="I10280">
        <v>0</v>
      </c>
      <c r="J10280" t="s">
        <v>8127</v>
      </c>
      <c r="K10280" t="s">
        <v>290</v>
      </c>
      <c r="L10280" t="s">
        <v>285</v>
      </c>
      <c r="M10280" t="str">
        <f t="shared" si="780"/>
        <v>04</v>
      </c>
      <c r="N10280" t="s">
        <v>12</v>
      </c>
    </row>
    <row r="10281" spans="1:14" x14ac:dyDescent="0.25">
      <c r="A10281">
        <v>20160503</v>
      </c>
      <c r="B10281" t="str">
        <f>"063335"</f>
        <v>063335</v>
      </c>
      <c r="C10281" t="str">
        <f>"45708"</f>
        <v>45708</v>
      </c>
      <c r="D10281" t="s">
        <v>8051</v>
      </c>
      <c r="E10281" s="3">
        <v>198658.9</v>
      </c>
      <c r="F10281">
        <v>20160503</v>
      </c>
      <c r="G10281" t="s">
        <v>8138</v>
      </c>
      <c r="H10281" t="s">
        <v>8139</v>
      </c>
      <c r="I10281">
        <v>0</v>
      </c>
      <c r="J10281" t="s">
        <v>8127</v>
      </c>
      <c r="K10281" t="s">
        <v>33</v>
      </c>
      <c r="L10281" t="s">
        <v>285</v>
      </c>
      <c r="M10281" t="str">
        <f t="shared" si="780"/>
        <v>04</v>
      </c>
      <c r="N10281" t="s">
        <v>12</v>
      </c>
    </row>
    <row r="10282" spans="1:14" x14ac:dyDescent="0.25">
      <c r="A10282">
        <v>20160506</v>
      </c>
      <c r="B10282" t="str">
        <f>"063383"</f>
        <v>063383</v>
      </c>
      <c r="C10282" t="str">
        <f>"45668"</f>
        <v>45668</v>
      </c>
      <c r="D10282" t="s">
        <v>6076</v>
      </c>
      <c r="E10282" s="3">
        <v>336651.99</v>
      </c>
      <c r="F10282">
        <v>20160506</v>
      </c>
      <c r="G10282" t="s">
        <v>8137</v>
      </c>
      <c r="H10282" t="s">
        <v>6077</v>
      </c>
      <c r="I10282">
        <v>0</v>
      </c>
      <c r="J10282" t="s">
        <v>8127</v>
      </c>
      <c r="K10282" t="s">
        <v>290</v>
      </c>
      <c r="L10282" t="s">
        <v>285</v>
      </c>
      <c r="M10282" t="str">
        <f t="shared" ref="M10282:M10295" si="781">"05"</f>
        <v>05</v>
      </c>
      <c r="N10282" t="s">
        <v>12</v>
      </c>
    </row>
    <row r="10283" spans="1:14" x14ac:dyDescent="0.25">
      <c r="A10283">
        <v>20160513</v>
      </c>
      <c r="B10283" t="str">
        <f>"063434"</f>
        <v>063434</v>
      </c>
      <c r="C10283" t="str">
        <f>"04240"</f>
        <v>04240</v>
      </c>
      <c r="D10283" t="s">
        <v>2432</v>
      </c>
      <c r="E10283" s="3">
        <v>836.83</v>
      </c>
      <c r="F10283">
        <v>20160511</v>
      </c>
      <c r="G10283" t="s">
        <v>8167</v>
      </c>
      <c r="H10283" t="s">
        <v>6328</v>
      </c>
      <c r="I10283">
        <v>0</v>
      </c>
      <c r="J10283" t="s">
        <v>8127</v>
      </c>
      <c r="K10283" t="s">
        <v>33</v>
      </c>
      <c r="L10283" t="s">
        <v>285</v>
      </c>
      <c r="M10283" t="str">
        <f t="shared" si="781"/>
        <v>05</v>
      </c>
      <c r="N10283" t="s">
        <v>12</v>
      </c>
    </row>
    <row r="10284" spans="1:14" x14ac:dyDescent="0.25">
      <c r="A10284">
        <v>20160513</v>
      </c>
      <c r="B10284" t="str">
        <f>"063434"</f>
        <v>063434</v>
      </c>
      <c r="C10284" t="str">
        <f>"04240"</f>
        <v>04240</v>
      </c>
      <c r="D10284" t="s">
        <v>2432</v>
      </c>
      <c r="E10284" s="3">
        <v>191.76</v>
      </c>
      <c r="F10284">
        <v>20160511</v>
      </c>
      <c r="G10284" t="s">
        <v>8167</v>
      </c>
      <c r="H10284" t="s">
        <v>6328</v>
      </c>
      <c r="I10284">
        <v>0</v>
      </c>
      <c r="J10284" t="s">
        <v>8127</v>
      </c>
      <c r="K10284" t="s">
        <v>33</v>
      </c>
      <c r="L10284" t="s">
        <v>285</v>
      </c>
      <c r="M10284" t="str">
        <f t="shared" si="781"/>
        <v>05</v>
      </c>
      <c r="N10284" t="s">
        <v>12</v>
      </c>
    </row>
    <row r="10285" spans="1:14" x14ac:dyDescent="0.25">
      <c r="A10285">
        <v>20160513</v>
      </c>
      <c r="B10285" t="str">
        <f>"063456"</f>
        <v>063456</v>
      </c>
      <c r="C10285" t="str">
        <f>"25165"</f>
        <v>25165</v>
      </c>
      <c r="D10285" t="s">
        <v>1563</v>
      </c>
      <c r="E10285" s="3">
        <v>948.18</v>
      </c>
      <c r="F10285">
        <v>20160511</v>
      </c>
      <c r="G10285" t="s">
        <v>8190</v>
      </c>
      <c r="H10285" t="s">
        <v>5323</v>
      </c>
      <c r="I10285">
        <v>0</v>
      </c>
      <c r="J10285" t="s">
        <v>8127</v>
      </c>
      <c r="K10285" t="s">
        <v>290</v>
      </c>
      <c r="L10285" t="s">
        <v>285</v>
      </c>
      <c r="M10285" t="str">
        <f t="shared" si="781"/>
        <v>05</v>
      </c>
      <c r="N10285" t="s">
        <v>12</v>
      </c>
    </row>
    <row r="10286" spans="1:14" x14ac:dyDescent="0.25">
      <c r="A10286">
        <v>20160527</v>
      </c>
      <c r="B10286" t="str">
        <f>"063625"</f>
        <v>063625</v>
      </c>
      <c r="C10286" t="str">
        <f>"32915"</f>
        <v>32915</v>
      </c>
      <c r="D10286" t="s">
        <v>8045</v>
      </c>
      <c r="E10286" s="3">
        <v>8146.27</v>
      </c>
      <c r="F10286">
        <v>20160526</v>
      </c>
      <c r="G10286" t="s">
        <v>8192</v>
      </c>
      <c r="H10286" t="s">
        <v>8139</v>
      </c>
      <c r="I10286">
        <v>0</v>
      </c>
      <c r="J10286" t="s">
        <v>8127</v>
      </c>
      <c r="K10286" t="s">
        <v>33</v>
      </c>
      <c r="L10286" t="s">
        <v>285</v>
      </c>
      <c r="M10286" t="str">
        <f t="shared" si="781"/>
        <v>05</v>
      </c>
      <c r="N10286" t="s">
        <v>12</v>
      </c>
    </row>
    <row r="10287" spans="1:14" x14ac:dyDescent="0.25">
      <c r="A10287">
        <v>20160527</v>
      </c>
      <c r="B10287" t="str">
        <f>"063640"</f>
        <v>063640</v>
      </c>
      <c r="C10287" t="str">
        <f>"42194"</f>
        <v>42194</v>
      </c>
      <c r="D10287" t="s">
        <v>1874</v>
      </c>
      <c r="E10287" s="3">
        <v>812.77</v>
      </c>
      <c r="F10287">
        <v>20160526</v>
      </c>
      <c r="G10287" t="s">
        <v>8194</v>
      </c>
      <c r="H10287" t="s">
        <v>8101</v>
      </c>
      <c r="I10287">
        <v>0</v>
      </c>
      <c r="J10287" t="s">
        <v>8127</v>
      </c>
      <c r="K10287" t="s">
        <v>290</v>
      </c>
      <c r="L10287" t="s">
        <v>285</v>
      </c>
      <c r="M10287" t="str">
        <f t="shared" si="781"/>
        <v>05</v>
      </c>
      <c r="N10287" t="s">
        <v>12</v>
      </c>
    </row>
    <row r="10288" spans="1:14" x14ac:dyDescent="0.25">
      <c r="A10288">
        <v>20160527</v>
      </c>
      <c r="B10288" t="str">
        <f>"063643"</f>
        <v>063643</v>
      </c>
      <c r="C10288" t="str">
        <f>"45668"</f>
        <v>45668</v>
      </c>
      <c r="D10288" t="s">
        <v>6076</v>
      </c>
      <c r="E10288" s="3">
        <v>126145.56</v>
      </c>
      <c r="F10288">
        <v>20160526</v>
      </c>
      <c r="G10288" t="s">
        <v>8137</v>
      </c>
      <c r="H10288" t="s">
        <v>6077</v>
      </c>
      <c r="I10288">
        <v>0</v>
      </c>
      <c r="J10288" t="s">
        <v>8127</v>
      </c>
      <c r="K10288" t="s">
        <v>290</v>
      </c>
      <c r="L10288" t="s">
        <v>285</v>
      </c>
      <c r="M10288" t="str">
        <f t="shared" si="781"/>
        <v>05</v>
      </c>
      <c r="N10288" t="s">
        <v>12</v>
      </c>
    </row>
    <row r="10289" spans="1:14" x14ac:dyDescent="0.25">
      <c r="A10289">
        <v>20160527</v>
      </c>
      <c r="B10289" t="str">
        <f>"063658"</f>
        <v>063658</v>
      </c>
      <c r="C10289" t="str">
        <f>"60852"</f>
        <v>60852</v>
      </c>
      <c r="D10289" t="s">
        <v>6095</v>
      </c>
      <c r="E10289" s="3">
        <v>7175</v>
      </c>
      <c r="F10289">
        <v>20160526</v>
      </c>
      <c r="G10289" t="s">
        <v>8134</v>
      </c>
      <c r="H10289" t="s">
        <v>8205</v>
      </c>
      <c r="I10289">
        <v>0</v>
      </c>
      <c r="J10289" t="s">
        <v>8127</v>
      </c>
      <c r="K10289" t="s">
        <v>290</v>
      </c>
      <c r="L10289" t="s">
        <v>285</v>
      </c>
      <c r="M10289" t="str">
        <f t="shared" si="781"/>
        <v>05</v>
      </c>
      <c r="N10289" t="s">
        <v>12</v>
      </c>
    </row>
    <row r="10290" spans="1:14" x14ac:dyDescent="0.25">
      <c r="A10290">
        <v>20160527</v>
      </c>
      <c r="B10290" t="str">
        <f>"063658"</f>
        <v>063658</v>
      </c>
      <c r="C10290" t="str">
        <f>"60852"</f>
        <v>60852</v>
      </c>
      <c r="D10290" t="s">
        <v>6095</v>
      </c>
      <c r="E10290" s="3">
        <v>14500</v>
      </c>
      <c r="F10290">
        <v>20160526</v>
      </c>
      <c r="G10290" t="s">
        <v>8136</v>
      </c>
      <c r="H10290" t="s">
        <v>8205</v>
      </c>
      <c r="I10290">
        <v>0</v>
      </c>
      <c r="J10290" t="s">
        <v>8127</v>
      </c>
      <c r="K10290" t="s">
        <v>33</v>
      </c>
      <c r="L10290" t="s">
        <v>285</v>
      </c>
      <c r="M10290" t="str">
        <f t="shared" si="781"/>
        <v>05</v>
      </c>
      <c r="N10290" t="s">
        <v>12</v>
      </c>
    </row>
    <row r="10291" spans="1:14" x14ac:dyDescent="0.25">
      <c r="A10291">
        <v>20160527</v>
      </c>
      <c r="B10291" t="str">
        <f>"063663"</f>
        <v>063663</v>
      </c>
      <c r="C10291" t="str">
        <f>"63618"</f>
        <v>63618</v>
      </c>
      <c r="D10291" t="s">
        <v>8041</v>
      </c>
      <c r="E10291" s="3">
        <v>41.25</v>
      </c>
      <c r="F10291">
        <v>20160526</v>
      </c>
      <c r="G10291" t="s">
        <v>8134</v>
      </c>
      <c r="H10291" t="s">
        <v>8206</v>
      </c>
      <c r="I10291">
        <v>0</v>
      </c>
      <c r="J10291" t="s">
        <v>8127</v>
      </c>
      <c r="K10291" t="s">
        <v>290</v>
      </c>
      <c r="L10291" t="s">
        <v>285</v>
      </c>
      <c r="M10291" t="str">
        <f t="shared" si="781"/>
        <v>05</v>
      </c>
      <c r="N10291" t="s">
        <v>12</v>
      </c>
    </row>
    <row r="10292" spans="1:14" x14ac:dyDescent="0.25">
      <c r="A10292">
        <v>20160527</v>
      </c>
      <c r="B10292" t="str">
        <f>"063663"</f>
        <v>063663</v>
      </c>
      <c r="C10292" t="str">
        <f>"63618"</f>
        <v>63618</v>
      </c>
      <c r="D10292" t="s">
        <v>8041</v>
      </c>
      <c r="E10292" s="3">
        <v>13.75</v>
      </c>
      <c r="F10292">
        <v>20160526</v>
      </c>
      <c r="G10292" t="s">
        <v>8134</v>
      </c>
      <c r="H10292" t="s">
        <v>8207</v>
      </c>
      <c r="I10292">
        <v>0</v>
      </c>
      <c r="J10292" t="s">
        <v>8127</v>
      </c>
      <c r="K10292" t="s">
        <v>290</v>
      </c>
      <c r="L10292" t="s">
        <v>285</v>
      </c>
      <c r="M10292" t="str">
        <f t="shared" si="781"/>
        <v>05</v>
      </c>
      <c r="N10292" t="s">
        <v>12</v>
      </c>
    </row>
    <row r="10293" spans="1:14" x14ac:dyDescent="0.25">
      <c r="A10293">
        <v>20160527</v>
      </c>
      <c r="B10293" t="str">
        <f>"063663"</f>
        <v>063663</v>
      </c>
      <c r="C10293" t="str">
        <f>"63618"</f>
        <v>63618</v>
      </c>
      <c r="D10293" t="s">
        <v>8041</v>
      </c>
      <c r="E10293" s="3">
        <v>1252</v>
      </c>
      <c r="F10293">
        <v>20160526</v>
      </c>
      <c r="G10293" t="s">
        <v>8134</v>
      </c>
      <c r="H10293" t="s">
        <v>8208</v>
      </c>
      <c r="I10293">
        <v>0</v>
      </c>
      <c r="J10293" t="s">
        <v>8127</v>
      </c>
      <c r="K10293" t="s">
        <v>290</v>
      </c>
      <c r="L10293" t="s">
        <v>285</v>
      </c>
      <c r="M10293" t="str">
        <f t="shared" si="781"/>
        <v>05</v>
      </c>
      <c r="N10293" t="s">
        <v>12</v>
      </c>
    </row>
    <row r="10294" spans="1:14" x14ac:dyDescent="0.25">
      <c r="A10294">
        <v>20160527</v>
      </c>
      <c r="B10294" t="str">
        <f>"063663"</f>
        <v>063663</v>
      </c>
      <c r="C10294" t="str">
        <f>"63618"</f>
        <v>63618</v>
      </c>
      <c r="D10294" t="s">
        <v>8041</v>
      </c>
      <c r="E10294" s="3">
        <v>151.25</v>
      </c>
      <c r="F10294">
        <v>20160526</v>
      </c>
      <c r="G10294" t="s">
        <v>8134</v>
      </c>
      <c r="H10294" t="s">
        <v>8159</v>
      </c>
      <c r="I10294">
        <v>0</v>
      </c>
      <c r="J10294" t="s">
        <v>8127</v>
      </c>
      <c r="K10294" t="s">
        <v>290</v>
      </c>
      <c r="L10294" t="s">
        <v>285</v>
      </c>
      <c r="M10294" t="str">
        <f t="shared" si="781"/>
        <v>05</v>
      </c>
      <c r="N10294" t="s">
        <v>12</v>
      </c>
    </row>
    <row r="10295" spans="1:14" x14ac:dyDescent="0.25">
      <c r="A10295">
        <v>20160527</v>
      </c>
      <c r="B10295" t="str">
        <f>"063663"</f>
        <v>063663</v>
      </c>
      <c r="C10295" t="str">
        <f>"63618"</f>
        <v>63618</v>
      </c>
      <c r="D10295" t="s">
        <v>8041</v>
      </c>
      <c r="E10295" s="3">
        <v>1350</v>
      </c>
      <c r="F10295">
        <v>20160526</v>
      </c>
      <c r="G10295" t="s">
        <v>8136</v>
      </c>
      <c r="H10295" t="s">
        <v>8209</v>
      </c>
      <c r="I10295">
        <v>0</v>
      </c>
      <c r="J10295" t="s">
        <v>8127</v>
      </c>
      <c r="K10295" t="s">
        <v>33</v>
      </c>
      <c r="L10295" t="s">
        <v>285</v>
      </c>
      <c r="M10295" t="str">
        <f t="shared" si="781"/>
        <v>05</v>
      </c>
      <c r="N10295" t="s">
        <v>12</v>
      </c>
    </row>
    <row r="10296" spans="1:14" x14ac:dyDescent="0.25">
      <c r="A10296">
        <v>20160610</v>
      </c>
      <c r="B10296" t="str">
        <f>"063713"</f>
        <v>063713</v>
      </c>
      <c r="C10296" t="str">
        <f>"10024"</f>
        <v>10024</v>
      </c>
      <c r="D10296" t="s">
        <v>1701</v>
      </c>
      <c r="E10296" s="3">
        <v>38985.629999999997</v>
      </c>
      <c r="F10296">
        <v>20160608</v>
      </c>
      <c r="G10296" t="s">
        <v>8204</v>
      </c>
      <c r="H10296" t="s">
        <v>8061</v>
      </c>
      <c r="I10296">
        <v>0</v>
      </c>
      <c r="J10296" t="s">
        <v>8127</v>
      </c>
      <c r="K10296" t="s">
        <v>290</v>
      </c>
      <c r="L10296" t="s">
        <v>285</v>
      </c>
      <c r="M10296" t="str">
        <f t="shared" ref="M10296:M10312" si="782">"06"</f>
        <v>06</v>
      </c>
      <c r="N10296" t="s">
        <v>12</v>
      </c>
    </row>
    <row r="10297" spans="1:14" x14ac:dyDescent="0.25">
      <c r="A10297">
        <v>20160610</v>
      </c>
      <c r="B10297" t="str">
        <f>"063732"</f>
        <v>063732</v>
      </c>
      <c r="C10297" t="str">
        <f>"16807"</f>
        <v>16807</v>
      </c>
      <c r="D10297" t="s">
        <v>1560</v>
      </c>
      <c r="E10297" s="3">
        <v>892.99</v>
      </c>
      <c r="F10297">
        <v>20160607</v>
      </c>
      <c r="G10297" t="s">
        <v>8169</v>
      </c>
      <c r="H10297" t="s">
        <v>8210</v>
      </c>
      <c r="I10297">
        <v>0</v>
      </c>
      <c r="J10297" t="s">
        <v>8127</v>
      </c>
      <c r="K10297" t="s">
        <v>33</v>
      </c>
      <c r="L10297" t="s">
        <v>285</v>
      </c>
      <c r="M10297" t="str">
        <f t="shared" si="782"/>
        <v>06</v>
      </c>
      <c r="N10297" t="s">
        <v>12</v>
      </c>
    </row>
    <row r="10298" spans="1:14" x14ac:dyDescent="0.25">
      <c r="A10298">
        <v>20160610</v>
      </c>
      <c r="B10298" t="str">
        <f>"063732"</f>
        <v>063732</v>
      </c>
      <c r="C10298" t="str">
        <f>"16807"</f>
        <v>16807</v>
      </c>
      <c r="D10298" t="s">
        <v>1560</v>
      </c>
      <c r="E10298" s="3">
        <v>1140.21</v>
      </c>
      <c r="F10298">
        <v>20160607</v>
      </c>
      <c r="G10298" t="s">
        <v>8167</v>
      </c>
      <c r="H10298" t="s">
        <v>8210</v>
      </c>
      <c r="I10298">
        <v>0</v>
      </c>
      <c r="J10298" t="s">
        <v>8127</v>
      </c>
      <c r="K10298" t="s">
        <v>33</v>
      </c>
      <c r="L10298" t="s">
        <v>285</v>
      </c>
      <c r="M10298" t="str">
        <f t="shared" si="782"/>
        <v>06</v>
      </c>
      <c r="N10298" t="s">
        <v>12</v>
      </c>
    </row>
    <row r="10299" spans="1:14" x14ac:dyDescent="0.25">
      <c r="A10299">
        <v>20160610</v>
      </c>
      <c r="B10299" t="str">
        <f>"063732"</f>
        <v>063732</v>
      </c>
      <c r="C10299" t="str">
        <f>"16807"</f>
        <v>16807</v>
      </c>
      <c r="D10299" t="s">
        <v>1560</v>
      </c>
      <c r="E10299" s="3">
        <v>1541.8</v>
      </c>
      <c r="F10299">
        <v>20160607</v>
      </c>
      <c r="G10299" t="s">
        <v>8178</v>
      </c>
      <c r="H10299" t="s">
        <v>8210</v>
      </c>
      <c r="I10299">
        <v>0</v>
      </c>
      <c r="J10299" t="s">
        <v>8127</v>
      </c>
      <c r="K10299" t="s">
        <v>33</v>
      </c>
      <c r="L10299" t="s">
        <v>285</v>
      </c>
      <c r="M10299" t="str">
        <f t="shared" si="782"/>
        <v>06</v>
      </c>
      <c r="N10299" t="s">
        <v>12</v>
      </c>
    </row>
    <row r="10300" spans="1:14" x14ac:dyDescent="0.25">
      <c r="A10300">
        <v>20160610</v>
      </c>
      <c r="B10300" t="str">
        <f>"063732"</f>
        <v>063732</v>
      </c>
      <c r="C10300" t="str">
        <f>"16807"</f>
        <v>16807</v>
      </c>
      <c r="D10300" t="s">
        <v>1560</v>
      </c>
      <c r="E10300" s="3">
        <v>279.5</v>
      </c>
      <c r="F10300">
        <v>20160607</v>
      </c>
      <c r="G10300" t="s">
        <v>8178</v>
      </c>
      <c r="H10300" t="s">
        <v>8210</v>
      </c>
      <c r="I10300">
        <v>0</v>
      </c>
      <c r="J10300" t="s">
        <v>8127</v>
      </c>
      <c r="K10300" t="s">
        <v>33</v>
      </c>
      <c r="L10300" t="s">
        <v>285</v>
      </c>
      <c r="M10300" t="str">
        <f t="shared" si="782"/>
        <v>06</v>
      </c>
      <c r="N10300" t="s">
        <v>12</v>
      </c>
    </row>
    <row r="10301" spans="1:14" x14ac:dyDescent="0.25">
      <c r="A10301">
        <v>20160610</v>
      </c>
      <c r="B10301" t="str">
        <f>"063739"</f>
        <v>063739</v>
      </c>
      <c r="C10301" t="str">
        <f>"21468"</f>
        <v>21468</v>
      </c>
      <c r="D10301" t="s">
        <v>4492</v>
      </c>
      <c r="E10301" s="3">
        <v>58823.53</v>
      </c>
      <c r="F10301">
        <v>20160607</v>
      </c>
      <c r="G10301" t="s">
        <v>8184</v>
      </c>
      <c r="H10301" t="s">
        <v>8091</v>
      </c>
      <c r="I10301">
        <v>0</v>
      </c>
      <c r="J10301" t="s">
        <v>8127</v>
      </c>
      <c r="K10301" t="s">
        <v>33</v>
      </c>
      <c r="L10301" t="s">
        <v>285</v>
      </c>
      <c r="M10301" t="str">
        <f t="shared" si="782"/>
        <v>06</v>
      </c>
      <c r="N10301" t="s">
        <v>12</v>
      </c>
    </row>
    <row r="10302" spans="1:14" x14ac:dyDescent="0.25">
      <c r="A10302">
        <v>20160610</v>
      </c>
      <c r="B10302" t="str">
        <f>"063739"</f>
        <v>063739</v>
      </c>
      <c r="C10302" t="str">
        <f>"21468"</f>
        <v>21468</v>
      </c>
      <c r="D10302" t="s">
        <v>4492</v>
      </c>
      <c r="E10302" s="3">
        <v>58823.53</v>
      </c>
      <c r="F10302">
        <v>20160607</v>
      </c>
      <c r="G10302" t="s">
        <v>8187</v>
      </c>
      <c r="H10302" t="s">
        <v>8091</v>
      </c>
      <c r="I10302">
        <v>0</v>
      </c>
      <c r="J10302" t="s">
        <v>8127</v>
      </c>
      <c r="K10302" t="s">
        <v>33</v>
      </c>
      <c r="L10302" t="s">
        <v>285</v>
      </c>
      <c r="M10302" t="str">
        <f t="shared" si="782"/>
        <v>06</v>
      </c>
      <c r="N10302" t="s">
        <v>12</v>
      </c>
    </row>
    <row r="10303" spans="1:14" x14ac:dyDescent="0.25">
      <c r="A10303">
        <v>20160610</v>
      </c>
      <c r="B10303" t="str">
        <f>"063764"</f>
        <v>063764</v>
      </c>
      <c r="C10303" t="str">
        <f>"34271"</f>
        <v>34271</v>
      </c>
      <c r="D10303" t="s">
        <v>1704</v>
      </c>
      <c r="E10303" s="3">
        <v>319.41000000000003</v>
      </c>
      <c r="F10303">
        <v>20160607</v>
      </c>
      <c r="G10303" t="s">
        <v>8211</v>
      </c>
      <c r="H10303" t="s">
        <v>8212</v>
      </c>
      <c r="I10303">
        <v>0</v>
      </c>
      <c r="J10303" t="s">
        <v>8127</v>
      </c>
      <c r="K10303" t="s">
        <v>290</v>
      </c>
      <c r="L10303" t="s">
        <v>285</v>
      </c>
      <c r="M10303" t="str">
        <f t="shared" si="782"/>
        <v>06</v>
      </c>
      <c r="N10303" t="s">
        <v>12</v>
      </c>
    </row>
    <row r="10304" spans="1:14" x14ac:dyDescent="0.25">
      <c r="A10304">
        <v>20160610</v>
      </c>
      <c r="B10304" t="str">
        <f>"063781"</f>
        <v>063781</v>
      </c>
      <c r="C10304" t="str">
        <f>"45708"</f>
        <v>45708</v>
      </c>
      <c r="D10304" t="s">
        <v>8051</v>
      </c>
      <c r="E10304" s="3">
        <v>235991.36</v>
      </c>
      <c r="F10304">
        <v>20160608</v>
      </c>
      <c r="G10304" t="s">
        <v>8138</v>
      </c>
      <c r="H10304" t="s">
        <v>8139</v>
      </c>
      <c r="I10304">
        <v>0</v>
      </c>
      <c r="J10304" t="s">
        <v>8127</v>
      </c>
      <c r="K10304" t="s">
        <v>33</v>
      </c>
      <c r="L10304" t="s">
        <v>285</v>
      </c>
      <c r="M10304" t="str">
        <f t="shared" si="782"/>
        <v>06</v>
      </c>
      <c r="N10304" t="s">
        <v>12</v>
      </c>
    </row>
    <row r="10305" spans="1:14" x14ac:dyDescent="0.25">
      <c r="A10305">
        <v>20160610</v>
      </c>
      <c r="B10305" t="str">
        <f>"063797"</f>
        <v>063797</v>
      </c>
      <c r="C10305" t="str">
        <f>"00019"</f>
        <v>00019</v>
      </c>
      <c r="D10305" t="s">
        <v>3266</v>
      </c>
      <c r="E10305" s="3">
        <v>12190</v>
      </c>
      <c r="F10305">
        <v>20160608</v>
      </c>
      <c r="G10305" t="s">
        <v>8213</v>
      </c>
      <c r="H10305" t="s">
        <v>8214</v>
      </c>
      <c r="I10305">
        <v>0</v>
      </c>
      <c r="J10305" t="s">
        <v>8127</v>
      </c>
      <c r="K10305" t="s">
        <v>290</v>
      </c>
      <c r="L10305" t="s">
        <v>285</v>
      </c>
      <c r="M10305" t="str">
        <f t="shared" si="782"/>
        <v>06</v>
      </c>
      <c r="N10305" t="s">
        <v>12</v>
      </c>
    </row>
    <row r="10306" spans="1:14" x14ac:dyDescent="0.25">
      <c r="A10306">
        <v>20160617</v>
      </c>
      <c r="B10306" t="str">
        <f>"063891"</f>
        <v>063891</v>
      </c>
      <c r="C10306" t="str">
        <f>"45708"</f>
        <v>45708</v>
      </c>
      <c r="D10306" t="s">
        <v>8051</v>
      </c>
      <c r="E10306" s="3">
        <v>305954.94</v>
      </c>
      <c r="F10306">
        <v>20160615</v>
      </c>
      <c r="G10306" t="s">
        <v>8138</v>
      </c>
      <c r="H10306" t="s">
        <v>8139</v>
      </c>
      <c r="I10306">
        <v>0</v>
      </c>
      <c r="J10306" t="s">
        <v>8127</v>
      </c>
      <c r="K10306" t="s">
        <v>33</v>
      </c>
      <c r="L10306" t="s">
        <v>285</v>
      </c>
      <c r="M10306" t="str">
        <f t="shared" si="782"/>
        <v>06</v>
      </c>
      <c r="N10306" t="s">
        <v>12</v>
      </c>
    </row>
    <row r="10307" spans="1:14" x14ac:dyDescent="0.25">
      <c r="A10307">
        <v>20160617</v>
      </c>
      <c r="B10307" t="str">
        <f>"063897"</f>
        <v>063897</v>
      </c>
      <c r="C10307" t="str">
        <f>"53466"</f>
        <v>53466</v>
      </c>
      <c r="D10307" t="s">
        <v>8202</v>
      </c>
      <c r="E10307" s="3">
        <v>7545</v>
      </c>
      <c r="F10307">
        <v>20160615</v>
      </c>
      <c r="G10307" t="s">
        <v>8215</v>
      </c>
      <c r="H10307" t="s">
        <v>8216</v>
      </c>
      <c r="I10307">
        <v>0</v>
      </c>
      <c r="J10307" t="s">
        <v>8127</v>
      </c>
      <c r="K10307" t="s">
        <v>290</v>
      </c>
      <c r="L10307" t="s">
        <v>285</v>
      </c>
      <c r="M10307" t="str">
        <f t="shared" si="782"/>
        <v>06</v>
      </c>
      <c r="N10307" t="s">
        <v>12</v>
      </c>
    </row>
    <row r="10308" spans="1:14" x14ac:dyDescent="0.25">
      <c r="A10308">
        <v>20160617</v>
      </c>
      <c r="B10308" t="str">
        <f>"063897"</f>
        <v>063897</v>
      </c>
      <c r="C10308" t="str">
        <f>"53466"</f>
        <v>53466</v>
      </c>
      <c r="D10308" t="s">
        <v>8202</v>
      </c>
      <c r="E10308" s="3">
        <v>2957.4</v>
      </c>
      <c r="F10308">
        <v>20160615</v>
      </c>
      <c r="G10308" t="s">
        <v>8200</v>
      </c>
      <c r="H10308" t="s">
        <v>8217</v>
      </c>
      <c r="I10308">
        <v>0</v>
      </c>
      <c r="J10308" t="s">
        <v>8127</v>
      </c>
      <c r="K10308" t="s">
        <v>290</v>
      </c>
      <c r="L10308" t="s">
        <v>285</v>
      </c>
      <c r="M10308" t="str">
        <f t="shared" si="782"/>
        <v>06</v>
      </c>
      <c r="N10308" t="s">
        <v>12</v>
      </c>
    </row>
    <row r="10309" spans="1:14" x14ac:dyDescent="0.25">
      <c r="A10309">
        <v>20160617</v>
      </c>
      <c r="B10309" t="str">
        <f>"063907"</f>
        <v>063907</v>
      </c>
      <c r="C10309" t="str">
        <f>"60852"</f>
        <v>60852</v>
      </c>
      <c r="D10309" t="s">
        <v>6095</v>
      </c>
      <c r="E10309" s="3">
        <v>7175</v>
      </c>
      <c r="F10309">
        <v>20160615</v>
      </c>
      <c r="G10309" t="s">
        <v>8134</v>
      </c>
      <c r="H10309" t="s">
        <v>8218</v>
      </c>
      <c r="I10309">
        <v>0</v>
      </c>
      <c r="J10309" t="s">
        <v>8127</v>
      </c>
      <c r="K10309" t="s">
        <v>290</v>
      </c>
      <c r="L10309" t="s">
        <v>285</v>
      </c>
      <c r="M10309" t="str">
        <f t="shared" si="782"/>
        <v>06</v>
      </c>
      <c r="N10309" t="s">
        <v>12</v>
      </c>
    </row>
    <row r="10310" spans="1:14" x14ac:dyDescent="0.25">
      <c r="A10310">
        <v>20160617</v>
      </c>
      <c r="B10310" t="str">
        <f>"063907"</f>
        <v>063907</v>
      </c>
      <c r="C10310" t="str">
        <f>"60852"</f>
        <v>60852</v>
      </c>
      <c r="D10310" t="s">
        <v>6095</v>
      </c>
      <c r="E10310" s="3">
        <v>14500</v>
      </c>
      <c r="F10310">
        <v>20160615</v>
      </c>
      <c r="G10310" t="s">
        <v>8136</v>
      </c>
      <c r="H10310" t="s">
        <v>8218</v>
      </c>
      <c r="I10310">
        <v>0</v>
      </c>
      <c r="J10310" t="s">
        <v>8127</v>
      </c>
      <c r="K10310" t="s">
        <v>33</v>
      </c>
      <c r="L10310" t="s">
        <v>285</v>
      </c>
      <c r="M10310" t="str">
        <f t="shared" si="782"/>
        <v>06</v>
      </c>
      <c r="N10310" t="s">
        <v>12</v>
      </c>
    </row>
    <row r="10311" spans="1:14" x14ac:dyDescent="0.25">
      <c r="A10311">
        <v>20160623</v>
      </c>
      <c r="B10311" t="str">
        <f>"063971"</f>
        <v>063971</v>
      </c>
      <c r="C10311" t="str">
        <f>"42194"</f>
        <v>42194</v>
      </c>
      <c r="D10311" t="s">
        <v>1874</v>
      </c>
      <c r="E10311" s="3">
        <v>543.61</v>
      </c>
      <c r="F10311">
        <v>20160623</v>
      </c>
      <c r="G10311" t="s">
        <v>8194</v>
      </c>
      <c r="H10311" t="s">
        <v>8111</v>
      </c>
      <c r="I10311">
        <v>0</v>
      </c>
      <c r="J10311" t="s">
        <v>8127</v>
      </c>
      <c r="K10311" t="s">
        <v>290</v>
      </c>
      <c r="L10311" t="s">
        <v>285</v>
      </c>
      <c r="M10311" t="str">
        <f t="shared" si="782"/>
        <v>06</v>
      </c>
      <c r="N10311" t="s">
        <v>12</v>
      </c>
    </row>
    <row r="10312" spans="1:14" x14ac:dyDescent="0.25">
      <c r="A10312">
        <v>20160623</v>
      </c>
      <c r="B10312" t="str">
        <f>"063991"</f>
        <v>063991</v>
      </c>
      <c r="C10312" t="str">
        <f>"60115"</f>
        <v>60115</v>
      </c>
      <c r="D10312" t="s">
        <v>6306</v>
      </c>
      <c r="E10312" s="3">
        <v>121618.25</v>
      </c>
      <c r="F10312">
        <v>20160622</v>
      </c>
      <c r="G10312" t="s">
        <v>8219</v>
      </c>
      <c r="H10312" t="s">
        <v>8220</v>
      </c>
      <c r="I10312">
        <v>0</v>
      </c>
      <c r="J10312" t="s">
        <v>8127</v>
      </c>
      <c r="K10312" t="s">
        <v>33</v>
      </c>
      <c r="L10312" t="s">
        <v>285</v>
      </c>
      <c r="M10312" t="str">
        <f t="shared" si="782"/>
        <v>06</v>
      </c>
      <c r="N10312" t="s">
        <v>12</v>
      </c>
    </row>
    <row r="10313" spans="1:14" x14ac:dyDescent="0.25">
      <c r="A10313">
        <v>20160715</v>
      </c>
      <c r="B10313" t="str">
        <f>"064039"</f>
        <v>064039</v>
      </c>
      <c r="C10313" t="str">
        <f>"21468"</f>
        <v>21468</v>
      </c>
      <c r="D10313" t="s">
        <v>4492</v>
      </c>
      <c r="E10313" s="3">
        <v>5559.84</v>
      </c>
      <c r="F10313">
        <v>20160713</v>
      </c>
      <c r="G10313" t="s">
        <v>8185</v>
      </c>
      <c r="H10313" t="s">
        <v>8221</v>
      </c>
      <c r="I10313">
        <v>0</v>
      </c>
      <c r="J10313" t="s">
        <v>8127</v>
      </c>
      <c r="K10313" t="s">
        <v>290</v>
      </c>
      <c r="L10313" t="s">
        <v>285</v>
      </c>
      <c r="M10313" t="str">
        <f t="shared" ref="M10313:M10322" si="783">"07"</f>
        <v>07</v>
      </c>
      <c r="N10313" t="s">
        <v>12</v>
      </c>
    </row>
    <row r="10314" spans="1:14" x14ac:dyDescent="0.25">
      <c r="A10314">
        <v>20160722</v>
      </c>
      <c r="B10314" t="str">
        <f>"064145"</f>
        <v>064145</v>
      </c>
      <c r="C10314" t="str">
        <f>"45668"</f>
        <v>45668</v>
      </c>
      <c r="D10314" t="s">
        <v>6076</v>
      </c>
      <c r="E10314" s="3">
        <v>17981.759999999998</v>
      </c>
      <c r="F10314">
        <v>20160721</v>
      </c>
      <c r="G10314" t="s">
        <v>8137</v>
      </c>
      <c r="H10314" t="s">
        <v>6077</v>
      </c>
      <c r="I10314">
        <v>0</v>
      </c>
      <c r="J10314" t="s">
        <v>8127</v>
      </c>
      <c r="K10314" t="s">
        <v>290</v>
      </c>
      <c r="L10314" t="s">
        <v>285</v>
      </c>
      <c r="M10314" t="str">
        <f t="shared" si="783"/>
        <v>07</v>
      </c>
      <c r="N10314" t="s">
        <v>12</v>
      </c>
    </row>
    <row r="10315" spans="1:14" x14ac:dyDescent="0.25">
      <c r="A10315">
        <v>20160722</v>
      </c>
      <c r="B10315" t="str">
        <f>"064146"</f>
        <v>064146</v>
      </c>
      <c r="C10315" t="str">
        <f>"45708"</f>
        <v>45708</v>
      </c>
      <c r="D10315" t="s">
        <v>8051</v>
      </c>
      <c r="E10315" s="3">
        <v>464886.91</v>
      </c>
      <c r="F10315">
        <v>20160721</v>
      </c>
      <c r="G10315" t="s">
        <v>8138</v>
      </c>
      <c r="H10315" t="s">
        <v>8139</v>
      </c>
      <c r="I10315">
        <v>0</v>
      </c>
      <c r="J10315" t="s">
        <v>8127</v>
      </c>
      <c r="K10315" t="s">
        <v>33</v>
      </c>
      <c r="L10315" t="s">
        <v>285</v>
      </c>
      <c r="M10315" t="str">
        <f t="shared" si="783"/>
        <v>07</v>
      </c>
      <c r="N10315" t="s">
        <v>12</v>
      </c>
    </row>
    <row r="10316" spans="1:14" x14ac:dyDescent="0.25">
      <c r="A10316">
        <v>20160722</v>
      </c>
      <c r="B10316" t="str">
        <f>"064170"</f>
        <v>064170</v>
      </c>
      <c r="C10316" t="str">
        <f>"60852"</f>
        <v>60852</v>
      </c>
      <c r="D10316" t="s">
        <v>6095</v>
      </c>
      <c r="E10316" s="3">
        <v>7175</v>
      </c>
      <c r="F10316">
        <v>20160721</v>
      </c>
      <c r="G10316" t="s">
        <v>8134</v>
      </c>
      <c r="H10316" t="s">
        <v>8222</v>
      </c>
      <c r="I10316">
        <v>0</v>
      </c>
      <c r="J10316" t="s">
        <v>8127</v>
      </c>
      <c r="K10316" t="s">
        <v>290</v>
      </c>
      <c r="L10316" t="s">
        <v>285</v>
      </c>
      <c r="M10316" t="str">
        <f t="shared" si="783"/>
        <v>07</v>
      </c>
      <c r="N10316" t="s">
        <v>12</v>
      </c>
    </row>
    <row r="10317" spans="1:14" x14ac:dyDescent="0.25">
      <c r="A10317">
        <v>20160722</v>
      </c>
      <c r="B10317" t="str">
        <f>"064170"</f>
        <v>064170</v>
      </c>
      <c r="C10317" t="str">
        <f>"60852"</f>
        <v>60852</v>
      </c>
      <c r="D10317" t="s">
        <v>6095</v>
      </c>
      <c r="E10317" s="3">
        <v>14500</v>
      </c>
      <c r="F10317">
        <v>20160721</v>
      </c>
      <c r="G10317" t="s">
        <v>8136</v>
      </c>
      <c r="H10317" t="s">
        <v>8222</v>
      </c>
      <c r="I10317">
        <v>0</v>
      </c>
      <c r="J10317" t="s">
        <v>8127</v>
      </c>
      <c r="K10317" t="s">
        <v>33</v>
      </c>
      <c r="L10317" t="s">
        <v>285</v>
      </c>
      <c r="M10317" t="str">
        <f t="shared" si="783"/>
        <v>07</v>
      </c>
      <c r="N10317" t="s">
        <v>12</v>
      </c>
    </row>
    <row r="10318" spans="1:14" x14ac:dyDescent="0.25">
      <c r="A10318">
        <v>20160729</v>
      </c>
      <c r="B10318" t="str">
        <f>"064216"</f>
        <v>064216</v>
      </c>
      <c r="C10318" t="str">
        <f>"32915"</f>
        <v>32915</v>
      </c>
      <c r="D10318" t="s">
        <v>8045</v>
      </c>
      <c r="E10318" s="3">
        <v>3702.85</v>
      </c>
      <c r="F10318">
        <v>20160728</v>
      </c>
      <c r="G10318" t="s">
        <v>8192</v>
      </c>
      <c r="H10318" t="s">
        <v>8139</v>
      </c>
      <c r="I10318">
        <v>0</v>
      </c>
      <c r="J10318" t="s">
        <v>8127</v>
      </c>
      <c r="K10318" t="s">
        <v>33</v>
      </c>
      <c r="L10318" t="s">
        <v>285</v>
      </c>
      <c r="M10318" t="str">
        <f t="shared" si="783"/>
        <v>07</v>
      </c>
      <c r="N10318" t="s">
        <v>12</v>
      </c>
    </row>
    <row r="10319" spans="1:14" x14ac:dyDescent="0.25">
      <c r="A10319">
        <v>20160729</v>
      </c>
      <c r="B10319" t="str">
        <f>"064219"</f>
        <v>064219</v>
      </c>
      <c r="C10319" t="str">
        <f>"42194"</f>
        <v>42194</v>
      </c>
      <c r="D10319" t="s">
        <v>1874</v>
      </c>
      <c r="E10319" s="3">
        <v>632.22</v>
      </c>
      <c r="F10319">
        <v>20160728</v>
      </c>
      <c r="G10319" t="s">
        <v>8194</v>
      </c>
      <c r="H10319" t="s">
        <v>6127</v>
      </c>
      <c r="I10319">
        <v>0</v>
      </c>
      <c r="J10319" t="s">
        <v>8127</v>
      </c>
      <c r="K10319" t="s">
        <v>290</v>
      </c>
      <c r="L10319" t="s">
        <v>285</v>
      </c>
      <c r="M10319" t="str">
        <f t="shared" si="783"/>
        <v>07</v>
      </c>
      <c r="N10319" t="s">
        <v>12</v>
      </c>
    </row>
    <row r="10320" spans="1:14" x14ac:dyDescent="0.25">
      <c r="A10320">
        <v>20160729</v>
      </c>
      <c r="B10320" t="str">
        <f>"064222"</f>
        <v>064222</v>
      </c>
      <c r="C10320" t="str">
        <f>"45668"</f>
        <v>45668</v>
      </c>
      <c r="D10320" t="s">
        <v>6076</v>
      </c>
      <c r="E10320" s="3">
        <v>56292.77</v>
      </c>
      <c r="F10320">
        <v>20160728</v>
      </c>
      <c r="G10320" t="s">
        <v>8223</v>
      </c>
      <c r="H10320" t="s">
        <v>6077</v>
      </c>
      <c r="I10320">
        <v>0</v>
      </c>
      <c r="J10320" t="s">
        <v>8127</v>
      </c>
      <c r="K10320" t="s">
        <v>235</v>
      </c>
      <c r="L10320" t="s">
        <v>285</v>
      </c>
      <c r="M10320" t="str">
        <f t="shared" si="783"/>
        <v>07</v>
      </c>
      <c r="N10320" t="s">
        <v>12</v>
      </c>
    </row>
    <row r="10321" spans="1:14" x14ac:dyDescent="0.25">
      <c r="A10321">
        <v>20160729</v>
      </c>
      <c r="B10321" t="str">
        <f>"064222"</f>
        <v>064222</v>
      </c>
      <c r="C10321" t="str">
        <f>"45668"</f>
        <v>45668</v>
      </c>
      <c r="D10321" t="s">
        <v>6076</v>
      </c>
      <c r="E10321" s="3">
        <v>5255.47</v>
      </c>
      <c r="F10321">
        <v>20160728</v>
      </c>
      <c r="G10321" t="s">
        <v>8137</v>
      </c>
      <c r="H10321" t="s">
        <v>6077</v>
      </c>
      <c r="I10321">
        <v>0</v>
      </c>
      <c r="J10321" t="s">
        <v>8127</v>
      </c>
      <c r="K10321" t="s">
        <v>290</v>
      </c>
      <c r="L10321" t="s">
        <v>285</v>
      </c>
      <c r="M10321" t="str">
        <f t="shared" si="783"/>
        <v>07</v>
      </c>
      <c r="N10321" t="s">
        <v>12</v>
      </c>
    </row>
    <row r="10322" spans="1:14" x14ac:dyDescent="0.25">
      <c r="A10322">
        <v>20160729</v>
      </c>
      <c r="B10322" t="str">
        <f>"064222"</f>
        <v>064222</v>
      </c>
      <c r="C10322" t="str">
        <f>"45668"</f>
        <v>45668</v>
      </c>
      <c r="D10322" t="s">
        <v>6076</v>
      </c>
      <c r="E10322" s="3">
        <v>110256.74</v>
      </c>
      <c r="F10322">
        <v>20160728</v>
      </c>
      <c r="G10322" t="s">
        <v>8137</v>
      </c>
      <c r="H10322" t="s">
        <v>6077</v>
      </c>
      <c r="I10322">
        <v>0</v>
      </c>
      <c r="J10322" t="s">
        <v>8127</v>
      </c>
      <c r="K10322" t="s">
        <v>290</v>
      </c>
      <c r="L10322" t="s">
        <v>285</v>
      </c>
      <c r="M10322" t="str">
        <f t="shared" si="783"/>
        <v>07</v>
      </c>
      <c r="N10322" t="s">
        <v>12</v>
      </c>
    </row>
    <row r="10323" spans="1:14" x14ac:dyDescent="0.25">
      <c r="A10323">
        <v>20160805</v>
      </c>
      <c r="B10323" t="str">
        <f>"064254"</f>
        <v>064254</v>
      </c>
      <c r="C10323" t="str">
        <f>"10027"</f>
        <v>10027</v>
      </c>
      <c r="D10323" t="s">
        <v>6929</v>
      </c>
      <c r="E10323" s="3">
        <v>42.71</v>
      </c>
      <c r="F10323">
        <v>20160804</v>
      </c>
      <c r="G10323" t="s">
        <v>8224</v>
      </c>
      <c r="H10323" t="s">
        <v>8225</v>
      </c>
      <c r="I10323">
        <v>0</v>
      </c>
      <c r="J10323" t="s">
        <v>8127</v>
      </c>
      <c r="K10323" t="s">
        <v>290</v>
      </c>
      <c r="L10323" t="s">
        <v>285</v>
      </c>
      <c r="M10323" t="str">
        <f t="shared" ref="M10323:M10332" si="784">"08"</f>
        <v>08</v>
      </c>
      <c r="N10323" t="s">
        <v>12</v>
      </c>
    </row>
    <row r="10324" spans="1:14" x14ac:dyDescent="0.25">
      <c r="A10324">
        <v>20160805</v>
      </c>
      <c r="B10324" t="str">
        <f>"064254"</f>
        <v>064254</v>
      </c>
      <c r="C10324" t="str">
        <f>"10027"</f>
        <v>10027</v>
      </c>
      <c r="D10324" t="s">
        <v>6929</v>
      </c>
      <c r="E10324" s="3">
        <v>6524.76</v>
      </c>
      <c r="F10324">
        <v>20160804</v>
      </c>
      <c r="G10324" t="s">
        <v>8200</v>
      </c>
      <c r="H10324" t="s">
        <v>8225</v>
      </c>
      <c r="I10324">
        <v>0</v>
      </c>
      <c r="J10324" t="s">
        <v>8127</v>
      </c>
      <c r="K10324" t="s">
        <v>290</v>
      </c>
      <c r="L10324" t="s">
        <v>285</v>
      </c>
      <c r="M10324" t="str">
        <f t="shared" si="784"/>
        <v>08</v>
      </c>
      <c r="N10324" t="s">
        <v>12</v>
      </c>
    </row>
    <row r="10325" spans="1:14" x14ac:dyDescent="0.25">
      <c r="A10325">
        <v>20160805</v>
      </c>
      <c r="B10325" t="str">
        <f>"064308"</f>
        <v>064308</v>
      </c>
      <c r="C10325" t="str">
        <f>"60115"</f>
        <v>60115</v>
      </c>
      <c r="D10325" t="s">
        <v>6306</v>
      </c>
      <c r="E10325" s="3">
        <v>38675.599999999999</v>
      </c>
      <c r="F10325">
        <v>20160804</v>
      </c>
      <c r="G10325" t="s">
        <v>8219</v>
      </c>
      <c r="H10325" t="s">
        <v>8220</v>
      </c>
      <c r="I10325">
        <v>0</v>
      </c>
      <c r="J10325" t="s">
        <v>8127</v>
      </c>
      <c r="K10325" t="s">
        <v>33</v>
      </c>
      <c r="L10325" t="s">
        <v>285</v>
      </c>
      <c r="M10325" t="str">
        <f t="shared" si="784"/>
        <v>08</v>
      </c>
      <c r="N10325" t="s">
        <v>12</v>
      </c>
    </row>
    <row r="10326" spans="1:14" x14ac:dyDescent="0.25">
      <c r="A10326">
        <v>20160812</v>
      </c>
      <c r="B10326" t="str">
        <f>"064335"</f>
        <v>064335</v>
      </c>
      <c r="C10326" t="str">
        <f>"10024"</f>
        <v>10024</v>
      </c>
      <c r="D10326" t="s">
        <v>1701</v>
      </c>
      <c r="E10326" s="3">
        <v>3898.56</v>
      </c>
      <c r="F10326">
        <v>20160811</v>
      </c>
      <c r="G10326" t="s">
        <v>8204</v>
      </c>
      <c r="H10326" t="s">
        <v>8061</v>
      </c>
      <c r="I10326">
        <v>0</v>
      </c>
      <c r="J10326" t="s">
        <v>8127</v>
      </c>
      <c r="K10326" t="s">
        <v>290</v>
      </c>
      <c r="L10326" t="s">
        <v>285</v>
      </c>
      <c r="M10326" t="str">
        <f t="shared" si="784"/>
        <v>08</v>
      </c>
      <c r="N10326" t="s">
        <v>12</v>
      </c>
    </row>
    <row r="10327" spans="1:14" x14ac:dyDescent="0.25">
      <c r="A10327">
        <v>20160812</v>
      </c>
      <c r="B10327" t="str">
        <f>"064340"</f>
        <v>064340</v>
      </c>
      <c r="C10327" t="str">
        <f>"16807"</f>
        <v>16807</v>
      </c>
      <c r="D10327" t="s">
        <v>1560</v>
      </c>
      <c r="E10327" s="3">
        <v>10313.6</v>
      </c>
      <c r="F10327">
        <v>20160810</v>
      </c>
      <c r="G10327" t="s">
        <v>8169</v>
      </c>
      <c r="H10327" t="s">
        <v>8226</v>
      </c>
      <c r="I10327">
        <v>0</v>
      </c>
      <c r="J10327" t="s">
        <v>8127</v>
      </c>
      <c r="K10327" t="s">
        <v>33</v>
      </c>
      <c r="L10327" t="s">
        <v>285</v>
      </c>
      <c r="M10327" t="str">
        <f t="shared" si="784"/>
        <v>08</v>
      </c>
      <c r="N10327" t="s">
        <v>12</v>
      </c>
    </row>
    <row r="10328" spans="1:14" x14ac:dyDescent="0.25">
      <c r="A10328">
        <v>20160812</v>
      </c>
      <c r="B10328" t="str">
        <f>"064382"</f>
        <v>064382</v>
      </c>
      <c r="C10328" t="str">
        <f>"60852"</f>
        <v>60852</v>
      </c>
      <c r="D10328" t="s">
        <v>6095</v>
      </c>
      <c r="E10328" s="3">
        <v>7175</v>
      </c>
      <c r="F10328">
        <v>20160812</v>
      </c>
      <c r="G10328" t="s">
        <v>8134</v>
      </c>
      <c r="H10328" t="s">
        <v>8227</v>
      </c>
      <c r="I10328">
        <v>0</v>
      </c>
      <c r="J10328" t="s">
        <v>8127</v>
      </c>
      <c r="K10328" t="s">
        <v>290</v>
      </c>
      <c r="L10328" t="s">
        <v>285</v>
      </c>
      <c r="M10328" t="str">
        <f t="shared" si="784"/>
        <v>08</v>
      </c>
      <c r="N10328" t="s">
        <v>12</v>
      </c>
    </row>
    <row r="10329" spans="1:14" x14ac:dyDescent="0.25">
      <c r="A10329">
        <v>20160812</v>
      </c>
      <c r="B10329" t="str">
        <f>"064382"</f>
        <v>064382</v>
      </c>
      <c r="C10329" t="str">
        <f>"60852"</f>
        <v>60852</v>
      </c>
      <c r="D10329" t="s">
        <v>6095</v>
      </c>
      <c r="E10329" s="3">
        <v>14500</v>
      </c>
      <c r="F10329">
        <v>20160812</v>
      </c>
      <c r="G10329" t="s">
        <v>8136</v>
      </c>
      <c r="H10329" t="s">
        <v>8228</v>
      </c>
      <c r="I10329">
        <v>0</v>
      </c>
      <c r="J10329" t="s">
        <v>8127</v>
      </c>
      <c r="K10329" t="s">
        <v>33</v>
      </c>
      <c r="L10329" t="s">
        <v>285</v>
      </c>
      <c r="M10329" t="str">
        <f t="shared" si="784"/>
        <v>08</v>
      </c>
      <c r="N10329" t="s">
        <v>12</v>
      </c>
    </row>
    <row r="10330" spans="1:14" x14ac:dyDescent="0.25">
      <c r="A10330">
        <v>20160819</v>
      </c>
      <c r="B10330" t="str">
        <f>"064416"</f>
        <v>064416</v>
      </c>
      <c r="C10330" t="str">
        <f>"25165"</f>
        <v>25165</v>
      </c>
      <c r="D10330" t="s">
        <v>1563</v>
      </c>
      <c r="E10330" s="3">
        <v>15520.64</v>
      </c>
      <c r="F10330">
        <v>20160817</v>
      </c>
      <c r="G10330" t="s">
        <v>8169</v>
      </c>
      <c r="H10330" t="s">
        <v>8229</v>
      </c>
      <c r="I10330">
        <v>0</v>
      </c>
      <c r="J10330" t="s">
        <v>8127</v>
      </c>
      <c r="K10330" t="s">
        <v>33</v>
      </c>
      <c r="L10330" t="s">
        <v>285</v>
      </c>
      <c r="M10330" t="str">
        <f t="shared" si="784"/>
        <v>08</v>
      </c>
      <c r="N10330" t="s">
        <v>12</v>
      </c>
    </row>
    <row r="10331" spans="1:14" x14ac:dyDescent="0.25">
      <c r="A10331">
        <v>20160819</v>
      </c>
      <c r="B10331" t="str">
        <f>"064436"</f>
        <v>064436</v>
      </c>
      <c r="C10331" t="str">
        <f>"45708"</f>
        <v>45708</v>
      </c>
      <c r="D10331" t="s">
        <v>8051</v>
      </c>
      <c r="E10331" s="3">
        <v>379889.09</v>
      </c>
      <c r="F10331">
        <v>20160818</v>
      </c>
      <c r="G10331" t="s">
        <v>8138</v>
      </c>
      <c r="H10331" t="s">
        <v>8139</v>
      </c>
      <c r="I10331">
        <v>0</v>
      </c>
      <c r="J10331" t="s">
        <v>8127</v>
      </c>
      <c r="K10331" t="s">
        <v>33</v>
      </c>
      <c r="L10331" t="s">
        <v>285</v>
      </c>
      <c r="M10331" t="str">
        <f t="shared" si="784"/>
        <v>08</v>
      </c>
      <c r="N10331" t="s">
        <v>12</v>
      </c>
    </row>
    <row r="10332" spans="1:14" x14ac:dyDescent="0.25">
      <c r="A10332">
        <v>20160826</v>
      </c>
      <c r="B10332" t="str">
        <f>"064541"</f>
        <v>064541</v>
      </c>
      <c r="C10332" t="str">
        <f>"42194"</f>
        <v>42194</v>
      </c>
      <c r="D10332" t="s">
        <v>1874</v>
      </c>
      <c r="E10332" s="3">
        <v>556.23</v>
      </c>
      <c r="F10332">
        <v>20160825</v>
      </c>
      <c r="G10332" t="s">
        <v>8194</v>
      </c>
      <c r="H10332" t="s">
        <v>6479</v>
      </c>
      <c r="I10332">
        <v>0</v>
      </c>
      <c r="J10332" t="s">
        <v>8127</v>
      </c>
      <c r="K10332" t="s">
        <v>290</v>
      </c>
      <c r="L10332" t="s">
        <v>285</v>
      </c>
      <c r="M10332" t="str">
        <f t="shared" si="784"/>
        <v>08</v>
      </c>
      <c r="N10332" t="s">
        <v>12</v>
      </c>
    </row>
    <row r="10333" spans="1:14" x14ac:dyDescent="0.25">
      <c r="A10333">
        <v>20150903</v>
      </c>
      <c r="B10333" t="str">
        <f>"060192"</f>
        <v>060192</v>
      </c>
      <c r="C10333" t="str">
        <f>"60852"</f>
        <v>60852</v>
      </c>
      <c r="D10333" t="s">
        <v>6095</v>
      </c>
      <c r="E10333" s="3">
        <v>7445</v>
      </c>
      <c r="F10333">
        <v>20150903</v>
      </c>
      <c r="G10333" t="s">
        <v>8230</v>
      </c>
      <c r="H10333" t="s">
        <v>8231</v>
      </c>
      <c r="I10333">
        <v>0</v>
      </c>
      <c r="J10333" t="s">
        <v>8232</v>
      </c>
      <c r="K10333" t="s">
        <v>235</v>
      </c>
      <c r="L10333" t="s">
        <v>285</v>
      </c>
      <c r="M10333" t="str">
        <f>"09"</f>
        <v>09</v>
      </c>
      <c r="N10333" t="s">
        <v>12</v>
      </c>
    </row>
    <row r="10334" spans="1:14" x14ac:dyDescent="0.25">
      <c r="A10334">
        <v>20151009</v>
      </c>
      <c r="B10334" t="str">
        <f>"060627"</f>
        <v>060627</v>
      </c>
      <c r="C10334" t="str">
        <f>"60852"</f>
        <v>60852</v>
      </c>
      <c r="D10334" t="s">
        <v>6095</v>
      </c>
      <c r="E10334" s="3">
        <v>7445</v>
      </c>
      <c r="F10334">
        <v>20151009</v>
      </c>
      <c r="G10334" t="s">
        <v>8233</v>
      </c>
      <c r="H10334" t="s">
        <v>8234</v>
      </c>
      <c r="I10334">
        <v>0</v>
      </c>
      <c r="J10334" t="s">
        <v>8232</v>
      </c>
      <c r="K10334" t="s">
        <v>95</v>
      </c>
      <c r="L10334" t="s">
        <v>285</v>
      </c>
      <c r="M10334" t="str">
        <f>"10"</f>
        <v>10</v>
      </c>
      <c r="N10334" t="s">
        <v>12</v>
      </c>
    </row>
    <row r="10335" spans="1:14" x14ac:dyDescent="0.25">
      <c r="A10335">
        <v>20151023</v>
      </c>
      <c r="B10335" t="str">
        <f>"060865"</f>
        <v>060865</v>
      </c>
      <c r="C10335" t="str">
        <f>"45708"</f>
        <v>45708</v>
      </c>
      <c r="D10335" t="s">
        <v>8051</v>
      </c>
      <c r="E10335" s="3">
        <v>26125</v>
      </c>
      <c r="F10335">
        <v>20151022</v>
      </c>
      <c r="G10335" t="s">
        <v>8235</v>
      </c>
      <c r="H10335" t="s">
        <v>8236</v>
      </c>
      <c r="I10335">
        <v>0</v>
      </c>
      <c r="J10335" t="s">
        <v>8232</v>
      </c>
      <c r="K10335" t="s">
        <v>95</v>
      </c>
      <c r="L10335" t="s">
        <v>285</v>
      </c>
      <c r="M10335" t="str">
        <f>"10"</f>
        <v>10</v>
      </c>
      <c r="N10335" t="s">
        <v>12</v>
      </c>
    </row>
    <row r="10336" spans="1:14" x14ac:dyDescent="0.25">
      <c r="A10336">
        <v>20151113</v>
      </c>
      <c r="B10336" t="str">
        <f>"061092"</f>
        <v>061092</v>
      </c>
      <c r="C10336" t="str">
        <f>"45708"</f>
        <v>45708</v>
      </c>
      <c r="D10336" t="s">
        <v>8051</v>
      </c>
      <c r="E10336" s="3">
        <v>13888.37</v>
      </c>
      <c r="F10336">
        <v>20151112</v>
      </c>
      <c r="G10336" t="s">
        <v>8235</v>
      </c>
      <c r="H10336" t="s">
        <v>8236</v>
      </c>
      <c r="I10336">
        <v>0</v>
      </c>
      <c r="J10336" t="s">
        <v>8232</v>
      </c>
      <c r="K10336" t="s">
        <v>95</v>
      </c>
      <c r="L10336" t="s">
        <v>285</v>
      </c>
      <c r="M10336" t="str">
        <f>"11"</f>
        <v>11</v>
      </c>
      <c r="N10336" t="s">
        <v>12</v>
      </c>
    </row>
    <row r="10337" spans="1:14" x14ac:dyDescent="0.25">
      <c r="A10337">
        <v>20151113</v>
      </c>
      <c r="B10337" t="str">
        <f>"061103"</f>
        <v>061103</v>
      </c>
      <c r="C10337" t="str">
        <f>"60852"</f>
        <v>60852</v>
      </c>
      <c r="D10337" t="s">
        <v>6095</v>
      </c>
      <c r="E10337" s="3">
        <v>7445</v>
      </c>
      <c r="F10337">
        <v>20151112</v>
      </c>
      <c r="G10337" t="s">
        <v>8233</v>
      </c>
      <c r="H10337" t="s">
        <v>8237</v>
      </c>
      <c r="I10337">
        <v>0</v>
      </c>
      <c r="J10337" t="s">
        <v>8232</v>
      </c>
      <c r="K10337" t="s">
        <v>95</v>
      </c>
      <c r="L10337" t="s">
        <v>285</v>
      </c>
      <c r="M10337" t="str">
        <f>"11"</f>
        <v>11</v>
      </c>
      <c r="N10337" t="s">
        <v>12</v>
      </c>
    </row>
    <row r="10338" spans="1:14" x14ac:dyDescent="0.25">
      <c r="A10338">
        <v>20151211</v>
      </c>
      <c r="B10338" t="str">
        <f>"061452"</f>
        <v>061452</v>
      </c>
      <c r="C10338" t="str">
        <f>"60852"</f>
        <v>60852</v>
      </c>
      <c r="D10338" t="s">
        <v>6095</v>
      </c>
      <c r="E10338" s="3">
        <v>7445</v>
      </c>
      <c r="F10338">
        <v>20151210</v>
      </c>
      <c r="G10338" t="s">
        <v>8233</v>
      </c>
      <c r="H10338" t="s">
        <v>8238</v>
      </c>
      <c r="I10338">
        <v>0</v>
      </c>
      <c r="J10338" t="s">
        <v>8232</v>
      </c>
      <c r="K10338" t="s">
        <v>95</v>
      </c>
      <c r="L10338" t="s">
        <v>285</v>
      </c>
      <c r="M10338" t="str">
        <f>"12"</f>
        <v>12</v>
      </c>
      <c r="N10338" t="s">
        <v>12</v>
      </c>
    </row>
    <row r="10339" spans="1:14" x14ac:dyDescent="0.25">
      <c r="A10339">
        <v>20151211</v>
      </c>
      <c r="B10339" t="str">
        <f>"061458"</f>
        <v>061458</v>
      </c>
      <c r="C10339" t="str">
        <f>"63618"</f>
        <v>63618</v>
      </c>
      <c r="D10339" t="s">
        <v>8041</v>
      </c>
      <c r="E10339" s="3">
        <v>1163</v>
      </c>
      <c r="F10339">
        <v>20151210</v>
      </c>
      <c r="G10339" t="s">
        <v>8233</v>
      </c>
      <c r="H10339" t="s">
        <v>8239</v>
      </c>
      <c r="I10339">
        <v>0</v>
      </c>
      <c r="J10339" t="s">
        <v>8232</v>
      </c>
      <c r="K10339" t="s">
        <v>95</v>
      </c>
      <c r="L10339" t="s">
        <v>285</v>
      </c>
      <c r="M10339" t="str">
        <f>"12"</f>
        <v>12</v>
      </c>
      <c r="N10339" t="s">
        <v>12</v>
      </c>
    </row>
    <row r="10340" spans="1:14" x14ac:dyDescent="0.25">
      <c r="A10340">
        <v>20160129</v>
      </c>
      <c r="B10340" t="str">
        <f>"061998"</f>
        <v>061998</v>
      </c>
      <c r="C10340" t="str">
        <f>"60852"</f>
        <v>60852</v>
      </c>
      <c r="D10340" t="s">
        <v>6095</v>
      </c>
      <c r="E10340" s="3">
        <v>7445</v>
      </c>
      <c r="F10340">
        <v>20160128</v>
      </c>
      <c r="G10340" t="s">
        <v>8233</v>
      </c>
      <c r="H10340" t="s">
        <v>8240</v>
      </c>
      <c r="I10340">
        <v>0</v>
      </c>
      <c r="J10340" t="s">
        <v>8232</v>
      </c>
      <c r="K10340" t="s">
        <v>95</v>
      </c>
      <c r="L10340" t="s">
        <v>285</v>
      </c>
      <c r="M10340" t="str">
        <f>"01"</f>
        <v>01</v>
      </c>
      <c r="N10340" t="s">
        <v>12</v>
      </c>
    </row>
    <row r="10341" spans="1:14" x14ac:dyDescent="0.25">
      <c r="A10341">
        <v>20160219</v>
      </c>
      <c r="B10341" t="str">
        <f>"062472"</f>
        <v>062472</v>
      </c>
      <c r="C10341" t="str">
        <f>"60852"</f>
        <v>60852</v>
      </c>
      <c r="D10341" t="s">
        <v>6095</v>
      </c>
      <c r="E10341" s="3">
        <v>7445</v>
      </c>
      <c r="F10341">
        <v>20160218</v>
      </c>
      <c r="G10341" t="s">
        <v>8233</v>
      </c>
      <c r="H10341" t="s">
        <v>8241</v>
      </c>
      <c r="I10341">
        <v>0</v>
      </c>
      <c r="J10341" t="s">
        <v>8232</v>
      </c>
      <c r="K10341" t="s">
        <v>95</v>
      </c>
      <c r="L10341" t="s">
        <v>285</v>
      </c>
      <c r="M10341" t="str">
        <f>"02"</f>
        <v>02</v>
      </c>
      <c r="N10341" t="s">
        <v>12</v>
      </c>
    </row>
    <row r="10342" spans="1:14" x14ac:dyDescent="0.25">
      <c r="A10342">
        <v>20160318</v>
      </c>
      <c r="B10342" t="str">
        <f>"062764"</f>
        <v>062764</v>
      </c>
      <c r="C10342" t="str">
        <f>"45708"</f>
        <v>45708</v>
      </c>
      <c r="D10342" t="s">
        <v>8051</v>
      </c>
      <c r="E10342" s="3">
        <v>14250</v>
      </c>
      <c r="F10342">
        <v>20160316</v>
      </c>
      <c r="G10342" t="s">
        <v>8235</v>
      </c>
      <c r="H10342" t="s">
        <v>8236</v>
      </c>
      <c r="I10342">
        <v>0</v>
      </c>
      <c r="J10342" t="s">
        <v>8232</v>
      </c>
      <c r="K10342" t="s">
        <v>95</v>
      </c>
      <c r="L10342" t="s">
        <v>285</v>
      </c>
      <c r="M10342" t="str">
        <f>"03"</f>
        <v>03</v>
      </c>
      <c r="N10342" t="s">
        <v>12</v>
      </c>
    </row>
    <row r="10343" spans="1:14" x14ac:dyDescent="0.25">
      <c r="A10343">
        <v>20160318</v>
      </c>
      <c r="B10343" t="str">
        <f>"062788"</f>
        <v>062788</v>
      </c>
      <c r="C10343" t="str">
        <f>"60852"</f>
        <v>60852</v>
      </c>
      <c r="D10343" t="s">
        <v>6095</v>
      </c>
      <c r="E10343" s="3">
        <v>7445</v>
      </c>
      <c r="F10343">
        <v>20160317</v>
      </c>
      <c r="G10343" t="s">
        <v>8233</v>
      </c>
      <c r="H10343" t="s">
        <v>8242</v>
      </c>
      <c r="I10343">
        <v>0</v>
      </c>
      <c r="J10343" t="s">
        <v>8232</v>
      </c>
      <c r="K10343" t="s">
        <v>95</v>
      </c>
      <c r="L10343" t="s">
        <v>285</v>
      </c>
      <c r="M10343" t="str">
        <f>"03"</f>
        <v>03</v>
      </c>
      <c r="N10343" t="s">
        <v>12</v>
      </c>
    </row>
    <row r="10344" spans="1:14" x14ac:dyDescent="0.25">
      <c r="A10344">
        <v>20160324</v>
      </c>
      <c r="B10344" t="str">
        <f>"062895"</f>
        <v>062895</v>
      </c>
      <c r="C10344" t="str">
        <f>"45708"</f>
        <v>45708</v>
      </c>
      <c r="D10344" t="s">
        <v>8051</v>
      </c>
      <c r="E10344" s="3">
        <v>155531.15</v>
      </c>
      <c r="F10344">
        <v>20160324</v>
      </c>
      <c r="G10344" t="s">
        <v>8235</v>
      </c>
      <c r="H10344" t="s">
        <v>8236</v>
      </c>
      <c r="I10344">
        <v>0</v>
      </c>
      <c r="J10344" t="s">
        <v>8232</v>
      </c>
      <c r="K10344" t="s">
        <v>95</v>
      </c>
      <c r="L10344" t="s">
        <v>285</v>
      </c>
      <c r="M10344" t="str">
        <f>"03"</f>
        <v>03</v>
      </c>
      <c r="N10344" t="s">
        <v>12</v>
      </c>
    </row>
    <row r="10345" spans="1:14" x14ac:dyDescent="0.25">
      <c r="A10345">
        <v>20160324</v>
      </c>
      <c r="B10345" t="str">
        <f>"062899"</f>
        <v>062899</v>
      </c>
      <c r="C10345" t="str">
        <f>"63618"</f>
        <v>63618</v>
      </c>
      <c r="D10345" t="s">
        <v>8041</v>
      </c>
      <c r="E10345" s="3">
        <v>1794</v>
      </c>
      <c r="F10345">
        <v>20160324</v>
      </c>
      <c r="G10345" t="s">
        <v>8233</v>
      </c>
      <c r="H10345" t="s">
        <v>8243</v>
      </c>
      <c r="I10345">
        <v>0</v>
      </c>
      <c r="J10345" t="s">
        <v>8232</v>
      </c>
      <c r="K10345" t="s">
        <v>95</v>
      </c>
      <c r="L10345" t="s">
        <v>285</v>
      </c>
      <c r="M10345" t="str">
        <f>"03"</f>
        <v>03</v>
      </c>
      <c r="N10345" t="s">
        <v>12</v>
      </c>
    </row>
    <row r="10346" spans="1:14" x14ac:dyDescent="0.25">
      <c r="A10346">
        <v>20160415</v>
      </c>
      <c r="B10346" t="str">
        <f>"063135"</f>
        <v>063135</v>
      </c>
      <c r="C10346" t="str">
        <f>"60852"</f>
        <v>60852</v>
      </c>
      <c r="D10346" t="s">
        <v>6095</v>
      </c>
      <c r="E10346" s="3">
        <v>7445</v>
      </c>
      <c r="F10346">
        <v>20160413</v>
      </c>
      <c r="G10346" t="s">
        <v>8233</v>
      </c>
      <c r="H10346" t="s">
        <v>8244</v>
      </c>
      <c r="I10346">
        <v>0</v>
      </c>
      <c r="J10346" t="s">
        <v>8232</v>
      </c>
      <c r="K10346" t="s">
        <v>95</v>
      </c>
      <c r="L10346" t="s">
        <v>285</v>
      </c>
      <c r="M10346" t="str">
        <f>"04"</f>
        <v>04</v>
      </c>
      <c r="N10346" t="s">
        <v>12</v>
      </c>
    </row>
    <row r="10347" spans="1:14" x14ac:dyDescent="0.25">
      <c r="A10347">
        <v>20160415</v>
      </c>
      <c r="B10347" t="str">
        <f>"063143"</f>
        <v>063143</v>
      </c>
      <c r="C10347" t="str">
        <f>"63618"</f>
        <v>63618</v>
      </c>
      <c r="D10347" t="s">
        <v>8041</v>
      </c>
      <c r="E10347" s="3">
        <v>1588</v>
      </c>
      <c r="F10347">
        <v>20160413</v>
      </c>
      <c r="G10347" t="s">
        <v>8233</v>
      </c>
      <c r="H10347" t="s">
        <v>8245</v>
      </c>
      <c r="I10347">
        <v>0</v>
      </c>
      <c r="J10347" t="s">
        <v>8232</v>
      </c>
      <c r="K10347" t="s">
        <v>95</v>
      </c>
      <c r="L10347" t="s">
        <v>285</v>
      </c>
      <c r="M10347" t="str">
        <f>"04"</f>
        <v>04</v>
      </c>
      <c r="N10347" t="s">
        <v>12</v>
      </c>
    </row>
    <row r="10348" spans="1:14" x14ac:dyDescent="0.25">
      <c r="A10348">
        <v>20160527</v>
      </c>
      <c r="B10348" t="str">
        <f>"063644"</f>
        <v>063644</v>
      </c>
      <c r="C10348" t="str">
        <f>"45708"</f>
        <v>45708</v>
      </c>
      <c r="D10348" t="s">
        <v>8051</v>
      </c>
      <c r="E10348" s="3">
        <v>46229.29</v>
      </c>
      <c r="F10348">
        <v>20160526</v>
      </c>
      <c r="G10348" t="s">
        <v>8235</v>
      </c>
      <c r="H10348" t="s">
        <v>8236</v>
      </c>
      <c r="I10348">
        <v>0</v>
      </c>
      <c r="J10348" t="s">
        <v>8232</v>
      </c>
      <c r="K10348" t="s">
        <v>95</v>
      </c>
      <c r="L10348" t="s">
        <v>285</v>
      </c>
      <c r="M10348" t="str">
        <f>"05"</f>
        <v>05</v>
      </c>
      <c r="N10348" t="s">
        <v>12</v>
      </c>
    </row>
    <row r="10349" spans="1:14" x14ac:dyDescent="0.25">
      <c r="A10349">
        <v>20160527</v>
      </c>
      <c r="B10349" t="str">
        <f>"063658"</f>
        <v>063658</v>
      </c>
      <c r="C10349" t="str">
        <f>"60852"</f>
        <v>60852</v>
      </c>
      <c r="D10349" t="s">
        <v>6095</v>
      </c>
      <c r="E10349" s="3">
        <v>7445</v>
      </c>
      <c r="F10349">
        <v>20160526</v>
      </c>
      <c r="G10349" t="s">
        <v>8233</v>
      </c>
      <c r="H10349" t="s">
        <v>8246</v>
      </c>
      <c r="I10349">
        <v>0</v>
      </c>
      <c r="J10349" t="s">
        <v>8232</v>
      </c>
      <c r="K10349" t="s">
        <v>95</v>
      </c>
      <c r="L10349" t="s">
        <v>285</v>
      </c>
      <c r="M10349" t="str">
        <f>"05"</f>
        <v>05</v>
      </c>
      <c r="N10349" t="s">
        <v>12</v>
      </c>
    </row>
    <row r="10350" spans="1:14" x14ac:dyDescent="0.25">
      <c r="A10350">
        <v>20160527</v>
      </c>
      <c r="B10350" t="str">
        <f>"063663"</f>
        <v>063663</v>
      </c>
      <c r="C10350" t="str">
        <f>"63618"</f>
        <v>63618</v>
      </c>
      <c r="D10350" t="s">
        <v>8041</v>
      </c>
      <c r="E10350" s="3">
        <v>573</v>
      </c>
      <c r="F10350">
        <v>20160526</v>
      </c>
      <c r="G10350" t="s">
        <v>8233</v>
      </c>
      <c r="H10350" t="s">
        <v>8247</v>
      </c>
      <c r="I10350">
        <v>0</v>
      </c>
      <c r="J10350" t="s">
        <v>8232</v>
      </c>
      <c r="K10350" t="s">
        <v>95</v>
      </c>
      <c r="L10350" t="s">
        <v>285</v>
      </c>
      <c r="M10350" t="str">
        <f>"05"</f>
        <v>05</v>
      </c>
      <c r="N10350" t="s">
        <v>12</v>
      </c>
    </row>
    <row r="10351" spans="1:14" x14ac:dyDescent="0.25">
      <c r="A10351">
        <v>20160610</v>
      </c>
      <c r="B10351" t="str">
        <f t="shared" ref="B10351:B10359" si="785">"063762"</f>
        <v>063762</v>
      </c>
      <c r="C10351" t="str">
        <f t="shared" ref="C10351:C10359" si="786">"32915"</f>
        <v>32915</v>
      </c>
      <c r="D10351" t="s">
        <v>8045</v>
      </c>
      <c r="E10351" s="3">
        <v>4353.3</v>
      </c>
      <c r="F10351">
        <v>20160608</v>
      </c>
      <c r="G10351" t="s">
        <v>8248</v>
      </c>
      <c r="H10351" t="s">
        <v>8236</v>
      </c>
      <c r="I10351">
        <v>0</v>
      </c>
      <c r="J10351" t="s">
        <v>8232</v>
      </c>
      <c r="K10351" t="s">
        <v>95</v>
      </c>
      <c r="L10351" t="s">
        <v>285</v>
      </c>
      <c r="M10351" t="str">
        <f t="shared" ref="M10351:M10361" si="787">"06"</f>
        <v>06</v>
      </c>
      <c r="N10351" t="s">
        <v>12</v>
      </c>
    </row>
    <row r="10352" spans="1:14" x14ac:dyDescent="0.25">
      <c r="A10352">
        <v>20160610</v>
      </c>
      <c r="B10352" t="str">
        <f t="shared" si="785"/>
        <v>063762</v>
      </c>
      <c r="C10352" t="str">
        <f t="shared" si="786"/>
        <v>32915</v>
      </c>
      <c r="D10352" t="s">
        <v>8045</v>
      </c>
      <c r="E10352" s="3">
        <v>3028.38</v>
      </c>
      <c r="F10352">
        <v>20160608</v>
      </c>
      <c r="G10352" t="s">
        <v>8248</v>
      </c>
      <c r="H10352" t="s">
        <v>8236</v>
      </c>
      <c r="I10352">
        <v>0</v>
      </c>
      <c r="J10352" t="s">
        <v>8232</v>
      </c>
      <c r="K10352" t="s">
        <v>95</v>
      </c>
      <c r="L10352" t="s">
        <v>285</v>
      </c>
      <c r="M10352" t="str">
        <f t="shared" si="787"/>
        <v>06</v>
      </c>
      <c r="N10352" t="s">
        <v>12</v>
      </c>
    </row>
    <row r="10353" spans="1:14" x14ac:dyDescent="0.25">
      <c r="A10353">
        <v>20160610</v>
      </c>
      <c r="B10353" t="str">
        <f t="shared" si="785"/>
        <v>063762</v>
      </c>
      <c r="C10353" t="str">
        <f t="shared" si="786"/>
        <v>32915</v>
      </c>
      <c r="D10353" t="s">
        <v>8045</v>
      </c>
      <c r="E10353" s="3">
        <v>5593.75</v>
      </c>
      <c r="F10353">
        <v>20160608</v>
      </c>
      <c r="G10353" t="s">
        <v>8248</v>
      </c>
      <c r="H10353" t="s">
        <v>8236</v>
      </c>
      <c r="I10353">
        <v>0</v>
      </c>
      <c r="J10353" t="s">
        <v>8232</v>
      </c>
      <c r="K10353" t="s">
        <v>95</v>
      </c>
      <c r="L10353" t="s">
        <v>285</v>
      </c>
      <c r="M10353" t="str">
        <f t="shared" si="787"/>
        <v>06</v>
      </c>
      <c r="N10353" t="s">
        <v>12</v>
      </c>
    </row>
    <row r="10354" spans="1:14" x14ac:dyDescent="0.25">
      <c r="A10354">
        <v>20160610</v>
      </c>
      <c r="B10354" t="str">
        <f t="shared" si="785"/>
        <v>063762</v>
      </c>
      <c r="C10354" t="str">
        <f t="shared" si="786"/>
        <v>32915</v>
      </c>
      <c r="D10354" t="s">
        <v>8045</v>
      </c>
      <c r="E10354" s="3">
        <v>4200</v>
      </c>
      <c r="F10354">
        <v>20160608</v>
      </c>
      <c r="G10354" t="s">
        <v>8249</v>
      </c>
      <c r="H10354" t="s">
        <v>8236</v>
      </c>
      <c r="I10354">
        <v>0</v>
      </c>
      <c r="J10354" t="s">
        <v>8232</v>
      </c>
      <c r="K10354" t="s">
        <v>95</v>
      </c>
      <c r="L10354" t="s">
        <v>285</v>
      </c>
      <c r="M10354" t="str">
        <f t="shared" si="787"/>
        <v>06</v>
      </c>
      <c r="N10354" t="s">
        <v>12</v>
      </c>
    </row>
    <row r="10355" spans="1:14" x14ac:dyDescent="0.25">
      <c r="A10355">
        <v>20160610</v>
      </c>
      <c r="B10355" t="str">
        <f t="shared" si="785"/>
        <v>063762</v>
      </c>
      <c r="C10355" t="str">
        <f t="shared" si="786"/>
        <v>32915</v>
      </c>
      <c r="D10355" t="s">
        <v>8045</v>
      </c>
      <c r="E10355" s="3">
        <v>4000</v>
      </c>
      <c r="F10355">
        <v>20160608</v>
      </c>
      <c r="G10355" t="s">
        <v>8249</v>
      </c>
      <c r="H10355" t="s">
        <v>8236</v>
      </c>
      <c r="I10355">
        <v>0</v>
      </c>
      <c r="J10355" t="s">
        <v>8232</v>
      </c>
      <c r="K10355" t="s">
        <v>95</v>
      </c>
      <c r="L10355" t="s">
        <v>285</v>
      </c>
      <c r="M10355" t="str">
        <f t="shared" si="787"/>
        <v>06</v>
      </c>
      <c r="N10355" t="s">
        <v>12</v>
      </c>
    </row>
    <row r="10356" spans="1:14" x14ac:dyDescent="0.25">
      <c r="A10356">
        <v>20160610</v>
      </c>
      <c r="B10356" t="str">
        <f t="shared" si="785"/>
        <v>063762</v>
      </c>
      <c r="C10356" t="str">
        <f t="shared" si="786"/>
        <v>32915</v>
      </c>
      <c r="D10356" t="s">
        <v>8045</v>
      </c>
      <c r="E10356" s="3">
        <v>3400</v>
      </c>
      <c r="F10356">
        <v>20160608</v>
      </c>
      <c r="G10356" t="s">
        <v>8233</v>
      </c>
      <c r="H10356" t="s">
        <v>8236</v>
      </c>
      <c r="I10356">
        <v>0</v>
      </c>
      <c r="J10356" t="s">
        <v>8232</v>
      </c>
      <c r="K10356" t="s">
        <v>95</v>
      </c>
      <c r="L10356" t="s">
        <v>285</v>
      </c>
      <c r="M10356" t="str">
        <f t="shared" si="787"/>
        <v>06</v>
      </c>
      <c r="N10356" t="s">
        <v>12</v>
      </c>
    </row>
    <row r="10357" spans="1:14" x14ac:dyDescent="0.25">
      <c r="A10357">
        <v>20160610</v>
      </c>
      <c r="B10357" t="str">
        <f t="shared" si="785"/>
        <v>063762</v>
      </c>
      <c r="C10357" t="str">
        <f t="shared" si="786"/>
        <v>32915</v>
      </c>
      <c r="D10357" t="s">
        <v>8045</v>
      </c>
      <c r="E10357" s="3">
        <v>3750</v>
      </c>
      <c r="F10357">
        <v>20160608</v>
      </c>
      <c r="G10357" t="s">
        <v>8233</v>
      </c>
      <c r="H10357" t="s">
        <v>8236</v>
      </c>
      <c r="I10357">
        <v>0</v>
      </c>
      <c r="J10357" t="s">
        <v>8232</v>
      </c>
      <c r="K10357" t="s">
        <v>95</v>
      </c>
      <c r="L10357" t="s">
        <v>285</v>
      </c>
      <c r="M10357" t="str">
        <f t="shared" si="787"/>
        <v>06</v>
      </c>
      <c r="N10357" t="s">
        <v>12</v>
      </c>
    </row>
    <row r="10358" spans="1:14" x14ac:dyDescent="0.25">
      <c r="A10358">
        <v>20160610</v>
      </c>
      <c r="B10358" t="str">
        <f t="shared" si="785"/>
        <v>063762</v>
      </c>
      <c r="C10358" t="str">
        <f t="shared" si="786"/>
        <v>32915</v>
      </c>
      <c r="D10358" t="s">
        <v>8045</v>
      </c>
      <c r="E10358" s="3">
        <v>431</v>
      </c>
      <c r="F10358">
        <v>20160608</v>
      </c>
      <c r="G10358" t="s">
        <v>8233</v>
      </c>
      <c r="H10358" t="s">
        <v>8236</v>
      </c>
      <c r="I10358">
        <v>0</v>
      </c>
      <c r="J10358" t="s">
        <v>8232</v>
      </c>
      <c r="K10358" t="s">
        <v>95</v>
      </c>
      <c r="L10358" t="s">
        <v>285</v>
      </c>
      <c r="M10358" t="str">
        <f t="shared" si="787"/>
        <v>06</v>
      </c>
      <c r="N10358" t="s">
        <v>12</v>
      </c>
    </row>
    <row r="10359" spans="1:14" x14ac:dyDescent="0.25">
      <c r="A10359">
        <v>20160610</v>
      </c>
      <c r="B10359" t="str">
        <f t="shared" si="785"/>
        <v>063762</v>
      </c>
      <c r="C10359" t="str">
        <f t="shared" si="786"/>
        <v>32915</v>
      </c>
      <c r="D10359" t="s">
        <v>8045</v>
      </c>
      <c r="E10359" s="3">
        <v>367.65</v>
      </c>
      <c r="F10359">
        <v>20160608</v>
      </c>
      <c r="G10359" t="s">
        <v>8250</v>
      </c>
      <c r="H10359" t="s">
        <v>8236</v>
      </c>
      <c r="I10359">
        <v>0</v>
      </c>
      <c r="J10359" t="s">
        <v>8232</v>
      </c>
      <c r="K10359" t="s">
        <v>95</v>
      </c>
      <c r="L10359" t="s">
        <v>285</v>
      </c>
      <c r="M10359" t="str">
        <f t="shared" si="787"/>
        <v>06</v>
      </c>
      <c r="N10359" t="s">
        <v>12</v>
      </c>
    </row>
    <row r="10360" spans="1:14" x14ac:dyDescent="0.25">
      <c r="A10360">
        <v>20160617</v>
      </c>
      <c r="B10360" t="str">
        <f>"063907"</f>
        <v>063907</v>
      </c>
      <c r="C10360" t="str">
        <f>"60852"</f>
        <v>60852</v>
      </c>
      <c r="D10360" t="s">
        <v>6095</v>
      </c>
      <c r="E10360" s="3">
        <v>7445</v>
      </c>
      <c r="F10360">
        <v>20160615</v>
      </c>
      <c r="G10360" t="s">
        <v>8233</v>
      </c>
      <c r="H10360" t="s">
        <v>8251</v>
      </c>
      <c r="I10360">
        <v>0</v>
      </c>
      <c r="J10360" t="s">
        <v>8232</v>
      </c>
      <c r="K10360" t="s">
        <v>95</v>
      </c>
      <c r="L10360" t="s">
        <v>285</v>
      </c>
      <c r="M10360" t="str">
        <f t="shared" si="787"/>
        <v>06</v>
      </c>
      <c r="N10360" t="s">
        <v>12</v>
      </c>
    </row>
    <row r="10361" spans="1:14" x14ac:dyDescent="0.25">
      <c r="A10361">
        <v>20160617</v>
      </c>
      <c r="B10361" t="str">
        <f>"063912"</f>
        <v>063912</v>
      </c>
      <c r="C10361" t="str">
        <f>"63618"</f>
        <v>63618</v>
      </c>
      <c r="D10361" t="s">
        <v>8041</v>
      </c>
      <c r="E10361" s="3">
        <v>794</v>
      </c>
      <c r="F10361">
        <v>20160615</v>
      </c>
      <c r="G10361" t="s">
        <v>8233</v>
      </c>
      <c r="H10361" t="s">
        <v>8252</v>
      </c>
      <c r="I10361">
        <v>0</v>
      </c>
      <c r="J10361" t="s">
        <v>8232</v>
      </c>
      <c r="K10361" t="s">
        <v>95</v>
      </c>
      <c r="L10361" t="s">
        <v>285</v>
      </c>
      <c r="M10361" t="str">
        <f t="shared" si="787"/>
        <v>06</v>
      </c>
      <c r="N10361" t="s">
        <v>12</v>
      </c>
    </row>
    <row r="10362" spans="1:14" x14ac:dyDescent="0.25">
      <c r="A10362">
        <v>20160722</v>
      </c>
      <c r="B10362" t="str">
        <f>"064170"</f>
        <v>064170</v>
      </c>
      <c r="C10362" t="str">
        <f>"60852"</f>
        <v>60852</v>
      </c>
      <c r="D10362" t="s">
        <v>6095</v>
      </c>
      <c r="E10362" s="3">
        <v>7445</v>
      </c>
      <c r="F10362">
        <v>20160721</v>
      </c>
      <c r="G10362" t="s">
        <v>8233</v>
      </c>
      <c r="H10362" t="s">
        <v>8253</v>
      </c>
      <c r="I10362">
        <v>0</v>
      </c>
      <c r="J10362" t="s">
        <v>8232</v>
      </c>
      <c r="K10362" t="s">
        <v>95</v>
      </c>
      <c r="L10362" t="s">
        <v>285</v>
      </c>
      <c r="M10362" t="str">
        <f>"07"</f>
        <v>07</v>
      </c>
      <c r="N10362" t="s">
        <v>12</v>
      </c>
    </row>
    <row r="10363" spans="1:14" x14ac:dyDescent="0.25">
      <c r="A10363">
        <v>20160729</v>
      </c>
      <c r="B10363" t="str">
        <f>"064216"</f>
        <v>064216</v>
      </c>
      <c r="C10363" t="str">
        <f>"32915"</f>
        <v>32915</v>
      </c>
      <c r="D10363" t="s">
        <v>8045</v>
      </c>
      <c r="E10363" s="3">
        <v>1611.69</v>
      </c>
      <c r="F10363">
        <v>20160728</v>
      </c>
      <c r="G10363" t="s">
        <v>8248</v>
      </c>
      <c r="H10363" t="s">
        <v>8236</v>
      </c>
      <c r="I10363">
        <v>0</v>
      </c>
      <c r="J10363" t="s">
        <v>8232</v>
      </c>
      <c r="K10363" t="s">
        <v>95</v>
      </c>
      <c r="L10363" t="s">
        <v>285</v>
      </c>
      <c r="M10363" t="str">
        <f>"07"</f>
        <v>07</v>
      </c>
      <c r="N10363" t="s">
        <v>12</v>
      </c>
    </row>
    <row r="10364" spans="1:14" x14ac:dyDescent="0.25">
      <c r="A10364">
        <v>20160729</v>
      </c>
      <c r="B10364" t="str">
        <f>"064216"</f>
        <v>064216</v>
      </c>
      <c r="C10364" t="str">
        <f>"32915"</f>
        <v>32915</v>
      </c>
      <c r="D10364" t="s">
        <v>8045</v>
      </c>
      <c r="E10364" s="3">
        <v>164</v>
      </c>
      <c r="F10364">
        <v>20160728</v>
      </c>
      <c r="G10364" t="s">
        <v>8233</v>
      </c>
      <c r="H10364" t="s">
        <v>8236</v>
      </c>
      <c r="I10364">
        <v>0</v>
      </c>
      <c r="J10364" t="s">
        <v>8232</v>
      </c>
      <c r="K10364" t="s">
        <v>95</v>
      </c>
      <c r="L10364" t="s">
        <v>285</v>
      </c>
      <c r="M10364" t="str">
        <f>"07"</f>
        <v>07</v>
      </c>
      <c r="N10364" t="s">
        <v>12</v>
      </c>
    </row>
    <row r="10365" spans="1:14" x14ac:dyDescent="0.25">
      <c r="A10365">
        <v>20160729</v>
      </c>
      <c r="B10365" t="str">
        <f>"064223"</f>
        <v>064223</v>
      </c>
      <c r="C10365" t="str">
        <f>"45708"</f>
        <v>45708</v>
      </c>
      <c r="D10365" t="s">
        <v>8051</v>
      </c>
      <c r="E10365" s="3">
        <v>36045.03</v>
      </c>
      <c r="F10365">
        <v>20160728</v>
      </c>
      <c r="G10365" t="s">
        <v>8235</v>
      </c>
      <c r="H10365" t="s">
        <v>8236</v>
      </c>
      <c r="I10365">
        <v>0</v>
      </c>
      <c r="J10365" t="s">
        <v>8232</v>
      </c>
      <c r="K10365" t="s">
        <v>95</v>
      </c>
      <c r="L10365" t="s">
        <v>285</v>
      </c>
      <c r="M10365" t="str">
        <f>"07"</f>
        <v>07</v>
      </c>
      <c r="N10365" t="s">
        <v>12</v>
      </c>
    </row>
    <row r="10366" spans="1:14" x14ac:dyDescent="0.25">
      <c r="A10366">
        <v>20160805</v>
      </c>
      <c r="B10366" t="str">
        <f>"064294"</f>
        <v>064294</v>
      </c>
      <c r="C10366" t="str">
        <f>"45708"</f>
        <v>45708</v>
      </c>
      <c r="D10366" t="s">
        <v>8051</v>
      </c>
      <c r="E10366" s="3">
        <v>11029.5</v>
      </c>
      <c r="F10366">
        <v>20160804</v>
      </c>
      <c r="G10366" t="s">
        <v>8235</v>
      </c>
      <c r="H10366" t="s">
        <v>8236</v>
      </c>
      <c r="I10366">
        <v>0</v>
      </c>
      <c r="J10366" t="s">
        <v>8232</v>
      </c>
      <c r="K10366" t="s">
        <v>95</v>
      </c>
      <c r="L10366" t="s">
        <v>285</v>
      </c>
      <c r="M10366" t="str">
        <f>"08"</f>
        <v>08</v>
      </c>
      <c r="N10366" t="s">
        <v>12</v>
      </c>
    </row>
    <row r="10367" spans="1:14" x14ac:dyDescent="0.25">
      <c r="A10367">
        <v>20160812</v>
      </c>
      <c r="B10367" t="str">
        <f>"064358"</f>
        <v>064358</v>
      </c>
      <c r="C10367" t="str">
        <f>"32915"</f>
        <v>32915</v>
      </c>
      <c r="D10367" t="s">
        <v>8045</v>
      </c>
      <c r="E10367" s="3">
        <v>11100</v>
      </c>
      <c r="F10367">
        <v>20160811</v>
      </c>
      <c r="G10367" t="s">
        <v>8254</v>
      </c>
      <c r="H10367" t="s">
        <v>8255</v>
      </c>
      <c r="I10367">
        <v>0</v>
      </c>
      <c r="J10367" t="s">
        <v>8232</v>
      </c>
      <c r="K10367" t="s">
        <v>95</v>
      </c>
      <c r="L10367" t="s">
        <v>285</v>
      </c>
      <c r="M10367" t="str">
        <f>"08"</f>
        <v>08</v>
      </c>
      <c r="N10367" t="s">
        <v>12</v>
      </c>
    </row>
    <row r="10368" spans="1:14" x14ac:dyDescent="0.25">
      <c r="A10368">
        <v>20160812</v>
      </c>
      <c r="B10368" t="str">
        <f>"064382"</f>
        <v>064382</v>
      </c>
      <c r="C10368" t="str">
        <f>"60852"</f>
        <v>60852</v>
      </c>
      <c r="D10368" t="s">
        <v>6095</v>
      </c>
      <c r="E10368" s="3">
        <v>7445</v>
      </c>
      <c r="F10368">
        <v>20160812</v>
      </c>
      <c r="G10368" t="s">
        <v>8233</v>
      </c>
      <c r="H10368" t="s">
        <v>8256</v>
      </c>
      <c r="I10368">
        <v>0</v>
      </c>
      <c r="J10368" t="s">
        <v>8232</v>
      </c>
      <c r="K10368" t="s">
        <v>95</v>
      </c>
      <c r="L10368" t="s">
        <v>285</v>
      </c>
      <c r="M10368" t="str">
        <f>"08"</f>
        <v>08</v>
      </c>
      <c r="N10368" t="s">
        <v>12</v>
      </c>
    </row>
    <row r="10369" spans="1:14" x14ac:dyDescent="0.25">
      <c r="A10369">
        <v>20160819</v>
      </c>
      <c r="B10369" t="str">
        <f>"064429"</f>
        <v>064429</v>
      </c>
      <c r="C10369" t="str">
        <f>"34271"</f>
        <v>34271</v>
      </c>
      <c r="D10369" t="s">
        <v>1704</v>
      </c>
      <c r="E10369" s="3">
        <v>2750</v>
      </c>
      <c r="F10369">
        <v>20160817</v>
      </c>
      <c r="G10369" t="s">
        <v>8233</v>
      </c>
      <c r="H10369" t="s">
        <v>8257</v>
      </c>
      <c r="I10369">
        <v>0</v>
      </c>
      <c r="J10369" t="s">
        <v>8232</v>
      </c>
      <c r="K10369" t="s">
        <v>95</v>
      </c>
      <c r="L10369" t="s">
        <v>285</v>
      </c>
      <c r="M10369" t="str">
        <f>"08"</f>
        <v>08</v>
      </c>
      <c r="N10369" t="s">
        <v>12</v>
      </c>
    </row>
    <row r="10370" spans="1:14" x14ac:dyDescent="0.25">
      <c r="A10370">
        <v>20151009</v>
      </c>
      <c r="B10370" t="str">
        <f>"060516"</f>
        <v>060516</v>
      </c>
      <c r="C10370" t="str">
        <f>"06509"</f>
        <v>06509</v>
      </c>
      <c r="D10370" t="s">
        <v>1555</v>
      </c>
      <c r="E10370" s="3">
        <v>14960</v>
      </c>
      <c r="F10370">
        <v>20151008</v>
      </c>
      <c r="G10370" t="s">
        <v>8258</v>
      </c>
      <c r="H10370" t="s">
        <v>1557</v>
      </c>
      <c r="I10370">
        <v>0</v>
      </c>
      <c r="J10370" t="s">
        <v>8259</v>
      </c>
      <c r="K10370" t="s">
        <v>1643</v>
      </c>
      <c r="L10370" t="s">
        <v>285</v>
      </c>
      <c r="M10370" t="str">
        <f t="shared" ref="M10370:M10377" si="788">"10"</f>
        <v>10</v>
      </c>
      <c r="N10370" t="s">
        <v>12</v>
      </c>
    </row>
    <row r="10371" spans="1:14" x14ac:dyDescent="0.25">
      <c r="A10371">
        <v>20151009</v>
      </c>
      <c r="B10371" t="str">
        <f>"060527"</f>
        <v>060527</v>
      </c>
      <c r="C10371" t="str">
        <f>"16807"</f>
        <v>16807</v>
      </c>
      <c r="D10371" t="s">
        <v>1560</v>
      </c>
      <c r="E10371" s="3">
        <v>1325.64</v>
      </c>
      <c r="F10371">
        <v>20151008</v>
      </c>
      <c r="G10371" t="s">
        <v>8260</v>
      </c>
      <c r="H10371" t="s">
        <v>8261</v>
      </c>
      <c r="I10371">
        <v>0</v>
      </c>
      <c r="J10371" t="s">
        <v>8259</v>
      </c>
      <c r="K10371" t="s">
        <v>33</v>
      </c>
      <c r="L10371" t="s">
        <v>285</v>
      </c>
      <c r="M10371" t="str">
        <f t="shared" si="788"/>
        <v>10</v>
      </c>
      <c r="N10371" t="s">
        <v>12</v>
      </c>
    </row>
    <row r="10372" spans="1:14" x14ac:dyDescent="0.25">
      <c r="A10372">
        <v>20151009</v>
      </c>
      <c r="B10372" t="str">
        <f>"060643"</f>
        <v>060643</v>
      </c>
      <c r="C10372" t="str">
        <f>"65826"</f>
        <v>65826</v>
      </c>
      <c r="D10372" t="s">
        <v>2386</v>
      </c>
      <c r="E10372" s="3">
        <v>390.87</v>
      </c>
      <c r="F10372">
        <v>20151009</v>
      </c>
      <c r="G10372" t="s">
        <v>8262</v>
      </c>
      <c r="H10372" t="s">
        <v>5734</v>
      </c>
      <c r="I10372">
        <v>0</v>
      </c>
      <c r="J10372" t="s">
        <v>8259</v>
      </c>
      <c r="K10372" t="s">
        <v>1643</v>
      </c>
      <c r="L10372" t="s">
        <v>285</v>
      </c>
      <c r="M10372" t="str">
        <f t="shared" si="788"/>
        <v>10</v>
      </c>
      <c r="N10372" t="s">
        <v>12</v>
      </c>
    </row>
    <row r="10373" spans="1:14" x14ac:dyDescent="0.25">
      <c r="A10373">
        <v>20151009</v>
      </c>
      <c r="B10373" t="str">
        <f>"060667"</f>
        <v>060667</v>
      </c>
      <c r="C10373" t="str">
        <f>"81779"</f>
        <v>81779</v>
      </c>
      <c r="D10373" t="s">
        <v>4697</v>
      </c>
      <c r="E10373" s="3">
        <v>523.08000000000004</v>
      </c>
      <c r="F10373">
        <v>20151009</v>
      </c>
      <c r="G10373" t="s">
        <v>8260</v>
      </c>
      <c r="H10373" t="s">
        <v>8263</v>
      </c>
      <c r="I10373">
        <v>0</v>
      </c>
      <c r="J10373" t="s">
        <v>8259</v>
      </c>
      <c r="K10373" t="s">
        <v>33</v>
      </c>
      <c r="L10373" t="s">
        <v>285</v>
      </c>
      <c r="M10373" t="str">
        <f t="shared" si="788"/>
        <v>10</v>
      </c>
      <c r="N10373" t="s">
        <v>12</v>
      </c>
    </row>
    <row r="10374" spans="1:14" x14ac:dyDescent="0.25">
      <c r="A10374">
        <v>20151016</v>
      </c>
      <c r="B10374" t="str">
        <f>"060687"</f>
        <v>060687</v>
      </c>
      <c r="C10374" t="str">
        <f>"08788"</f>
        <v>08788</v>
      </c>
      <c r="D10374" t="s">
        <v>302</v>
      </c>
      <c r="E10374" s="3">
        <v>210.5</v>
      </c>
      <c r="F10374">
        <v>20151015</v>
      </c>
      <c r="G10374" t="s">
        <v>8260</v>
      </c>
      <c r="H10374" t="s">
        <v>8264</v>
      </c>
      <c r="I10374">
        <v>0</v>
      </c>
      <c r="J10374" t="s">
        <v>8259</v>
      </c>
      <c r="K10374" t="s">
        <v>33</v>
      </c>
      <c r="L10374" t="s">
        <v>285</v>
      </c>
      <c r="M10374" t="str">
        <f t="shared" si="788"/>
        <v>10</v>
      </c>
      <c r="N10374" t="s">
        <v>12</v>
      </c>
    </row>
    <row r="10375" spans="1:14" x14ac:dyDescent="0.25">
      <c r="A10375">
        <v>20151029</v>
      </c>
      <c r="B10375" t="str">
        <f>"060935"</f>
        <v>060935</v>
      </c>
      <c r="C10375" t="str">
        <f>"32920"</f>
        <v>32920</v>
      </c>
      <c r="D10375" t="s">
        <v>7182</v>
      </c>
      <c r="E10375" s="3">
        <v>550</v>
      </c>
      <c r="F10375">
        <v>20151028</v>
      </c>
      <c r="G10375" t="s">
        <v>8262</v>
      </c>
      <c r="H10375" t="s">
        <v>7183</v>
      </c>
      <c r="I10375">
        <v>0</v>
      </c>
      <c r="J10375" t="s">
        <v>8259</v>
      </c>
      <c r="K10375" t="s">
        <v>1643</v>
      </c>
      <c r="L10375" t="s">
        <v>285</v>
      </c>
      <c r="M10375" t="str">
        <f t="shared" si="788"/>
        <v>10</v>
      </c>
      <c r="N10375" t="s">
        <v>12</v>
      </c>
    </row>
    <row r="10376" spans="1:14" x14ac:dyDescent="0.25">
      <c r="A10376">
        <v>20151029</v>
      </c>
      <c r="B10376" t="str">
        <f>"060936"</f>
        <v>060936</v>
      </c>
      <c r="C10376" t="str">
        <f>"33699"</f>
        <v>33699</v>
      </c>
      <c r="D10376" t="s">
        <v>8265</v>
      </c>
      <c r="E10376" s="3">
        <v>163.30000000000001</v>
      </c>
      <c r="F10376">
        <v>20151028</v>
      </c>
      <c r="G10376" t="s">
        <v>8260</v>
      </c>
      <c r="H10376" t="s">
        <v>8266</v>
      </c>
      <c r="I10376">
        <v>0</v>
      </c>
      <c r="J10376" t="s">
        <v>8259</v>
      </c>
      <c r="K10376" t="s">
        <v>33</v>
      </c>
      <c r="L10376" t="s">
        <v>285</v>
      </c>
      <c r="M10376" t="str">
        <f t="shared" si="788"/>
        <v>10</v>
      </c>
      <c r="N10376" t="s">
        <v>12</v>
      </c>
    </row>
    <row r="10377" spans="1:14" x14ac:dyDescent="0.25">
      <c r="A10377">
        <v>20151029</v>
      </c>
      <c r="B10377" t="str">
        <f>"060993"</f>
        <v>060993</v>
      </c>
      <c r="C10377" t="str">
        <f>"83022"</f>
        <v>83022</v>
      </c>
      <c r="D10377" t="s">
        <v>394</v>
      </c>
      <c r="E10377" s="3">
        <v>57.97</v>
      </c>
      <c r="F10377">
        <v>20151028</v>
      </c>
      <c r="G10377" t="s">
        <v>8260</v>
      </c>
      <c r="H10377" t="s">
        <v>8267</v>
      </c>
      <c r="I10377">
        <v>0</v>
      </c>
      <c r="J10377" t="s">
        <v>8259</v>
      </c>
      <c r="K10377" t="s">
        <v>33</v>
      </c>
      <c r="L10377" t="s">
        <v>285</v>
      </c>
      <c r="M10377" t="str">
        <f t="shared" si="788"/>
        <v>10</v>
      </c>
      <c r="N10377" t="s">
        <v>12</v>
      </c>
    </row>
    <row r="10378" spans="1:14" x14ac:dyDescent="0.25">
      <c r="A10378">
        <v>20151113</v>
      </c>
      <c r="B10378" t="str">
        <f>"061085"</f>
        <v>061085</v>
      </c>
      <c r="C10378" t="str">
        <f>"37500"</f>
        <v>37500</v>
      </c>
      <c r="D10378" t="s">
        <v>1652</v>
      </c>
      <c r="E10378" s="3">
        <v>205.44</v>
      </c>
      <c r="F10378">
        <v>20151112</v>
      </c>
      <c r="G10378" t="s">
        <v>8260</v>
      </c>
      <c r="H10378" t="s">
        <v>8268</v>
      </c>
      <c r="I10378">
        <v>0</v>
      </c>
      <c r="J10378" t="s">
        <v>8259</v>
      </c>
      <c r="K10378" t="s">
        <v>33</v>
      </c>
      <c r="L10378" t="s">
        <v>285</v>
      </c>
      <c r="M10378" t="str">
        <f>"11"</f>
        <v>11</v>
      </c>
      <c r="N10378" t="s">
        <v>12</v>
      </c>
    </row>
    <row r="10379" spans="1:14" x14ac:dyDescent="0.25">
      <c r="A10379">
        <v>20151204</v>
      </c>
      <c r="B10379" t="str">
        <f>"061303"</f>
        <v>061303</v>
      </c>
      <c r="C10379" t="str">
        <f>"34226"</f>
        <v>34226</v>
      </c>
      <c r="D10379" t="s">
        <v>1976</v>
      </c>
      <c r="E10379" s="3">
        <v>2396.63</v>
      </c>
      <c r="F10379">
        <v>20151203</v>
      </c>
      <c r="G10379" t="s">
        <v>8262</v>
      </c>
      <c r="H10379" t="s">
        <v>8269</v>
      </c>
      <c r="I10379">
        <v>0</v>
      </c>
      <c r="J10379" t="s">
        <v>8259</v>
      </c>
      <c r="K10379" t="s">
        <v>1643</v>
      </c>
      <c r="L10379" t="s">
        <v>285</v>
      </c>
      <c r="M10379" t="str">
        <f t="shared" ref="M10379:M10386" si="789">"12"</f>
        <v>12</v>
      </c>
      <c r="N10379" t="s">
        <v>12</v>
      </c>
    </row>
    <row r="10380" spans="1:14" x14ac:dyDescent="0.25">
      <c r="A10380">
        <v>20151204</v>
      </c>
      <c r="B10380" t="str">
        <f>"061340"</f>
        <v>061340</v>
      </c>
      <c r="C10380" t="str">
        <f>"60835"</f>
        <v>60835</v>
      </c>
      <c r="D10380" t="s">
        <v>1904</v>
      </c>
      <c r="E10380" s="3">
        <v>1215</v>
      </c>
      <c r="F10380">
        <v>20151204</v>
      </c>
      <c r="G10380" t="s">
        <v>8262</v>
      </c>
      <c r="H10380" t="s">
        <v>8270</v>
      </c>
      <c r="I10380">
        <v>0</v>
      </c>
      <c r="J10380" t="s">
        <v>8259</v>
      </c>
      <c r="K10380" t="s">
        <v>1643</v>
      </c>
      <c r="L10380" t="s">
        <v>285</v>
      </c>
      <c r="M10380" t="str">
        <f t="shared" si="789"/>
        <v>12</v>
      </c>
      <c r="N10380" t="s">
        <v>12</v>
      </c>
    </row>
    <row r="10381" spans="1:14" x14ac:dyDescent="0.25">
      <c r="A10381">
        <v>20151204</v>
      </c>
      <c r="B10381" t="str">
        <f>"061364"</f>
        <v>061364</v>
      </c>
      <c r="C10381" t="str">
        <f>"83022"</f>
        <v>83022</v>
      </c>
      <c r="D10381" t="s">
        <v>394</v>
      </c>
      <c r="E10381" s="3">
        <v>1186.23</v>
      </c>
      <c r="F10381">
        <v>20151204</v>
      </c>
      <c r="G10381" t="s">
        <v>8260</v>
      </c>
      <c r="H10381" t="s">
        <v>8271</v>
      </c>
      <c r="I10381">
        <v>0</v>
      </c>
      <c r="J10381" t="s">
        <v>8259</v>
      </c>
      <c r="K10381" t="s">
        <v>33</v>
      </c>
      <c r="L10381" t="s">
        <v>285</v>
      </c>
      <c r="M10381" t="str">
        <f t="shared" si="789"/>
        <v>12</v>
      </c>
      <c r="N10381" t="s">
        <v>12</v>
      </c>
    </row>
    <row r="10382" spans="1:14" x14ac:dyDescent="0.25">
      <c r="A10382">
        <v>20151204</v>
      </c>
      <c r="B10382" t="str">
        <f>"061364"</f>
        <v>061364</v>
      </c>
      <c r="C10382" t="str">
        <f>"83022"</f>
        <v>83022</v>
      </c>
      <c r="D10382" t="s">
        <v>394</v>
      </c>
      <c r="E10382" s="3">
        <v>63.99</v>
      </c>
      <c r="F10382">
        <v>20151204</v>
      </c>
      <c r="G10382" t="s">
        <v>8260</v>
      </c>
      <c r="H10382" t="s">
        <v>8272</v>
      </c>
      <c r="I10382">
        <v>0</v>
      </c>
      <c r="J10382" t="s">
        <v>8259</v>
      </c>
      <c r="K10382" t="s">
        <v>33</v>
      </c>
      <c r="L10382" t="s">
        <v>285</v>
      </c>
      <c r="M10382" t="str">
        <f t="shared" si="789"/>
        <v>12</v>
      </c>
      <c r="N10382" t="s">
        <v>12</v>
      </c>
    </row>
    <row r="10383" spans="1:14" x14ac:dyDescent="0.25">
      <c r="A10383">
        <v>20151204</v>
      </c>
      <c r="B10383" t="str">
        <f>"061364"</f>
        <v>061364</v>
      </c>
      <c r="C10383" t="str">
        <f>"83022"</f>
        <v>83022</v>
      </c>
      <c r="D10383" t="s">
        <v>394</v>
      </c>
      <c r="E10383" s="3">
        <v>174.64</v>
      </c>
      <c r="F10383">
        <v>20151204</v>
      </c>
      <c r="G10383" t="s">
        <v>8260</v>
      </c>
      <c r="H10383" t="s">
        <v>8272</v>
      </c>
      <c r="I10383">
        <v>0</v>
      </c>
      <c r="J10383" t="s">
        <v>8259</v>
      </c>
      <c r="K10383" t="s">
        <v>33</v>
      </c>
      <c r="L10383" t="s">
        <v>285</v>
      </c>
      <c r="M10383" t="str">
        <f t="shared" si="789"/>
        <v>12</v>
      </c>
      <c r="N10383" t="s">
        <v>12</v>
      </c>
    </row>
    <row r="10384" spans="1:14" x14ac:dyDescent="0.25">
      <c r="A10384">
        <v>20151211</v>
      </c>
      <c r="B10384" t="str">
        <f>"061416"</f>
        <v>061416</v>
      </c>
      <c r="C10384" t="str">
        <f>"33699"</f>
        <v>33699</v>
      </c>
      <c r="D10384" t="s">
        <v>8265</v>
      </c>
      <c r="E10384" s="3">
        <v>371.35</v>
      </c>
      <c r="F10384">
        <v>20151210</v>
      </c>
      <c r="G10384" t="s">
        <v>8260</v>
      </c>
      <c r="H10384" t="s">
        <v>8266</v>
      </c>
      <c r="I10384">
        <v>0</v>
      </c>
      <c r="J10384" t="s">
        <v>8259</v>
      </c>
      <c r="K10384" t="s">
        <v>33</v>
      </c>
      <c r="L10384" t="s">
        <v>285</v>
      </c>
      <c r="M10384" t="str">
        <f t="shared" si="789"/>
        <v>12</v>
      </c>
      <c r="N10384" t="s">
        <v>12</v>
      </c>
    </row>
    <row r="10385" spans="1:14" x14ac:dyDescent="0.25">
      <c r="A10385">
        <v>20151218</v>
      </c>
      <c r="B10385" t="str">
        <f>"061609"</f>
        <v>061609</v>
      </c>
      <c r="C10385" t="str">
        <f>"57412"</f>
        <v>57412</v>
      </c>
      <c r="D10385" t="s">
        <v>3494</v>
      </c>
      <c r="E10385" s="3">
        <v>5127</v>
      </c>
      <c r="F10385">
        <v>20151216</v>
      </c>
      <c r="G10385" t="s">
        <v>8273</v>
      </c>
      <c r="H10385" t="s">
        <v>3495</v>
      </c>
      <c r="I10385">
        <v>0</v>
      </c>
      <c r="J10385" t="s">
        <v>8259</v>
      </c>
      <c r="K10385" t="s">
        <v>1643</v>
      </c>
      <c r="L10385" t="s">
        <v>285</v>
      </c>
      <c r="M10385" t="str">
        <f t="shared" si="789"/>
        <v>12</v>
      </c>
      <c r="N10385" t="s">
        <v>12</v>
      </c>
    </row>
    <row r="10386" spans="1:14" x14ac:dyDescent="0.25">
      <c r="A10386">
        <v>20151218</v>
      </c>
      <c r="B10386" t="str">
        <f>"061642"</f>
        <v>061642</v>
      </c>
      <c r="C10386" t="str">
        <f>"83060"</f>
        <v>83060</v>
      </c>
      <c r="D10386" t="s">
        <v>8274</v>
      </c>
      <c r="E10386" s="3">
        <v>2480</v>
      </c>
      <c r="F10386">
        <v>20151217</v>
      </c>
      <c r="G10386" t="s">
        <v>8275</v>
      </c>
      <c r="H10386" t="s">
        <v>8276</v>
      </c>
      <c r="I10386">
        <v>0</v>
      </c>
      <c r="J10386" t="s">
        <v>8259</v>
      </c>
      <c r="K10386" t="s">
        <v>33</v>
      </c>
      <c r="L10386" t="s">
        <v>285</v>
      </c>
      <c r="M10386" t="str">
        <f t="shared" si="789"/>
        <v>12</v>
      </c>
      <c r="N10386" t="s">
        <v>12</v>
      </c>
    </row>
    <row r="10387" spans="1:14" x14ac:dyDescent="0.25">
      <c r="A10387">
        <v>20160111</v>
      </c>
      <c r="B10387" t="str">
        <f>"061677"</f>
        <v>061677</v>
      </c>
      <c r="C10387" t="str">
        <f>"09170"</f>
        <v>09170</v>
      </c>
      <c r="D10387" t="s">
        <v>596</v>
      </c>
      <c r="E10387" s="3">
        <v>238.1</v>
      </c>
      <c r="F10387">
        <v>20160108</v>
      </c>
      <c r="G10387" t="s">
        <v>8262</v>
      </c>
      <c r="H10387" t="s">
        <v>7375</v>
      </c>
      <c r="I10387">
        <v>0</v>
      </c>
      <c r="J10387" t="s">
        <v>8259</v>
      </c>
      <c r="K10387" t="s">
        <v>1643</v>
      </c>
      <c r="L10387" t="s">
        <v>285</v>
      </c>
      <c r="M10387" t="str">
        <f>"01"</f>
        <v>01</v>
      </c>
      <c r="N10387" t="s">
        <v>12</v>
      </c>
    </row>
    <row r="10388" spans="1:14" x14ac:dyDescent="0.25">
      <c r="A10388">
        <v>20160111</v>
      </c>
      <c r="B10388" t="str">
        <f>"061677"</f>
        <v>061677</v>
      </c>
      <c r="C10388" t="str">
        <f>"09170"</f>
        <v>09170</v>
      </c>
      <c r="D10388" t="s">
        <v>596</v>
      </c>
      <c r="E10388" s="3">
        <v>225</v>
      </c>
      <c r="F10388">
        <v>20160108</v>
      </c>
      <c r="G10388" t="s">
        <v>8260</v>
      </c>
      <c r="H10388" t="s">
        <v>8277</v>
      </c>
      <c r="I10388">
        <v>0</v>
      </c>
      <c r="J10388" t="s">
        <v>8259</v>
      </c>
      <c r="K10388" t="s">
        <v>33</v>
      </c>
      <c r="L10388" t="s">
        <v>285</v>
      </c>
      <c r="M10388" t="str">
        <f>"01"</f>
        <v>01</v>
      </c>
      <c r="N10388" t="s">
        <v>12</v>
      </c>
    </row>
    <row r="10389" spans="1:14" x14ac:dyDescent="0.25">
      <c r="A10389">
        <v>20160111</v>
      </c>
      <c r="B10389" t="str">
        <f>"061722"</f>
        <v>061722</v>
      </c>
      <c r="C10389" t="str">
        <f>"58203"</f>
        <v>58203</v>
      </c>
      <c r="D10389" t="s">
        <v>2371</v>
      </c>
      <c r="E10389" s="3">
        <v>200.75</v>
      </c>
      <c r="F10389">
        <v>20160108</v>
      </c>
      <c r="G10389" t="s">
        <v>8262</v>
      </c>
      <c r="H10389" t="s">
        <v>7375</v>
      </c>
      <c r="I10389">
        <v>0</v>
      </c>
      <c r="J10389" t="s">
        <v>8259</v>
      </c>
      <c r="K10389" t="s">
        <v>1643</v>
      </c>
      <c r="L10389" t="s">
        <v>285</v>
      </c>
      <c r="M10389" t="str">
        <f>"01"</f>
        <v>01</v>
      </c>
      <c r="N10389" t="s">
        <v>12</v>
      </c>
    </row>
    <row r="10390" spans="1:14" x14ac:dyDescent="0.25">
      <c r="A10390">
        <v>20160122</v>
      </c>
      <c r="B10390" t="str">
        <f>"061906"</f>
        <v>061906</v>
      </c>
      <c r="C10390" t="str">
        <f>"83060"</f>
        <v>83060</v>
      </c>
      <c r="D10390" t="s">
        <v>8274</v>
      </c>
      <c r="E10390" s="3">
        <v>590</v>
      </c>
      <c r="F10390">
        <v>20160122</v>
      </c>
      <c r="G10390" t="s">
        <v>8275</v>
      </c>
      <c r="H10390" t="s">
        <v>8278</v>
      </c>
      <c r="I10390">
        <v>0</v>
      </c>
      <c r="J10390" t="s">
        <v>8259</v>
      </c>
      <c r="K10390" t="s">
        <v>33</v>
      </c>
      <c r="L10390" t="s">
        <v>285</v>
      </c>
      <c r="M10390" t="str">
        <f>"01"</f>
        <v>01</v>
      </c>
      <c r="N10390" t="s">
        <v>12</v>
      </c>
    </row>
    <row r="10391" spans="1:14" x14ac:dyDescent="0.25">
      <c r="A10391">
        <v>20160129</v>
      </c>
      <c r="B10391" t="str">
        <f>"061989"</f>
        <v>061989</v>
      </c>
      <c r="C10391" t="str">
        <f>"56564"</f>
        <v>56564</v>
      </c>
      <c r="D10391" t="s">
        <v>1578</v>
      </c>
      <c r="E10391" s="3">
        <v>103.74</v>
      </c>
      <c r="F10391">
        <v>20160128</v>
      </c>
      <c r="G10391" t="s">
        <v>8262</v>
      </c>
      <c r="H10391" t="s">
        <v>2169</v>
      </c>
      <c r="I10391">
        <v>0</v>
      </c>
      <c r="J10391" t="s">
        <v>8259</v>
      </c>
      <c r="K10391" t="s">
        <v>1643</v>
      </c>
      <c r="L10391" t="s">
        <v>285</v>
      </c>
      <c r="M10391" t="str">
        <f>"01"</f>
        <v>01</v>
      </c>
      <c r="N10391" t="s">
        <v>12</v>
      </c>
    </row>
    <row r="10392" spans="1:14" x14ac:dyDescent="0.25">
      <c r="A10392">
        <v>20160212</v>
      </c>
      <c r="B10392" t="str">
        <f>"062367"</f>
        <v>062367</v>
      </c>
      <c r="C10392" t="str">
        <f>"83060"</f>
        <v>83060</v>
      </c>
      <c r="D10392" t="s">
        <v>8274</v>
      </c>
      <c r="E10392" s="3">
        <v>1710</v>
      </c>
      <c r="F10392">
        <v>20160212</v>
      </c>
      <c r="G10392" t="s">
        <v>8275</v>
      </c>
      <c r="H10392" t="s">
        <v>8279</v>
      </c>
      <c r="I10392">
        <v>0</v>
      </c>
      <c r="J10392" t="s">
        <v>8259</v>
      </c>
      <c r="K10392" t="s">
        <v>33</v>
      </c>
      <c r="L10392" t="s">
        <v>285</v>
      </c>
      <c r="M10392" t="str">
        <f>"02"</f>
        <v>02</v>
      </c>
      <c r="N10392" t="s">
        <v>12</v>
      </c>
    </row>
    <row r="10393" spans="1:14" x14ac:dyDescent="0.25">
      <c r="A10393">
        <v>20160219</v>
      </c>
      <c r="B10393" t="str">
        <f>"062466"</f>
        <v>062466</v>
      </c>
      <c r="C10393" t="str">
        <f>"58201"</f>
        <v>58201</v>
      </c>
      <c r="D10393" t="s">
        <v>1690</v>
      </c>
      <c r="E10393" s="3">
        <v>29</v>
      </c>
      <c r="F10393">
        <v>20160218</v>
      </c>
      <c r="G10393" t="s">
        <v>8260</v>
      </c>
      <c r="H10393" t="s">
        <v>8280</v>
      </c>
      <c r="I10393">
        <v>0</v>
      </c>
      <c r="J10393" t="s">
        <v>8259</v>
      </c>
      <c r="K10393" t="s">
        <v>33</v>
      </c>
      <c r="L10393" t="s">
        <v>285</v>
      </c>
      <c r="M10393" t="str">
        <f>"02"</f>
        <v>02</v>
      </c>
      <c r="N10393" t="s">
        <v>12</v>
      </c>
    </row>
    <row r="10394" spans="1:14" x14ac:dyDescent="0.25">
      <c r="A10394">
        <v>20160304</v>
      </c>
      <c r="B10394" t="str">
        <f>"062627"</f>
        <v>062627</v>
      </c>
      <c r="C10394" t="str">
        <f>"83022"</f>
        <v>83022</v>
      </c>
      <c r="D10394" t="s">
        <v>394</v>
      </c>
      <c r="E10394" s="3">
        <v>288.29000000000002</v>
      </c>
      <c r="F10394">
        <v>20160304</v>
      </c>
      <c r="G10394" t="s">
        <v>8262</v>
      </c>
      <c r="H10394" t="s">
        <v>8272</v>
      </c>
      <c r="I10394">
        <v>0</v>
      </c>
      <c r="J10394" t="s">
        <v>8259</v>
      </c>
      <c r="K10394" t="s">
        <v>1643</v>
      </c>
      <c r="L10394" t="s">
        <v>285</v>
      </c>
      <c r="M10394" t="str">
        <f>"03"</f>
        <v>03</v>
      </c>
      <c r="N10394" t="s">
        <v>12</v>
      </c>
    </row>
    <row r="10395" spans="1:14" x14ac:dyDescent="0.25">
      <c r="A10395">
        <v>20160318</v>
      </c>
      <c r="B10395" t="str">
        <f>"062782"</f>
        <v>062782</v>
      </c>
      <c r="C10395" t="str">
        <f>"58203"</f>
        <v>58203</v>
      </c>
      <c r="D10395" t="s">
        <v>2371</v>
      </c>
      <c r="E10395" s="3">
        <v>29</v>
      </c>
      <c r="F10395">
        <v>20160317</v>
      </c>
      <c r="G10395" t="s">
        <v>8262</v>
      </c>
      <c r="H10395" t="s">
        <v>8281</v>
      </c>
      <c r="I10395">
        <v>0</v>
      </c>
      <c r="J10395" t="s">
        <v>8259</v>
      </c>
      <c r="K10395" t="s">
        <v>1643</v>
      </c>
      <c r="L10395" t="s">
        <v>285</v>
      </c>
      <c r="M10395" t="str">
        <f>"03"</f>
        <v>03</v>
      </c>
      <c r="N10395" t="s">
        <v>12</v>
      </c>
    </row>
    <row r="10396" spans="1:14" x14ac:dyDescent="0.25">
      <c r="A10396">
        <v>20160415</v>
      </c>
      <c r="B10396" t="str">
        <f>"063174"</f>
        <v>063174</v>
      </c>
      <c r="C10396" t="str">
        <f>"83060"</f>
        <v>83060</v>
      </c>
      <c r="D10396" t="s">
        <v>8274</v>
      </c>
      <c r="E10396" s="3">
        <v>4480</v>
      </c>
      <c r="F10396">
        <v>20160413</v>
      </c>
      <c r="G10396" t="s">
        <v>8275</v>
      </c>
      <c r="H10396" t="s">
        <v>8282</v>
      </c>
      <c r="I10396">
        <v>0</v>
      </c>
      <c r="J10396" t="s">
        <v>8259</v>
      </c>
      <c r="K10396" t="s">
        <v>33</v>
      </c>
      <c r="L10396" t="s">
        <v>285</v>
      </c>
      <c r="M10396" t="str">
        <f>"04"</f>
        <v>04</v>
      </c>
      <c r="N10396" t="s">
        <v>12</v>
      </c>
    </row>
    <row r="10397" spans="1:14" x14ac:dyDescent="0.25">
      <c r="A10397">
        <v>20160420</v>
      </c>
      <c r="B10397" t="str">
        <f>"063266"</f>
        <v>063266</v>
      </c>
      <c r="C10397" t="str">
        <f>"80600"</f>
        <v>80600</v>
      </c>
      <c r="D10397" t="s">
        <v>2411</v>
      </c>
      <c r="E10397" s="3">
        <v>42</v>
      </c>
      <c r="F10397">
        <v>20160420</v>
      </c>
      <c r="G10397" t="s">
        <v>8262</v>
      </c>
      <c r="H10397" t="s">
        <v>8283</v>
      </c>
      <c r="I10397">
        <v>0</v>
      </c>
      <c r="J10397" t="s">
        <v>8259</v>
      </c>
      <c r="K10397" t="s">
        <v>1643</v>
      </c>
      <c r="L10397" t="s">
        <v>285</v>
      </c>
      <c r="M10397" t="str">
        <f>"04"</f>
        <v>04</v>
      </c>
      <c r="N10397" t="s">
        <v>12</v>
      </c>
    </row>
    <row r="10398" spans="1:14" x14ac:dyDescent="0.25">
      <c r="A10398">
        <v>20160513</v>
      </c>
      <c r="B10398" t="str">
        <f>"063503"</f>
        <v>063503</v>
      </c>
      <c r="C10398" t="str">
        <f>"74835"</f>
        <v>74835</v>
      </c>
      <c r="D10398" t="s">
        <v>7733</v>
      </c>
      <c r="E10398" s="3">
        <v>437.5</v>
      </c>
      <c r="F10398">
        <v>20160512</v>
      </c>
      <c r="G10398" t="s">
        <v>8260</v>
      </c>
      <c r="H10398" t="s">
        <v>8284</v>
      </c>
      <c r="I10398">
        <v>0</v>
      </c>
      <c r="J10398" t="s">
        <v>8259</v>
      </c>
      <c r="K10398" t="s">
        <v>33</v>
      </c>
      <c r="L10398" t="s">
        <v>285</v>
      </c>
      <c r="M10398" t="str">
        <f t="shared" ref="M10398:M10403" si="790">"05"</f>
        <v>05</v>
      </c>
      <c r="N10398" t="s">
        <v>12</v>
      </c>
    </row>
    <row r="10399" spans="1:14" x14ac:dyDescent="0.25">
      <c r="A10399">
        <v>20160520</v>
      </c>
      <c r="B10399" t="str">
        <f>"063536"</f>
        <v>063536</v>
      </c>
      <c r="C10399" t="str">
        <f>"32920"</f>
        <v>32920</v>
      </c>
      <c r="D10399" t="s">
        <v>7182</v>
      </c>
      <c r="E10399" s="3">
        <v>550</v>
      </c>
      <c r="F10399">
        <v>20160518</v>
      </c>
      <c r="G10399" t="s">
        <v>8262</v>
      </c>
      <c r="H10399" t="s">
        <v>7722</v>
      </c>
      <c r="I10399">
        <v>0</v>
      </c>
      <c r="J10399" t="s">
        <v>8259</v>
      </c>
      <c r="K10399" t="s">
        <v>1643</v>
      </c>
      <c r="L10399" t="s">
        <v>285</v>
      </c>
      <c r="M10399" t="str">
        <f t="shared" si="790"/>
        <v>05</v>
      </c>
      <c r="N10399" t="s">
        <v>12</v>
      </c>
    </row>
    <row r="10400" spans="1:14" x14ac:dyDescent="0.25">
      <c r="A10400">
        <v>20160520</v>
      </c>
      <c r="B10400" t="str">
        <f>"063559"</f>
        <v>063559</v>
      </c>
      <c r="C10400" t="str">
        <f>"58203"</f>
        <v>58203</v>
      </c>
      <c r="D10400" t="s">
        <v>2371</v>
      </c>
      <c r="E10400" s="3">
        <v>19.53</v>
      </c>
      <c r="F10400">
        <v>20160519</v>
      </c>
      <c r="G10400" t="s">
        <v>8262</v>
      </c>
      <c r="H10400" t="s">
        <v>8285</v>
      </c>
      <c r="I10400">
        <v>0</v>
      </c>
      <c r="J10400" t="s">
        <v>8259</v>
      </c>
      <c r="K10400" t="s">
        <v>1643</v>
      </c>
      <c r="L10400" t="s">
        <v>285</v>
      </c>
      <c r="M10400" t="str">
        <f t="shared" si="790"/>
        <v>05</v>
      </c>
      <c r="N10400" t="s">
        <v>12</v>
      </c>
    </row>
    <row r="10401" spans="1:14" x14ac:dyDescent="0.25">
      <c r="A10401">
        <v>20160520</v>
      </c>
      <c r="B10401" t="str">
        <f>"063583"</f>
        <v>063583</v>
      </c>
      <c r="C10401" t="str">
        <f>"83060"</f>
        <v>83060</v>
      </c>
      <c r="D10401" t="s">
        <v>8274</v>
      </c>
      <c r="E10401" s="3">
        <v>2480</v>
      </c>
      <c r="F10401">
        <v>20160519</v>
      </c>
      <c r="G10401" t="s">
        <v>8275</v>
      </c>
      <c r="H10401" t="s">
        <v>8286</v>
      </c>
      <c r="I10401">
        <v>0</v>
      </c>
      <c r="J10401" t="s">
        <v>8259</v>
      </c>
      <c r="K10401" t="s">
        <v>33</v>
      </c>
      <c r="L10401" t="s">
        <v>285</v>
      </c>
      <c r="M10401" t="str">
        <f t="shared" si="790"/>
        <v>05</v>
      </c>
      <c r="N10401" t="s">
        <v>12</v>
      </c>
    </row>
    <row r="10402" spans="1:14" x14ac:dyDescent="0.25">
      <c r="A10402">
        <v>20160527</v>
      </c>
      <c r="B10402" t="str">
        <f>"063601"</f>
        <v>063601</v>
      </c>
      <c r="C10402" t="str">
        <f>"19351"</f>
        <v>19351</v>
      </c>
      <c r="D10402" t="s">
        <v>8287</v>
      </c>
      <c r="E10402" s="3">
        <v>784.78</v>
      </c>
      <c r="F10402">
        <v>20160526</v>
      </c>
      <c r="G10402" t="s">
        <v>8288</v>
      </c>
      <c r="H10402" t="s">
        <v>8289</v>
      </c>
      <c r="I10402">
        <v>0</v>
      </c>
      <c r="J10402" t="s">
        <v>8259</v>
      </c>
      <c r="K10402" t="s">
        <v>33</v>
      </c>
      <c r="L10402" t="s">
        <v>285</v>
      </c>
      <c r="M10402" t="str">
        <f t="shared" si="790"/>
        <v>05</v>
      </c>
      <c r="N10402" t="s">
        <v>12</v>
      </c>
    </row>
    <row r="10403" spans="1:14" x14ac:dyDescent="0.25">
      <c r="A10403">
        <v>20160527</v>
      </c>
      <c r="B10403" t="str">
        <f>"063603"</f>
        <v>063603</v>
      </c>
      <c r="C10403" t="str">
        <f>"51346"</f>
        <v>51346</v>
      </c>
      <c r="D10403" t="s">
        <v>379</v>
      </c>
      <c r="E10403" s="3">
        <v>480</v>
      </c>
      <c r="F10403">
        <v>20160526</v>
      </c>
      <c r="G10403" t="s">
        <v>8262</v>
      </c>
      <c r="H10403" t="s">
        <v>8290</v>
      </c>
      <c r="I10403">
        <v>0</v>
      </c>
      <c r="J10403" t="s">
        <v>8259</v>
      </c>
      <c r="K10403" t="s">
        <v>1643</v>
      </c>
      <c r="L10403" t="s">
        <v>285</v>
      </c>
      <c r="M10403" t="str">
        <f t="shared" si="790"/>
        <v>05</v>
      </c>
      <c r="N10403" t="s">
        <v>12</v>
      </c>
    </row>
    <row r="10404" spans="1:14" x14ac:dyDescent="0.25">
      <c r="A10404">
        <v>20160610</v>
      </c>
      <c r="B10404" t="str">
        <f>"063805"</f>
        <v>063805</v>
      </c>
      <c r="C10404" t="str">
        <f>"56564"</f>
        <v>56564</v>
      </c>
      <c r="D10404" t="s">
        <v>1578</v>
      </c>
      <c r="E10404" s="3">
        <v>114.42</v>
      </c>
      <c r="F10404">
        <v>20160608</v>
      </c>
      <c r="G10404" t="s">
        <v>8262</v>
      </c>
      <c r="H10404" t="s">
        <v>2169</v>
      </c>
      <c r="I10404">
        <v>0</v>
      </c>
      <c r="J10404" t="s">
        <v>8259</v>
      </c>
      <c r="K10404" t="s">
        <v>1643</v>
      </c>
      <c r="L10404" t="s">
        <v>285</v>
      </c>
      <c r="M10404" t="str">
        <f>"06"</f>
        <v>06</v>
      </c>
      <c r="N10404" t="s">
        <v>12</v>
      </c>
    </row>
    <row r="10405" spans="1:14" x14ac:dyDescent="0.25">
      <c r="A10405">
        <v>20160812</v>
      </c>
      <c r="B10405" t="str">
        <f>"064374"</f>
        <v>064374</v>
      </c>
      <c r="C10405" t="str">
        <f>"47740"</f>
        <v>47740</v>
      </c>
      <c r="D10405" t="s">
        <v>8291</v>
      </c>
      <c r="E10405" s="3">
        <v>70.98</v>
      </c>
      <c r="F10405">
        <v>20160811</v>
      </c>
      <c r="G10405" t="s">
        <v>8288</v>
      </c>
      <c r="H10405" t="s">
        <v>8292</v>
      </c>
      <c r="I10405">
        <v>0</v>
      </c>
      <c r="J10405" t="s">
        <v>8259</v>
      </c>
      <c r="K10405" t="s">
        <v>33</v>
      </c>
      <c r="L10405" t="s">
        <v>285</v>
      </c>
      <c r="M10405" t="str">
        <f>"08"</f>
        <v>08</v>
      </c>
      <c r="N10405" t="s">
        <v>12</v>
      </c>
    </row>
    <row r="10406" spans="1:14" x14ac:dyDescent="0.25">
      <c r="A10406">
        <v>20160819</v>
      </c>
      <c r="B10406" t="str">
        <f>"064476"</f>
        <v>064476</v>
      </c>
      <c r="C10406" t="str">
        <f>"79776"</f>
        <v>79776</v>
      </c>
      <c r="D10406" t="s">
        <v>282</v>
      </c>
      <c r="E10406" s="3">
        <v>124.2</v>
      </c>
      <c r="F10406">
        <v>20160817</v>
      </c>
      <c r="G10406" t="s">
        <v>8293</v>
      </c>
      <c r="H10406" t="s">
        <v>284</v>
      </c>
      <c r="I10406">
        <v>0</v>
      </c>
      <c r="J10406" t="s">
        <v>8259</v>
      </c>
      <c r="K10406" t="s">
        <v>1643</v>
      </c>
      <c r="L10406" t="s">
        <v>285</v>
      </c>
      <c r="M10406" t="str">
        <f>"08"</f>
        <v>08</v>
      </c>
      <c r="N10406" t="s">
        <v>12</v>
      </c>
    </row>
    <row r="10407" spans="1:14" x14ac:dyDescent="0.25">
      <c r="A10407">
        <v>20160819</v>
      </c>
      <c r="B10407" t="str">
        <f>"064476"</f>
        <v>064476</v>
      </c>
      <c r="C10407" t="str">
        <f>"79776"</f>
        <v>79776</v>
      </c>
      <c r="D10407" t="s">
        <v>282</v>
      </c>
      <c r="E10407" s="3">
        <v>211.44</v>
      </c>
      <c r="F10407">
        <v>20160817</v>
      </c>
      <c r="G10407" t="s">
        <v>8294</v>
      </c>
      <c r="H10407" t="s">
        <v>284</v>
      </c>
      <c r="I10407">
        <v>0</v>
      </c>
      <c r="J10407" t="s">
        <v>8259</v>
      </c>
      <c r="K10407" t="s">
        <v>33</v>
      </c>
      <c r="L10407" t="s">
        <v>285</v>
      </c>
      <c r="M10407" t="str">
        <f>"08"</f>
        <v>08</v>
      </c>
      <c r="N10407" t="s">
        <v>12</v>
      </c>
    </row>
    <row r="10408" spans="1:14" x14ac:dyDescent="0.25">
      <c r="A10408">
        <v>20160830</v>
      </c>
      <c r="B10408" t="str">
        <f>"064658"</f>
        <v>064658</v>
      </c>
      <c r="C10408" t="str">
        <f>"83022"</f>
        <v>83022</v>
      </c>
      <c r="D10408" t="s">
        <v>394</v>
      </c>
      <c r="E10408" s="3">
        <v>437.45</v>
      </c>
      <c r="F10408">
        <v>20160830</v>
      </c>
      <c r="G10408" t="s">
        <v>8260</v>
      </c>
      <c r="H10408" t="s">
        <v>5687</v>
      </c>
      <c r="I10408">
        <v>0</v>
      </c>
      <c r="J10408" t="s">
        <v>8259</v>
      </c>
      <c r="K10408" t="s">
        <v>33</v>
      </c>
      <c r="L10408" t="s">
        <v>285</v>
      </c>
      <c r="M10408" t="str">
        <f>"08"</f>
        <v>08</v>
      </c>
      <c r="N10408" t="s">
        <v>12</v>
      </c>
    </row>
    <row r="10409" spans="1:14" x14ac:dyDescent="0.25">
      <c r="A10409">
        <v>20150911</v>
      </c>
      <c r="B10409" t="str">
        <f>"060281"</f>
        <v>060281</v>
      </c>
      <c r="C10409" t="str">
        <f t="shared" ref="C10409:C10426" si="791">"65805"</f>
        <v>65805</v>
      </c>
      <c r="D10409" t="s">
        <v>8295</v>
      </c>
      <c r="E10409" s="3">
        <v>2691.99</v>
      </c>
      <c r="F10409">
        <v>20150910</v>
      </c>
      <c r="G10409" t="s">
        <v>8296</v>
      </c>
      <c r="H10409" t="s">
        <v>8297</v>
      </c>
      <c r="I10409">
        <v>0</v>
      </c>
      <c r="J10409" t="s">
        <v>8298</v>
      </c>
      <c r="K10409" t="s">
        <v>235</v>
      </c>
      <c r="L10409" t="s">
        <v>285</v>
      </c>
      <c r="M10409" t="str">
        <f>"09"</f>
        <v>09</v>
      </c>
      <c r="N10409" t="s">
        <v>12</v>
      </c>
    </row>
    <row r="10410" spans="1:14" x14ac:dyDescent="0.25">
      <c r="A10410">
        <v>20150918</v>
      </c>
      <c r="B10410" t="str">
        <f>"060347"</f>
        <v>060347</v>
      </c>
      <c r="C10410" t="str">
        <f t="shared" si="791"/>
        <v>65805</v>
      </c>
      <c r="D10410" t="s">
        <v>8295</v>
      </c>
      <c r="E10410" s="3">
        <v>12955</v>
      </c>
      <c r="F10410">
        <v>20150917</v>
      </c>
      <c r="G10410" t="s">
        <v>8299</v>
      </c>
      <c r="H10410" t="s">
        <v>8300</v>
      </c>
      <c r="I10410">
        <v>0</v>
      </c>
      <c r="J10410" t="s">
        <v>8298</v>
      </c>
      <c r="K10410" t="s">
        <v>8301</v>
      </c>
      <c r="L10410" t="s">
        <v>285</v>
      </c>
      <c r="M10410" t="str">
        <f>"09"</f>
        <v>09</v>
      </c>
      <c r="N10410" t="s">
        <v>12</v>
      </c>
    </row>
    <row r="10411" spans="1:14" x14ac:dyDescent="0.25">
      <c r="A10411">
        <v>20151009</v>
      </c>
      <c r="B10411" t="str">
        <f>"060642"</f>
        <v>060642</v>
      </c>
      <c r="C10411" t="str">
        <f t="shared" si="791"/>
        <v>65805</v>
      </c>
      <c r="D10411" t="s">
        <v>8295</v>
      </c>
      <c r="E10411" s="3">
        <v>31437.52</v>
      </c>
      <c r="F10411">
        <v>20151009</v>
      </c>
      <c r="G10411" t="s">
        <v>8302</v>
      </c>
      <c r="H10411" t="s">
        <v>8303</v>
      </c>
      <c r="I10411">
        <v>0</v>
      </c>
      <c r="J10411" t="s">
        <v>8298</v>
      </c>
      <c r="K10411" t="s">
        <v>8301</v>
      </c>
      <c r="L10411" t="s">
        <v>285</v>
      </c>
      <c r="M10411" t="str">
        <f>"10"</f>
        <v>10</v>
      </c>
      <c r="N10411" t="s">
        <v>12</v>
      </c>
    </row>
    <row r="10412" spans="1:14" x14ac:dyDescent="0.25">
      <c r="A10412">
        <v>20151016</v>
      </c>
      <c r="B10412" t="str">
        <f>"060785"</f>
        <v>060785</v>
      </c>
      <c r="C10412" t="str">
        <f t="shared" si="791"/>
        <v>65805</v>
      </c>
      <c r="D10412" t="s">
        <v>8295</v>
      </c>
      <c r="E10412" s="3">
        <v>4225.5200000000004</v>
      </c>
      <c r="F10412">
        <v>20151016</v>
      </c>
      <c r="G10412" t="s">
        <v>8304</v>
      </c>
      <c r="H10412" t="s">
        <v>8305</v>
      </c>
      <c r="I10412">
        <v>0</v>
      </c>
      <c r="J10412" t="s">
        <v>8298</v>
      </c>
      <c r="K10412" t="s">
        <v>8301</v>
      </c>
      <c r="L10412" t="s">
        <v>285</v>
      </c>
      <c r="M10412" t="str">
        <f>"10"</f>
        <v>10</v>
      </c>
      <c r="N10412" t="s">
        <v>12</v>
      </c>
    </row>
    <row r="10413" spans="1:14" x14ac:dyDescent="0.25">
      <c r="A10413">
        <v>20151113</v>
      </c>
      <c r="B10413" t="str">
        <f>"061108"</f>
        <v>061108</v>
      </c>
      <c r="C10413" t="str">
        <f t="shared" si="791"/>
        <v>65805</v>
      </c>
      <c r="D10413" t="s">
        <v>8295</v>
      </c>
      <c r="E10413" s="3">
        <v>12955</v>
      </c>
      <c r="F10413">
        <v>20151112</v>
      </c>
      <c r="G10413" t="s">
        <v>8299</v>
      </c>
      <c r="H10413" t="s">
        <v>8306</v>
      </c>
      <c r="I10413">
        <v>0</v>
      </c>
      <c r="J10413" t="s">
        <v>8298</v>
      </c>
      <c r="K10413" t="s">
        <v>8301</v>
      </c>
      <c r="L10413" t="s">
        <v>285</v>
      </c>
      <c r="M10413" t="str">
        <f>"11"</f>
        <v>11</v>
      </c>
      <c r="N10413" t="s">
        <v>12</v>
      </c>
    </row>
    <row r="10414" spans="1:14" x14ac:dyDescent="0.25">
      <c r="A10414">
        <v>20151113</v>
      </c>
      <c r="B10414" t="str">
        <f>"061108"</f>
        <v>061108</v>
      </c>
      <c r="C10414" t="str">
        <f t="shared" si="791"/>
        <v>65805</v>
      </c>
      <c r="D10414" t="s">
        <v>8295</v>
      </c>
      <c r="E10414" s="3">
        <v>5208.57</v>
      </c>
      <c r="F10414">
        <v>20151112</v>
      </c>
      <c r="G10414" t="s">
        <v>8304</v>
      </c>
      <c r="H10414" t="s">
        <v>8307</v>
      </c>
      <c r="I10414">
        <v>0</v>
      </c>
      <c r="J10414" t="s">
        <v>8298</v>
      </c>
      <c r="K10414" t="s">
        <v>8301</v>
      </c>
      <c r="L10414" t="s">
        <v>285</v>
      </c>
      <c r="M10414" t="str">
        <f>"11"</f>
        <v>11</v>
      </c>
      <c r="N10414" t="s">
        <v>12</v>
      </c>
    </row>
    <row r="10415" spans="1:14" x14ac:dyDescent="0.25">
      <c r="A10415">
        <v>20151211</v>
      </c>
      <c r="B10415" t="str">
        <f>"061467"</f>
        <v>061467</v>
      </c>
      <c r="C10415" t="str">
        <f t="shared" si="791"/>
        <v>65805</v>
      </c>
      <c r="D10415" t="s">
        <v>8295</v>
      </c>
      <c r="E10415" s="3">
        <v>5289.49</v>
      </c>
      <c r="F10415">
        <v>20151210</v>
      </c>
      <c r="G10415" t="s">
        <v>8304</v>
      </c>
      <c r="H10415" t="s">
        <v>8308</v>
      </c>
      <c r="I10415">
        <v>0</v>
      </c>
      <c r="J10415" t="s">
        <v>8298</v>
      </c>
      <c r="K10415" t="s">
        <v>8301</v>
      </c>
      <c r="L10415" t="s">
        <v>285</v>
      </c>
      <c r="M10415" t="str">
        <f>"12"</f>
        <v>12</v>
      </c>
      <c r="N10415" t="s">
        <v>12</v>
      </c>
    </row>
    <row r="10416" spans="1:14" x14ac:dyDescent="0.25">
      <c r="A10416">
        <v>20160122</v>
      </c>
      <c r="B10416" t="str">
        <f>"061885"</f>
        <v>061885</v>
      </c>
      <c r="C10416" t="str">
        <f t="shared" si="791"/>
        <v>65805</v>
      </c>
      <c r="D10416" t="s">
        <v>8295</v>
      </c>
      <c r="E10416" s="3">
        <v>4010.32</v>
      </c>
      <c r="F10416">
        <v>20160121</v>
      </c>
      <c r="G10416" t="s">
        <v>8304</v>
      </c>
      <c r="H10416" t="s">
        <v>8309</v>
      </c>
      <c r="I10416">
        <v>0</v>
      </c>
      <c r="J10416" t="s">
        <v>8298</v>
      </c>
      <c r="K10416" t="s">
        <v>8301</v>
      </c>
      <c r="L10416" t="s">
        <v>285</v>
      </c>
      <c r="M10416" t="str">
        <f>"01"</f>
        <v>01</v>
      </c>
      <c r="N10416" t="s">
        <v>12</v>
      </c>
    </row>
    <row r="10417" spans="1:14" x14ac:dyDescent="0.25">
      <c r="A10417">
        <v>20160129</v>
      </c>
      <c r="B10417" t="str">
        <f>"062012"</f>
        <v>062012</v>
      </c>
      <c r="C10417" t="str">
        <f t="shared" si="791"/>
        <v>65805</v>
      </c>
      <c r="D10417" t="s">
        <v>8295</v>
      </c>
      <c r="E10417" s="3">
        <v>6281.91</v>
      </c>
      <c r="F10417">
        <v>20160128</v>
      </c>
      <c r="G10417" t="s">
        <v>8310</v>
      </c>
      <c r="H10417" t="s">
        <v>8311</v>
      </c>
      <c r="I10417">
        <v>0</v>
      </c>
      <c r="J10417" t="s">
        <v>8298</v>
      </c>
      <c r="K10417" t="s">
        <v>8301</v>
      </c>
      <c r="L10417" t="s">
        <v>285</v>
      </c>
      <c r="M10417" t="str">
        <f>"01"</f>
        <v>01</v>
      </c>
      <c r="N10417" t="s">
        <v>12</v>
      </c>
    </row>
    <row r="10418" spans="1:14" x14ac:dyDescent="0.25">
      <c r="A10418">
        <v>20160212</v>
      </c>
      <c r="B10418" t="str">
        <f>"062354"</f>
        <v>062354</v>
      </c>
      <c r="C10418" t="str">
        <f t="shared" si="791"/>
        <v>65805</v>
      </c>
      <c r="D10418" t="s">
        <v>8295</v>
      </c>
      <c r="E10418" s="3">
        <v>12955</v>
      </c>
      <c r="F10418">
        <v>20160212</v>
      </c>
      <c r="G10418" t="s">
        <v>8299</v>
      </c>
      <c r="H10418" t="s">
        <v>8312</v>
      </c>
      <c r="I10418">
        <v>0</v>
      </c>
      <c r="J10418" t="s">
        <v>8298</v>
      </c>
      <c r="K10418" t="s">
        <v>8301</v>
      </c>
      <c r="L10418" t="s">
        <v>285</v>
      </c>
      <c r="M10418" t="str">
        <f>"02"</f>
        <v>02</v>
      </c>
      <c r="N10418" t="s">
        <v>12</v>
      </c>
    </row>
    <row r="10419" spans="1:14" x14ac:dyDescent="0.25">
      <c r="A10419">
        <v>20160212</v>
      </c>
      <c r="B10419" t="str">
        <f>"062354"</f>
        <v>062354</v>
      </c>
      <c r="C10419" t="str">
        <f t="shared" si="791"/>
        <v>65805</v>
      </c>
      <c r="D10419" t="s">
        <v>8295</v>
      </c>
      <c r="E10419" s="3">
        <v>1773.14</v>
      </c>
      <c r="F10419">
        <v>20160212</v>
      </c>
      <c r="G10419" t="s">
        <v>8304</v>
      </c>
      <c r="H10419" t="s">
        <v>8313</v>
      </c>
      <c r="I10419">
        <v>0</v>
      </c>
      <c r="J10419" t="s">
        <v>8298</v>
      </c>
      <c r="K10419" t="s">
        <v>8301</v>
      </c>
      <c r="L10419" t="s">
        <v>285</v>
      </c>
      <c r="M10419" t="str">
        <f>"02"</f>
        <v>02</v>
      </c>
      <c r="N10419" t="s">
        <v>12</v>
      </c>
    </row>
    <row r="10420" spans="1:14" x14ac:dyDescent="0.25">
      <c r="A10420">
        <v>20160318</v>
      </c>
      <c r="B10420" t="str">
        <f>"062799"</f>
        <v>062799</v>
      </c>
      <c r="C10420" t="str">
        <f t="shared" si="791"/>
        <v>65805</v>
      </c>
      <c r="D10420" t="s">
        <v>8295</v>
      </c>
      <c r="E10420" s="3">
        <v>1303.69</v>
      </c>
      <c r="F10420">
        <v>20160317</v>
      </c>
      <c r="G10420" t="s">
        <v>8304</v>
      </c>
      <c r="H10420" t="s">
        <v>8314</v>
      </c>
      <c r="I10420">
        <v>0</v>
      </c>
      <c r="J10420" t="s">
        <v>8298</v>
      </c>
      <c r="K10420" t="s">
        <v>8301</v>
      </c>
      <c r="L10420" t="s">
        <v>285</v>
      </c>
      <c r="M10420" t="str">
        <f>"03"</f>
        <v>03</v>
      </c>
      <c r="N10420" t="s">
        <v>12</v>
      </c>
    </row>
    <row r="10421" spans="1:14" x14ac:dyDescent="0.25">
      <c r="A10421">
        <v>20160415</v>
      </c>
      <c r="B10421" t="str">
        <f>"063150"</f>
        <v>063150</v>
      </c>
      <c r="C10421" t="str">
        <f t="shared" si="791"/>
        <v>65805</v>
      </c>
      <c r="D10421" t="s">
        <v>8295</v>
      </c>
      <c r="E10421" s="3">
        <v>1924.5</v>
      </c>
      <c r="F10421">
        <v>20160413</v>
      </c>
      <c r="G10421" t="s">
        <v>8304</v>
      </c>
      <c r="H10421" t="s">
        <v>8315</v>
      </c>
      <c r="I10421">
        <v>0</v>
      </c>
      <c r="J10421" t="s">
        <v>8298</v>
      </c>
      <c r="K10421" t="s">
        <v>8301</v>
      </c>
      <c r="L10421" t="s">
        <v>285</v>
      </c>
      <c r="M10421" t="str">
        <f>"04"</f>
        <v>04</v>
      </c>
      <c r="N10421" t="s">
        <v>12</v>
      </c>
    </row>
    <row r="10422" spans="1:14" x14ac:dyDescent="0.25">
      <c r="A10422">
        <v>20160513</v>
      </c>
      <c r="B10422" t="str">
        <f>"063495"</f>
        <v>063495</v>
      </c>
      <c r="C10422" t="str">
        <f t="shared" si="791"/>
        <v>65805</v>
      </c>
      <c r="D10422" t="s">
        <v>8295</v>
      </c>
      <c r="E10422" s="3">
        <v>3780.56</v>
      </c>
      <c r="F10422">
        <v>20160512</v>
      </c>
      <c r="G10422" t="s">
        <v>8304</v>
      </c>
      <c r="H10422" t="s">
        <v>8316</v>
      </c>
      <c r="I10422">
        <v>0</v>
      </c>
      <c r="J10422" t="s">
        <v>8298</v>
      </c>
      <c r="K10422" t="s">
        <v>8301</v>
      </c>
      <c r="L10422" t="s">
        <v>285</v>
      </c>
      <c r="M10422" t="str">
        <f>"05"</f>
        <v>05</v>
      </c>
      <c r="N10422" t="s">
        <v>12</v>
      </c>
    </row>
    <row r="10423" spans="1:14" x14ac:dyDescent="0.25">
      <c r="A10423">
        <v>20160513</v>
      </c>
      <c r="B10423" t="str">
        <f>"063496"</f>
        <v>063496</v>
      </c>
      <c r="C10423" t="str">
        <f t="shared" si="791"/>
        <v>65805</v>
      </c>
      <c r="D10423" t="s">
        <v>8295</v>
      </c>
      <c r="E10423" s="3">
        <v>12955</v>
      </c>
      <c r="F10423">
        <v>20160512</v>
      </c>
      <c r="G10423" t="s">
        <v>8299</v>
      </c>
      <c r="H10423" t="s">
        <v>8317</v>
      </c>
      <c r="I10423">
        <v>0</v>
      </c>
      <c r="J10423" t="s">
        <v>8298</v>
      </c>
      <c r="K10423" t="s">
        <v>8301</v>
      </c>
      <c r="L10423" t="s">
        <v>285</v>
      </c>
      <c r="M10423" t="str">
        <f>"05"</f>
        <v>05</v>
      </c>
      <c r="N10423" t="s">
        <v>12</v>
      </c>
    </row>
    <row r="10424" spans="1:14" x14ac:dyDescent="0.25">
      <c r="A10424">
        <v>20160610</v>
      </c>
      <c r="B10424" t="str">
        <f>"063829"</f>
        <v>063829</v>
      </c>
      <c r="C10424" t="str">
        <f t="shared" si="791"/>
        <v>65805</v>
      </c>
      <c r="D10424" t="s">
        <v>8295</v>
      </c>
      <c r="E10424" s="3">
        <v>702.35</v>
      </c>
      <c r="F10424">
        <v>20160608</v>
      </c>
      <c r="G10424" t="s">
        <v>8304</v>
      </c>
      <c r="H10424" t="s">
        <v>8318</v>
      </c>
      <c r="I10424">
        <v>0</v>
      </c>
      <c r="J10424" t="s">
        <v>8298</v>
      </c>
      <c r="K10424" t="s">
        <v>8301</v>
      </c>
      <c r="L10424" t="s">
        <v>285</v>
      </c>
      <c r="M10424" t="str">
        <f>"06"</f>
        <v>06</v>
      </c>
      <c r="N10424" t="s">
        <v>12</v>
      </c>
    </row>
    <row r="10425" spans="1:14" x14ac:dyDescent="0.25">
      <c r="A10425">
        <v>20160715</v>
      </c>
      <c r="B10425" t="str">
        <f>"064089"</f>
        <v>064089</v>
      </c>
      <c r="C10425" t="str">
        <f t="shared" si="791"/>
        <v>65805</v>
      </c>
      <c r="D10425" t="s">
        <v>8295</v>
      </c>
      <c r="E10425" s="3">
        <v>2916.66</v>
      </c>
      <c r="F10425">
        <v>20160714</v>
      </c>
      <c r="G10425" t="s">
        <v>8304</v>
      </c>
      <c r="H10425" t="s">
        <v>8319</v>
      </c>
      <c r="I10425">
        <v>0</v>
      </c>
      <c r="J10425" t="s">
        <v>8298</v>
      </c>
      <c r="K10425" t="s">
        <v>8301</v>
      </c>
      <c r="L10425" t="s">
        <v>285</v>
      </c>
      <c r="M10425" t="str">
        <f>"07"</f>
        <v>07</v>
      </c>
      <c r="N10425" t="s">
        <v>12</v>
      </c>
    </row>
    <row r="10426" spans="1:14" x14ac:dyDescent="0.25">
      <c r="A10426">
        <v>20160812</v>
      </c>
      <c r="B10426" t="str">
        <f>"064387"</f>
        <v>064387</v>
      </c>
      <c r="C10426" t="str">
        <f t="shared" si="791"/>
        <v>65805</v>
      </c>
      <c r="D10426" t="s">
        <v>8295</v>
      </c>
      <c r="E10426" s="3">
        <v>2519.02</v>
      </c>
      <c r="F10426">
        <v>20160811</v>
      </c>
      <c r="G10426" t="s">
        <v>8304</v>
      </c>
      <c r="H10426" t="s">
        <v>8320</v>
      </c>
      <c r="I10426">
        <v>0</v>
      </c>
      <c r="J10426" t="s">
        <v>8298</v>
      </c>
      <c r="K10426" t="s">
        <v>8301</v>
      </c>
      <c r="L10426" t="s">
        <v>285</v>
      </c>
      <c r="M10426" t="str">
        <f>"08"</f>
        <v>08</v>
      </c>
      <c r="N10426" t="s">
        <v>12</v>
      </c>
    </row>
    <row r="10427" spans="1:14" x14ac:dyDescent="0.25">
      <c r="A10427">
        <v>20150929</v>
      </c>
      <c r="B10427" t="str">
        <f>"059125"</f>
        <v>059125</v>
      </c>
      <c r="C10427" t="str">
        <f>"73540"</f>
        <v>73540</v>
      </c>
      <c r="D10427" t="s">
        <v>1714</v>
      </c>
      <c r="E10427" s="3">
        <v>650</v>
      </c>
      <c r="F10427">
        <v>20150929</v>
      </c>
      <c r="G10427" t="s">
        <v>8321</v>
      </c>
      <c r="H10427" t="s">
        <v>8322</v>
      </c>
      <c r="I10427">
        <v>0</v>
      </c>
      <c r="J10427" t="s">
        <v>8323</v>
      </c>
      <c r="K10427" t="s">
        <v>290</v>
      </c>
      <c r="L10427" t="s">
        <v>17</v>
      </c>
      <c r="M10427" t="str">
        <f t="shared" ref="M10427:M10436" si="792">"09"</f>
        <v>09</v>
      </c>
      <c r="N10427" t="s">
        <v>12</v>
      </c>
    </row>
    <row r="10428" spans="1:14" x14ac:dyDescent="0.25">
      <c r="A10428">
        <v>20150903</v>
      </c>
      <c r="B10428" t="str">
        <f>"060182"</f>
        <v>060182</v>
      </c>
      <c r="C10428" t="str">
        <f>"28733"</f>
        <v>28733</v>
      </c>
      <c r="D10428" t="s">
        <v>4049</v>
      </c>
      <c r="E10428" s="3">
        <v>270</v>
      </c>
      <c r="F10428">
        <v>20150903</v>
      </c>
      <c r="G10428" t="s">
        <v>8324</v>
      </c>
      <c r="H10428" t="s">
        <v>1724</v>
      </c>
      <c r="I10428">
        <v>0</v>
      </c>
      <c r="J10428" t="s">
        <v>8323</v>
      </c>
      <c r="K10428" t="s">
        <v>95</v>
      </c>
      <c r="L10428" t="s">
        <v>285</v>
      </c>
      <c r="M10428" t="str">
        <f t="shared" si="792"/>
        <v>09</v>
      </c>
      <c r="N10428" t="s">
        <v>12</v>
      </c>
    </row>
    <row r="10429" spans="1:14" x14ac:dyDescent="0.25">
      <c r="A10429">
        <v>20150911</v>
      </c>
      <c r="B10429" t="str">
        <f>"060235"</f>
        <v>060235</v>
      </c>
      <c r="C10429" t="str">
        <f>"25222"</f>
        <v>25222</v>
      </c>
      <c r="D10429" t="s">
        <v>5503</v>
      </c>
      <c r="E10429" s="3">
        <v>200</v>
      </c>
      <c r="F10429">
        <v>20150909</v>
      </c>
      <c r="G10429" t="s">
        <v>8325</v>
      </c>
      <c r="H10429" t="s">
        <v>8326</v>
      </c>
      <c r="I10429">
        <v>0</v>
      </c>
      <c r="J10429" t="s">
        <v>8323</v>
      </c>
      <c r="K10429" t="s">
        <v>235</v>
      </c>
      <c r="L10429" t="s">
        <v>285</v>
      </c>
      <c r="M10429" t="str">
        <f t="shared" si="792"/>
        <v>09</v>
      </c>
      <c r="N10429" t="s">
        <v>12</v>
      </c>
    </row>
    <row r="10430" spans="1:14" x14ac:dyDescent="0.25">
      <c r="A10430">
        <v>20150911</v>
      </c>
      <c r="B10430" t="str">
        <f>"060260"</f>
        <v>060260</v>
      </c>
      <c r="C10430" t="str">
        <f>"49799"</f>
        <v>49799</v>
      </c>
      <c r="D10430" t="s">
        <v>8327</v>
      </c>
      <c r="E10430" s="3">
        <v>1036</v>
      </c>
      <c r="F10430">
        <v>20150909</v>
      </c>
      <c r="G10430" t="s">
        <v>8328</v>
      </c>
      <c r="H10430" t="s">
        <v>8329</v>
      </c>
      <c r="I10430">
        <v>0</v>
      </c>
      <c r="J10430" t="s">
        <v>8323</v>
      </c>
      <c r="K10430" t="s">
        <v>95</v>
      </c>
      <c r="L10430" t="s">
        <v>285</v>
      </c>
      <c r="M10430" t="str">
        <f t="shared" si="792"/>
        <v>09</v>
      </c>
      <c r="N10430" t="s">
        <v>12</v>
      </c>
    </row>
    <row r="10431" spans="1:14" x14ac:dyDescent="0.25">
      <c r="A10431">
        <v>20150911</v>
      </c>
      <c r="B10431" t="str">
        <f>"060260"</f>
        <v>060260</v>
      </c>
      <c r="C10431" t="str">
        <f>"49799"</f>
        <v>49799</v>
      </c>
      <c r="D10431" t="s">
        <v>8327</v>
      </c>
      <c r="E10431" s="3">
        <v>506</v>
      </c>
      <c r="F10431">
        <v>20150909</v>
      </c>
      <c r="G10431" t="s">
        <v>8328</v>
      </c>
      <c r="H10431" t="s">
        <v>8330</v>
      </c>
      <c r="I10431">
        <v>0</v>
      </c>
      <c r="J10431" t="s">
        <v>8323</v>
      </c>
      <c r="K10431" t="s">
        <v>95</v>
      </c>
      <c r="L10431" t="s">
        <v>285</v>
      </c>
      <c r="M10431" t="str">
        <f t="shared" si="792"/>
        <v>09</v>
      </c>
      <c r="N10431" t="s">
        <v>12</v>
      </c>
    </row>
    <row r="10432" spans="1:14" x14ac:dyDescent="0.25">
      <c r="A10432">
        <v>20150925</v>
      </c>
      <c r="B10432" t="str">
        <f>"060448"</f>
        <v>060448</v>
      </c>
      <c r="C10432" t="str">
        <f>"24361"</f>
        <v>24361</v>
      </c>
      <c r="D10432" t="s">
        <v>7785</v>
      </c>
      <c r="E10432" s="3">
        <v>1123</v>
      </c>
      <c r="F10432">
        <v>20150924</v>
      </c>
      <c r="G10432" t="s">
        <v>8328</v>
      </c>
      <c r="H10432" t="s">
        <v>8329</v>
      </c>
      <c r="I10432">
        <v>0</v>
      </c>
      <c r="J10432" t="s">
        <v>8323</v>
      </c>
      <c r="K10432" t="s">
        <v>95</v>
      </c>
      <c r="L10432" t="s">
        <v>285</v>
      </c>
      <c r="M10432" t="str">
        <f t="shared" si="792"/>
        <v>09</v>
      </c>
      <c r="N10432" t="s">
        <v>12</v>
      </c>
    </row>
    <row r="10433" spans="1:14" x14ac:dyDescent="0.25">
      <c r="A10433">
        <v>20150925</v>
      </c>
      <c r="B10433" t="str">
        <f>"060457"</f>
        <v>060457</v>
      </c>
      <c r="C10433" t="str">
        <f>"31367"</f>
        <v>31367</v>
      </c>
      <c r="D10433" t="s">
        <v>4916</v>
      </c>
      <c r="E10433" s="3">
        <v>70</v>
      </c>
      <c r="F10433">
        <v>20150923</v>
      </c>
      <c r="G10433" t="s">
        <v>8321</v>
      </c>
      <c r="H10433" t="s">
        <v>8331</v>
      </c>
      <c r="I10433">
        <v>0</v>
      </c>
      <c r="J10433" t="s">
        <v>8323</v>
      </c>
      <c r="K10433" t="s">
        <v>290</v>
      </c>
      <c r="L10433" t="s">
        <v>285</v>
      </c>
      <c r="M10433" t="str">
        <f t="shared" si="792"/>
        <v>09</v>
      </c>
      <c r="N10433" t="s">
        <v>12</v>
      </c>
    </row>
    <row r="10434" spans="1:14" x14ac:dyDescent="0.25">
      <c r="A10434">
        <v>20150925</v>
      </c>
      <c r="B10434" t="str">
        <f>"060467"</f>
        <v>060467</v>
      </c>
      <c r="C10434" t="str">
        <f>"49799"</f>
        <v>49799</v>
      </c>
      <c r="D10434" t="s">
        <v>8327</v>
      </c>
      <c r="E10434" s="3">
        <v>1196</v>
      </c>
      <c r="F10434">
        <v>20150923</v>
      </c>
      <c r="G10434" t="s">
        <v>8328</v>
      </c>
      <c r="H10434" t="s">
        <v>8330</v>
      </c>
      <c r="I10434">
        <v>0</v>
      </c>
      <c r="J10434" t="s">
        <v>8323</v>
      </c>
      <c r="K10434" t="s">
        <v>95</v>
      </c>
      <c r="L10434" t="s">
        <v>285</v>
      </c>
      <c r="M10434" t="str">
        <f t="shared" si="792"/>
        <v>09</v>
      </c>
      <c r="N10434" t="s">
        <v>12</v>
      </c>
    </row>
    <row r="10435" spans="1:14" x14ac:dyDescent="0.25">
      <c r="A10435">
        <v>20150925</v>
      </c>
      <c r="B10435" t="str">
        <f>"060497"</f>
        <v>060497</v>
      </c>
      <c r="C10435" t="str">
        <f>"83022"</f>
        <v>83022</v>
      </c>
      <c r="D10435" t="s">
        <v>394</v>
      </c>
      <c r="E10435" s="3">
        <v>333.37</v>
      </c>
      <c r="F10435">
        <v>20150924</v>
      </c>
      <c r="G10435" t="s">
        <v>8332</v>
      </c>
      <c r="H10435" t="s">
        <v>8333</v>
      </c>
      <c r="I10435">
        <v>0</v>
      </c>
      <c r="J10435" t="s">
        <v>8323</v>
      </c>
      <c r="K10435" t="s">
        <v>95</v>
      </c>
      <c r="L10435" t="s">
        <v>285</v>
      </c>
      <c r="M10435" t="str">
        <f t="shared" si="792"/>
        <v>09</v>
      </c>
      <c r="N10435" t="s">
        <v>12</v>
      </c>
    </row>
    <row r="10436" spans="1:14" x14ac:dyDescent="0.25">
      <c r="A10436">
        <v>20150925</v>
      </c>
      <c r="B10436" t="str">
        <f>"060497"</f>
        <v>060497</v>
      </c>
      <c r="C10436" t="str">
        <f>"83022"</f>
        <v>83022</v>
      </c>
      <c r="D10436" t="s">
        <v>394</v>
      </c>
      <c r="E10436" s="3">
        <v>117.82</v>
      </c>
      <c r="F10436">
        <v>20150924</v>
      </c>
      <c r="G10436" t="s">
        <v>8332</v>
      </c>
      <c r="H10436" t="s">
        <v>7055</v>
      </c>
      <c r="I10436">
        <v>0</v>
      </c>
      <c r="J10436" t="s">
        <v>8323</v>
      </c>
      <c r="K10436" t="s">
        <v>95</v>
      </c>
      <c r="L10436" t="s">
        <v>285</v>
      </c>
      <c r="M10436" t="str">
        <f t="shared" si="792"/>
        <v>09</v>
      </c>
      <c r="N10436" t="s">
        <v>12</v>
      </c>
    </row>
    <row r="10437" spans="1:14" x14ac:dyDescent="0.25">
      <c r="A10437">
        <v>20151009</v>
      </c>
      <c r="B10437" t="str">
        <f>"060525"</f>
        <v>060525</v>
      </c>
      <c r="C10437" t="str">
        <f>"19208"</f>
        <v>19208</v>
      </c>
      <c r="D10437" t="s">
        <v>294</v>
      </c>
      <c r="E10437" s="3">
        <v>240</v>
      </c>
      <c r="F10437">
        <v>20151008</v>
      </c>
      <c r="G10437" t="s">
        <v>8324</v>
      </c>
      <c r="H10437" t="s">
        <v>1724</v>
      </c>
      <c r="I10437">
        <v>0</v>
      </c>
      <c r="J10437" t="s">
        <v>8323</v>
      </c>
      <c r="K10437" t="s">
        <v>95</v>
      </c>
      <c r="L10437" t="s">
        <v>285</v>
      </c>
      <c r="M10437" t="str">
        <f t="shared" ref="M10437:M10478" si="793">"10"</f>
        <v>10</v>
      </c>
      <c r="N10437" t="s">
        <v>12</v>
      </c>
    </row>
    <row r="10438" spans="1:14" x14ac:dyDescent="0.25">
      <c r="A10438">
        <v>20151009</v>
      </c>
      <c r="B10438" t="str">
        <f>"060533"</f>
        <v>060533</v>
      </c>
      <c r="C10438" t="str">
        <f>"51346"</f>
        <v>51346</v>
      </c>
      <c r="D10438" t="s">
        <v>379</v>
      </c>
      <c r="E10438" s="3">
        <v>121</v>
      </c>
      <c r="F10438">
        <v>20151008</v>
      </c>
      <c r="G10438" t="s">
        <v>8334</v>
      </c>
      <c r="H10438" t="s">
        <v>2419</v>
      </c>
      <c r="I10438">
        <v>0</v>
      </c>
      <c r="J10438" t="s">
        <v>8323</v>
      </c>
      <c r="K10438" t="s">
        <v>95</v>
      </c>
      <c r="L10438" t="s">
        <v>285</v>
      </c>
      <c r="M10438" t="str">
        <f t="shared" si="793"/>
        <v>10</v>
      </c>
      <c r="N10438" t="s">
        <v>12</v>
      </c>
    </row>
    <row r="10439" spans="1:14" x14ac:dyDescent="0.25">
      <c r="A10439">
        <v>20151009</v>
      </c>
      <c r="B10439" t="str">
        <f>"060533"</f>
        <v>060533</v>
      </c>
      <c r="C10439" t="str">
        <f>"51346"</f>
        <v>51346</v>
      </c>
      <c r="D10439" t="s">
        <v>379</v>
      </c>
      <c r="E10439" s="3">
        <v>33</v>
      </c>
      <c r="F10439">
        <v>20151008</v>
      </c>
      <c r="G10439" t="s">
        <v>8332</v>
      </c>
      <c r="H10439" t="s">
        <v>8335</v>
      </c>
      <c r="I10439">
        <v>0</v>
      </c>
      <c r="J10439" t="s">
        <v>8323</v>
      </c>
      <c r="K10439" t="s">
        <v>95</v>
      </c>
      <c r="L10439" t="s">
        <v>285</v>
      </c>
      <c r="M10439" t="str">
        <f t="shared" si="793"/>
        <v>10</v>
      </c>
      <c r="N10439" t="s">
        <v>12</v>
      </c>
    </row>
    <row r="10440" spans="1:14" x14ac:dyDescent="0.25">
      <c r="A10440">
        <v>20151009</v>
      </c>
      <c r="B10440" t="str">
        <f>"060535"</f>
        <v>060535</v>
      </c>
      <c r="C10440" t="str">
        <f>"21093"</f>
        <v>21093</v>
      </c>
      <c r="D10440" t="s">
        <v>8336</v>
      </c>
      <c r="E10440" s="3">
        <v>200</v>
      </c>
      <c r="F10440">
        <v>20151008</v>
      </c>
      <c r="G10440" t="s">
        <v>8337</v>
      </c>
      <c r="H10440" t="s">
        <v>7256</v>
      </c>
      <c r="I10440">
        <v>0</v>
      </c>
      <c r="J10440" t="s">
        <v>8323</v>
      </c>
      <c r="K10440" t="s">
        <v>1558</v>
      </c>
      <c r="L10440" t="s">
        <v>285</v>
      </c>
      <c r="M10440" t="str">
        <f t="shared" si="793"/>
        <v>10</v>
      </c>
      <c r="N10440" t="s">
        <v>12</v>
      </c>
    </row>
    <row r="10441" spans="1:14" x14ac:dyDescent="0.25">
      <c r="A10441">
        <v>20151009</v>
      </c>
      <c r="B10441" t="str">
        <f>"060544"</f>
        <v>060544</v>
      </c>
      <c r="C10441" t="str">
        <f>"23754"</f>
        <v>23754</v>
      </c>
      <c r="D10441" t="s">
        <v>794</v>
      </c>
      <c r="E10441" s="3">
        <v>4541.5</v>
      </c>
      <c r="F10441">
        <v>20151008</v>
      </c>
      <c r="G10441" t="s">
        <v>8321</v>
      </c>
      <c r="H10441" t="s">
        <v>8338</v>
      </c>
      <c r="I10441">
        <v>0</v>
      </c>
      <c r="J10441" t="s">
        <v>8323</v>
      </c>
      <c r="K10441" t="s">
        <v>290</v>
      </c>
      <c r="L10441" t="s">
        <v>285</v>
      </c>
      <c r="M10441" t="str">
        <f t="shared" si="793"/>
        <v>10</v>
      </c>
      <c r="N10441" t="s">
        <v>12</v>
      </c>
    </row>
    <row r="10442" spans="1:14" x14ac:dyDescent="0.25">
      <c r="A10442">
        <v>20151009</v>
      </c>
      <c r="B10442" t="str">
        <f>"060544"</f>
        <v>060544</v>
      </c>
      <c r="C10442" t="str">
        <f>"23754"</f>
        <v>23754</v>
      </c>
      <c r="D10442" t="s">
        <v>794</v>
      </c>
      <c r="E10442" s="3">
        <v>299</v>
      </c>
      <c r="F10442">
        <v>20151008</v>
      </c>
      <c r="G10442" t="s">
        <v>8321</v>
      </c>
      <c r="H10442" t="s">
        <v>8338</v>
      </c>
      <c r="I10442">
        <v>0</v>
      </c>
      <c r="J10442" t="s">
        <v>8323</v>
      </c>
      <c r="K10442" t="s">
        <v>290</v>
      </c>
      <c r="L10442" t="s">
        <v>285</v>
      </c>
      <c r="M10442" t="str">
        <f t="shared" si="793"/>
        <v>10</v>
      </c>
      <c r="N10442" t="s">
        <v>12</v>
      </c>
    </row>
    <row r="10443" spans="1:14" x14ac:dyDescent="0.25">
      <c r="A10443">
        <v>20151009</v>
      </c>
      <c r="B10443" t="str">
        <f>"060559"</f>
        <v>060559</v>
      </c>
      <c r="C10443" t="str">
        <f>"31367"</f>
        <v>31367</v>
      </c>
      <c r="D10443" t="s">
        <v>4916</v>
      </c>
      <c r="E10443" s="3">
        <v>164.03</v>
      </c>
      <c r="F10443">
        <v>20151008</v>
      </c>
      <c r="G10443" t="s">
        <v>8321</v>
      </c>
      <c r="H10443" t="s">
        <v>2575</v>
      </c>
      <c r="I10443">
        <v>0</v>
      </c>
      <c r="J10443" t="s">
        <v>8323</v>
      </c>
      <c r="K10443" t="s">
        <v>290</v>
      </c>
      <c r="L10443" t="s">
        <v>285</v>
      </c>
      <c r="M10443" t="str">
        <f t="shared" si="793"/>
        <v>10</v>
      </c>
      <c r="N10443" t="s">
        <v>12</v>
      </c>
    </row>
    <row r="10444" spans="1:14" x14ac:dyDescent="0.25">
      <c r="A10444">
        <v>20151009</v>
      </c>
      <c r="B10444" t="str">
        <f>"060601"</f>
        <v>060601</v>
      </c>
      <c r="C10444" t="str">
        <f>"54145"</f>
        <v>54145</v>
      </c>
      <c r="D10444" t="s">
        <v>5115</v>
      </c>
      <c r="E10444" s="3">
        <v>95</v>
      </c>
      <c r="F10444">
        <v>20151008</v>
      </c>
      <c r="G10444" t="s">
        <v>8339</v>
      </c>
      <c r="H10444" t="s">
        <v>2189</v>
      </c>
      <c r="I10444">
        <v>0</v>
      </c>
      <c r="J10444" t="s">
        <v>8323</v>
      </c>
      <c r="K10444" t="s">
        <v>95</v>
      </c>
      <c r="L10444" t="s">
        <v>285</v>
      </c>
      <c r="M10444" t="str">
        <f t="shared" si="793"/>
        <v>10</v>
      </c>
      <c r="N10444" t="s">
        <v>12</v>
      </c>
    </row>
    <row r="10445" spans="1:14" x14ac:dyDescent="0.25">
      <c r="A10445">
        <v>20151009</v>
      </c>
      <c r="B10445" t="str">
        <f>"060615"</f>
        <v>060615</v>
      </c>
      <c r="C10445" t="str">
        <f>"58204"</f>
        <v>58204</v>
      </c>
      <c r="D10445" t="s">
        <v>1816</v>
      </c>
      <c r="E10445" s="3">
        <v>59.33</v>
      </c>
      <c r="F10445">
        <v>20151009</v>
      </c>
      <c r="G10445" t="s">
        <v>8321</v>
      </c>
      <c r="H10445" t="s">
        <v>2575</v>
      </c>
      <c r="I10445">
        <v>0</v>
      </c>
      <c r="J10445" t="s">
        <v>8323</v>
      </c>
      <c r="K10445" t="s">
        <v>290</v>
      </c>
      <c r="L10445" t="s">
        <v>285</v>
      </c>
      <c r="M10445" t="str">
        <f t="shared" si="793"/>
        <v>10</v>
      </c>
      <c r="N10445" t="s">
        <v>12</v>
      </c>
    </row>
    <row r="10446" spans="1:14" x14ac:dyDescent="0.25">
      <c r="A10446">
        <v>20151009</v>
      </c>
      <c r="B10446" t="str">
        <f>"060615"</f>
        <v>060615</v>
      </c>
      <c r="C10446" t="str">
        <f>"58204"</f>
        <v>58204</v>
      </c>
      <c r="D10446" t="s">
        <v>1816</v>
      </c>
      <c r="E10446" s="3">
        <v>14</v>
      </c>
      <c r="F10446">
        <v>20151009</v>
      </c>
      <c r="G10446" t="s">
        <v>8340</v>
      </c>
      <c r="H10446" t="s">
        <v>8341</v>
      </c>
      <c r="I10446">
        <v>0</v>
      </c>
      <c r="J10446" t="s">
        <v>8323</v>
      </c>
      <c r="K10446" t="s">
        <v>290</v>
      </c>
      <c r="L10446" t="s">
        <v>285</v>
      </c>
      <c r="M10446" t="str">
        <f t="shared" si="793"/>
        <v>10</v>
      </c>
      <c r="N10446" t="s">
        <v>12</v>
      </c>
    </row>
    <row r="10447" spans="1:14" x14ac:dyDescent="0.25">
      <c r="A10447">
        <v>20151009</v>
      </c>
      <c r="B10447" t="str">
        <f>"060616"</f>
        <v>060616</v>
      </c>
      <c r="C10447" t="str">
        <f>"58203"</f>
        <v>58203</v>
      </c>
      <c r="D10447" t="s">
        <v>2371</v>
      </c>
      <c r="E10447" s="3">
        <v>120</v>
      </c>
      <c r="F10447">
        <v>20151009</v>
      </c>
      <c r="G10447" t="s">
        <v>8342</v>
      </c>
      <c r="H10447" t="s">
        <v>8343</v>
      </c>
      <c r="I10447">
        <v>0</v>
      </c>
      <c r="J10447" t="s">
        <v>8323</v>
      </c>
      <c r="K10447" t="s">
        <v>1643</v>
      </c>
      <c r="L10447" t="s">
        <v>285</v>
      </c>
      <c r="M10447" t="str">
        <f t="shared" si="793"/>
        <v>10</v>
      </c>
      <c r="N10447" t="s">
        <v>12</v>
      </c>
    </row>
    <row r="10448" spans="1:14" x14ac:dyDescent="0.25">
      <c r="A10448">
        <v>20151009</v>
      </c>
      <c r="B10448" t="str">
        <f>"060653"</f>
        <v>060653</v>
      </c>
      <c r="C10448" t="str">
        <f>"75451"</f>
        <v>75451</v>
      </c>
      <c r="D10448" t="s">
        <v>56</v>
      </c>
      <c r="E10448" s="3">
        <v>80</v>
      </c>
      <c r="F10448">
        <v>20151009</v>
      </c>
      <c r="G10448" t="s">
        <v>8339</v>
      </c>
      <c r="H10448" t="s">
        <v>1784</v>
      </c>
      <c r="I10448">
        <v>0</v>
      </c>
      <c r="J10448" t="s">
        <v>8323</v>
      </c>
      <c r="K10448" t="s">
        <v>95</v>
      </c>
      <c r="L10448" t="s">
        <v>285</v>
      </c>
      <c r="M10448" t="str">
        <f t="shared" si="793"/>
        <v>10</v>
      </c>
      <c r="N10448" t="s">
        <v>12</v>
      </c>
    </row>
    <row r="10449" spans="1:14" x14ac:dyDescent="0.25">
      <c r="A10449">
        <v>20151016</v>
      </c>
      <c r="B10449" t="str">
        <f>"060687"</f>
        <v>060687</v>
      </c>
      <c r="C10449" t="str">
        <f>"08788"</f>
        <v>08788</v>
      </c>
      <c r="D10449" t="s">
        <v>302</v>
      </c>
      <c r="E10449" s="3">
        <v>630</v>
      </c>
      <c r="F10449">
        <v>20151015</v>
      </c>
      <c r="G10449" t="s">
        <v>8344</v>
      </c>
      <c r="H10449" t="s">
        <v>8345</v>
      </c>
      <c r="I10449">
        <v>0</v>
      </c>
      <c r="J10449" t="s">
        <v>8323</v>
      </c>
      <c r="K10449" t="s">
        <v>290</v>
      </c>
      <c r="L10449" t="s">
        <v>285</v>
      </c>
      <c r="M10449" t="str">
        <f t="shared" si="793"/>
        <v>10</v>
      </c>
      <c r="N10449" t="s">
        <v>12</v>
      </c>
    </row>
    <row r="10450" spans="1:14" x14ac:dyDescent="0.25">
      <c r="A10450">
        <v>20151016</v>
      </c>
      <c r="B10450" t="str">
        <f>"060708"</f>
        <v>060708</v>
      </c>
      <c r="C10450" t="str">
        <f>"23754"</f>
        <v>23754</v>
      </c>
      <c r="D10450" t="s">
        <v>794</v>
      </c>
      <c r="E10450" s="3">
        <v>552.08000000000004</v>
      </c>
      <c r="F10450">
        <v>20151015</v>
      </c>
      <c r="G10450" t="s">
        <v>8346</v>
      </c>
      <c r="H10450" t="s">
        <v>8347</v>
      </c>
      <c r="I10450">
        <v>0</v>
      </c>
      <c r="J10450" t="s">
        <v>8323</v>
      </c>
      <c r="K10450" t="s">
        <v>290</v>
      </c>
      <c r="L10450" t="s">
        <v>285</v>
      </c>
      <c r="M10450" t="str">
        <f t="shared" si="793"/>
        <v>10</v>
      </c>
      <c r="N10450" t="s">
        <v>12</v>
      </c>
    </row>
    <row r="10451" spans="1:14" x14ac:dyDescent="0.25">
      <c r="A10451">
        <v>20151016</v>
      </c>
      <c r="B10451" t="str">
        <f>"060710"</f>
        <v>060710</v>
      </c>
      <c r="C10451" t="str">
        <f>"24361"</f>
        <v>24361</v>
      </c>
      <c r="D10451" t="s">
        <v>7785</v>
      </c>
      <c r="E10451" s="3">
        <v>1123</v>
      </c>
      <c r="F10451">
        <v>20151015</v>
      </c>
      <c r="G10451" t="s">
        <v>8328</v>
      </c>
      <c r="H10451" t="s">
        <v>8330</v>
      </c>
      <c r="I10451">
        <v>0</v>
      </c>
      <c r="J10451" t="s">
        <v>8323</v>
      </c>
      <c r="K10451" t="s">
        <v>95</v>
      </c>
      <c r="L10451" t="s">
        <v>285</v>
      </c>
      <c r="M10451" t="str">
        <f t="shared" si="793"/>
        <v>10</v>
      </c>
      <c r="N10451" t="s">
        <v>12</v>
      </c>
    </row>
    <row r="10452" spans="1:14" x14ac:dyDescent="0.25">
      <c r="A10452">
        <v>20151016</v>
      </c>
      <c r="B10452" t="str">
        <f>"060711"</f>
        <v>060711</v>
      </c>
      <c r="C10452" t="str">
        <f>"24955"</f>
        <v>24955</v>
      </c>
      <c r="D10452" t="s">
        <v>7128</v>
      </c>
      <c r="E10452" s="3">
        <v>425</v>
      </c>
      <c r="F10452">
        <v>20151015</v>
      </c>
      <c r="G10452" t="s">
        <v>8348</v>
      </c>
      <c r="H10452" t="s">
        <v>8349</v>
      </c>
      <c r="I10452">
        <v>0</v>
      </c>
      <c r="J10452" t="s">
        <v>8323</v>
      </c>
      <c r="K10452" t="s">
        <v>290</v>
      </c>
      <c r="L10452" t="s">
        <v>285</v>
      </c>
      <c r="M10452" t="str">
        <f t="shared" si="793"/>
        <v>10</v>
      </c>
      <c r="N10452" t="s">
        <v>12</v>
      </c>
    </row>
    <row r="10453" spans="1:14" x14ac:dyDescent="0.25">
      <c r="A10453">
        <v>20151016</v>
      </c>
      <c r="B10453" t="str">
        <f>"060719"</f>
        <v>060719</v>
      </c>
      <c r="C10453" t="str">
        <f>"28733"</f>
        <v>28733</v>
      </c>
      <c r="D10453" t="s">
        <v>4049</v>
      </c>
      <c r="E10453" s="3">
        <v>450</v>
      </c>
      <c r="F10453">
        <v>20151015</v>
      </c>
      <c r="G10453" t="s">
        <v>8324</v>
      </c>
      <c r="H10453" t="s">
        <v>8350</v>
      </c>
      <c r="I10453">
        <v>0</v>
      </c>
      <c r="J10453" t="s">
        <v>8323</v>
      </c>
      <c r="K10453" t="s">
        <v>95</v>
      </c>
      <c r="L10453" t="s">
        <v>285</v>
      </c>
      <c r="M10453" t="str">
        <f t="shared" si="793"/>
        <v>10</v>
      </c>
      <c r="N10453" t="s">
        <v>12</v>
      </c>
    </row>
    <row r="10454" spans="1:14" x14ac:dyDescent="0.25">
      <c r="A10454">
        <v>20151016</v>
      </c>
      <c r="B10454" t="str">
        <f>"060738"</f>
        <v>060738</v>
      </c>
      <c r="C10454" t="str">
        <f>"33730"</f>
        <v>33730</v>
      </c>
      <c r="D10454" t="s">
        <v>8351</v>
      </c>
      <c r="E10454" s="3">
        <v>350</v>
      </c>
      <c r="F10454">
        <v>20151016</v>
      </c>
      <c r="G10454" t="s">
        <v>8324</v>
      </c>
      <c r="H10454" t="s">
        <v>8350</v>
      </c>
      <c r="I10454">
        <v>0</v>
      </c>
      <c r="J10454" t="s">
        <v>8323</v>
      </c>
      <c r="K10454" t="s">
        <v>95</v>
      </c>
      <c r="L10454" t="s">
        <v>285</v>
      </c>
      <c r="M10454" t="str">
        <f t="shared" si="793"/>
        <v>10</v>
      </c>
      <c r="N10454" t="s">
        <v>12</v>
      </c>
    </row>
    <row r="10455" spans="1:14" x14ac:dyDescent="0.25">
      <c r="A10455">
        <v>20151016</v>
      </c>
      <c r="B10455" t="str">
        <f>"060776"</f>
        <v>060776</v>
      </c>
      <c r="C10455" t="str">
        <f>"64610"</f>
        <v>64610</v>
      </c>
      <c r="D10455" t="s">
        <v>678</v>
      </c>
      <c r="E10455" s="3">
        <v>72</v>
      </c>
      <c r="F10455">
        <v>20151016</v>
      </c>
      <c r="G10455" t="s">
        <v>8344</v>
      </c>
      <c r="H10455" t="s">
        <v>8352</v>
      </c>
      <c r="I10455">
        <v>0</v>
      </c>
      <c r="J10455" t="s">
        <v>8323</v>
      </c>
      <c r="K10455" t="s">
        <v>290</v>
      </c>
      <c r="L10455" t="s">
        <v>285</v>
      </c>
      <c r="M10455" t="str">
        <f t="shared" si="793"/>
        <v>10</v>
      </c>
      <c r="N10455" t="s">
        <v>12</v>
      </c>
    </row>
    <row r="10456" spans="1:14" x14ac:dyDescent="0.25">
      <c r="A10456">
        <v>20151016</v>
      </c>
      <c r="B10456" t="str">
        <f>"060781"</f>
        <v>060781</v>
      </c>
      <c r="C10456" t="str">
        <f>"65106"</f>
        <v>65106</v>
      </c>
      <c r="D10456" t="s">
        <v>1568</v>
      </c>
      <c r="E10456" s="3">
        <v>199</v>
      </c>
      <c r="F10456">
        <v>20151016</v>
      </c>
      <c r="G10456" t="s">
        <v>8321</v>
      </c>
      <c r="H10456" t="s">
        <v>7142</v>
      </c>
      <c r="I10456">
        <v>0</v>
      </c>
      <c r="J10456" t="s">
        <v>8323</v>
      </c>
      <c r="K10456" t="s">
        <v>290</v>
      </c>
      <c r="L10456" t="s">
        <v>285</v>
      </c>
      <c r="M10456" t="str">
        <f t="shared" si="793"/>
        <v>10</v>
      </c>
      <c r="N10456" t="s">
        <v>12</v>
      </c>
    </row>
    <row r="10457" spans="1:14" x14ac:dyDescent="0.25">
      <c r="A10457">
        <v>20151016</v>
      </c>
      <c r="B10457" t="str">
        <f>"060781"</f>
        <v>060781</v>
      </c>
      <c r="C10457" t="str">
        <f>"65106"</f>
        <v>65106</v>
      </c>
      <c r="D10457" t="s">
        <v>1568</v>
      </c>
      <c r="E10457" s="3">
        <v>198</v>
      </c>
      <c r="F10457">
        <v>20151016</v>
      </c>
      <c r="G10457" t="s">
        <v>8321</v>
      </c>
      <c r="H10457" t="s">
        <v>2752</v>
      </c>
      <c r="I10457">
        <v>0</v>
      </c>
      <c r="J10457" t="s">
        <v>8323</v>
      </c>
      <c r="K10457" t="s">
        <v>290</v>
      </c>
      <c r="L10457" t="s">
        <v>285</v>
      </c>
      <c r="M10457" t="str">
        <f t="shared" si="793"/>
        <v>10</v>
      </c>
      <c r="N10457" t="s">
        <v>12</v>
      </c>
    </row>
    <row r="10458" spans="1:14" x14ac:dyDescent="0.25">
      <c r="A10458">
        <v>20151016</v>
      </c>
      <c r="B10458" t="str">
        <f>"060781"</f>
        <v>060781</v>
      </c>
      <c r="C10458" t="str">
        <f>"65106"</f>
        <v>65106</v>
      </c>
      <c r="D10458" t="s">
        <v>1568</v>
      </c>
      <c r="E10458" s="3">
        <v>339.58</v>
      </c>
      <c r="F10458">
        <v>20151016</v>
      </c>
      <c r="G10458" t="s">
        <v>8321</v>
      </c>
      <c r="H10458" t="s">
        <v>2575</v>
      </c>
      <c r="I10458">
        <v>0</v>
      </c>
      <c r="J10458" t="s">
        <v>8323</v>
      </c>
      <c r="K10458" t="s">
        <v>290</v>
      </c>
      <c r="L10458" t="s">
        <v>285</v>
      </c>
      <c r="M10458" t="str">
        <f t="shared" si="793"/>
        <v>10</v>
      </c>
      <c r="N10458" t="s">
        <v>12</v>
      </c>
    </row>
    <row r="10459" spans="1:14" x14ac:dyDescent="0.25">
      <c r="A10459">
        <v>20151016</v>
      </c>
      <c r="B10459" t="str">
        <f>"060781"</f>
        <v>060781</v>
      </c>
      <c r="C10459" t="str">
        <f>"65106"</f>
        <v>65106</v>
      </c>
      <c r="D10459" t="s">
        <v>1568</v>
      </c>
      <c r="E10459" s="3">
        <v>47.76</v>
      </c>
      <c r="F10459">
        <v>20151016</v>
      </c>
      <c r="G10459" t="s">
        <v>8346</v>
      </c>
      <c r="H10459" t="s">
        <v>8353</v>
      </c>
      <c r="I10459">
        <v>0</v>
      </c>
      <c r="J10459" t="s">
        <v>8323</v>
      </c>
      <c r="K10459" t="s">
        <v>290</v>
      </c>
      <c r="L10459" t="s">
        <v>285</v>
      </c>
      <c r="M10459" t="str">
        <f t="shared" si="793"/>
        <v>10</v>
      </c>
      <c r="N10459" t="s">
        <v>12</v>
      </c>
    </row>
    <row r="10460" spans="1:14" x14ac:dyDescent="0.25">
      <c r="A10460">
        <v>20151016</v>
      </c>
      <c r="B10460" t="str">
        <f>"060789"</f>
        <v>060789</v>
      </c>
      <c r="C10460" t="str">
        <f>"71250"</f>
        <v>71250</v>
      </c>
      <c r="D10460" t="s">
        <v>2574</v>
      </c>
      <c r="E10460" s="3">
        <v>354.4</v>
      </c>
      <c r="F10460">
        <v>20151016</v>
      </c>
      <c r="G10460" t="s">
        <v>8321</v>
      </c>
      <c r="H10460" t="s">
        <v>2575</v>
      </c>
      <c r="I10460">
        <v>0</v>
      </c>
      <c r="J10460" t="s">
        <v>8323</v>
      </c>
      <c r="K10460" t="s">
        <v>290</v>
      </c>
      <c r="L10460" t="s">
        <v>285</v>
      </c>
      <c r="M10460" t="str">
        <f t="shared" si="793"/>
        <v>10</v>
      </c>
      <c r="N10460" t="s">
        <v>12</v>
      </c>
    </row>
    <row r="10461" spans="1:14" x14ac:dyDescent="0.25">
      <c r="A10461">
        <v>20151016</v>
      </c>
      <c r="B10461" t="str">
        <f>"060789"</f>
        <v>060789</v>
      </c>
      <c r="C10461" t="str">
        <f>"71250"</f>
        <v>71250</v>
      </c>
      <c r="D10461" t="s">
        <v>2574</v>
      </c>
      <c r="E10461" s="3">
        <v>73.900000000000006</v>
      </c>
      <c r="F10461">
        <v>20151016</v>
      </c>
      <c r="G10461" t="s">
        <v>8321</v>
      </c>
      <c r="H10461" t="s">
        <v>2575</v>
      </c>
      <c r="I10461">
        <v>0</v>
      </c>
      <c r="J10461" t="s">
        <v>8323</v>
      </c>
      <c r="K10461" t="s">
        <v>290</v>
      </c>
      <c r="L10461" t="s">
        <v>285</v>
      </c>
      <c r="M10461" t="str">
        <f t="shared" si="793"/>
        <v>10</v>
      </c>
      <c r="N10461" t="s">
        <v>12</v>
      </c>
    </row>
    <row r="10462" spans="1:14" x14ac:dyDescent="0.25">
      <c r="A10462">
        <v>20151023</v>
      </c>
      <c r="B10462" t="str">
        <f>"060837"</f>
        <v>060837</v>
      </c>
      <c r="C10462" t="str">
        <f>"23754"</f>
        <v>23754</v>
      </c>
      <c r="D10462" t="s">
        <v>794</v>
      </c>
      <c r="E10462" s="3">
        <v>253.75</v>
      </c>
      <c r="F10462">
        <v>20151021</v>
      </c>
      <c r="G10462" t="s">
        <v>8354</v>
      </c>
      <c r="H10462" t="s">
        <v>8355</v>
      </c>
      <c r="I10462">
        <v>0</v>
      </c>
      <c r="J10462" t="s">
        <v>8323</v>
      </c>
      <c r="K10462" t="s">
        <v>95</v>
      </c>
      <c r="L10462" t="s">
        <v>285</v>
      </c>
      <c r="M10462" t="str">
        <f t="shared" si="793"/>
        <v>10</v>
      </c>
      <c r="N10462" t="s">
        <v>12</v>
      </c>
    </row>
    <row r="10463" spans="1:14" x14ac:dyDescent="0.25">
      <c r="A10463">
        <v>20151023</v>
      </c>
      <c r="B10463" t="str">
        <f>"060837"</f>
        <v>060837</v>
      </c>
      <c r="C10463" t="str">
        <f>"23754"</f>
        <v>23754</v>
      </c>
      <c r="D10463" t="s">
        <v>794</v>
      </c>
      <c r="E10463" s="3">
        <v>603.5</v>
      </c>
      <c r="F10463">
        <v>20151021</v>
      </c>
      <c r="G10463" t="s">
        <v>8356</v>
      </c>
      <c r="H10463" t="s">
        <v>8357</v>
      </c>
      <c r="I10463">
        <v>0</v>
      </c>
      <c r="J10463" t="s">
        <v>8323</v>
      </c>
      <c r="K10463" t="s">
        <v>290</v>
      </c>
      <c r="L10463" t="s">
        <v>285</v>
      </c>
      <c r="M10463" t="str">
        <f t="shared" si="793"/>
        <v>10</v>
      </c>
      <c r="N10463" t="s">
        <v>12</v>
      </c>
    </row>
    <row r="10464" spans="1:14" x14ac:dyDescent="0.25">
      <c r="A10464">
        <v>20151023</v>
      </c>
      <c r="B10464" t="str">
        <f>"060840"</f>
        <v>060840</v>
      </c>
      <c r="C10464" t="str">
        <f>"24970"</f>
        <v>24970</v>
      </c>
      <c r="D10464" t="s">
        <v>1968</v>
      </c>
      <c r="E10464" s="3">
        <v>240</v>
      </c>
      <c r="F10464">
        <v>20151021</v>
      </c>
      <c r="G10464" t="s">
        <v>8358</v>
      </c>
      <c r="H10464" t="s">
        <v>8359</v>
      </c>
      <c r="I10464">
        <v>0</v>
      </c>
      <c r="J10464" t="s">
        <v>8323</v>
      </c>
      <c r="K10464" t="s">
        <v>290</v>
      </c>
      <c r="L10464" t="s">
        <v>285</v>
      </c>
      <c r="M10464" t="str">
        <f t="shared" si="793"/>
        <v>10</v>
      </c>
      <c r="N10464" t="s">
        <v>12</v>
      </c>
    </row>
    <row r="10465" spans="1:14" x14ac:dyDescent="0.25">
      <c r="A10465">
        <v>20151023</v>
      </c>
      <c r="B10465" t="str">
        <f>"060844"</f>
        <v>060844</v>
      </c>
      <c r="C10465" t="str">
        <f>"28733"</f>
        <v>28733</v>
      </c>
      <c r="D10465" t="s">
        <v>4049</v>
      </c>
      <c r="E10465" s="3">
        <v>195</v>
      </c>
      <c r="F10465">
        <v>20151021</v>
      </c>
      <c r="G10465" t="s">
        <v>8324</v>
      </c>
      <c r="H10465" t="s">
        <v>2668</v>
      </c>
      <c r="I10465">
        <v>0</v>
      </c>
      <c r="J10465" t="s">
        <v>8323</v>
      </c>
      <c r="K10465" t="s">
        <v>95</v>
      </c>
      <c r="L10465" t="s">
        <v>285</v>
      </c>
      <c r="M10465" t="str">
        <f t="shared" si="793"/>
        <v>10</v>
      </c>
      <c r="N10465" t="s">
        <v>12</v>
      </c>
    </row>
    <row r="10466" spans="1:14" x14ac:dyDescent="0.25">
      <c r="A10466">
        <v>20151023</v>
      </c>
      <c r="B10466" t="str">
        <f>"060855"</f>
        <v>060855</v>
      </c>
      <c r="C10466" t="str">
        <f>"34949"</f>
        <v>34949</v>
      </c>
      <c r="D10466" t="s">
        <v>396</v>
      </c>
      <c r="E10466" s="3">
        <v>317</v>
      </c>
      <c r="F10466">
        <v>20151021</v>
      </c>
      <c r="G10466" t="s">
        <v>8324</v>
      </c>
      <c r="H10466" t="s">
        <v>2668</v>
      </c>
      <c r="I10466">
        <v>0</v>
      </c>
      <c r="J10466" t="s">
        <v>8323</v>
      </c>
      <c r="K10466" t="s">
        <v>95</v>
      </c>
      <c r="L10466" t="s">
        <v>285</v>
      </c>
      <c r="M10466" t="str">
        <f t="shared" si="793"/>
        <v>10</v>
      </c>
      <c r="N10466" t="s">
        <v>12</v>
      </c>
    </row>
    <row r="10467" spans="1:14" x14ac:dyDescent="0.25">
      <c r="A10467">
        <v>20151023</v>
      </c>
      <c r="B10467" t="str">
        <f>"060872"</f>
        <v>060872</v>
      </c>
      <c r="C10467" t="str">
        <f>"54149"</f>
        <v>54149</v>
      </c>
      <c r="D10467" t="s">
        <v>1617</v>
      </c>
      <c r="E10467" s="3">
        <v>84.71</v>
      </c>
      <c r="F10467">
        <v>20151021</v>
      </c>
      <c r="G10467" t="s">
        <v>8340</v>
      </c>
      <c r="H10467" t="s">
        <v>8360</v>
      </c>
      <c r="I10467">
        <v>0</v>
      </c>
      <c r="J10467" t="s">
        <v>8323</v>
      </c>
      <c r="K10467" t="s">
        <v>290</v>
      </c>
      <c r="L10467" t="s">
        <v>285</v>
      </c>
      <c r="M10467" t="str">
        <f t="shared" si="793"/>
        <v>10</v>
      </c>
      <c r="N10467" t="s">
        <v>12</v>
      </c>
    </row>
    <row r="10468" spans="1:14" x14ac:dyDescent="0.25">
      <c r="A10468">
        <v>20151023</v>
      </c>
      <c r="B10468" t="str">
        <f>"060877"</f>
        <v>060877</v>
      </c>
      <c r="C10468" t="str">
        <f>"58202"</f>
        <v>58202</v>
      </c>
      <c r="D10468" t="s">
        <v>2695</v>
      </c>
      <c r="E10468" s="3">
        <v>14.95</v>
      </c>
      <c r="F10468">
        <v>20151022</v>
      </c>
      <c r="G10468" t="s">
        <v>8328</v>
      </c>
      <c r="H10468" t="s">
        <v>8361</v>
      </c>
      <c r="I10468">
        <v>0</v>
      </c>
      <c r="J10468" t="s">
        <v>8323</v>
      </c>
      <c r="K10468" t="s">
        <v>95</v>
      </c>
      <c r="L10468" t="s">
        <v>285</v>
      </c>
      <c r="M10468" t="str">
        <f t="shared" si="793"/>
        <v>10</v>
      </c>
      <c r="N10468" t="s">
        <v>12</v>
      </c>
    </row>
    <row r="10469" spans="1:14" x14ac:dyDescent="0.25">
      <c r="A10469">
        <v>20151029</v>
      </c>
      <c r="B10469" t="str">
        <f>"060915"</f>
        <v>060915</v>
      </c>
      <c r="C10469" t="str">
        <f>"08788"</f>
        <v>08788</v>
      </c>
      <c r="D10469" t="s">
        <v>302</v>
      </c>
      <c r="E10469" s="3">
        <v>2524.5</v>
      </c>
      <c r="F10469">
        <v>20151027</v>
      </c>
      <c r="G10469" t="s">
        <v>8344</v>
      </c>
      <c r="H10469" t="s">
        <v>8362</v>
      </c>
      <c r="I10469">
        <v>0</v>
      </c>
      <c r="J10469" t="s">
        <v>8323</v>
      </c>
      <c r="K10469" t="s">
        <v>290</v>
      </c>
      <c r="L10469" t="s">
        <v>285</v>
      </c>
      <c r="M10469" t="str">
        <f t="shared" si="793"/>
        <v>10</v>
      </c>
      <c r="N10469" t="s">
        <v>12</v>
      </c>
    </row>
    <row r="10470" spans="1:14" x14ac:dyDescent="0.25">
      <c r="A10470">
        <v>20151029</v>
      </c>
      <c r="B10470" t="str">
        <f>"060915"</f>
        <v>060915</v>
      </c>
      <c r="C10470" t="str">
        <f>"08788"</f>
        <v>08788</v>
      </c>
      <c r="D10470" t="s">
        <v>302</v>
      </c>
      <c r="E10470" s="3">
        <v>75.849999999999994</v>
      </c>
      <c r="F10470">
        <v>20151028</v>
      </c>
      <c r="G10470" t="s">
        <v>8344</v>
      </c>
      <c r="H10470" t="s">
        <v>8363</v>
      </c>
      <c r="I10470">
        <v>0</v>
      </c>
      <c r="J10470" t="s">
        <v>8323</v>
      </c>
      <c r="K10470" t="s">
        <v>290</v>
      </c>
      <c r="L10470" t="s">
        <v>285</v>
      </c>
      <c r="M10470" t="str">
        <f t="shared" si="793"/>
        <v>10</v>
      </c>
      <c r="N10470" t="s">
        <v>12</v>
      </c>
    </row>
    <row r="10471" spans="1:14" x14ac:dyDescent="0.25">
      <c r="A10471">
        <v>20151029</v>
      </c>
      <c r="B10471" t="str">
        <f>"060923"</f>
        <v>060923</v>
      </c>
      <c r="C10471" t="str">
        <f>"51346"</f>
        <v>51346</v>
      </c>
      <c r="D10471" t="s">
        <v>379</v>
      </c>
      <c r="E10471" s="3">
        <v>66</v>
      </c>
      <c r="F10471">
        <v>20151027</v>
      </c>
      <c r="G10471" t="s">
        <v>8324</v>
      </c>
      <c r="H10471" t="s">
        <v>8364</v>
      </c>
      <c r="I10471">
        <v>0</v>
      </c>
      <c r="J10471" t="s">
        <v>8323</v>
      </c>
      <c r="K10471" t="s">
        <v>95</v>
      </c>
      <c r="L10471" t="s">
        <v>285</v>
      </c>
      <c r="M10471" t="str">
        <f t="shared" si="793"/>
        <v>10</v>
      </c>
      <c r="N10471" t="s">
        <v>12</v>
      </c>
    </row>
    <row r="10472" spans="1:14" x14ac:dyDescent="0.25">
      <c r="A10472">
        <v>20151029</v>
      </c>
      <c r="B10472" t="str">
        <f>"060923"</f>
        <v>060923</v>
      </c>
      <c r="C10472" t="str">
        <f>"51346"</f>
        <v>51346</v>
      </c>
      <c r="D10472" t="s">
        <v>379</v>
      </c>
      <c r="E10472" s="3">
        <v>33</v>
      </c>
      <c r="F10472">
        <v>20151027</v>
      </c>
      <c r="G10472" t="s">
        <v>8332</v>
      </c>
      <c r="H10472" t="s">
        <v>8365</v>
      </c>
      <c r="I10472">
        <v>0</v>
      </c>
      <c r="J10472" t="s">
        <v>8323</v>
      </c>
      <c r="K10472" t="s">
        <v>95</v>
      </c>
      <c r="L10472" t="s">
        <v>285</v>
      </c>
      <c r="M10472" t="str">
        <f t="shared" si="793"/>
        <v>10</v>
      </c>
      <c r="N10472" t="s">
        <v>12</v>
      </c>
    </row>
    <row r="10473" spans="1:14" x14ac:dyDescent="0.25">
      <c r="A10473">
        <v>20151029</v>
      </c>
      <c r="B10473" t="str">
        <f>"060923"</f>
        <v>060923</v>
      </c>
      <c r="C10473" t="str">
        <f>"51346"</f>
        <v>51346</v>
      </c>
      <c r="D10473" t="s">
        <v>379</v>
      </c>
      <c r="E10473" s="3">
        <v>22</v>
      </c>
      <c r="F10473">
        <v>20151027</v>
      </c>
      <c r="G10473" t="s">
        <v>8332</v>
      </c>
      <c r="H10473" t="s">
        <v>8366</v>
      </c>
      <c r="I10473">
        <v>0</v>
      </c>
      <c r="J10473" t="s">
        <v>8323</v>
      </c>
      <c r="K10473" t="s">
        <v>95</v>
      </c>
      <c r="L10473" t="s">
        <v>285</v>
      </c>
      <c r="M10473" t="str">
        <f t="shared" si="793"/>
        <v>10</v>
      </c>
      <c r="N10473" t="s">
        <v>12</v>
      </c>
    </row>
    <row r="10474" spans="1:14" x14ac:dyDescent="0.25">
      <c r="A10474">
        <v>20151029</v>
      </c>
      <c r="B10474" t="str">
        <f>"060934"</f>
        <v>060934</v>
      </c>
      <c r="C10474" t="str">
        <f>"31345"</f>
        <v>31345</v>
      </c>
      <c r="D10474" t="s">
        <v>426</v>
      </c>
      <c r="E10474" s="3">
        <v>2596.38</v>
      </c>
      <c r="F10474">
        <v>20151028</v>
      </c>
      <c r="G10474" t="s">
        <v>8334</v>
      </c>
      <c r="H10474" t="s">
        <v>8367</v>
      </c>
      <c r="I10474">
        <v>0</v>
      </c>
      <c r="J10474" t="s">
        <v>8323</v>
      </c>
      <c r="K10474" t="s">
        <v>95</v>
      </c>
      <c r="L10474" t="s">
        <v>285</v>
      </c>
      <c r="M10474" t="str">
        <f t="shared" si="793"/>
        <v>10</v>
      </c>
      <c r="N10474" t="s">
        <v>12</v>
      </c>
    </row>
    <row r="10475" spans="1:14" x14ac:dyDescent="0.25">
      <c r="A10475">
        <v>20151029</v>
      </c>
      <c r="B10475" t="str">
        <f>"060945"</f>
        <v>060945</v>
      </c>
      <c r="C10475" t="str">
        <f>"41864"</f>
        <v>41864</v>
      </c>
      <c r="D10475" t="s">
        <v>3530</v>
      </c>
      <c r="E10475" s="3">
        <v>1025</v>
      </c>
      <c r="F10475">
        <v>20151028</v>
      </c>
      <c r="G10475" t="s">
        <v>8368</v>
      </c>
      <c r="H10475" t="s">
        <v>8369</v>
      </c>
      <c r="I10475">
        <v>0</v>
      </c>
      <c r="J10475" t="s">
        <v>8323</v>
      </c>
      <c r="K10475" t="s">
        <v>290</v>
      </c>
      <c r="L10475" t="s">
        <v>285</v>
      </c>
      <c r="M10475" t="str">
        <f t="shared" si="793"/>
        <v>10</v>
      </c>
      <c r="N10475" t="s">
        <v>12</v>
      </c>
    </row>
    <row r="10476" spans="1:14" x14ac:dyDescent="0.25">
      <c r="A10476">
        <v>20151029</v>
      </c>
      <c r="B10476" t="str">
        <f>"060993"</f>
        <v>060993</v>
      </c>
      <c r="C10476" t="str">
        <f>"83022"</f>
        <v>83022</v>
      </c>
      <c r="D10476" t="s">
        <v>394</v>
      </c>
      <c r="E10476" s="3">
        <v>112.24</v>
      </c>
      <c r="F10476">
        <v>20151028</v>
      </c>
      <c r="G10476" t="s">
        <v>8332</v>
      </c>
      <c r="H10476" t="s">
        <v>8370</v>
      </c>
      <c r="I10476">
        <v>0</v>
      </c>
      <c r="J10476" t="s">
        <v>8323</v>
      </c>
      <c r="K10476" t="s">
        <v>95</v>
      </c>
      <c r="L10476" t="s">
        <v>285</v>
      </c>
      <c r="M10476" t="str">
        <f t="shared" si="793"/>
        <v>10</v>
      </c>
      <c r="N10476" t="s">
        <v>12</v>
      </c>
    </row>
    <row r="10477" spans="1:14" x14ac:dyDescent="0.25">
      <c r="A10477">
        <v>20151029</v>
      </c>
      <c r="B10477" t="str">
        <f>"060993"</f>
        <v>060993</v>
      </c>
      <c r="C10477" t="str">
        <f>"83022"</f>
        <v>83022</v>
      </c>
      <c r="D10477" t="s">
        <v>394</v>
      </c>
      <c r="E10477" s="3">
        <v>161.16</v>
      </c>
      <c r="F10477">
        <v>20151028</v>
      </c>
      <c r="G10477" t="s">
        <v>8332</v>
      </c>
      <c r="H10477" t="s">
        <v>8365</v>
      </c>
      <c r="I10477">
        <v>0</v>
      </c>
      <c r="J10477" t="s">
        <v>8323</v>
      </c>
      <c r="K10477" t="s">
        <v>95</v>
      </c>
      <c r="L10477" t="s">
        <v>285</v>
      </c>
      <c r="M10477" t="str">
        <f t="shared" si="793"/>
        <v>10</v>
      </c>
      <c r="N10477" t="s">
        <v>12</v>
      </c>
    </row>
    <row r="10478" spans="1:14" x14ac:dyDescent="0.25">
      <c r="A10478">
        <v>20151029</v>
      </c>
      <c r="B10478" t="str">
        <f>"060993"</f>
        <v>060993</v>
      </c>
      <c r="C10478" t="str">
        <f>"83022"</f>
        <v>83022</v>
      </c>
      <c r="D10478" t="s">
        <v>394</v>
      </c>
      <c r="E10478" s="3">
        <v>75.38</v>
      </c>
      <c r="F10478">
        <v>20151028</v>
      </c>
      <c r="G10478" t="s">
        <v>8371</v>
      </c>
      <c r="H10478" t="s">
        <v>8372</v>
      </c>
      <c r="I10478">
        <v>0</v>
      </c>
      <c r="J10478" t="s">
        <v>8323</v>
      </c>
      <c r="K10478" t="s">
        <v>290</v>
      </c>
      <c r="L10478" t="s">
        <v>285</v>
      </c>
      <c r="M10478" t="str">
        <f t="shared" si="793"/>
        <v>10</v>
      </c>
      <c r="N10478" t="s">
        <v>12</v>
      </c>
    </row>
    <row r="10479" spans="1:14" x14ac:dyDescent="0.25">
      <c r="A10479">
        <v>20151106</v>
      </c>
      <c r="B10479" t="str">
        <f>"061004"</f>
        <v>061004</v>
      </c>
      <c r="C10479" t="str">
        <f>"09170"</f>
        <v>09170</v>
      </c>
      <c r="D10479" t="s">
        <v>596</v>
      </c>
      <c r="E10479" s="3">
        <v>242.3</v>
      </c>
      <c r="F10479">
        <v>20151104</v>
      </c>
      <c r="G10479" t="s">
        <v>8373</v>
      </c>
      <c r="H10479" t="s">
        <v>8374</v>
      </c>
      <c r="I10479">
        <v>0</v>
      </c>
      <c r="J10479" t="s">
        <v>8323</v>
      </c>
      <c r="K10479" t="s">
        <v>1856</v>
      </c>
      <c r="L10479" t="s">
        <v>285</v>
      </c>
      <c r="M10479" t="str">
        <f t="shared" ref="M10479:M10492" si="794">"11"</f>
        <v>11</v>
      </c>
      <c r="N10479" t="s">
        <v>12</v>
      </c>
    </row>
    <row r="10480" spans="1:14" x14ac:dyDescent="0.25">
      <c r="A10480">
        <v>20151106</v>
      </c>
      <c r="B10480" t="str">
        <f>"061004"</f>
        <v>061004</v>
      </c>
      <c r="C10480" t="str">
        <f>"09170"</f>
        <v>09170</v>
      </c>
      <c r="D10480" t="s">
        <v>596</v>
      </c>
      <c r="E10480" s="3">
        <v>1530</v>
      </c>
      <c r="F10480">
        <v>20151104</v>
      </c>
      <c r="G10480" t="s">
        <v>8324</v>
      </c>
      <c r="H10480" t="s">
        <v>8375</v>
      </c>
      <c r="I10480">
        <v>0</v>
      </c>
      <c r="J10480" t="s">
        <v>8323</v>
      </c>
      <c r="K10480" t="s">
        <v>95</v>
      </c>
      <c r="L10480" t="s">
        <v>285</v>
      </c>
      <c r="M10480" t="str">
        <f t="shared" si="794"/>
        <v>11</v>
      </c>
      <c r="N10480" t="s">
        <v>12</v>
      </c>
    </row>
    <row r="10481" spans="1:14" x14ac:dyDescent="0.25">
      <c r="A10481">
        <v>20151113</v>
      </c>
      <c r="B10481" t="str">
        <f>"061085"</f>
        <v>061085</v>
      </c>
      <c r="C10481" t="str">
        <f>"37500"</f>
        <v>37500</v>
      </c>
      <c r="D10481" t="s">
        <v>1652</v>
      </c>
      <c r="E10481" s="3">
        <v>57.98</v>
      </c>
      <c r="F10481">
        <v>20151112</v>
      </c>
      <c r="G10481" t="s">
        <v>8337</v>
      </c>
      <c r="H10481" t="s">
        <v>8376</v>
      </c>
      <c r="I10481">
        <v>0</v>
      </c>
      <c r="J10481" t="s">
        <v>8323</v>
      </c>
      <c r="K10481" t="s">
        <v>1558</v>
      </c>
      <c r="L10481" t="s">
        <v>285</v>
      </c>
      <c r="M10481" t="str">
        <f t="shared" si="794"/>
        <v>11</v>
      </c>
      <c r="N10481" t="s">
        <v>12</v>
      </c>
    </row>
    <row r="10482" spans="1:14" x14ac:dyDescent="0.25">
      <c r="A10482">
        <v>20151113</v>
      </c>
      <c r="B10482" t="str">
        <f>"061085"</f>
        <v>061085</v>
      </c>
      <c r="C10482" t="str">
        <f>"37500"</f>
        <v>37500</v>
      </c>
      <c r="D10482" t="s">
        <v>1652</v>
      </c>
      <c r="E10482" s="3">
        <v>120.87</v>
      </c>
      <c r="F10482">
        <v>20151112</v>
      </c>
      <c r="G10482" t="s">
        <v>8321</v>
      </c>
      <c r="H10482" t="s">
        <v>8377</v>
      </c>
      <c r="I10482">
        <v>0</v>
      </c>
      <c r="J10482" t="s">
        <v>8323</v>
      </c>
      <c r="K10482" t="s">
        <v>290</v>
      </c>
      <c r="L10482" t="s">
        <v>285</v>
      </c>
      <c r="M10482" t="str">
        <f t="shared" si="794"/>
        <v>11</v>
      </c>
      <c r="N10482" t="s">
        <v>12</v>
      </c>
    </row>
    <row r="10483" spans="1:14" x14ac:dyDescent="0.25">
      <c r="A10483">
        <v>20151113</v>
      </c>
      <c r="B10483" t="str">
        <f>"061085"</f>
        <v>061085</v>
      </c>
      <c r="C10483" t="str">
        <f>"37500"</f>
        <v>37500</v>
      </c>
      <c r="D10483" t="s">
        <v>1652</v>
      </c>
      <c r="E10483" s="3">
        <v>195.64</v>
      </c>
      <c r="F10483">
        <v>20151112</v>
      </c>
      <c r="G10483" t="s">
        <v>8356</v>
      </c>
      <c r="H10483" t="s">
        <v>8378</v>
      </c>
      <c r="I10483">
        <v>0</v>
      </c>
      <c r="J10483" t="s">
        <v>8323</v>
      </c>
      <c r="K10483" t="s">
        <v>290</v>
      </c>
      <c r="L10483" t="s">
        <v>285</v>
      </c>
      <c r="M10483" t="str">
        <f t="shared" si="794"/>
        <v>11</v>
      </c>
      <c r="N10483" t="s">
        <v>12</v>
      </c>
    </row>
    <row r="10484" spans="1:14" x14ac:dyDescent="0.25">
      <c r="A10484">
        <v>20151113</v>
      </c>
      <c r="B10484" t="str">
        <f>"061088"</f>
        <v>061088</v>
      </c>
      <c r="C10484" t="str">
        <f>"42179"</f>
        <v>42179</v>
      </c>
      <c r="D10484" t="s">
        <v>4154</v>
      </c>
      <c r="E10484" s="3">
        <v>333</v>
      </c>
      <c r="F10484">
        <v>20151112</v>
      </c>
      <c r="G10484" t="s">
        <v>8340</v>
      </c>
      <c r="H10484" t="s">
        <v>8379</v>
      </c>
      <c r="I10484">
        <v>0</v>
      </c>
      <c r="J10484" t="s">
        <v>8323</v>
      </c>
      <c r="K10484" t="s">
        <v>290</v>
      </c>
      <c r="L10484" t="s">
        <v>285</v>
      </c>
      <c r="M10484" t="str">
        <f t="shared" si="794"/>
        <v>11</v>
      </c>
      <c r="N10484" t="s">
        <v>12</v>
      </c>
    </row>
    <row r="10485" spans="1:14" x14ac:dyDescent="0.25">
      <c r="A10485">
        <v>20151113</v>
      </c>
      <c r="B10485" t="str">
        <f>"061097"</f>
        <v>061097</v>
      </c>
      <c r="C10485" t="str">
        <f>"53280"</f>
        <v>53280</v>
      </c>
      <c r="D10485" t="s">
        <v>3000</v>
      </c>
      <c r="E10485" s="3">
        <v>145</v>
      </c>
      <c r="F10485">
        <v>20151112</v>
      </c>
      <c r="G10485" t="s">
        <v>8328</v>
      </c>
      <c r="H10485" t="s">
        <v>2191</v>
      </c>
      <c r="I10485">
        <v>0</v>
      </c>
      <c r="J10485" t="s">
        <v>8323</v>
      </c>
      <c r="K10485" t="s">
        <v>95</v>
      </c>
      <c r="L10485" t="s">
        <v>285</v>
      </c>
      <c r="M10485" t="str">
        <f t="shared" si="794"/>
        <v>11</v>
      </c>
      <c r="N10485" t="s">
        <v>12</v>
      </c>
    </row>
    <row r="10486" spans="1:14" x14ac:dyDescent="0.25">
      <c r="A10486">
        <v>20151113</v>
      </c>
      <c r="B10486" t="str">
        <f>"061100"</f>
        <v>061100</v>
      </c>
      <c r="C10486" t="str">
        <f>"58204"</f>
        <v>58204</v>
      </c>
      <c r="D10486" t="s">
        <v>1816</v>
      </c>
      <c r="E10486" s="3">
        <v>87.23</v>
      </c>
      <c r="F10486">
        <v>20151112</v>
      </c>
      <c r="G10486" t="s">
        <v>8321</v>
      </c>
      <c r="H10486" t="s">
        <v>8380</v>
      </c>
      <c r="I10486">
        <v>0</v>
      </c>
      <c r="J10486" t="s">
        <v>8323</v>
      </c>
      <c r="K10486" t="s">
        <v>290</v>
      </c>
      <c r="L10486" t="s">
        <v>285</v>
      </c>
      <c r="M10486" t="str">
        <f t="shared" si="794"/>
        <v>11</v>
      </c>
      <c r="N10486" t="s">
        <v>12</v>
      </c>
    </row>
    <row r="10487" spans="1:14" x14ac:dyDescent="0.25">
      <c r="A10487">
        <v>20151113</v>
      </c>
      <c r="B10487" t="str">
        <f>"061101"</f>
        <v>061101</v>
      </c>
      <c r="C10487" t="str">
        <f>"58202"</f>
        <v>58202</v>
      </c>
      <c r="D10487" t="s">
        <v>2695</v>
      </c>
      <c r="E10487" s="3">
        <v>50.32</v>
      </c>
      <c r="F10487">
        <v>20151112</v>
      </c>
      <c r="G10487" t="s">
        <v>8334</v>
      </c>
      <c r="H10487" t="s">
        <v>8381</v>
      </c>
      <c r="I10487">
        <v>0</v>
      </c>
      <c r="J10487" t="s">
        <v>8323</v>
      </c>
      <c r="K10487" t="s">
        <v>95</v>
      </c>
      <c r="L10487" t="s">
        <v>285</v>
      </c>
      <c r="M10487" t="str">
        <f t="shared" si="794"/>
        <v>11</v>
      </c>
      <c r="N10487" t="s">
        <v>12</v>
      </c>
    </row>
    <row r="10488" spans="1:14" x14ac:dyDescent="0.25">
      <c r="A10488">
        <v>20151113</v>
      </c>
      <c r="B10488" t="str">
        <f>"061101"</f>
        <v>061101</v>
      </c>
      <c r="C10488" t="str">
        <f>"58202"</f>
        <v>58202</v>
      </c>
      <c r="D10488" t="s">
        <v>2695</v>
      </c>
      <c r="E10488" s="3">
        <v>80.17</v>
      </c>
      <c r="F10488">
        <v>20151112</v>
      </c>
      <c r="G10488" t="s">
        <v>8324</v>
      </c>
      <c r="H10488" t="s">
        <v>8382</v>
      </c>
      <c r="I10488">
        <v>0</v>
      </c>
      <c r="J10488" t="s">
        <v>8323</v>
      </c>
      <c r="K10488" t="s">
        <v>95</v>
      </c>
      <c r="L10488" t="s">
        <v>285</v>
      </c>
      <c r="M10488" t="str">
        <f t="shared" si="794"/>
        <v>11</v>
      </c>
      <c r="N10488" t="s">
        <v>12</v>
      </c>
    </row>
    <row r="10489" spans="1:14" x14ac:dyDescent="0.25">
      <c r="A10489">
        <v>20151113</v>
      </c>
      <c r="B10489" t="str">
        <f>"061107"</f>
        <v>061107</v>
      </c>
      <c r="C10489" t="str">
        <f>"65195"</f>
        <v>65195</v>
      </c>
      <c r="D10489" t="s">
        <v>8383</v>
      </c>
      <c r="E10489" s="3">
        <v>567</v>
      </c>
      <c r="F10489">
        <v>20151112</v>
      </c>
      <c r="G10489" t="s">
        <v>8340</v>
      </c>
      <c r="H10489" t="s">
        <v>8384</v>
      </c>
      <c r="I10489">
        <v>0</v>
      </c>
      <c r="J10489" t="s">
        <v>8323</v>
      </c>
      <c r="K10489" t="s">
        <v>290</v>
      </c>
      <c r="L10489" t="s">
        <v>285</v>
      </c>
      <c r="M10489" t="str">
        <f t="shared" si="794"/>
        <v>11</v>
      </c>
      <c r="N10489" t="s">
        <v>12</v>
      </c>
    </row>
    <row r="10490" spans="1:14" x14ac:dyDescent="0.25">
      <c r="A10490">
        <v>20151120</v>
      </c>
      <c r="B10490" t="str">
        <f>"061139"</f>
        <v>061139</v>
      </c>
      <c r="C10490" t="str">
        <f>"51346"</f>
        <v>51346</v>
      </c>
      <c r="D10490" t="s">
        <v>379</v>
      </c>
      <c r="E10490" s="3">
        <v>33</v>
      </c>
      <c r="F10490">
        <v>20151118</v>
      </c>
      <c r="G10490" t="s">
        <v>8332</v>
      </c>
      <c r="H10490" t="s">
        <v>8385</v>
      </c>
      <c r="I10490">
        <v>0</v>
      </c>
      <c r="J10490" t="s">
        <v>8323</v>
      </c>
      <c r="K10490" t="s">
        <v>95</v>
      </c>
      <c r="L10490" t="s">
        <v>285</v>
      </c>
      <c r="M10490" t="str">
        <f t="shared" si="794"/>
        <v>11</v>
      </c>
      <c r="N10490" t="s">
        <v>12</v>
      </c>
    </row>
    <row r="10491" spans="1:14" x14ac:dyDescent="0.25">
      <c r="A10491">
        <v>20151120</v>
      </c>
      <c r="B10491" t="str">
        <f>"061166"</f>
        <v>061166</v>
      </c>
      <c r="C10491" t="str">
        <f>"30615"</f>
        <v>30615</v>
      </c>
      <c r="D10491" t="s">
        <v>8386</v>
      </c>
      <c r="E10491" s="3">
        <v>4208.55</v>
      </c>
      <c r="F10491">
        <v>20151118</v>
      </c>
      <c r="G10491" t="s">
        <v>8340</v>
      </c>
      <c r="H10491" t="s">
        <v>8387</v>
      </c>
      <c r="I10491">
        <v>0</v>
      </c>
      <c r="J10491" t="s">
        <v>8323</v>
      </c>
      <c r="K10491" t="s">
        <v>290</v>
      </c>
      <c r="L10491" t="s">
        <v>285</v>
      </c>
      <c r="M10491" t="str">
        <f t="shared" si="794"/>
        <v>11</v>
      </c>
      <c r="N10491" t="s">
        <v>12</v>
      </c>
    </row>
    <row r="10492" spans="1:14" x14ac:dyDescent="0.25">
      <c r="A10492">
        <v>20151120</v>
      </c>
      <c r="B10492" t="str">
        <f>"061235"</f>
        <v>061235</v>
      </c>
      <c r="C10492" t="str">
        <f>"78345"</f>
        <v>78345</v>
      </c>
      <c r="D10492" t="s">
        <v>2735</v>
      </c>
      <c r="E10492" s="3">
        <v>115</v>
      </c>
      <c r="F10492">
        <v>20151118</v>
      </c>
      <c r="G10492" t="s">
        <v>8388</v>
      </c>
      <c r="H10492" t="s">
        <v>8389</v>
      </c>
      <c r="I10492">
        <v>0</v>
      </c>
      <c r="J10492" t="s">
        <v>8323</v>
      </c>
      <c r="K10492" t="s">
        <v>290</v>
      </c>
      <c r="L10492" t="s">
        <v>285</v>
      </c>
      <c r="M10492" t="str">
        <f t="shared" si="794"/>
        <v>11</v>
      </c>
      <c r="N10492" t="s">
        <v>12</v>
      </c>
    </row>
    <row r="10493" spans="1:14" x14ac:dyDescent="0.25">
      <c r="A10493">
        <v>20151204</v>
      </c>
      <c r="B10493" t="str">
        <f>"061269"</f>
        <v>061269</v>
      </c>
      <c r="C10493" t="str">
        <f>"11219"</f>
        <v>11219</v>
      </c>
      <c r="D10493" t="s">
        <v>7043</v>
      </c>
      <c r="E10493" s="3">
        <v>609.85</v>
      </c>
      <c r="F10493">
        <v>20151203</v>
      </c>
      <c r="G10493" t="s">
        <v>8340</v>
      </c>
      <c r="H10493" t="s">
        <v>8390</v>
      </c>
      <c r="I10493">
        <v>0</v>
      </c>
      <c r="J10493" t="s">
        <v>8323</v>
      </c>
      <c r="K10493" t="s">
        <v>290</v>
      </c>
      <c r="L10493" t="s">
        <v>285</v>
      </c>
      <c r="M10493" t="str">
        <f t="shared" ref="M10493:M10524" si="795">"12"</f>
        <v>12</v>
      </c>
      <c r="N10493" t="s">
        <v>12</v>
      </c>
    </row>
    <row r="10494" spans="1:14" x14ac:dyDescent="0.25">
      <c r="A10494">
        <v>20151204</v>
      </c>
      <c r="B10494" t="str">
        <f>"061269"</f>
        <v>061269</v>
      </c>
      <c r="C10494" t="str">
        <f>"11219"</f>
        <v>11219</v>
      </c>
      <c r="D10494" t="s">
        <v>7043</v>
      </c>
      <c r="E10494" s="3">
        <v>124.25</v>
      </c>
      <c r="F10494">
        <v>20151203</v>
      </c>
      <c r="G10494" t="s">
        <v>8340</v>
      </c>
      <c r="H10494" t="s">
        <v>8390</v>
      </c>
      <c r="I10494">
        <v>0</v>
      </c>
      <c r="J10494" t="s">
        <v>8323</v>
      </c>
      <c r="K10494" t="s">
        <v>290</v>
      </c>
      <c r="L10494" t="s">
        <v>285</v>
      </c>
      <c r="M10494" t="str">
        <f t="shared" si="795"/>
        <v>12</v>
      </c>
      <c r="N10494" t="s">
        <v>12</v>
      </c>
    </row>
    <row r="10495" spans="1:14" x14ac:dyDescent="0.25">
      <c r="A10495">
        <v>20151204</v>
      </c>
      <c r="B10495" t="str">
        <f>"061270"</f>
        <v>061270</v>
      </c>
      <c r="C10495" t="str">
        <f>"11217"</f>
        <v>11217</v>
      </c>
      <c r="D10495" t="s">
        <v>7051</v>
      </c>
      <c r="E10495" s="3">
        <v>252</v>
      </c>
      <c r="F10495">
        <v>20151203</v>
      </c>
      <c r="G10495" t="s">
        <v>8332</v>
      </c>
      <c r="H10495" t="s">
        <v>8391</v>
      </c>
      <c r="I10495">
        <v>0</v>
      </c>
      <c r="J10495" t="s">
        <v>8323</v>
      </c>
      <c r="K10495" t="s">
        <v>95</v>
      </c>
      <c r="L10495" t="s">
        <v>285</v>
      </c>
      <c r="M10495" t="str">
        <f t="shared" si="795"/>
        <v>12</v>
      </c>
      <c r="N10495" t="s">
        <v>12</v>
      </c>
    </row>
    <row r="10496" spans="1:14" x14ac:dyDescent="0.25">
      <c r="A10496">
        <v>20151204</v>
      </c>
      <c r="B10496" t="str">
        <f>"061282"</f>
        <v>061282</v>
      </c>
      <c r="C10496" t="str">
        <f>"22129"</f>
        <v>22129</v>
      </c>
      <c r="D10496" t="s">
        <v>1072</v>
      </c>
      <c r="E10496" s="3">
        <v>185</v>
      </c>
      <c r="F10496">
        <v>20151203</v>
      </c>
      <c r="G10496" t="s">
        <v>8324</v>
      </c>
      <c r="H10496" t="s">
        <v>8392</v>
      </c>
      <c r="I10496">
        <v>0</v>
      </c>
      <c r="J10496" t="s">
        <v>8323</v>
      </c>
      <c r="K10496" t="s">
        <v>95</v>
      </c>
      <c r="L10496" t="s">
        <v>285</v>
      </c>
      <c r="M10496" t="str">
        <f t="shared" si="795"/>
        <v>12</v>
      </c>
      <c r="N10496" t="s">
        <v>12</v>
      </c>
    </row>
    <row r="10497" spans="1:14" x14ac:dyDescent="0.25">
      <c r="A10497">
        <v>20151204</v>
      </c>
      <c r="B10497" t="str">
        <f>"061283"</f>
        <v>061283</v>
      </c>
      <c r="C10497" t="str">
        <f>"23754"</f>
        <v>23754</v>
      </c>
      <c r="D10497" t="s">
        <v>794</v>
      </c>
      <c r="E10497" s="3">
        <v>301</v>
      </c>
      <c r="F10497">
        <v>20151203</v>
      </c>
      <c r="G10497" t="s">
        <v>8393</v>
      </c>
      <c r="H10497" t="s">
        <v>8394</v>
      </c>
      <c r="I10497">
        <v>0</v>
      </c>
      <c r="J10497" t="s">
        <v>8323</v>
      </c>
      <c r="K10497" t="s">
        <v>290</v>
      </c>
      <c r="L10497" t="s">
        <v>285</v>
      </c>
      <c r="M10497" t="str">
        <f t="shared" si="795"/>
        <v>12</v>
      </c>
      <c r="N10497" t="s">
        <v>12</v>
      </c>
    </row>
    <row r="10498" spans="1:14" x14ac:dyDescent="0.25">
      <c r="A10498">
        <v>20151204</v>
      </c>
      <c r="B10498" t="str">
        <f>"061283"</f>
        <v>061283</v>
      </c>
      <c r="C10498" t="str">
        <f>"23754"</f>
        <v>23754</v>
      </c>
      <c r="D10498" t="s">
        <v>794</v>
      </c>
      <c r="E10498" s="3">
        <v>1418.75</v>
      </c>
      <c r="F10498">
        <v>20151203</v>
      </c>
      <c r="G10498" t="s">
        <v>8339</v>
      </c>
      <c r="H10498" t="s">
        <v>8395</v>
      </c>
      <c r="I10498">
        <v>0</v>
      </c>
      <c r="J10498" t="s">
        <v>8323</v>
      </c>
      <c r="K10498" t="s">
        <v>95</v>
      </c>
      <c r="L10498" t="s">
        <v>285</v>
      </c>
      <c r="M10498" t="str">
        <f t="shared" si="795"/>
        <v>12</v>
      </c>
      <c r="N10498" t="s">
        <v>12</v>
      </c>
    </row>
    <row r="10499" spans="1:14" x14ac:dyDescent="0.25">
      <c r="A10499">
        <v>20151204</v>
      </c>
      <c r="B10499" t="str">
        <f>"061289"</f>
        <v>061289</v>
      </c>
      <c r="C10499" t="str">
        <f>"26874"</f>
        <v>26874</v>
      </c>
      <c r="D10499" t="s">
        <v>8396</v>
      </c>
      <c r="E10499" s="3">
        <v>30.39</v>
      </c>
      <c r="F10499">
        <v>20151203</v>
      </c>
      <c r="G10499" t="s">
        <v>8324</v>
      </c>
      <c r="H10499" t="s">
        <v>8397</v>
      </c>
      <c r="I10499">
        <v>0</v>
      </c>
      <c r="J10499" t="s">
        <v>8323</v>
      </c>
      <c r="K10499" t="s">
        <v>95</v>
      </c>
      <c r="L10499" t="s">
        <v>285</v>
      </c>
      <c r="M10499" t="str">
        <f t="shared" si="795"/>
        <v>12</v>
      </c>
      <c r="N10499" t="s">
        <v>12</v>
      </c>
    </row>
    <row r="10500" spans="1:14" x14ac:dyDescent="0.25">
      <c r="A10500">
        <v>20151204</v>
      </c>
      <c r="B10500" t="str">
        <f>"061292"</f>
        <v>061292</v>
      </c>
      <c r="C10500" t="str">
        <f>"28733"</f>
        <v>28733</v>
      </c>
      <c r="D10500" t="s">
        <v>4049</v>
      </c>
      <c r="E10500" s="3">
        <v>150</v>
      </c>
      <c r="F10500">
        <v>20151203</v>
      </c>
      <c r="G10500" t="s">
        <v>8324</v>
      </c>
      <c r="H10500" t="s">
        <v>8392</v>
      </c>
      <c r="I10500">
        <v>0</v>
      </c>
      <c r="J10500" t="s">
        <v>8323</v>
      </c>
      <c r="K10500" t="s">
        <v>95</v>
      </c>
      <c r="L10500" t="s">
        <v>285</v>
      </c>
      <c r="M10500" t="str">
        <f t="shared" si="795"/>
        <v>12</v>
      </c>
      <c r="N10500" t="s">
        <v>12</v>
      </c>
    </row>
    <row r="10501" spans="1:14" x14ac:dyDescent="0.25">
      <c r="A10501">
        <v>20151204</v>
      </c>
      <c r="B10501" t="str">
        <f>"061305"</f>
        <v>061305</v>
      </c>
      <c r="C10501" t="str">
        <f>"34880"</f>
        <v>34880</v>
      </c>
      <c r="D10501" t="s">
        <v>150</v>
      </c>
      <c r="E10501" s="3">
        <v>3368.91</v>
      </c>
      <c r="F10501">
        <v>20151203</v>
      </c>
      <c r="G10501" t="s">
        <v>8328</v>
      </c>
      <c r="H10501" t="s">
        <v>8398</v>
      </c>
      <c r="I10501">
        <v>0</v>
      </c>
      <c r="J10501" t="s">
        <v>8323</v>
      </c>
      <c r="K10501" t="s">
        <v>95</v>
      </c>
      <c r="L10501" t="s">
        <v>285</v>
      </c>
      <c r="M10501" t="str">
        <f t="shared" si="795"/>
        <v>12</v>
      </c>
      <c r="N10501" t="s">
        <v>12</v>
      </c>
    </row>
    <row r="10502" spans="1:14" x14ac:dyDescent="0.25">
      <c r="A10502">
        <v>20151204</v>
      </c>
      <c r="B10502" t="str">
        <f>"061361"</f>
        <v>061361</v>
      </c>
      <c r="C10502" t="str">
        <f>"81299"</f>
        <v>81299</v>
      </c>
      <c r="D10502" t="s">
        <v>2415</v>
      </c>
      <c r="E10502" s="3">
        <v>49.5</v>
      </c>
      <c r="F10502">
        <v>20151204</v>
      </c>
      <c r="G10502" t="s">
        <v>8337</v>
      </c>
      <c r="H10502" t="s">
        <v>8399</v>
      </c>
      <c r="I10502">
        <v>0</v>
      </c>
      <c r="J10502" t="s">
        <v>8323</v>
      </c>
      <c r="K10502" t="s">
        <v>1558</v>
      </c>
      <c r="L10502" t="s">
        <v>285</v>
      </c>
      <c r="M10502" t="str">
        <f t="shared" si="795"/>
        <v>12</v>
      </c>
      <c r="N10502" t="s">
        <v>12</v>
      </c>
    </row>
    <row r="10503" spans="1:14" x14ac:dyDescent="0.25">
      <c r="A10503">
        <v>20151204</v>
      </c>
      <c r="B10503" t="str">
        <f>"061362"</f>
        <v>061362</v>
      </c>
      <c r="C10503" t="str">
        <f>"81787"</f>
        <v>81787</v>
      </c>
      <c r="D10503" t="s">
        <v>8400</v>
      </c>
      <c r="E10503" s="3">
        <v>627</v>
      </c>
      <c r="F10503">
        <v>20151204</v>
      </c>
      <c r="G10503" t="s">
        <v>8346</v>
      </c>
      <c r="H10503" t="s">
        <v>8401</v>
      </c>
      <c r="I10503">
        <v>0</v>
      </c>
      <c r="J10503" t="s">
        <v>8323</v>
      </c>
      <c r="K10503" t="s">
        <v>290</v>
      </c>
      <c r="L10503" t="s">
        <v>285</v>
      </c>
      <c r="M10503" t="str">
        <f t="shared" si="795"/>
        <v>12</v>
      </c>
      <c r="N10503" t="s">
        <v>12</v>
      </c>
    </row>
    <row r="10504" spans="1:14" x14ac:dyDescent="0.25">
      <c r="A10504">
        <v>20151204</v>
      </c>
      <c r="B10504" t="str">
        <f>"061362"</f>
        <v>061362</v>
      </c>
      <c r="C10504" t="str">
        <f>"81787"</f>
        <v>81787</v>
      </c>
      <c r="D10504" t="s">
        <v>8400</v>
      </c>
      <c r="E10504" s="3">
        <v>162</v>
      </c>
      <c r="F10504">
        <v>20151204</v>
      </c>
      <c r="G10504" t="s">
        <v>8402</v>
      </c>
      <c r="H10504" t="s">
        <v>8403</v>
      </c>
      <c r="I10504">
        <v>0</v>
      </c>
      <c r="J10504" t="s">
        <v>8323</v>
      </c>
      <c r="K10504" t="s">
        <v>290</v>
      </c>
      <c r="L10504" t="s">
        <v>285</v>
      </c>
      <c r="M10504" t="str">
        <f t="shared" si="795"/>
        <v>12</v>
      </c>
      <c r="N10504" t="s">
        <v>12</v>
      </c>
    </row>
    <row r="10505" spans="1:14" x14ac:dyDescent="0.25">
      <c r="A10505">
        <v>20151204</v>
      </c>
      <c r="B10505" t="str">
        <f>"061364"</f>
        <v>061364</v>
      </c>
      <c r="C10505" t="str">
        <f>"83022"</f>
        <v>83022</v>
      </c>
      <c r="D10505" t="s">
        <v>394</v>
      </c>
      <c r="E10505" s="3">
        <v>77.599999999999994</v>
      </c>
      <c r="F10505">
        <v>20151204</v>
      </c>
      <c r="G10505" t="s">
        <v>8404</v>
      </c>
      <c r="H10505" t="s">
        <v>8405</v>
      </c>
      <c r="I10505">
        <v>0</v>
      </c>
      <c r="J10505" t="s">
        <v>8323</v>
      </c>
      <c r="K10505" t="s">
        <v>95</v>
      </c>
      <c r="L10505" t="s">
        <v>285</v>
      </c>
      <c r="M10505" t="str">
        <f t="shared" si="795"/>
        <v>12</v>
      </c>
      <c r="N10505" t="s">
        <v>12</v>
      </c>
    </row>
    <row r="10506" spans="1:14" x14ac:dyDescent="0.25">
      <c r="A10506">
        <v>20151204</v>
      </c>
      <c r="B10506" t="str">
        <f>"061364"</f>
        <v>061364</v>
      </c>
      <c r="C10506" t="str">
        <f>"83022"</f>
        <v>83022</v>
      </c>
      <c r="D10506" t="s">
        <v>394</v>
      </c>
      <c r="E10506" s="3">
        <v>173.81</v>
      </c>
      <c r="F10506">
        <v>20151204</v>
      </c>
      <c r="G10506" t="s">
        <v>8332</v>
      </c>
      <c r="H10506" t="s">
        <v>8366</v>
      </c>
      <c r="I10506">
        <v>0</v>
      </c>
      <c r="J10506" t="s">
        <v>8323</v>
      </c>
      <c r="K10506" t="s">
        <v>95</v>
      </c>
      <c r="L10506" t="s">
        <v>285</v>
      </c>
      <c r="M10506" t="str">
        <f t="shared" si="795"/>
        <v>12</v>
      </c>
      <c r="N10506" t="s">
        <v>12</v>
      </c>
    </row>
    <row r="10507" spans="1:14" x14ac:dyDescent="0.25">
      <c r="A10507">
        <v>20151211</v>
      </c>
      <c r="B10507" t="str">
        <f t="shared" ref="B10507:B10512" si="796">"061422"</f>
        <v>061422</v>
      </c>
      <c r="C10507" t="str">
        <f t="shared" ref="C10507:C10512" si="797">"37500"</f>
        <v>37500</v>
      </c>
      <c r="D10507" t="s">
        <v>1652</v>
      </c>
      <c r="E10507" s="3">
        <v>71.17</v>
      </c>
      <c r="F10507">
        <v>20151210</v>
      </c>
      <c r="G10507" t="s">
        <v>8373</v>
      </c>
      <c r="H10507" t="s">
        <v>8406</v>
      </c>
      <c r="I10507">
        <v>0</v>
      </c>
      <c r="J10507" t="s">
        <v>8323</v>
      </c>
      <c r="K10507" t="s">
        <v>1856</v>
      </c>
      <c r="L10507" t="s">
        <v>285</v>
      </c>
      <c r="M10507" t="str">
        <f t="shared" si="795"/>
        <v>12</v>
      </c>
      <c r="N10507" t="s">
        <v>12</v>
      </c>
    </row>
    <row r="10508" spans="1:14" x14ac:dyDescent="0.25">
      <c r="A10508">
        <v>20151211</v>
      </c>
      <c r="B10508" t="str">
        <f t="shared" si="796"/>
        <v>061422</v>
      </c>
      <c r="C10508" t="str">
        <f t="shared" si="797"/>
        <v>37500</v>
      </c>
      <c r="D10508" t="s">
        <v>1652</v>
      </c>
      <c r="E10508" s="3">
        <v>174.8</v>
      </c>
      <c r="F10508">
        <v>20151210</v>
      </c>
      <c r="G10508" t="s">
        <v>8337</v>
      </c>
      <c r="H10508" t="s">
        <v>2173</v>
      </c>
      <c r="I10508">
        <v>0</v>
      </c>
      <c r="J10508" t="s">
        <v>8323</v>
      </c>
      <c r="K10508" t="s">
        <v>1558</v>
      </c>
      <c r="L10508" t="s">
        <v>285</v>
      </c>
      <c r="M10508" t="str">
        <f t="shared" si="795"/>
        <v>12</v>
      </c>
      <c r="N10508" t="s">
        <v>12</v>
      </c>
    </row>
    <row r="10509" spans="1:14" x14ac:dyDescent="0.25">
      <c r="A10509">
        <v>20151211</v>
      </c>
      <c r="B10509" t="str">
        <f t="shared" si="796"/>
        <v>061422</v>
      </c>
      <c r="C10509" t="str">
        <f t="shared" si="797"/>
        <v>37500</v>
      </c>
      <c r="D10509" t="s">
        <v>1652</v>
      </c>
      <c r="E10509" s="3">
        <v>100</v>
      </c>
      <c r="F10509">
        <v>20151210</v>
      </c>
      <c r="G10509" t="s">
        <v>8332</v>
      </c>
      <c r="H10509" t="s">
        <v>5408</v>
      </c>
      <c r="I10509">
        <v>0</v>
      </c>
      <c r="J10509" t="s">
        <v>8323</v>
      </c>
      <c r="K10509" t="s">
        <v>95</v>
      </c>
      <c r="L10509" t="s">
        <v>285</v>
      </c>
      <c r="M10509" t="str">
        <f t="shared" si="795"/>
        <v>12</v>
      </c>
      <c r="N10509" t="s">
        <v>12</v>
      </c>
    </row>
    <row r="10510" spans="1:14" x14ac:dyDescent="0.25">
      <c r="A10510">
        <v>20151211</v>
      </c>
      <c r="B10510" t="str">
        <f t="shared" si="796"/>
        <v>061422</v>
      </c>
      <c r="C10510" t="str">
        <f t="shared" si="797"/>
        <v>37500</v>
      </c>
      <c r="D10510" t="s">
        <v>1652</v>
      </c>
      <c r="E10510" s="3">
        <v>210.88</v>
      </c>
      <c r="F10510">
        <v>20151210</v>
      </c>
      <c r="G10510" t="s">
        <v>8356</v>
      </c>
      <c r="H10510" t="s">
        <v>8407</v>
      </c>
      <c r="I10510">
        <v>0</v>
      </c>
      <c r="J10510" t="s">
        <v>8323</v>
      </c>
      <c r="K10510" t="s">
        <v>290</v>
      </c>
      <c r="L10510" t="s">
        <v>285</v>
      </c>
      <c r="M10510" t="str">
        <f t="shared" si="795"/>
        <v>12</v>
      </c>
      <c r="N10510" t="s">
        <v>12</v>
      </c>
    </row>
    <row r="10511" spans="1:14" x14ac:dyDescent="0.25">
      <c r="A10511">
        <v>20151211</v>
      </c>
      <c r="B10511" t="str">
        <f t="shared" si="796"/>
        <v>061422</v>
      </c>
      <c r="C10511" t="str">
        <f t="shared" si="797"/>
        <v>37500</v>
      </c>
      <c r="D10511" t="s">
        <v>1652</v>
      </c>
      <c r="E10511" s="3">
        <v>347.96</v>
      </c>
      <c r="F10511">
        <v>20151210</v>
      </c>
      <c r="G10511" t="s">
        <v>8356</v>
      </c>
      <c r="H10511" t="s">
        <v>8407</v>
      </c>
      <c r="I10511">
        <v>0</v>
      </c>
      <c r="J10511" t="s">
        <v>8323</v>
      </c>
      <c r="K10511" t="s">
        <v>290</v>
      </c>
      <c r="L10511" t="s">
        <v>285</v>
      </c>
      <c r="M10511" t="str">
        <f t="shared" si="795"/>
        <v>12</v>
      </c>
      <c r="N10511" t="s">
        <v>12</v>
      </c>
    </row>
    <row r="10512" spans="1:14" x14ac:dyDescent="0.25">
      <c r="A10512">
        <v>20151211</v>
      </c>
      <c r="B10512" t="str">
        <f t="shared" si="796"/>
        <v>061422</v>
      </c>
      <c r="C10512" t="str">
        <f t="shared" si="797"/>
        <v>37500</v>
      </c>
      <c r="D10512" t="s">
        <v>1652</v>
      </c>
      <c r="E10512" s="3">
        <v>232.5</v>
      </c>
      <c r="F10512">
        <v>20151210</v>
      </c>
      <c r="G10512" t="s">
        <v>8356</v>
      </c>
      <c r="H10512" t="s">
        <v>8408</v>
      </c>
      <c r="I10512">
        <v>0</v>
      </c>
      <c r="J10512" t="s">
        <v>8323</v>
      </c>
      <c r="K10512" t="s">
        <v>290</v>
      </c>
      <c r="L10512" t="s">
        <v>285</v>
      </c>
      <c r="M10512" t="str">
        <f t="shared" si="795"/>
        <v>12</v>
      </c>
      <c r="N10512" t="s">
        <v>12</v>
      </c>
    </row>
    <row r="10513" spans="1:14" x14ac:dyDescent="0.25">
      <c r="A10513">
        <v>20151211</v>
      </c>
      <c r="B10513" t="str">
        <f>"061448"</f>
        <v>061448</v>
      </c>
      <c r="C10513" t="str">
        <f>"58204"</f>
        <v>58204</v>
      </c>
      <c r="D10513" t="s">
        <v>1816</v>
      </c>
      <c r="E10513" s="3">
        <v>111.5</v>
      </c>
      <c r="F10513">
        <v>20151210</v>
      </c>
      <c r="G10513" t="s">
        <v>8368</v>
      </c>
      <c r="H10513" t="s">
        <v>8409</v>
      </c>
      <c r="I10513">
        <v>0</v>
      </c>
      <c r="J10513" t="s">
        <v>8323</v>
      </c>
      <c r="K10513" t="s">
        <v>290</v>
      </c>
      <c r="L10513" t="s">
        <v>285</v>
      </c>
      <c r="M10513" t="str">
        <f t="shared" si="795"/>
        <v>12</v>
      </c>
      <c r="N10513" t="s">
        <v>12</v>
      </c>
    </row>
    <row r="10514" spans="1:14" x14ac:dyDescent="0.25">
      <c r="A10514">
        <v>20151211</v>
      </c>
      <c r="B10514" t="str">
        <f>"061448"</f>
        <v>061448</v>
      </c>
      <c r="C10514" t="str">
        <f>"58204"</f>
        <v>58204</v>
      </c>
      <c r="D10514" t="s">
        <v>1816</v>
      </c>
      <c r="E10514" s="3">
        <v>62.61</v>
      </c>
      <c r="F10514">
        <v>20151210</v>
      </c>
      <c r="G10514" t="s">
        <v>8340</v>
      </c>
      <c r="H10514" t="s">
        <v>8410</v>
      </c>
      <c r="I10514">
        <v>0</v>
      </c>
      <c r="J10514" t="s">
        <v>8323</v>
      </c>
      <c r="K10514" t="s">
        <v>290</v>
      </c>
      <c r="L10514" t="s">
        <v>285</v>
      </c>
      <c r="M10514" t="str">
        <f t="shared" si="795"/>
        <v>12</v>
      </c>
      <c r="N10514" t="s">
        <v>12</v>
      </c>
    </row>
    <row r="10515" spans="1:14" x14ac:dyDescent="0.25">
      <c r="A10515">
        <v>20151211</v>
      </c>
      <c r="B10515" t="str">
        <f>"061469"</f>
        <v>061469</v>
      </c>
      <c r="C10515" t="str">
        <f>"52207"</f>
        <v>52207</v>
      </c>
      <c r="D10515" t="s">
        <v>3376</v>
      </c>
      <c r="E10515" s="3">
        <v>2710</v>
      </c>
      <c r="F10515">
        <v>20151210</v>
      </c>
      <c r="G10515" t="s">
        <v>8328</v>
      </c>
      <c r="H10515" t="s">
        <v>8411</v>
      </c>
      <c r="I10515">
        <v>0</v>
      </c>
      <c r="J10515" t="s">
        <v>8323</v>
      </c>
      <c r="K10515" t="s">
        <v>95</v>
      </c>
      <c r="L10515" t="s">
        <v>285</v>
      </c>
      <c r="M10515" t="str">
        <f t="shared" si="795"/>
        <v>12</v>
      </c>
      <c r="N10515" t="s">
        <v>12</v>
      </c>
    </row>
    <row r="10516" spans="1:14" x14ac:dyDescent="0.25">
      <c r="A10516">
        <v>20151211</v>
      </c>
      <c r="B10516" t="str">
        <f>"061470"</f>
        <v>061470</v>
      </c>
      <c r="C10516" t="str">
        <f>"70650"</f>
        <v>70650</v>
      </c>
      <c r="D10516" t="s">
        <v>3379</v>
      </c>
      <c r="E10516" s="3">
        <v>200</v>
      </c>
      <c r="F10516">
        <v>20151210</v>
      </c>
      <c r="G10516" t="s">
        <v>8334</v>
      </c>
      <c r="H10516" t="s">
        <v>8412</v>
      </c>
      <c r="I10516">
        <v>0</v>
      </c>
      <c r="J10516" t="s">
        <v>8323</v>
      </c>
      <c r="K10516" t="s">
        <v>95</v>
      </c>
      <c r="L10516" t="s">
        <v>285</v>
      </c>
      <c r="M10516" t="str">
        <f t="shared" si="795"/>
        <v>12</v>
      </c>
      <c r="N10516" t="s">
        <v>12</v>
      </c>
    </row>
    <row r="10517" spans="1:14" x14ac:dyDescent="0.25">
      <c r="A10517">
        <v>20151218</v>
      </c>
      <c r="B10517" t="str">
        <f>"061511"</f>
        <v>061511</v>
      </c>
      <c r="C10517" t="str">
        <f>"11066"</f>
        <v>11066</v>
      </c>
      <c r="D10517" t="s">
        <v>8413</v>
      </c>
      <c r="E10517" s="3">
        <v>8500</v>
      </c>
      <c r="F10517">
        <v>20151216</v>
      </c>
      <c r="G10517" t="s">
        <v>8334</v>
      </c>
      <c r="H10517" t="s">
        <v>8414</v>
      </c>
      <c r="I10517">
        <v>0</v>
      </c>
      <c r="J10517" t="s">
        <v>8323</v>
      </c>
      <c r="K10517" t="s">
        <v>95</v>
      </c>
      <c r="L10517" t="s">
        <v>285</v>
      </c>
      <c r="M10517" t="str">
        <f t="shared" si="795"/>
        <v>12</v>
      </c>
      <c r="N10517" t="s">
        <v>12</v>
      </c>
    </row>
    <row r="10518" spans="1:14" x14ac:dyDescent="0.25">
      <c r="A10518">
        <v>20151218</v>
      </c>
      <c r="B10518" t="str">
        <f>"061519"</f>
        <v>061519</v>
      </c>
      <c r="C10518" t="str">
        <f>"08788"</f>
        <v>08788</v>
      </c>
      <c r="D10518" t="s">
        <v>302</v>
      </c>
      <c r="E10518" s="3">
        <v>252</v>
      </c>
      <c r="F10518">
        <v>20151216</v>
      </c>
      <c r="G10518" t="s">
        <v>8344</v>
      </c>
      <c r="H10518" t="s">
        <v>8415</v>
      </c>
      <c r="I10518">
        <v>0</v>
      </c>
      <c r="J10518" t="s">
        <v>8323</v>
      </c>
      <c r="K10518" t="s">
        <v>290</v>
      </c>
      <c r="L10518" t="s">
        <v>285</v>
      </c>
      <c r="M10518" t="str">
        <f t="shared" si="795"/>
        <v>12</v>
      </c>
      <c r="N10518" t="s">
        <v>12</v>
      </c>
    </row>
    <row r="10519" spans="1:14" x14ac:dyDescent="0.25">
      <c r="A10519">
        <v>20151218</v>
      </c>
      <c r="B10519" t="str">
        <f>"061523"</f>
        <v>061523</v>
      </c>
      <c r="C10519" t="str">
        <f>"14132"</f>
        <v>14132</v>
      </c>
      <c r="D10519" t="s">
        <v>4119</v>
      </c>
      <c r="E10519" s="3">
        <v>280</v>
      </c>
      <c r="F10519">
        <v>20151216</v>
      </c>
      <c r="G10519" t="s">
        <v>8416</v>
      </c>
      <c r="H10519" t="s">
        <v>8417</v>
      </c>
      <c r="I10519">
        <v>0</v>
      </c>
      <c r="J10519" t="s">
        <v>8323</v>
      </c>
      <c r="K10519" t="s">
        <v>290</v>
      </c>
      <c r="L10519" t="s">
        <v>285</v>
      </c>
      <c r="M10519" t="str">
        <f t="shared" si="795"/>
        <v>12</v>
      </c>
      <c r="N10519" t="s">
        <v>12</v>
      </c>
    </row>
    <row r="10520" spans="1:14" x14ac:dyDescent="0.25">
      <c r="A10520">
        <v>20151218</v>
      </c>
      <c r="B10520" t="str">
        <f>"061523"</f>
        <v>061523</v>
      </c>
      <c r="C10520" t="str">
        <f>"14132"</f>
        <v>14132</v>
      </c>
      <c r="D10520" t="s">
        <v>4119</v>
      </c>
      <c r="E10520" s="3">
        <v>16</v>
      </c>
      <c r="F10520">
        <v>20151216</v>
      </c>
      <c r="G10520" t="s">
        <v>8416</v>
      </c>
      <c r="H10520" t="s">
        <v>8417</v>
      </c>
      <c r="I10520">
        <v>0</v>
      </c>
      <c r="J10520" t="s">
        <v>8323</v>
      </c>
      <c r="K10520" t="s">
        <v>290</v>
      </c>
      <c r="L10520" t="s">
        <v>285</v>
      </c>
      <c r="M10520" t="str">
        <f t="shared" si="795"/>
        <v>12</v>
      </c>
      <c r="N10520" t="s">
        <v>12</v>
      </c>
    </row>
    <row r="10521" spans="1:14" x14ac:dyDescent="0.25">
      <c r="A10521">
        <v>20151218</v>
      </c>
      <c r="B10521" t="str">
        <f>"061523"</f>
        <v>061523</v>
      </c>
      <c r="C10521" t="str">
        <f>"14132"</f>
        <v>14132</v>
      </c>
      <c r="D10521" t="s">
        <v>4119</v>
      </c>
      <c r="E10521" s="3">
        <v>320</v>
      </c>
      <c r="F10521">
        <v>20151216</v>
      </c>
      <c r="G10521" t="s">
        <v>8416</v>
      </c>
      <c r="H10521" t="s">
        <v>8417</v>
      </c>
      <c r="I10521">
        <v>0</v>
      </c>
      <c r="J10521" t="s">
        <v>8323</v>
      </c>
      <c r="K10521" t="s">
        <v>290</v>
      </c>
      <c r="L10521" t="s">
        <v>285</v>
      </c>
      <c r="M10521" t="str">
        <f t="shared" si="795"/>
        <v>12</v>
      </c>
      <c r="N10521" t="s">
        <v>12</v>
      </c>
    </row>
    <row r="10522" spans="1:14" x14ac:dyDescent="0.25">
      <c r="A10522">
        <v>20151218</v>
      </c>
      <c r="B10522" t="str">
        <f>"061523"</f>
        <v>061523</v>
      </c>
      <c r="C10522" t="str">
        <f>"14132"</f>
        <v>14132</v>
      </c>
      <c r="D10522" t="s">
        <v>4119</v>
      </c>
      <c r="E10522" s="3">
        <v>300</v>
      </c>
      <c r="F10522">
        <v>20151216</v>
      </c>
      <c r="G10522" t="s">
        <v>8416</v>
      </c>
      <c r="H10522" t="s">
        <v>8417</v>
      </c>
      <c r="I10522">
        <v>0</v>
      </c>
      <c r="J10522" t="s">
        <v>8323</v>
      </c>
      <c r="K10522" t="s">
        <v>290</v>
      </c>
      <c r="L10522" t="s">
        <v>285</v>
      </c>
      <c r="M10522" t="str">
        <f t="shared" si="795"/>
        <v>12</v>
      </c>
      <c r="N10522" t="s">
        <v>12</v>
      </c>
    </row>
    <row r="10523" spans="1:14" x14ac:dyDescent="0.25">
      <c r="A10523">
        <v>20151218</v>
      </c>
      <c r="B10523" t="str">
        <f>"061624"</f>
        <v>061624</v>
      </c>
      <c r="C10523" t="str">
        <f>"65106"</f>
        <v>65106</v>
      </c>
      <c r="D10523" t="s">
        <v>1568</v>
      </c>
      <c r="E10523" s="3">
        <v>270.7</v>
      </c>
      <c r="F10523">
        <v>20151216</v>
      </c>
      <c r="G10523" t="s">
        <v>8337</v>
      </c>
      <c r="H10523" t="s">
        <v>8418</v>
      </c>
      <c r="I10523">
        <v>0</v>
      </c>
      <c r="J10523" t="s">
        <v>8323</v>
      </c>
      <c r="K10523" t="s">
        <v>1558</v>
      </c>
      <c r="L10523" t="s">
        <v>285</v>
      </c>
      <c r="M10523" t="str">
        <f t="shared" si="795"/>
        <v>12</v>
      </c>
      <c r="N10523" t="s">
        <v>12</v>
      </c>
    </row>
    <row r="10524" spans="1:14" x14ac:dyDescent="0.25">
      <c r="A10524">
        <v>20151218</v>
      </c>
      <c r="B10524" t="str">
        <f>"061640"</f>
        <v>061640</v>
      </c>
      <c r="C10524" t="str">
        <f>"83007"</f>
        <v>83007</v>
      </c>
      <c r="D10524" t="s">
        <v>4200</v>
      </c>
      <c r="E10524" s="3">
        <v>65.75</v>
      </c>
      <c r="F10524">
        <v>20151217</v>
      </c>
      <c r="G10524" t="s">
        <v>8393</v>
      </c>
      <c r="H10524" t="s">
        <v>8419</v>
      </c>
      <c r="I10524">
        <v>0</v>
      </c>
      <c r="J10524" t="s">
        <v>8323</v>
      </c>
      <c r="K10524" t="s">
        <v>290</v>
      </c>
      <c r="L10524" t="s">
        <v>285</v>
      </c>
      <c r="M10524" t="str">
        <f t="shared" si="795"/>
        <v>12</v>
      </c>
      <c r="N10524" t="s">
        <v>12</v>
      </c>
    </row>
    <row r="10525" spans="1:14" x14ac:dyDescent="0.25">
      <c r="A10525">
        <v>20160107</v>
      </c>
      <c r="B10525" t="str">
        <f>"061667"</f>
        <v>061667</v>
      </c>
      <c r="C10525" t="str">
        <f>"42260"</f>
        <v>42260</v>
      </c>
      <c r="D10525" t="s">
        <v>3539</v>
      </c>
      <c r="E10525" s="3">
        <v>469.82</v>
      </c>
      <c r="F10525">
        <v>20160113</v>
      </c>
      <c r="G10525" t="s">
        <v>8324</v>
      </c>
      <c r="H10525" t="s">
        <v>3189</v>
      </c>
      <c r="I10525">
        <v>0</v>
      </c>
      <c r="J10525" t="s">
        <v>8323</v>
      </c>
      <c r="K10525" t="s">
        <v>95</v>
      </c>
      <c r="L10525" t="s">
        <v>17</v>
      </c>
      <c r="M10525" t="str">
        <f t="shared" ref="M10525:M10546" si="798">"01"</f>
        <v>01</v>
      </c>
      <c r="N10525" t="s">
        <v>12</v>
      </c>
    </row>
    <row r="10526" spans="1:14" x14ac:dyDescent="0.25">
      <c r="A10526">
        <v>20160111</v>
      </c>
      <c r="B10526" t="str">
        <f>"061677"</f>
        <v>061677</v>
      </c>
      <c r="C10526" t="str">
        <f>"09170"</f>
        <v>09170</v>
      </c>
      <c r="D10526" t="s">
        <v>596</v>
      </c>
      <c r="E10526" s="3">
        <v>71.5</v>
      </c>
      <c r="F10526">
        <v>20160108</v>
      </c>
      <c r="G10526" t="s">
        <v>8324</v>
      </c>
      <c r="H10526" t="s">
        <v>8420</v>
      </c>
      <c r="I10526">
        <v>0</v>
      </c>
      <c r="J10526" t="s">
        <v>8323</v>
      </c>
      <c r="K10526" t="s">
        <v>95</v>
      </c>
      <c r="L10526" t="s">
        <v>285</v>
      </c>
      <c r="M10526" t="str">
        <f t="shared" si="798"/>
        <v>01</v>
      </c>
      <c r="N10526" t="s">
        <v>12</v>
      </c>
    </row>
    <row r="10527" spans="1:14" x14ac:dyDescent="0.25">
      <c r="A10527">
        <v>20160111</v>
      </c>
      <c r="B10527" t="str">
        <f>"061677"</f>
        <v>061677</v>
      </c>
      <c r="C10527" t="str">
        <f>"09170"</f>
        <v>09170</v>
      </c>
      <c r="D10527" t="s">
        <v>596</v>
      </c>
      <c r="E10527" s="3">
        <v>188.96</v>
      </c>
      <c r="F10527">
        <v>20160108</v>
      </c>
      <c r="G10527" t="s">
        <v>8324</v>
      </c>
      <c r="H10527" t="s">
        <v>3557</v>
      </c>
      <c r="I10527">
        <v>0</v>
      </c>
      <c r="J10527" t="s">
        <v>8323</v>
      </c>
      <c r="K10527" t="s">
        <v>95</v>
      </c>
      <c r="L10527" t="s">
        <v>285</v>
      </c>
      <c r="M10527" t="str">
        <f t="shared" si="798"/>
        <v>01</v>
      </c>
      <c r="N10527" t="s">
        <v>12</v>
      </c>
    </row>
    <row r="10528" spans="1:14" x14ac:dyDescent="0.25">
      <c r="A10528">
        <v>20160111</v>
      </c>
      <c r="B10528" t="str">
        <f>"061677"</f>
        <v>061677</v>
      </c>
      <c r="C10528" t="str">
        <f>"09170"</f>
        <v>09170</v>
      </c>
      <c r="D10528" t="s">
        <v>596</v>
      </c>
      <c r="E10528" s="3">
        <v>170</v>
      </c>
      <c r="F10528">
        <v>20160108</v>
      </c>
      <c r="G10528" t="s">
        <v>8324</v>
      </c>
      <c r="H10528" t="s">
        <v>3555</v>
      </c>
      <c r="I10528">
        <v>0</v>
      </c>
      <c r="J10528" t="s">
        <v>8323</v>
      </c>
      <c r="K10528" t="s">
        <v>95</v>
      </c>
      <c r="L10528" t="s">
        <v>285</v>
      </c>
      <c r="M10528" t="str">
        <f t="shared" si="798"/>
        <v>01</v>
      </c>
      <c r="N10528" t="s">
        <v>12</v>
      </c>
    </row>
    <row r="10529" spans="1:14" x14ac:dyDescent="0.25">
      <c r="A10529">
        <v>20160111</v>
      </c>
      <c r="B10529" t="str">
        <f>"061705"</f>
        <v>061705</v>
      </c>
      <c r="C10529" t="str">
        <f>"37500"</f>
        <v>37500</v>
      </c>
      <c r="D10529" t="s">
        <v>1652</v>
      </c>
      <c r="E10529" s="3">
        <v>16.37</v>
      </c>
      <c r="F10529">
        <v>20160108</v>
      </c>
      <c r="G10529" t="s">
        <v>8393</v>
      </c>
      <c r="H10529" t="s">
        <v>8421</v>
      </c>
      <c r="I10529">
        <v>0</v>
      </c>
      <c r="J10529" t="s">
        <v>8323</v>
      </c>
      <c r="K10529" t="s">
        <v>290</v>
      </c>
      <c r="L10529" t="s">
        <v>285</v>
      </c>
      <c r="M10529" t="str">
        <f t="shared" si="798"/>
        <v>01</v>
      </c>
      <c r="N10529" t="s">
        <v>12</v>
      </c>
    </row>
    <row r="10530" spans="1:14" x14ac:dyDescent="0.25">
      <c r="A10530">
        <v>20160111</v>
      </c>
      <c r="B10530" t="str">
        <f>"061705"</f>
        <v>061705</v>
      </c>
      <c r="C10530" t="str">
        <f>"37500"</f>
        <v>37500</v>
      </c>
      <c r="D10530" t="s">
        <v>1652</v>
      </c>
      <c r="E10530" s="3">
        <v>30.45</v>
      </c>
      <c r="F10530">
        <v>20160108</v>
      </c>
      <c r="G10530" t="s">
        <v>8422</v>
      </c>
      <c r="H10530" t="s">
        <v>8423</v>
      </c>
      <c r="I10530">
        <v>0</v>
      </c>
      <c r="J10530" t="s">
        <v>8323</v>
      </c>
      <c r="K10530" t="s">
        <v>290</v>
      </c>
      <c r="L10530" t="s">
        <v>285</v>
      </c>
      <c r="M10530" t="str">
        <f t="shared" si="798"/>
        <v>01</v>
      </c>
      <c r="N10530" t="s">
        <v>12</v>
      </c>
    </row>
    <row r="10531" spans="1:14" x14ac:dyDescent="0.25">
      <c r="A10531">
        <v>20160111</v>
      </c>
      <c r="B10531" t="str">
        <f>"061705"</f>
        <v>061705</v>
      </c>
      <c r="C10531" t="str">
        <f>"37500"</f>
        <v>37500</v>
      </c>
      <c r="D10531" t="s">
        <v>1652</v>
      </c>
      <c r="E10531" s="3">
        <v>104.18</v>
      </c>
      <c r="F10531">
        <v>20160108</v>
      </c>
      <c r="G10531" t="s">
        <v>8321</v>
      </c>
      <c r="H10531" t="s">
        <v>8424</v>
      </c>
      <c r="I10531">
        <v>0</v>
      </c>
      <c r="J10531" t="s">
        <v>8323</v>
      </c>
      <c r="K10531" t="s">
        <v>290</v>
      </c>
      <c r="L10531" t="s">
        <v>285</v>
      </c>
      <c r="M10531" t="str">
        <f t="shared" si="798"/>
        <v>01</v>
      </c>
      <c r="N10531" t="s">
        <v>12</v>
      </c>
    </row>
    <row r="10532" spans="1:14" x14ac:dyDescent="0.25">
      <c r="A10532">
        <v>20160111</v>
      </c>
      <c r="B10532" t="str">
        <f>"061722"</f>
        <v>061722</v>
      </c>
      <c r="C10532" t="str">
        <f>"58203"</f>
        <v>58203</v>
      </c>
      <c r="D10532" t="s">
        <v>2371</v>
      </c>
      <c r="E10532" s="3">
        <v>46.86</v>
      </c>
      <c r="F10532">
        <v>20160108</v>
      </c>
      <c r="G10532" t="s">
        <v>8342</v>
      </c>
      <c r="H10532" t="s">
        <v>7375</v>
      </c>
      <c r="I10532">
        <v>0</v>
      </c>
      <c r="J10532" t="s">
        <v>8323</v>
      </c>
      <c r="K10532" t="s">
        <v>1643</v>
      </c>
      <c r="L10532" t="s">
        <v>285</v>
      </c>
      <c r="M10532" t="str">
        <f t="shared" si="798"/>
        <v>01</v>
      </c>
      <c r="N10532" t="s">
        <v>12</v>
      </c>
    </row>
    <row r="10533" spans="1:14" x14ac:dyDescent="0.25">
      <c r="A10533">
        <v>20160111</v>
      </c>
      <c r="B10533" t="str">
        <f>"061745"</f>
        <v>061745</v>
      </c>
      <c r="C10533" t="str">
        <f>"82511"</f>
        <v>82511</v>
      </c>
      <c r="D10533" t="s">
        <v>547</v>
      </c>
      <c r="E10533" s="3">
        <v>300</v>
      </c>
      <c r="F10533">
        <v>20160108</v>
      </c>
      <c r="G10533" t="s">
        <v>8324</v>
      </c>
      <c r="H10533" t="s">
        <v>8425</v>
      </c>
      <c r="I10533">
        <v>0</v>
      </c>
      <c r="J10533" t="s">
        <v>8323</v>
      </c>
      <c r="K10533" t="s">
        <v>95</v>
      </c>
      <c r="L10533" t="s">
        <v>285</v>
      </c>
      <c r="M10533" t="str">
        <f t="shared" si="798"/>
        <v>01</v>
      </c>
      <c r="N10533" t="s">
        <v>12</v>
      </c>
    </row>
    <row r="10534" spans="1:14" x14ac:dyDescent="0.25">
      <c r="A10534">
        <v>20160111</v>
      </c>
      <c r="B10534" t="str">
        <f>"061746"</f>
        <v>061746</v>
      </c>
      <c r="C10534" t="str">
        <f>"83022"</f>
        <v>83022</v>
      </c>
      <c r="D10534" t="s">
        <v>394</v>
      </c>
      <c r="E10534" s="3">
        <v>193.47</v>
      </c>
      <c r="F10534">
        <v>20160108</v>
      </c>
      <c r="G10534" t="s">
        <v>8342</v>
      </c>
      <c r="H10534" t="s">
        <v>7375</v>
      </c>
      <c r="I10534">
        <v>0</v>
      </c>
      <c r="J10534" t="s">
        <v>8323</v>
      </c>
      <c r="K10534" t="s">
        <v>1643</v>
      </c>
      <c r="L10534" t="s">
        <v>285</v>
      </c>
      <c r="M10534" t="str">
        <f t="shared" si="798"/>
        <v>01</v>
      </c>
      <c r="N10534" t="s">
        <v>12</v>
      </c>
    </row>
    <row r="10535" spans="1:14" x14ac:dyDescent="0.25">
      <c r="A10535">
        <v>20160111</v>
      </c>
      <c r="B10535" t="str">
        <f>"061746"</f>
        <v>061746</v>
      </c>
      <c r="C10535" t="str">
        <f>"83022"</f>
        <v>83022</v>
      </c>
      <c r="D10535" t="s">
        <v>394</v>
      </c>
      <c r="E10535" s="3">
        <v>384.64</v>
      </c>
      <c r="F10535">
        <v>20160108</v>
      </c>
      <c r="G10535" t="s">
        <v>8328</v>
      </c>
      <c r="H10535" t="s">
        <v>3633</v>
      </c>
      <c r="I10535">
        <v>0</v>
      </c>
      <c r="J10535" t="s">
        <v>8323</v>
      </c>
      <c r="K10535" t="s">
        <v>95</v>
      </c>
      <c r="L10535" t="s">
        <v>285</v>
      </c>
      <c r="M10535" t="str">
        <f t="shared" si="798"/>
        <v>01</v>
      </c>
      <c r="N10535" t="s">
        <v>12</v>
      </c>
    </row>
    <row r="10536" spans="1:14" x14ac:dyDescent="0.25">
      <c r="A10536">
        <v>20160111</v>
      </c>
      <c r="B10536" t="str">
        <f>"061746"</f>
        <v>061746</v>
      </c>
      <c r="C10536" t="str">
        <f>"83022"</f>
        <v>83022</v>
      </c>
      <c r="D10536" t="s">
        <v>394</v>
      </c>
      <c r="E10536" s="3">
        <v>144.82</v>
      </c>
      <c r="F10536">
        <v>20160108</v>
      </c>
      <c r="G10536" t="s">
        <v>8339</v>
      </c>
      <c r="H10536" t="s">
        <v>3633</v>
      </c>
      <c r="I10536">
        <v>0</v>
      </c>
      <c r="J10536" t="s">
        <v>8323</v>
      </c>
      <c r="K10536" t="s">
        <v>95</v>
      </c>
      <c r="L10536" t="s">
        <v>285</v>
      </c>
      <c r="M10536" t="str">
        <f t="shared" si="798"/>
        <v>01</v>
      </c>
      <c r="N10536" t="s">
        <v>12</v>
      </c>
    </row>
    <row r="10537" spans="1:14" x14ac:dyDescent="0.25">
      <c r="A10537">
        <v>20160122</v>
      </c>
      <c r="B10537" t="str">
        <f>"061817"</f>
        <v>061817</v>
      </c>
      <c r="C10537" t="str">
        <f>"23754"</f>
        <v>23754</v>
      </c>
      <c r="D10537" t="s">
        <v>794</v>
      </c>
      <c r="E10537" s="3">
        <v>360.47</v>
      </c>
      <c r="F10537">
        <v>20160121</v>
      </c>
      <c r="G10537" t="s">
        <v>8321</v>
      </c>
      <c r="H10537" t="s">
        <v>8426</v>
      </c>
      <c r="I10537">
        <v>0</v>
      </c>
      <c r="J10537" t="s">
        <v>8323</v>
      </c>
      <c r="K10537" t="s">
        <v>290</v>
      </c>
      <c r="L10537" t="s">
        <v>285</v>
      </c>
      <c r="M10537" t="str">
        <f t="shared" si="798"/>
        <v>01</v>
      </c>
      <c r="N10537" t="s">
        <v>12</v>
      </c>
    </row>
    <row r="10538" spans="1:14" x14ac:dyDescent="0.25">
      <c r="A10538">
        <v>20160122</v>
      </c>
      <c r="B10538" t="str">
        <f>"061872"</f>
        <v>061872</v>
      </c>
      <c r="C10538" t="str">
        <f>"57402"</f>
        <v>57402</v>
      </c>
      <c r="D10538" t="s">
        <v>8427</v>
      </c>
      <c r="E10538" s="3">
        <v>278</v>
      </c>
      <c r="F10538">
        <v>20160121</v>
      </c>
      <c r="G10538" t="s">
        <v>8428</v>
      </c>
      <c r="H10538" t="s">
        <v>8429</v>
      </c>
      <c r="I10538">
        <v>0</v>
      </c>
      <c r="J10538" t="s">
        <v>8323</v>
      </c>
      <c r="K10538" t="s">
        <v>290</v>
      </c>
      <c r="L10538" t="s">
        <v>285</v>
      </c>
      <c r="M10538" t="str">
        <f t="shared" si="798"/>
        <v>01</v>
      </c>
      <c r="N10538" t="s">
        <v>12</v>
      </c>
    </row>
    <row r="10539" spans="1:14" x14ac:dyDescent="0.25">
      <c r="A10539">
        <v>20160122</v>
      </c>
      <c r="B10539" t="str">
        <f>"061881"</f>
        <v>061881</v>
      </c>
      <c r="C10539" t="str">
        <f>"65106"</f>
        <v>65106</v>
      </c>
      <c r="D10539" t="s">
        <v>1568</v>
      </c>
      <c r="E10539" s="3">
        <v>74.58</v>
      </c>
      <c r="F10539">
        <v>20160121</v>
      </c>
      <c r="G10539" t="s">
        <v>8337</v>
      </c>
      <c r="H10539" t="s">
        <v>8430</v>
      </c>
      <c r="I10539">
        <v>0</v>
      </c>
      <c r="J10539" t="s">
        <v>8323</v>
      </c>
      <c r="K10539" t="s">
        <v>1558</v>
      </c>
      <c r="L10539" t="s">
        <v>285</v>
      </c>
      <c r="M10539" t="str">
        <f t="shared" si="798"/>
        <v>01</v>
      </c>
      <c r="N10539" t="s">
        <v>12</v>
      </c>
    </row>
    <row r="10540" spans="1:14" x14ac:dyDescent="0.25">
      <c r="A10540">
        <v>20160122</v>
      </c>
      <c r="B10540" t="str">
        <f>"061881"</f>
        <v>061881</v>
      </c>
      <c r="C10540" t="str">
        <f>"65106"</f>
        <v>65106</v>
      </c>
      <c r="D10540" t="s">
        <v>1568</v>
      </c>
      <c r="E10540" s="3">
        <v>177.78</v>
      </c>
      <c r="F10540">
        <v>20160121</v>
      </c>
      <c r="G10540" t="s">
        <v>8321</v>
      </c>
      <c r="H10540" t="s">
        <v>2752</v>
      </c>
      <c r="I10540">
        <v>0</v>
      </c>
      <c r="J10540" t="s">
        <v>8323</v>
      </c>
      <c r="K10540" t="s">
        <v>290</v>
      </c>
      <c r="L10540" t="s">
        <v>285</v>
      </c>
      <c r="M10540" t="str">
        <f t="shared" si="798"/>
        <v>01</v>
      </c>
      <c r="N10540" t="s">
        <v>12</v>
      </c>
    </row>
    <row r="10541" spans="1:14" x14ac:dyDescent="0.25">
      <c r="A10541">
        <v>20160122</v>
      </c>
      <c r="B10541" t="str">
        <f>"061882"</f>
        <v>061882</v>
      </c>
      <c r="C10541" t="str">
        <f>"64955"</f>
        <v>64955</v>
      </c>
      <c r="D10541" t="s">
        <v>3872</v>
      </c>
      <c r="E10541" s="3">
        <v>11.69</v>
      </c>
      <c r="F10541">
        <v>20160121</v>
      </c>
      <c r="G10541" t="s">
        <v>8324</v>
      </c>
      <c r="H10541" t="s">
        <v>8431</v>
      </c>
      <c r="I10541">
        <v>0</v>
      </c>
      <c r="J10541" t="s">
        <v>8323</v>
      </c>
      <c r="K10541" t="s">
        <v>95</v>
      </c>
      <c r="L10541" t="s">
        <v>285</v>
      </c>
      <c r="M10541" t="str">
        <f t="shared" si="798"/>
        <v>01</v>
      </c>
      <c r="N10541" t="s">
        <v>12</v>
      </c>
    </row>
    <row r="10542" spans="1:14" x14ac:dyDescent="0.25">
      <c r="A10542">
        <v>20160122</v>
      </c>
      <c r="B10542" t="str">
        <f>"061900"</f>
        <v>061900</v>
      </c>
      <c r="C10542" t="str">
        <f>"81299"</f>
        <v>81299</v>
      </c>
      <c r="D10542" t="s">
        <v>2415</v>
      </c>
      <c r="E10542" s="3">
        <v>50</v>
      </c>
      <c r="F10542">
        <v>20160122</v>
      </c>
      <c r="G10542" t="s">
        <v>8339</v>
      </c>
      <c r="H10542" t="s">
        <v>8432</v>
      </c>
      <c r="I10542">
        <v>0</v>
      </c>
      <c r="J10542" t="s">
        <v>8323</v>
      </c>
      <c r="K10542" t="s">
        <v>95</v>
      </c>
      <c r="L10542" t="s">
        <v>285</v>
      </c>
      <c r="M10542" t="str">
        <f t="shared" si="798"/>
        <v>01</v>
      </c>
      <c r="N10542" t="s">
        <v>12</v>
      </c>
    </row>
    <row r="10543" spans="1:14" x14ac:dyDescent="0.25">
      <c r="A10543">
        <v>20160129</v>
      </c>
      <c r="B10543" t="str">
        <f>"061951"</f>
        <v>061951</v>
      </c>
      <c r="C10543" t="str">
        <f>"34880"</f>
        <v>34880</v>
      </c>
      <c r="D10543" t="s">
        <v>150</v>
      </c>
      <c r="E10543" s="3">
        <v>3202.3</v>
      </c>
      <c r="F10543">
        <v>20160127</v>
      </c>
      <c r="G10543" t="s">
        <v>8334</v>
      </c>
      <c r="H10543" t="s">
        <v>7047</v>
      </c>
      <c r="I10543">
        <v>0</v>
      </c>
      <c r="J10543" t="s">
        <v>8323</v>
      </c>
      <c r="K10543" t="s">
        <v>95</v>
      </c>
      <c r="L10543" t="s">
        <v>285</v>
      </c>
      <c r="M10543" t="str">
        <f t="shared" si="798"/>
        <v>01</v>
      </c>
      <c r="N10543" t="s">
        <v>12</v>
      </c>
    </row>
    <row r="10544" spans="1:14" x14ac:dyDescent="0.25">
      <c r="A10544">
        <v>20160129</v>
      </c>
      <c r="B10544" t="str">
        <f>"061990"</f>
        <v>061990</v>
      </c>
      <c r="C10544" t="str">
        <f>"57787"</f>
        <v>57787</v>
      </c>
      <c r="D10544" t="s">
        <v>7085</v>
      </c>
      <c r="E10544" s="3">
        <v>7.74</v>
      </c>
      <c r="F10544">
        <v>20160128</v>
      </c>
      <c r="G10544" t="s">
        <v>8328</v>
      </c>
      <c r="H10544" t="s">
        <v>8433</v>
      </c>
      <c r="I10544">
        <v>0</v>
      </c>
      <c r="J10544" t="s">
        <v>8323</v>
      </c>
      <c r="K10544" t="s">
        <v>95</v>
      </c>
      <c r="L10544" t="s">
        <v>285</v>
      </c>
      <c r="M10544" t="str">
        <f t="shared" si="798"/>
        <v>01</v>
      </c>
      <c r="N10544" t="s">
        <v>12</v>
      </c>
    </row>
    <row r="10545" spans="1:14" x14ac:dyDescent="0.25">
      <c r="A10545">
        <v>20160129</v>
      </c>
      <c r="B10545" t="str">
        <f>"062026"</f>
        <v>062026</v>
      </c>
      <c r="C10545" t="str">
        <f>"83022"</f>
        <v>83022</v>
      </c>
      <c r="D10545" t="s">
        <v>394</v>
      </c>
      <c r="E10545" s="3">
        <v>67.8</v>
      </c>
      <c r="F10545">
        <v>20160128</v>
      </c>
      <c r="G10545" t="s">
        <v>8342</v>
      </c>
      <c r="H10545" t="s">
        <v>8434</v>
      </c>
      <c r="I10545">
        <v>0</v>
      </c>
      <c r="J10545" t="s">
        <v>8323</v>
      </c>
      <c r="K10545" t="s">
        <v>1643</v>
      </c>
      <c r="L10545" t="s">
        <v>285</v>
      </c>
      <c r="M10545" t="str">
        <f t="shared" si="798"/>
        <v>01</v>
      </c>
      <c r="N10545" t="s">
        <v>12</v>
      </c>
    </row>
    <row r="10546" spans="1:14" x14ac:dyDescent="0.25">
      <c r="A10546">
        <v>20160129</v>
      </c>
      <c r="B10546" t="str">
        <f>"062026"</f>
        <v>062026</v>
      </c>
      <c r="C10546" t="str">
        <f>"83022"</f>
        <v>83022</v>
      </c>
      <c r="D10546" t="s">
        <v>394</v>
      </c>
      <c r="E10546" s="3">
        <v>23.32</v>
      </c>
      <c r="F10546">
        <v>20160128</v>
      </c>
      <c r="G10546" t="s">
        <v>8342</v>
      </c>
      <c r="H10546" t="s">
        <v>8434</v>
      </c>
      <c r="I10546">
        <v>0</v>
      </c>
      <c r="J10546" t="s">
        <v>8323</v>
      </c>
      <c r="K10546" t="s">
        <v>1643</v>
      </c>
      <c r="L10546" t="s">
        <v>285</v>
      </c>
      <c r="M10546" t="str">
        <f t="shared" si="798"/>
        <v>01</v>
      </c>
      <c r="N10546" t="s">
        <v>12</v>
      </c>
    </row>
    <row r="10547" spans="1:14" x14ac:dyDescent="0.25">
      <c r="A10547">
        <v>20160205</v>
      </c>
      <c r="B10547" t="str">
        <f>"062183"</f>
        <v>062183</v>
      </c>
      <c r="C10547" t="str">
        <f>"09170"</f>
        <v>09170</v>
      </c>
      <c r="D10547" t="s">
        <v>596</v>
      </c>
      <c r="E10547" s="3">
        <v>179.47</v>
      </c>
      <c r="F10547">
        <v>20160203</v>
      </c>
      <c r="G10547" t="s">
        <v>8342</v>
      </c>
      <c r="H10547" t="s">
        <v>8435</v>
      </c>
      <c r="I10547">
        <v>0</v>
      </c>
      <c r="J10547" t="s">
        <v>8323</v>
      </c>
      <c r="K10547" t="s">
        <v>1643</v>
      </c>
      <c r="L10547" t="s">
        <v>285</v>
      </c>
      <c r="M10547" t="str">
        <f t="shared" ref="M10547:M10559" si="799">"02"</f>
        <v>02</v>
      </c>
      <c r="N10547" t="s">
        <v>12</v>
      </c>
    </row>
    <row r="10548" spans="1:14" x14ac:dyDescent="0.25">
      <c r="A10548">
        <v>20160205</v>
      </c>
      <c r="B10548" t="str">
        <f>"062231"</f>
        <v>062231</v>
      </c>
      <c r="C10548" t="str">
        <f>"58202"</f>
        <v>58202</v>
      </c>
      <c r="D10548" t="s">
        <v>2695</v>
      </c>
      <c r="E10548" s="3">
        <v>31.98</v>
      </c>
      <c r="F10548">
        <v>20160204</v>
      </c>
      <c r="G10548" t="s">
        <v>8436</v>
      </c>
      <c r="H10548" t="s">
        <v>1618</v>
      </c>
      <c r="I10548">
        <v>0</v>
      </c>
      <c r="J10548" t="s">
        <v>8323</v>
      </c>
      <c r="K10548" t="s">
        <v>95</v>
      </c>
      <c r="L10548" t="s">
        <v>285</v>
      </c>
      <c r="M10548" t="str">
        <f t="shared" si="799"/>
        <v>02</v>
      </c>
      <c r="N10548" t="s">
        <v>12</v>
      </c>
    </row>
    <row r="10549" spans="1:14" x14ac:dyDescent="0.25">
      <c r="A10549">
        <v>20160205</v>
      </c>
      <c r="B10549" t="str">
        <f>"062231"</f>
        <v>062231</v>
      </c>
      <c r="C10549" t="str">
        <f>"58202"</f>
        <v>58202</v>
      </c>
      <c r="D10549" t="s">
        <v>2695</v>
      </c>
      <c r="E10549" s="3">
        <v>45.5</v>
      </c>
      <c r="F10549">
        <v>20160204</v>
      </c>
      <c r="G10549" t="s">
        <v>8328</v>
      </c>
      <c r="H10549" t="s">
        <v>8437</v>
      </c>
      <c r="I10549">
        <v>0</v>
      </c>
      <c r="J10549" t="s">
        <v>8323</v>
      </c>
      <c r="K10549" t="s">
        <v>95</v>
      </c>
      <c r="L10549" t="s">
        <v>285</v>
      </c>
      <c r="M10549" t="str">
        <f t="shared" si="799"/>
        <v>02</v>
      </c>
      <c r="N10549" t="s">
        <v>12</v>
      </c>
    </row>
    <row r="10550" spans="1:14" x14ac:dyDescent="0.25">
      <c r="A10550">
        <v>20160205</v>
      </c>
      <c r="B10550" t="str">
        <f>"062231"</f>
        <v>062231</v>
      </c>
      <c r="C10550" t="str">
        <f>"58202"</f>
        <v>58202</v>
      </c>
      <c r="D10550" t="s">
        <v>2695</v>
      </c>
      <c r="E10550" s="3">
        <v>31.5</v>
      </c>
      <c r="F10550">
        <v>20160204</v>
      </c>
      <c r="G10550" t="s">
        <v>8328</v>
      </c>
      <c r="H10550" t="s">
        <v>8398</v>
      </c>
      <c r="I10550">
        <v>0</v>
      </c>
      <c r="J10550" t="s">
        <v>8323</v>
      </c>
      <c r="K10550" t="s">
        <v>95</v>
      </c>
      <c r="L10550" t="s">
        <v>285</v>
      </c>
      <c r="M10550" t="str">
        <f t="shared" si="799"/>
        <v>02</v>
      </c>
      <c r="N10550" t="s">
        <v>12</v>
      </c>
    </row>
    <row r="10551" spans="1:14" x14ac:dyDescent="0.25">
      <c r="A10551">
        <v>20160212</v>
      </c>
      <c r="B10551" t="str">
        <f>"062306"</f>
        <v>062306</v>
      </c>
      <c r="C10551" t="str">
        <f>"37500"</f>
        <v>37500</v>
      </c>
      <c r="D10551" t="s">
        <v>1652</v>
      </c>
      <c r="E10551" s="3">
        <v>71.959999999999994</v>
      </c>
      <c r="F10551">
        <v>20160211</v>
      </c>
      <c r="G10551" t="s">
        <v>8393</v>
      </c>
      <c r="H10551" t="s">
        <v>8438</v>
      </c>
      <c r="I10551">
        <v>0</v>
      </c>
      <c r="J10551" t="s">
        <v>8323</v>
      </c>
      <c r="K10551" t="s">
        <v>290</v>
      </c>
      <c r="L10551" t="s">
        <v>285</v>
      </c>
      <c r="M10551" t="str">
        <f t="shared" si="799"/>
        <v>02</v>
      </c>
      <c r="N10551" t="s">
        <v>12</v>
      </c>
    </row>
    <row r="10552" spans="1:14" x14ac:dyDescent="0.25">
      <c r="A10552">
        <v>20160212</v>
      </c>
      <c r="B10552" t="str">
        <f>"062339"</f>
        <v>062339</v>
      </c>
      <c r="C10552" t="str">
        <f>"57402"</f>
        <v>57402</v>
      </c>
      <c r="D10552" t="s">
        <v>8427</v>
      </c>
      <c r="E10552" s="3">
        <v>156</v>
      </c>
      <c r="F10552">
        <v>20160212</v>
      </c>
      <c r="G10552" t="s">
        <v>8428</v>
      </c>
      <c r="H10552" t="s">
        <v>8439</v>
      </c>
      <c r="I10552">
        <v>0</v>
      </c>
      <c r="J10552" t="s">
        <v>8323</v>
      </c>
      <c r="K10552" t="s">
        <v>290</v>
      </c>
      <c r="L10552" t="s">
        <v>285</v>
      </c>
      <c r="M10552" t="str">
        <f t="shared" si="799"/>
        <v>02</v>
      </c>
      <c r="N10552" t="s">
        <v>12</v>
      </c>
    </row>
    <row r="10553" spans="1:14" x14ac:dyDescent="0.25">
      <c r="A10553">
        <v>20160212</v>
      </c>
      <c r="B10553" t="str">
        <f>"062350"</f>
        <v>062350</v>
      </c>
      <c r="C10553" t="str">
        <f>"65160"</f>
        <v>65160</v>
      </c>
      <c r="D10553" t="s">
        <v>4094</v>
      </c>
      <c r="E10553" s="3">
        <v>158</v>
      </c>
      <c r="F10553">
        <v>20160212</v>
      </c>
      <c r="G10553" t="s">
        <v>8393</v>
      </c>
      <c r="H10553" t="s">
        <v>4095</v>
      </c>
      <c r="I10553">
        <v>0</v>
      </c>
      <c r="J10553" t="s">
        <v>8323</v>
      </c>
      <c r="K10553" t="s">
        <v>290</v>
      </c>
      <c r="L10553" t="s">
        <v>285</v>
      </c>
      <c r="M10553" t="str">
        <f t="shared" si="799"/>
        <v>02</v>
      </c>
      <c r="N10553" t="s">
        <v>12</v>
      </c>
    </row>
    <row r="10554" spans="1:14" x14ac:dyDescent="0.25">
      <c r="A10554">
        <v>20160212</v>
      </c>
      <c r="B10554" t="str">
        <f>"062366"</f>
        <v>062366</v>
      </c>
      <c r="C10554" t="str">
        <f>"83007"</f>
        <v>83007</v>
      </c>
      <c r="D10554" t="s">
        <v>4200</v>
      </c>
      <c r="E10554" s="3">
        <v>265.83</v>
      </c>
      <c r="F10554">
        <v>20160212</v>
      </c>
      <c r="G10554" t="s">
        <v>8393</v>
      </c>
      <c r="H10554" t="s">
        <v>4095</v>
      </c>
      <c r="I10554">
        <v>0</v>
      </c>
      <c r="J10554" t="s">
        <v>8323</v>
      </c>
      <c r="K10554" t="s">
        <v>290</v>
      </c>
      <c r="L10554" t="s">
        <v>285</v>
      </c>
      <c r="M10554" t="str">
        <f t="shared" si="799"/>
        <v>02</v>
      </c>
      <c r="N10554" t="s">
        <v>12</v>
      </c>
    </row>
    <row r="10555" spans="1:14" x14ac:dyDescent="0.25">
      <c r="A10555">
        <v>20160219</v>
      </c>
      <c r="B10555" t="str">
        <f>"062391"</f>
        <v>062391</v>
      </c>
      <c r="C10555" t="str">
        <f>"19094"</f>
        <v>19094</v>
      </c>
      <c r="D10555" t="s">
        <v>8440</v>
      </c>
      <c r="E10555" s="3">
        <v>255.5</v>
      </c>
      <c r="F10555">
        <v>20160217</v>
      </c>
      <c r="G10555" t="s">
        <v>8428</v>
      </c>
      <c r="H10555" t="s">
        <v>8439</v>
      </c>
      <c r="I10555">
        <v>0</v>
      </c>
      <c r="J10555" t="s">
        <v>8323</v>
      </c>
      <c r="K10555" t="s">
        <v>290</v>
      </c>
      <c r="L10555" t="s">
        <v>285</v>
      </c>
      <c r="M10555" t="str">
        <f t="shared" si="799"/>
        <v>02</v>
      </c>
      <c r="N10555" t="s">
        <v>12</v>
      </c>
    </row>
    <row r="10556" spans="1:14" x14ac:dyDescent="0.25">
      <c r="A10556">
        <v>20160219</v>
      </c>
      <c r="B10556" t="str">
        <f>"062447"</f>
        <v>062447</v>
      </c>
      <c r="C10556" t="str">
        <f>"49799"</f>
        <v>49799</v>
      </c>
      <c r="D10556" t="s">
        <v>8327</v>
      </c>
      <c r="E10556" s="3">
        <v>808.5</v>
      </c>
      <c r="F10556">
        <v>20160217</v>
      </c>
      <c r="G10556" t="s">
        <v>8328</v>
      </c>
      <c r="H10556" t="s">
        <v>8441</v>
      </c>
      <c r="I10556">
        <v>0</v>
      </c>
      <c r="J10556" t="s">
        <v>8323</v>
      </c>
      <c r="K10556" t="s">
        <v>95</v>
      </c>
      <c r="L10556" t="s">
        <v>285</v>
      </c>
      <c r="M10556" t="str">
        <f t="shared" si="799"/>
        <v>02</v>
      </c>
      <c r="N10556" t="s">
        <v>12</v>
      </c>
    </row>
    <row r="10557" spans="1:14" x14ac:dyDescent="0.25">
      <c r="A10557">
        <v>20160219</v>
      </c>
      <c r="B10557" t="str">
        <f>"062465"</f>
        <v>062465</v>
      </c>
      <c r="C10557" t="str">
        <f>"58204"</f>
        <v>58204</v>
      </c>
      <c r="D10557" t="s">
        <v>1816</v>
      </c>
      <c r="E10557" s="3">
        <v>57</v>
      </c>
      <c r="F10557">
        <v>20160218</v>
      </c>
      <c r="G10557" t="s">
        <v>8402</v>
      </c>
      <c r="H10557" t="s">
        <v>8442</v>
      </c>
      <c r="I10557">
        <v>0</v>
      </c>
      <c r="J10557" t="s">
        <v>8323</v>
      </c>
      <c r="K10557" t="s">
        <v>290</v>
      </c>
      <c r="L10557" t="s">
        <v>285</v>
      </c>
      <c r="M10557" t="str">
        <f t="shared" si="799"/>
        <v>02</v>
      </c>
      <c r="N10557" t="s">
        <v>12</v>
      </c>
    </row>
    <row r="10558" spans="1:14" x14ac:dyDescent="0.25">
      <c r="A10558">
        <v>20160219</v>
      </c>
      <c r="B10558" t="str">
        <f>"062500"</f>
        <v>062500</v>
      </c>
      <c r="C10558" t="str">
        <f>"81299"</f>
        <v>81299</v>
      </c>
      <c r="D10558" t="s">
        <v>2415</v>
      </c>
      <c r="E10558" s="3">
        <v>453</v>
      </c>
      <c r="F10558">
        <v>20160218</v>
      </c>
      <c r="G10558" t="s">
        <v>8393</v>
      </c>
      <c r="H10558" t="s">
        <v>8443</v>
      </c>
      <c r="I10558">
        <v>0</v>
      </c>
      <c r="J10558" t="s">
        <v>8323</v>
      </c>
      <c r="K10558" t="s">
        <v>290</v>
      </c>
      <c r="L10558" t="s">
        <v>285</v>
      </c>
      <c r="M10558" t="str">
        <f t="shared" si="799"/>
        <v>02</v>
      </c>
      <c r="N10558" t="s">
        <v>12</v>
      </c>
    </row>
    <row r="10559" spans="1:14" x14ac:dyDescent="0.25">
      <c r="A10559">
        <v>20160219</v>
      </c>
      <c r="B10559" t="str">
        <f>"062501"</f>
        <v>062501</v>
      </c>
      <c r="C10559" t="str">
        <f>"82126"</f>
        <v>82126</v>
      </c>
      <c r="D10559" t="s">
        <v>1800</v>
      </c>
      <c r="E10559" s="3">
        <v>98</v>
      </c>
      <c r="F10559">
        <v>20160218</v>
      </c>
      <c r="G10559" t="s">
        <v>8328</v>
      </c>
      <c r="H10559" t="s">
        <v>4197</v>
      </c>
      <c r="I10559">
        <v>0</v>
      </c>
      <c r="J10559" t="s">
        <v>8323</v>
      </c>
      <c r="K10559" t="s">
        <v>95</v>
      </c>
      <c r="L10559" t="s">
        <v>285</v>
      </c>
      <c r="M10559" t="str">
        <f t="shared" si="799"/>
        <v>02</v>
      </c>
      <c r="N10559" t="s">
        <v>12</v>
      </c>
    </row>
    <row r="10560" spans="1:14" x14ac:dyDescent="0.25">
      <c r="A10560">
        <v>20160304</v>
      </c>
      <c r="B10560" t="str">
        <f>"062545"</f>
        <v>062545</v>
      </c>
      <c r="C10560" t="str">
        <f>"23754"</f>
        <v>23754</v>
      </c>
      <c r="D10560" t="s">
        <v>794</v>
      </c>
      <c r="E10560" s="3">
        <v>50</v>
      </c>
      <c r="F10560">
        <v>20160303</v>
      </c>
      <c r="G10560" t="s">
        <v>8368</v>
      </c>
      <c r="H10560" t="s">
        <v>8444</v>
      </c>
      <c r="I10560">
        <v>0</v>
      </c>
      <c r="J10560" t="s">
        <v>8323</v>
      </c>
      <c r="K10560" t="s">
        <v>290</v>
      </c>
      <c r="L10560" t="s">
        <v>285</v>
      </c>
      <c r="M10560" t="str">
        <f t="shared" ref="M10560:M10584" si="800">"03"</f>
        <v>03</v>
      </c>
      <c r="N10560" t="s">
        <v>12</v>
      </c>
    </row>
    <row r="10561" spans="1:14" x14ac:dyDescent="0.25">
      <c r="A10561">
        <v>20160304</v>
      </c>
      <c r="B10561" t="str">
        <f>"062545"</f>
        <v>062545</v>
      </c>
      <c r="C10561" t="str">
        <f>"23754"</f>
        <v>23754</v>
      </c>
      <c r="D10561" t="s">
        <v>794</v>
      </c>
      <c r="E10561" s="3">
        <v>320</v>
      </c>
      <c r="F10561">
        <v>20160303</v>
      </c>
      <c r="G10561" t="s">
        <v>8368</v>
      </c>
      <c r="H10561" t="s">
        <v>8445</v>
      </c>
      <c r="I10561">
        <v>0</v>
      </c>
      <c r="J10561" t="s">
        <v>8323</v>
      </c>
      <c r="K10561" t="s">
        <v>290</v>
      </c>
      <c r="L10561" t="s">
        <v>285</v>
      </c>
      <c r="M10561" t="str">
        <f t="shared" si="800"/>
        <v>03</v>
      </c>
      <c r="N10561" t="s">
        <v>12</v>
      </c>
    </row>
    <row r="10562" spans="1:14" x14ac:dyDescent="0.25">
      <c r="A10562">
        <v>20160304</v>
      </c>
      <c r="B10562" t="str">
        <f>"062545"</f>
        <v>062545</v>
      </c>
      <c r="C10562" t="str">
        <f>"23754"</f>
        <v>23754</v>
      </c>
      <c r="D10562" t="s">
        <v>794</v>
      </c>
      <c r="E10562" s="3">
        <v>67.5</v>
      </c>
      <c r="F10562">
        <v>20160303</v>
      </c>
      <c r="G10562" t="s">
        <v>8446</v>
      </c>
      <c r="H10562" t="s">
        <v>8444</v>
      </c>
      <c r="I10562">
        <v>0</v>
      </c>
      <c r="J10562" t="s">
        <v>8323</v>
      </c>
      <c r="K10562" t="s">
        <v>290</v>
      </c>
      <c r="L10562" t="s">
        <v>285</v>
      </c>
      <c r="M10562" t="str">
        <f t="shared" si="800"/>
        <v>03</v>
      </c>
      <c r="N10562" t="s">
        <v>12</v>
      </c>
    </row>
    <row r="10563" spans="1:14" x14ac:dyDescent="0.25">
      <c r="A10563">
        <v>20160304</v>
      </c>
      <c r="B10563" t="str">
        <f>"062560"</f>
        <v>062560</v>
      </c>
      <c r="C10563" t="str">
        <f>"30846"</f>
        <v>30846</v>
      </c>
      <c r="D10563" t="s">
        <v>656</v>
      </c>
      <c r="E10563" s="3">
        <v>23.48</v>
      </c>
      <c r="F10563">
        <v>20160303</v>
      </c>
      <c r="G10563" t="s">
        <v>8393</v>
      </c>
      <c r="H10563" t="s">
        <v>4265</v>
      </c>
      <c r="I10563">
        <v>0</v>
      </c>
      <c r="J10563" t="s">
        <v>8323</v>
      </c>
      <c r="K10563" t="s">
        <v>290</v>
      </c>
      <c r="L10563" t="s">
        <v>285</v>
      </c>
      <c r="M10563" t="str">
        <f t="shared" si="800"/>
        <v>03</v>
      </c>
      <c r="N10563" t="s">
        <v>12</v>
      </c>
    </row>
    <row r="10564" spans="1:14" x14ac:dyDescent="0.25">
      <c r="A10564">
        <v>20160304</v>
      </c>
      <c r="B10564" t="str">
        <f>"062627"</f>
        <v>062627</v>
      </c>
      <c r="C10564" t="str">
        <f>"83022"</f>
        <v>83022</v>
      </c>
      <c r="D10564" t="s">
        <v>394</v>
      </c>
      <c r="E10564" s="3">
        <v>96.76</v>
      </c>
      <c r="F10564">
        <v>20160304</v>
      </c>
      <c r="G10564" t="s">
        <v>8447</v>
      </c>
      <c r="H10564" t="s">
        <v>8448</v>
      </c>
      <c r="I10564">
        <v>0</v>
      </c>
      <c r="J10564" t="s">
        <v>8323</v>
      </c>
      <c r="K10564" t="s">
        <v>95</v>
      </c>
      <c r="L10564" t="s">
        <v>285</v>
      </c>
      <c r="M10564" t="str">
        <f t="shared" si="800"/>
        <v>03</v>
      </c>
      <c r="N10564" t="s">
        <v>12</v>
      </c>
    </row>
    <row r="10565" spans="1:14" x14ac:dyDescent="0.25">
      <c r="A10565">
        <v>20160304</v>
      </c>
      <c r="B10565" t="str">
        <f>"062627"</f>
        <v>062627</v>
      </c>
      <c r="C10565" t="str">
        <f>"83022"</f>
        <v>83022</v>
      </c>
      <c r="D10565" t="s">
        <v>394</v>
      </c>
      <c r="E10565" s="3">
        <v>13.96</v>
      </c>
      <c r="F10565">
        <v>20160304</v>
      </c>
      <c r="G10565" t="s">
        <v>8436</v>
      </c>
      <c r="H10565" t="s">
        <v>8449</v>
      </c>
      <c r="I10565">
        <v>0</v>
      </c>
      <c r="J10565" t="s">
        <v>8323</v>
      </c>
      <c r="K10565" t="s">
        <v>95</v>
      </c>
      <c r="L10565" t="s">
        <v>285</v>
      </c>
      <c r="M10565" t="str">
        <f t="shared" si="800"/>
        <v>03</v>
      </c>
      <c r="N10565" t="s">
        <v>12</v>
      </c>
    </row>
    <row r="10566" spans="1:14" x14ac:dyDescent="0.25">
      <c r="A10566">
        <v>20160304</v>
      </c>
      <c r="B10566" t="str">
        <f>"062627"</f>
        <v>062627</v>
      </c>
      <c r="C10566" t="str">
        <f>"83022"</f>
        <v>83022</v>
      </c>
      <c r="D10566" t="s">
        <v>394</v>
      </c>
      <c r="E10566" s="3">
        <v>93.39</v>
      </c>
      <c r="F10566">
        <v>20160304</v>
      </c>
      <c r="G10566" t="s">
        <v>8321</v>
      </c>
      <c r="H10566" t="s">
        <v>3614</v>
      </c>
      <c r="I10566">
        <v>0</v>
      </c>
      <c r="J10566" t="s">
        <v>8323</v>
      </c>
      <c r="K10566" t="s">
        <v>290</v>
      </c>
      <c r="L10566" t="s">
        <v>285</v>
      </c>
      <c r="M10566" t="str">
        <f t="shared" si="800"/>
        <v>03</v>
      </c>
      <c r="N10566" t="s">
        <v>12</v>
      </c>
    </row>
    <row r="10567" spans="1:14" x14ac:dyDescent="0.25">
      <c r="A10567">
        <v>20160304</v>
      </c>
      <c r="B10567" t="str">
        <f>"062627"</f>
        <v>062627</v>
      </c>
      <c r="C10567" t="str">
        <f>"83022"</f>
        <v>83022</v>
      </c>
      <c r="D10567" t="s">
        <v>394</v>
      </c>
      <c r="E10567" s="3">
        <v>65.31</v>
      </c>
      <c r="F10567">
        <v>20160304</v>
      </c>
      <c r="G10567" t="s">
        <v>8321</v>
      </c>
      <c r="H10567" t="s">
        <v>7518</v>
      </c>
      <c r="I10567">
        <v>0</v>
      </c>
      <c r="J10567" t="s">
        <v>8323</v>
      </c>
      <c r="K10567" t="s">
        <v>290</v>
      </c>
      <c r="L10567" t="s">
        <v>285</v>
      </c>
      <c r="M10567" t="str">
        <f t="shared" si="800"/>
        <v>03</v>
      </c>
      <c r="N10567" t="s">
        <v>12</v>
      </c>
    </row>
    <row r="10568" spans="1:14" x14ac:dyDescent="0.25">
      <c r="A10568">
        <v>20160304</v>
      </c>
      <c r="B10568" t="str">
        <f>"062627"</f>
        <v>062627</v>
      </c>
      <c r="C10568" t="str">
        <f>"83022"</f>
        <v>83022</v>
      </c>
      <c r="D10568" t="s">
        <v>394</v>
      </c>
      <c r="E10568" s="3">
        <v>228.61</v>
      </c>
      <c r="F10568">
        <v>20160304</v>
      </c>
      <c r="G10568" t="s">
        <v>8346</v>
      </c>
      <c r="H10568" t="s">
        <v>8450</v>
      </c>
      <c r="I10568">
        <v>0</v>
      </c>
      <c r="J10568" t="s">
        <v>8323</v>
      </c>
      <c r="K10568" t="s">
        <v>290</v>
      </c>
      <c r="L10568" t="s">
        <v>285</v>
      </c>
      <c r="M10568" t="str">
        <f t="shared" si="800"/>
        <v>03</v>
      </c>
      <c r="N10568" t="s">
        <v>12</v>
      </c>
    </row>
    <row r="10569" spans="1:14" x14ac:dyDescent="0.25">
      <c r="A10569">
        <v>20160311</v>
      </c>
      <c r="B10569" t="str">
        <f>"062651"</f>
        <v>062651</v>
      </c>
      <c r="C10569" t="str">
        <f>"28680"</f>
        <v>28680</v>
      </c>
      <c r="D10569" t="s">
        <v>422</v>
      </c>
      <c r="E10569" s="3">
        <v>248.53</v>
      </c>
      <c r="F10569">
        <v>20160310</v>
      </c>
      <c r="G10569" t="s">
        <v>8393</v>
      </c>
      <c r="H10569" t="s">
        <v>8451</v>
      </c>
      <c r="I10569">
        <v>0</v>
      </c>
      <c r="J10569" t="s">
        <v>8323</v>
      </c>
      <c r="K10569" t="s">
        <v>290</v>
      </c>
      <c r="L10569" t="s">
        <v>285</v>
      </c>
      <c r="M10569" t="str">
        <f t="shared" si="800"/>
        <v>03</v>
      </c>
      <c r="N10569" t="s">
        <v>12</v>
      </c>
    </row>
    <row r="10570" spans="1:14" x14ac:dyDescent="0.25">
      <c r="A10570">
        <v>20160311</v>
      </c>
      <c r="B10570" t="str">
        <f>"062669"</f>
        <v>062669</v>
      </c>
      <c r="C10570" t="str">
        <f>"49748"</f>
        <v>49748</v>
      </c>
      <c r="D10570" t="s">
        <v>1885</v>
      </c>
      <c r="E10570" s="3">
        <v>94.95</v>
      </c>
      <c r="F10570">
        <v>20160310</v>
      </c>
      <c r="G10570" t="s">
        <v>8321</v>
      </c>
      <c r="H10570" t="s">
        <v>8452</v>
      </c>
      <c r="I10570">
        <v>0</v>
      </c>
      <c r="J10570" t="s">
        <v>8323</v>
      </c>
      <c r="K10570" t="s">
        <v>290</v>
      </c>
      <c r="L10570" t="s">
        <v>285</v>
      </c>
      <c r="M10570" t="str">
        <f t="shared" si="800"/>
        <v>03</v>
      </c>
      <c r="N10570" t="s">
        <v>12</v>
      </c>
    </row>
    <row r="10571" spans="1:14" x14ac:dyDescent="0.25">
      <c r="A10571">
        <v>20160318</v>
      </c>
      <c r="B10571" t="str">
        <f>"062730"</f>
        <v>062730</v>
      </c>
      <c r="C10571" t="str">
        <f>"10073"</f>
        <v>10073</v>
      </c>
      <c r="D10571" t="s">
        <v>2625</v>
      </c>
      <c r="E10571" s="3">
        <v>90</v>
      </c>
      <c r="F10571">
        <v>20160316</v>
      </c>
      <c r="G10571" t="s">
        <v>8453</v>
      </c>
      <c r="H10571" t="s">
        <v>8454</v>
      </c>
      <c r="I10571">
        <v>0</v>
      </c>
      <c r="J10571" t="s">
        <v>8323</v>
      </c>
      <c r="K10571" t="s">
        <v>290</v>
      </c>
      <c r="L10571" t="s">
        <v>285</v>
      </c>
      <c r="M10571" t="str">
        <f t="shared" si="800"/>
        <v>03</v>
      </c>
      <c r="N10571" t="s">
        <v>12</v>
      </c>
    </row>
    <row r="10572" spans="1:14" x14ac:dyDescent="0.25">
      <c r="A10572">
        <v>20160318</v>
      </c>
      <c r="B10572" t="str">
        <f>"062781"</f>
        <v>062781</v>
      </c>
      <c r="C10572" t="str">
        <f>"58204"</f>
        <v>58204</v>
      </c>
      <c r="D10572" t="s">
        <v>1816</v>
      </c>
      <c r="E10572" s="3">
        <v>167.58</v>
      </c>
      <c r="F10572">
        <v>20160317</v>
      </c>
      <c r="G10572" t="s">
        <v>8321</v>
      </c>
      <c r="H10572" t="s">
        <v>7518</v>
      </c>
      <c r="I10572">
        <v>0</v>
      </c>
      <c r="J10572" t="s">
        <v>8323</v>
      </c>
      <c r="K10572" t="s">
        <v>290</v>
      </c>
      <c r="L10572" t="s">
        <v>285</v>
      </c>
      <c r="M10572" t="str">
        <f t="shared" si="800"/>
        <v>03</v>
      </c>
      <c r="N10572" t="s">
        <v>12</v>
      </c>
    </row>
    <row r="10573" spans="1:14" x14ac:dyDescent="0.25">
      <c r="A10573">
        <v>20160318</v>
      </c>
      <c r="B10573" t="str">
        <f>"062781"</f>
        <v>062781</v>
      </c>
      <c r="C10573" t="str">
        <f>"58204"</f>
        <v>58204</v>
      </c>
      <c r="D10573" t="s">
        <v>1816</v>
      </c>
      <c r="E10573" s="3">
        <v>24.37</v>
      </c>
      <c r="F10573">
        <v>20160317</v>
      </c>
      <c r="G10573" t="s">
        <v>8455</v>
      </c>
      <c r="H10573" t="s">
        <v>8456</v>
      </c>
      <c r="I10573">
        <v>0</v>
      </c>
      <c r="J10573" t="s">
        <v>8323</v>
      </c>
      <c r="K10573" t="s">
        <v>290</v>
      </c>
      <c r="L10573" t="s">
        <v>285</v>
      </c>
      <c r="M10573" t="str">
        <f t="shared" si="800"/>
        <v>03</v>
      </c>
      <c r="N10573" t="s">
        <v>12</v>
      </c>
    </row>
    <row r="10574" spans="1:14" x14ac:dyDescent="0.25">
      <c r="A10574">
        <v>20160318</v>
      </c>
      <c r="B10574" t="str">
        <f>"062782"</f>
        <v>062782</v>
      </c>
      <c r="C10574" t="str">
        <f>"58203"</f>
        <v>58203</v>
      </c>
      <c r="D10574" t="s">
        <v>2371</v>
      </c>
      <c r="E10574" s="3">
        <v>47.92</v>
      </c>
      <c r="F10574">
        <v>20160317</v>
      </c>
      <c r="G10574" t="s">
        <v>8342</v>
      </c>
      <c r="H10574" t="s">
        <v>8457</v>
      </c>
      <c r="I10574">
        <v>0</v>
      </c>
      <c r="J10574" t="s">
        <v>8323</v>
      </c>
      <c r="K10574" t="s">
        <v>1643</v>
      </c>
      <c r="L10574" t="s">
        <v>285</v>
      </c>
      <c r="M10574" t="str">
        <f t="shared" si="800"/>
        <v>03</v>
      </c>
      <c r="N10574" t="s">
        <v>12</v>
      </c>
    </row>
    <row r="10575" spans="1:14" x14ac:dyDescent="0.25">
      <c r="A10575">
        <v>20160318</v>
      </c>
      <c r="B10575" t="str">
        <f>"062794"</f>
        <v>062794</v>
      </c>
      <c r="C10575" t="str">
        <f>"65106"</f>
        <v>65106</v>
      </c>
      <c r="D10575" t="s">
        <v>1568</v>
      </c>
      <c r="E10575" s="3">
        <v>190.88</v>
      </c>
      <c r="F10575">
        <v>20160317</v>
      </c>
      <c r="G10575" t="s">
        <v>8337</v>
      </c>
      <c r="H10575" t="s">
        <v>8458</v>
      </c>
      <c r="I10575">
        <v>0</v>
      </c>
      <c r="J10575" t="s">
        <v>8323</v>
      </c>
      <c r="K10575" t="s">
        <v>1558</v>
      </c>
      <c r="L10575" t="s">
        <v>285</v>
      </c>
      <c r="M10575" t="str">
        <f t="shared" si="800"/>
        <v>03</v>
      </c>
      <c r="N10575" t="s">
        <v>12</v>
      </c>
    </row>
    <row r="10576" spans="1:14" x14ac:dyDescent="0.25">
      <c r="A10576">
        <v>20160318</v>
      </c>
      <c r="B10576" t="str">
        <f>"062794"</f>
        <v>062794</v>
      </c>
      <c r="C10576" t="str">
        <f>"65106"</f>
        <v>65106</v>
      </c>
      <c r="D10576" t="s">
        <v>1568</v>
      </c>
      <c r="E10576" s="3">
        <v>213.21</v>
      </c>
      <c r="F10576">
        <v>20160317</v>
      </c>
      <c r="G10576" t="s">
        <v>8321</v>
      </c>
      <c r="H10576" t="s">
        <v>8459</v>
      </c>
      <c r="I10576">
        <v>0</v>
      </c>
      <c r="J10576" t="s">
        <v>8323</v>
      </c>
      <c r="K10576" t="s">
        <v>290</v>
      </c>
      <c r="L10576" t="s">
        <v>285</v>
      </c>
      <c r="M10576" t="str">
        <f t="shared" si="800"/>
        <v>03</v>
      </c>
      <c r="N10576" t="s">
        <v>12</v>
      </c>
    </row>
    <row r="10577" spans="1:14" x14ac:dyDescent="0.25">
      <c r="A10577">
        <v>20160318</v>
      </c>
      <c r="B10577" t="str">
        <f>"062802"</f>
        <v>062802</v>
      </c>
      <c r="C10577" t="str">
        <f>"70165"</f>
        <v>70165</v>
      </c>
      <c r="D10577" t="s">
        <v>8460</v>
      </c>
      <c r="E10577" s="3">
        <v>749.77</v>
      </c>
      <c r="F10577">
        <v>20160317</v>
      </c>
      <c r="G10577" t="s">
        <v>8328</v>
      </c>
      <c r="H10577" t="s">
        <v>8461</v>
      </c>
      <c r="I10577">
        <v>0</v>
      </c>
      <c r="J10577" t="s">
        <v>8323</v>
      </c>
      <c r="K10577" t="s">
        <v>95</v>
      </c>
      <c r="L10577" t="s">
        <v>285</v>
      </c>
      <c r="M10577" t="str">
        <f t="shared" si="800"/>
        <v>03</v>
      </c>
      <c r="N10577" t="s">
        <v>12</v>
      </c>
    </row>
    <row r="10578" spans="1:14" x14ac:dyDescent="0.25">
      <c r="A10578">
        <v>20160318</v>
      </c>
      <c r="B10578" t="str">
        <f>"062806"</f>
        <v>062806</v>
      </c>
      <c r="C10578" t="str">
        <f>"75451"</f>
        <v>75451</v>
      </c>
      <c r="D10578" t="s">
        <v>56</v>
      </c>
      <c r="E10578" s="3">
        <v>875</v>
      </c>
      <c r="F10578">
        <v>20160317</v>
      </c>
      <c r="G10578" t="s">
        <v>8321</v>
      </c>
      <c r="H10578" t="s">
        <v>4917</v>
      </c>
      <c r="I10578">
        <v>0</v>
      </c>
      <c r="J10578" t="s">
        <v>8323</v>
      </c>
      <c r="K10578" t="s">
        <v>290</v>
      </c>
      <c r="L10578" t="s">
        <v>285</v>
      </c>
      <c r="M10578" t="str">
        <f t="shared" si="800"/>
        <v>03</v>
      </c>
      <c r="N10578" t="s">
        <v>12</v>
      </c>
    </row>
    <row r="10579" spans="1:14" x14ac:dyDescent="0.25">
      <c r="A10579">
        <v>20160324</v>
      </c>
      <c r="B10579" t="str">
        <f>"062865"</f>
        <v>062865</v>
      </c>
      <c r="C10579" t="str">
        <f>"49748"</f>
        <v>49748</v>
      </c>
      <c r="D10579" t="s">
        <v>1885</v>
      </c>
      <c r="E10579" s="3">
        <v>60.03</v>
      </c>
      <c r="F10579">
        <v>20160323</v>
      </c>
      <c r="G10579" t="s">
        <v>8321</v>
      </c>
      <c r="H10579" t="s">
        <v>8462</v>
      </c>
      <c r="I10579">
        <v>0</v>
      </c>
      <c r="J10579" t="s">
        <v>8323</v>
      </c>
      <c r="K10579" t="s">
        <v>290</v>
      </c>
      <c r="L10579" t="s">
        <v>285</v>
      </c>
      <c r="M10579" t="str">
        <f t="shared" si="800"/>
        <v>03</v>
      </c>
      <c r="N10579" t="s">
        <v>12</v>
      </c>
    </row>
    <row r="10580" spans="1:14" x14ac:dyDescent="0.25">
      <c r="A10580">
        <v>20160324</v>
      </c>
      <c r="B10580" t="str">
        <f>"062871"</f>
        <v>062871</v>
      </c>
      <c r="C10580" t="str">
        <f>"58202"</f>
        <v>58202</v>
      </c>
      <c r="D10580" t="s">
        <v>2695</v>
      </c>
      <c r="E10580" s="3">
        <v>59</v>
      </c>
      <c r="F10580">
        <v>20160323</v>
      </c>
      <c r="G10580" t="s">
        <v>8328</v>
      </c>
      <c r="H10580" t="s">
        <v>8463</v>
      </c>
      <c r="I10580">
        <v>0</v>
      </c>
      <c r="J10580" t="s">
        <v>8323</v>
      </c>
      <c r="K10580" t="s">
        <v>95</v>
      </c>
      <c r="L10580" t="s">
        <v>285</v>
      </c>
      <c r="M10580" t="str">
        <f t="shared" si="800"/>
        <v>03</v>
      </c>
      <c r="N10580" t="s">
        <v>12</v>
      </c>
    </row>
    <row r="10581" spans="1:14" x14ac:dyDescent="0.25">
      <c r="A10581">
        <v>20160324</v>
      </c>
      <c r="B10581" t="str">
        <f>"062880"</f>
        <v>062880</v>
      </c>
      <c r="C10581" t="str">
        <f>"69020"</f>
        <v>69020</v>
      </c>
      <c r="D10581" t="s">
        <v>8464</v>
      </c>
      <c r="E10581" s="3">
        <v>1509.17</v>
      </c>
      <c r="F10581">
        <v>20160323</v>
      </c>
      <c r="G10581" t="s">
        <v>8332</v>
      </c>
      <c r="H10581" t="s">
        <v>5762</v>
      </c>
      <c r="I10581">
        <v>0</v>
      </c>
      <c r="J10581" t="s">
        <v>8323</v>
      </c>
      <c r="K10581" t="s">
        <v>95</v>
      </c>
      <c r="L10581" t="s">
        <v>285</v>
      </c>
      <c r="M10581" t="str">
        <f t="shared" si="800"/>
        <v>03</v>
      </c>
      <c r="N10581" t="s">
        <v>12</v>
      </c>
    </row>
    <row r="10582" spans="1:14" x14ac:dyDescent="0.25">
      <c r="A10582">
        <v>20160324</v>
      </c>
      <c r="B10582" t="str">
        <f>"062887"</f>
        <v>062887</v>
      </c>
      <c r="C10582" t="str">
        <f>"83022"</f>
        <v>83022</v>
      </c>
      <c r="D10582" t="s">
        <v>394</v>
      </c>
      <c r="E10582" s="3">
        <v>169.7</v>
      </c>
      <c r="F10582">
        <v>20160323</v>
      </c>
      <c r="G10582" t="s">
        <v>8447</v>
      </c>
      <c r="H10582" t="s">
        <v>8465</v>
      </c>
      <c r="I10582">
        <v>0</v>
      </c>
      <c r="J10582" t="s">
        <v>8323</v>
      </c>
      <c r="K10582" t="s">
        <v>95</v>
      </c>
      <c r="L10582" t="s">
        <v>285</v>
      </c>
      <c r="M10582" t="str">
        <f t="shared" si="800"/>
        <v>03</v>
      </c>
      <c r="N10582" t="s">
        <v>12</v>
      </c>
    </row>
    <row r="10583" spans="1:14" x14ac:dyDescent="0.25">
      <c r="A10583">
        <v>20160324</v>
      </c>
      <c r="B10583" t="str">
        <f>"062887"</f>
        <v>062887</v>
      </c>
      <c r="C10583" t="str">
        <f>"83022"</f>
        <v>83022</v>
      </c>
      <c r="D10583" t="s">
        <v>394</v>
      </c>
      <c r="E10583" s="3">
        <v>53.64</v>
      </c>
      <c r="F10583">
        <v>20160323</v>
      </c>
      <c r="G10583" t="s">
        <v>8342</v>
      </c>
      <c r="H10583" t="s">
        <v>8466</v>
      </c>
      <c r="I10583">
        <v>0</v>
      </c>
      <c r="J10583" t="s">
        <v>8323</v>
      </c>
      <c r="K10583" t="s">
        <v>1643</v>
      </c>
      <c r="L10583" t="s">
        <v>285</v>
      </c>
      <c r="M10583" t="str">
        <f t="shared" si="800"/>
        <v>03</v>
      </c>
      <c r="N10583" t="s">
        <v>12</v>
      </c>
    </row>
    <row r="10584" spans="1:14" x14ac:dyDescent="0.25">
      <c r="A10584">
        <v>20160331</v>
      </c>
      <c r="B10584" t="str">
        <f>"062957"</f>
        <v>062957</v>
      </c>
      <c r="C10584" t="str">
        <f>"58204"</f>
        <v>58204</v>
      </c>
      <c r="D10584" t="s">
        <v>1816</v>
      </c>
      <c r="E10584" s="3">
        <v>42.7</v>
      </c>
      <c r="F10584">
        <v>20160330</v>
      </c>
      <c r="G10584" t="s">
        <v>8321</v>
      </c>
      <c r="H10584" t="s">
        <v>8467</v>
      </c>
      <c r="I10584">
        <v>0</v>
      </c>
      <c r="J10584" t="s">
        <v>8323</v>
      </c>
      <c r="K10584" t="s">
        <v>290</v>
      </c>
      <c r="L10584" t="s">
        <v>285</v>
      </c>
      <c r="M10584" t="str">
        <f t="shared" si="800"/>
        <v>03</v>
      </c>
      <c r="N10584" t="s">
        <v>12</v>
      </c>
    </row>
    <row r="10585" spans="1:14" x14ac:dyDescent="0.25">
      <c r="A10585">
        <v>20160415</v>
      </c>
      <c r="B10585" t="str">
        <f>"063041"</f>
        <v>063041</v>
      </c>
      <c r="C10585" t="str">
        <f>"10073"</f>
        <v>10073</v>
      </c>
      <c r="D10585" t="s">
        <v>2625</v>
      </c>
      <c r="E10585" s="3">
        <v>72</v>
      </c>
      <c r="F10585">
        <v>20160412</v>
      </c>
      <c r="G10585" t="s">
        <v>8453</v>
      </c>
      <c r="H10585" t="s">
        <v>8454</v>
      </c>
      <c r="I10585">
        <v>0</v>
      </c>
      <c r="J10585" t="s">
        <v>8323</v>
      </c>
      <c r="K10585" t="s">
        <v>290</v>
      </c>
      <c r="L10585" t="s">
        <v>285</v>
      </c>
      <c r="M10585" t="str">
        <f t="shared" ref="M10585:M10611" si="801">"04"</f>
        <v>04</v>
      </c>
      <c r="N10585" t="s">
        <v>12</v>
      </c>
    </row>
    <row r="10586" spans="1:14" x14ac:dyDescent="0.25">
      <c r="A10586">
        <v>20160415</v>
      </c>
      <c r="B10586" t="str">
        <f>"063094"</f>
        <v>063094</v>
      </c>
      <c r="C10586" t="str">
        <f>"37500"</f>
        <v>37500</v>
      </c>
      <c r="D10586" t="s">
        <v>1652</v>
      </c>
      <c r="E10586" s="3">
        <v>27.97</v>
      </c>
      <c r="F10586">
        <v>20160412</v>
      </c>
      <c r="G10586" t="s">
        <v>8393</v>
      </c>
      <c r="H10586" t="s">
        <v>8468</v>
      </c>
      <c r="I10586">
        <v>0</v>
      </c>
      <c r="J10586" t="s">
        <v>8323</v>
      </c>
      <c r="K10586" t="s">
        <v>290</v>
      </c>
      <c r="L10586" t="s">
        <v>285</v>
      </c>
      <c r="M10586" t="str">
        <f t="shared" si="801"/>
        <v>04</v>
      </c>
      <c r="N10586" t="s">
        <v>12</v>
      </c>
    </row>
    <row r="10587" spans="1:14" x14ac:dyDescent="0.25">
      <c r="A10587">
        <v>20160415</v>
      </c>
      <c r="B10587" t="str">
        <f>"063094"</f>
        <v>063094</v>
      </c>
      <c r="C10587" t="str">
        <f>"37500"</f>
        <v>37500</v>
      </c>
      <c r="D10587" t="s">
        <v>1652</v>
      </c>
      <c r="E10587" s="3">
        <v>14.65</v>
      </c>
      <c r="F10587">
        <v>20160412</v>
      </c>
      <c r="G10587" t="s">
        <v>8337</v>
      </c>
      <c r="H10587" t="s">
        <v>8469</v>
      </c>
      <c r="I10587">
        <v>0</v>
      </c>
      <c r="J10587" t="s">
        <v>8323</v>
      </c>
      <c r="K10587" t="s">
        <v>1558</v>
      </c>
      <c r="L10587" t="s">
        <v>285</v>
      </c>
      <c r="M10587" t="str">
        <f t="shared" si="801"/>
        <v>04</v>
      </c>
      <c r="N10587" t="s">
        <v>12</v>
      </c>
    </row>
    <row r="10588" spans="1:14" x14ac:dyDescent="0.25">
      <c r="A10588">
        <v>20160415</v>
      </c>
      <c r="B10588" t="str">
        <f>"063103"</f>
        <v>063103</v>
      </c>
      <c r="C10588" t="str">
        <f>"45496"</f>
        <v>45496</v>
      </c>
      <c r="D10588" t="s">
        <v>2327</v>
      </c>
      <c r="E10588" s="3">
        <v>81.38</v>
      </c>
      <c r="F10588">
        <v>20160413</v>
      </c>
      <c r="G10588" t="s">
        <v>8436</v>
      </c>
      <c r="H10588" t="s">
        <v>8470</v>
      </c>
      <c r="I10588">
        <v>0</v>
      </c>
      <c r="J10588" t="s">
        <v>8323</v>
      </c>
      <c r="K10588" t="s">
        <v>95</v>
      </c>
      <c r="L10588" t="s">
        <v>285</v>
      </c>
      <c r="M10588" t="str">
        <f t="shared" si="801"/>
        <v>04</v>
      </c>
      <c r="N10588" t="s">
        <v>12</v>
      </c>
    </row>
    <row r="10589" spans="1:14" x14ac:dyDescent="0.25">
      <c r="A10589">
        <v>20160415</v>
      </c>
      <c r="B10589" t="str">
        <f>"063108"</f>
        <v>063108</v>
      </c>
      <c r="C10589" t="str">
        <f>"48310"</f>
        <v>48310</v>
      </c>
      <c r="D10589" t="s">
        <v>8471</v>
      </c>
      <c r="E10589" s="3">
        <v>1258</v>
      </c>
      <c r="F10589">
        <v>20160413</v>
      </c>
      <c r="G10589" t="s">
        <v>8472</v>
      </c>
      <c r="H10589" t="s">
        <v>8473</v>
      </c>
      <c r="I10589">
        <v>0</v>
      </c>
      <c r="J10589" t="s">
        <v>8323</v>
      </c>
      <c r="K10589" t="s">
        <v>95</v>
      </c>
      <c r="L10589" t="s">
        <v>285</v>
      </c>
      <c r="M10589" t="str">
        <f t="shared" si="801"/>
        <v>04</v>
      </c>
      <c r="N10589" t="s">
        <v>12</v>
      </c>
    </row>
    <row r="10590" spans="1:14" x14ac:dyDescent="0.25">
      <c r="A10590">
        <v>20160415</v>
      </c>
      <c r="B10590" t="str">
        <f>"063127"</f>
        <v>063127</v>
      </c>
      <c r="C10590" t="str">
        <f>"58204"</f>
        <v>58204</v>
      </c>
      <c r="D10590" t="s">
        <v>1816</v>
      </c>
      <c r="E10590" s="3">
        <v>26.05</v>
      </c>
      <c r="F10590">
        <v>20160413</v>
      </c>
      <c r="G10590" t="s">
        <v>8321</v>
      </c>
      <c r="H10590" t="s">
        <v>8474</v>
      </c>
      <c r="I10590">
        <v>0</v>
      </c>
      <c r="J10590" t="s">
        <v>8323</v>
      </c>
      <c r="K10590" t="s">
        <v>290</v>
      </c>
      <c r="L10590" t="s">
        <v>285</v>
      </c>
      <c r="M10590" t="str">
        <f t="shared" si="801"/>
        <v>04</v>
      </c>
      <c r="N10590" t="s">
        <v>12</v>
      </c>
    </row>
    <row r="10591" spans="1:14" x14ac:dyDescent="0.25">
      <c r="A10591">
        <v>20160415</v>
      </c>
      <c r="B10591" t="str">
        <f>"063129"</f>
        <v>063129</v>
      </c>
      <c r="C10591" t="str">
        <f>"58202"</f>
        <v>58202</v>
      </c>
      <c r="D10591" t="s">
        <v>2695</v>
      </c>
      <c r="E10591" s="3">
        <v>9.8000000000000007</v>
      </c>
      <c r="F10591">
        <v>20160413</v>
      </c>
      <c r="G10591" t="s">
        <v>8436</v>
      </c>
      <c r="H10591" t="s">
        <v>1618</v>
      </c>
      <c r="I10591">
        <v>0</v>
      </c>
      <c r="J10591" t="s">
        <v>8323</v>
      </c>
      <c r="K10591" t="s">
        <v>95</v>
      </c>
      <c r="L10591" t="s">
        <v>285</v>
      </c>
      <c r="M10591" t="str">
        <f t="shared" si="801"/>
        <v>04</v>
      </c>
      <c r="N10591" t="s">
        <v>12</v>
      </c>
    </row>
    <row r="10592" spans="1:14" x14ac:dyDescent="0.25">
      <c r="A10592">
        <v>20160415</v>
      </c>
      <c r="B10592" t="str">
        <f>"063147"</f>
        <v>063147</v>
      </c>
      <c r="C10592" t="str">
        <f>"64610"</f>
        <v>64610</v>
      </c>
      <c r="D10592" t="s">
        <v>678</v>
      </c>
      <c r="E10592" s="3">
        <v>840</v>
      </c>
      <c r="F10592">
        <v>20160413</v>
      </c>
      <c r="G10592" t="s">
        <v>8321</v>
      </c>
      <c r="H10592" t="s">
        <v>5165</v>
      </c>
      <c r="I10592">
        <v>0</v>
      </c>
      <c r="J10592" t="s">
        <v>8323</v>
      </c>
      <c r="K10592" t="s">
        <v>290</v>
      </c>
      <c r="L10592" t="s">
        <v>285</v>
      </c>
      <c r="M10592" t="str">
        <f t="shared" si="801"/>
        <v>04</v>
      </c>
      <c r="N10592" t="s">
        <v>12</v>
      </c>
    </row>
    <row r="10593" spans="1:14" x14ac:dyDescent="0.25">
      <c r="A10593">
        <v>20160415</v>
      </c>
      <c r="B10593" t="str">
        <f>"063149"</f>
        <v>063149</v>
      </c>
      <c r="C10593" t="str">
        <f>"64811"</f>
        <v>64811</v>
      </c>
      <c r="D10593" t="s">
        <v>8475</v>
      </c>
      <c r="E10593" s="3">
        <v>1683.75</v>
      </c>
      <c r="F10593">
        <v>20160413</v>
      </c>
      <c r="G10593" t="s">
        <v>8340</v>
      </c>
      <c r="H10593" t="s">
        <v>8476</v>
      </c>
      <c r="I10593">
        <v>0</v>
      </c>
      <c r="J10593" t="s">
        <v>8323</v>
      </c>
      <c r="K10593" t="s">
        <v>290</v>
      </c>
      <c r="L10593" t="s">
        <v>285</v>
      </c>
      <c r="M10593" t="str">
        <f t="shared" si="801"/>
        <v>04</v>
      </c>
      <c r="N10593" t="s">
        <v>12</v>
      </c>
    </row>
    <row r="10594" spans="1:14" x14ac:dyDescent="0.25">
      <c r="A10594">
        <v>20160415</v>
      </c>
      <c r="B10594" t="str">
        <f>"063162"</f>
        <v>063162</v>
      </c>
      <c r="C10594" t="str">
        <f>"76491"</f>
        <v>76491</v>
      </c>
      <c r="D10594" t="s">
        <v>2029</v>
      </c>
      <c r="E10594" s="3">
        <v>180</v>
      </c>
      <c r="F10594">
        <v>20160413</v>
      </c>
      <c r="G10594" t="s">
        <v>8393</v>
      </c>
      <c r="H10594" t="s">
        <v>4572</v>
      </c>
      <c r="I10594">
        <v>0</v>
      </c>
      <c r="J10594" t="s">
        <v>8323</v>
      </c>
      <c r="K10594" t="s">
        <v>290</v>
      </c>
      <c r="L10594" t="s">
        <v>285</v>
      </c>
      <c r="M10594" t="str">
        <f t="shared" si="801"/>
        <v>04</v>
      </c>
      <c r="N10594" t="s">
        <v>12</v>
      </c>
    </row>
    <row r="10595" spans="1:14" x14ac:dyDescent="0.25">
      <c r="A10595">
        <v>20160420</v>
      </c>
      <c r="B10595" t="str">
        <f>"063183"</f>
        <v>063183</v>
      </c>
      <c r="C10595" t="str">
        <f>"09981"</f>
        <v>09981</v>
      </c>
      <c r="D10595" t="s">
        <v>1959</v>
      </c>
      <c r="E10595" s="3">
        <v>52</v>
      </c>
      <c r="F10595">
        <v>20160419</v>
      </c>
      <c r="G10595" t="s">
        <v>8342</v>
      </c>
      <c r="H10595" t="s">
        <v>8477</v>
      </c>
      <c r="I10595">
        <v>0</v>
      </c>
      <c r="J10595" t="s">
        <v>8323</v>
      </c>
      <c r="K10595" t="s">
        <v>1643</v>
      </c>
      <c r="L10595" t="s">
        <v>285</v>
      </c>
      <c r="M10595" t="str">
        <f t="shared" si="801"/>
        <v>04</v>
      </c>
      <c r="N10595" t="s">
        <v>12</v>
      </c>
    </row>
    <row r="10596" spans="1:14" x14ac:dyDescent="0.25">
      <c r="A10596">
        <v>20160420</v>
      </c>
      <c r="B10596" t="str">
        <f>"063205"</f>
        <v>063205</v>
      </c>
      <c r="C10596" t="str">
        <f>"24361"</f>
        <v>24361</v>
      </c>
      <c r="D10596" t="s">
        <v>7785</v>
      </c>
      <c r="E10596" s="3">
        <v>958</v>
      </c>
      <c r="F10596">
        <v>20160419</v>
      </c>
      <c r="G10596" t="s">
        <v>8328</v>
      </c>
      <c r="H10596" t="s">
        <v>8441</v>
      </c>
      <c r="I10596">
        <v>0</v>
      </c>
      <c r="J10596" t="s">
        <v>8323</v>
      </c>
      <c r="K10596" t="s">
        <v>95</v>
      </c>
      <c r="L10596" t="s">
        <v>285</v>
      </c>
      <c r="M10596" t="str">
        <f t="shared" si="801"/>
        <v>04</v>
      </c>
      <c r="N10596" t="s">
        <v>12</v>
      </c>
    </row>
    <row r="10597" spans="1:14" x14ac:dyDescent="0.25">
      <c r="A10597">
        <v>20160420</v>
      </c>
      <c r="B10597" t="str">
        <f>"063219"</f>
        <v>063219</v>
      </c>
      <c r="C10597" t="str">
        <f>"31367"</f>
        <v>31367</v>
      </c>
      <c r="D10597" t="s">
        <v>4916</v>
      </c>
      <c r="E10597" s="3">
        <v>132.1</v>
      </c>
      <c r="F10597">
        <v>20160419</v>
      </c>
      <c r="G10597" t="s">
        <v>8478</v>
      </c>
      <c r="H10597" t="s">
        <v>4917</v>
      </c>
      <c r="I10597">
        <v>0</v>
      </c>
      <c r="J10597" t="s">
        <v>8323</v>
      </c>
      <c r="K10597" t="s">
        <v>290</v>
      </c>
      <c r="L10597" t="s">
        <v>285</v>
      </c>
      <c r="M10597" t="str">
        <f t="shared" si="801"/>
        <v>04</v>
      </c>
      <c r="N10597" t="s">
        <v>12</v>
      </c>
    </row>
    <row r="10598" spans="1:14" x14ac:dyDescent="0.25">
      <c r="A10598">
        <v>20160420</v>
      </c>
      <c r="B10598" t="str">
        <f>"063252"</f>
        <v>063252</v>
      </c>
      <c r="C10598" t="str">
        <f>"65106"</f>
        <v>65106</v>
      </c>
      <c r="D10598" t="s">
        <v>1568</v>
      </c>
      <c r="E10598" s="3">
        <v>349.09</v>
      </c>
      <c r="F10598">
        <v>20160420</v>
      </c>
      <c r="G10598" t="s">
        <v>8337</v>
      </c>
      <c r="H10598" t="s">
        <v>8479</v>
      </c>
      <c r="I10598">
        <v>0</v>
      </c>
      <c r="J10598" t="s">
        <v>8323</v>
      </c>
      <c r="K10598" t="s">
        <v>1558</v>
      </c>
      <c r="L10598" t="s">
        <v>285</v>
      </c>
      <c r="M10598" t="str">
        <f t="shared" si="801"/>
        <v>04</v>
      </c>
      <c r="N10598" t="s">
        <v>12</v>
      </c>
    </row>
    <row r="10599" spans="1:14" x14ac:dyDescent="0.25">
      <c r="A10599">
        <v>20160420</v>
      </c>
      <c r="B10599" t="str">
        <f>"063252"</f>
        <v>063252</v>
      </c>
      <c r="C10599" t="str">
        <f>"65106"</f>
        <v>65106</v>
      </c>
      <c r="D10599" t="s">
        <v>1568</v>
      </c>
      <c r="E10599" s="3">
        <v>182.84</v>
      </c>
      <c r="F10599">
        <v>20160420</v>
      </c>
      <c r="G10599" t="s">
        <v>8321</v>
      </c>
      <c r="H10599" t="s">
        <v>8480</v>
      </c>
      <c r="I10599">
        <v>0</v>
      </c>
      <c r="J10599" t="s">
        <v>8323</v>
      </c>
      <c r="K10599" t="s">
        <v>290</v>
      </c>
      <c r="L10599" t="s">
        <v>285</v>
      </c>
      <c r="M10599" t="str">
        <f t="shared" si="801"/>
        <v>04</v>
      </c>
      <c r="N10599" t="s">
        <v>12</v>
      </c>
    </row>
    <row r="10600" spans="1:14" x14ac:dyDescent="0.25">
      <c r="A10600">
        <v>20160420</v>
      </c>
      <c r="B10600" t="str">
        <f>"063252"</f>
        <v>063252</v>
      </c>
      <c r="C10600" t="str">
        <f>"65106"</f>
        <v>65106</v>
      </c>
      <c r="D10600" t="s">
        <v>1568</v>
      </c>
      <c r="E10600" s="3">
        <v>190.66</v>
      </c>
      <c r="F10600">
        <v>20160420</v>
      </c>
      <c r="G10600" t="s">
        <v>8321</v>
      </c>
      <c r="H10600" t="s">
        <v>2752</v>
      </c>
      <c r="I10600">
        <v>0</v>
      </c>
      <c r="J10600" t="s">
        <v>8323</v>
      </c>
      <c r="K10600" t="s">
        <v>290</v>
      </c>
      <c r="L10600" t="s">
        <v>285</v>
      </c>
      <c r="M10600" t="str">
        <f t="shared" si="801"/>
        <v>04</v>
      </c>
      <c r="N10600" t="s">
        <v>12</v>
      </c>
    </row>
    <row r="10601" spans="1:14" x14ac:dyDescent="0.25">
      <c r="A10601">
        <v>20160420</v>
      </c>
      <c r="B10601" t="str">
        <f>"063252"</f>
        <v>063252</v>
      </c>
      <c r="C10601" t="str">
        <f>"65106"</f>
        <v>65106</v>
      </c>
      <c r="D10601" t="s">
        <v>1568</v>
      </c>
      <c r="E10601" s="3">
        <v>96.4</v>
      </c>
      <c r="F10601">
        <v>20160420</v>
      </c>
      <c r="G10601" t="s">
        <v>8321</v>
      </c>
      <c r="H10601" t="s">
        <v>2752</v>
      </c>
      <c r="I10601">
        <v>0</v>
      </c>
      <c r="J10601" t="s">
        <v>8323</v>
      </c>
      <c r="K10601" t="s">
        <v>290</v>
      </c>
      <c r="L10601" t="s">
        <v>285</v>
      </c>
      <c r="M10601" t="str">
        <f t="shared" si="801"/>
        <v>04</v>
      </c>
      <c r="N10601" t="s">
        <v>12</v>
      </c>
    </row>
    <row r="10602" spans="1:14" x14ac:dyDescent="0.25">
      <c r="A10602">
        <v>20160420</v>
      </c>
      <c r="B10602" t="str">
        <f>"063252"</f>
        <v>063252</v>
      </c>
      <c r="C10602" t="str">
        <f>"65106"</f>
        <v>65106</v>
      </c>
      <c r="D10602" t="s">
        <v>1568</v>
      </c>
      <c r="E10602" s="3">
        <v>-20</v>
      </c>
      <c r="F10602">
        <v>20160321</v>
      </c>
      <c r="G10602" t="s">
        <v>8321</v>
      </c>
      <c r="H10602" t="s">
        <v>8481</v>
      </c>
      <c r="I10602">
        <v>0</v>
      </c>
      <c r="J10602" t="s">
        <v>8323</v>
      </c>
      <c r="K10602" t="s">
        <v>290</v>
      </c>
      <c r="L10602" t="s">
        <v>1385</v>
      </c>
      <c r="M10602" t="str">
        <f t="shared" si="801"/>
        <v>04</v>
      </c>
      <c r="N10602" t="s">
        <v>12</v>
      </c>
    </row>
    <row r="10603" spans="1:14" x14ac:dyDescent="0.25">
      <c r="A10603">
        <v>20160420</v>
      </c>
      <c r="B10603" t="str">
        <f>"063256"</f>
        <v>063256</v>
      </c>
      <c r="C10603" t="str">
        <f>"69020"</f>
        <v>69020</v>
      </c>
      <c r="D10603" t="s">
        <v>8464</v>
      </c>
      <c r="E10603" s="3">
        <v>1314.38</v>
      </c>
      <c r="F10603">
        <v>20160420</v>
      </c>
      <c r="G10603" t="s">
        <v>8324</v>
      </c>
      <c r="H10603" t="s">
        <v>8482</v>
      </c>
      <c r="I10603">
        <v>0</v>
      </c>
      <c r="J10603" t="s">
        <v>8323</v>
      </c>
      <c r="K10603" t="s">
        <v>95</v>
      </c>
      <c r="L10603" t="s">
        <v>285</v>
      </c>
      <c r="M10603" t="str">
        <f t="shared" si="801"/>
        <v>04</v>
      </c>
      <c r="N10603" t="s">
        <v>12</v>
      </c>
    </row>
    <row r="10604" spans="1:14" x14ac:dyDescent="0.25">
      <c r="A10604">
        <v>20160429</v>
      </c>
      <c r="B10604" t="str">
        <f>"063281"</f>
        <v>063281</v>
      </c>
      <c r="C10604" t="str">
        <f>"09170"</f>
        <v>09170</v>
      </c>
      <c r="D10604" t="s">
        <v>596</v>
      </c>
      <c r="E10604" s="3">
        <v>431.64</v>
      </c>
      <c r="F10604">
        <v>20160427</v>
      </c>
      <c r="G10604" t="s">
        <v>8328</v>
      </c>
      <c r="H10604" t="s">
        <v>8441</v>
      </c>
      <c r="I10604">
        <v>0</v>
      </c>
      <c r="J10604" t="s">
        <v>8323</v>
      </c>
      <c r="K10604" t="s">
        <v>95</v>
      </c>
      <c r="L10604" t="s">
        <v>285</v>
      </c>
      <c r="M10604" t="str">
        <f t="shared" si="801"/>
        <v>04</v>
      </c>
      <c r="N10604" t="s">
        <v>12</v>
      </c>
    </row>
    <row r="10605" spans="1:14" x14ac:dyDescent="0.25">
      <c r="A10605">
        <v>20160429</v>
      </c>
      <c r="B10605" t="str">
        <f>"063281"</f>
        <v>063281</v>
      </c>
      <c r="C10605" t="str">
        <f>"09170"</f>
        <v>09170</v>
      </c>
      <c r="D10605" t="s">
        <v>596</v>
      </c>
      <c r="E10605" s="3">
        <v>248</v>
      </c>
      <c r="F10605">
        <v>20160427</v>
      </c>
      <c r="G10605" t="s">
        <v>8340</v>
      </c>
      <c r="H10605" t="s">
        <v>8483</v>
      </c>
      <c r="I10605">
        <v>0</v>
      </c>
      <c r="J10605" t="s">
        <v>8323</v>
      </c>
      <c r="K10605" t="s">
        <v>290</v>
      </c>
      <c r="L10605" t="s">
        <v>285</v>
      </c>
      <c r="M10605" t="str">
        <f t="shared" si="801"/>
        <v>04</v>
      </c>
      <c r="N10605" t="s">
        <v>12</v>
      </c>
    </row>
    <row r="10606" spans="1:14" x14ac:dyDescent="0.25">
      <c r="A10606">
        <v>20160429</v>
      </c>
      <c r="B10606" t="str">
        <f>"063281"</f>
        <v>063281</v>
      </c>
      <c r="C10606" t="str">
        <f>"09170"</f>
        <v>09170</v>
      </c>
      <c r="D10606" t="s">
        <v>596</v>
      </c>
      <c r="E10606" s="3">
        <v>861.6</v>
      </c>
      <c r="F10606">
        <v>20160427</v>
      </c>
      <c r="G10606" t="s">
        <v>8478</v>
      </c>
      <c r="H10606" t="s">
        <v>4917</v>
      </c>
      <c r="I10606">
        <v>0</v>
      </c>
      <c r="J10606" t="s">
        <v>8323</v>
      </c>
      <c r="K10606" t="s">
        <v>290</v>
      </c>
      <c r="L10606" t="s">
        <v>285</v>
      </c>
      <c r="M10606" t="str">
        <f t="shared" si="801"/>
        <v>04</v>
      </c>
      <c r="N10606" t="s">
        <v>12</v>
      </c>
    </row>
    <row r="10607" spans="1:14" x14ac:dyDescent="0.25">
      <c r="A10607">
        <v>20160429</v>
      </c>
      <c r="B10607" t="str">
        <f>"063298"</f>
        <v>063298</v>
      </c>
      <c r="C10607" t="str">
        <f>"28680"</f>
        <v>28680</v>
      </c>
      <c r="D10607" t="s">
        <v>422</v>
      </c>
      <c r="E10607" s="3">
        <v>310.16000000000003</v>
      </c>
      <c r="F10607">
        <v>20160427</v>
      </c>
      <c r="G10607" t="s">
        <v>8478</v>
      </c>
      <c r="H10607" t="s">
        <v>8484</v>
      </c>
      <c r="I10607">
        <v>0</v>
      </c>
      <c r="J10607" t="s">
        <v>8323</v>
      </c>
      <c r="K10607" t="s">
        <v>290</v>
      </c>
      <c r="L10607" t="s">
        <v>285</v>
      </c>
      <c r="M10607" t="str">
        <f t="shared" si="801"/>
        <v>04</v>
      </c>
      <c r="N10607" t="s">
        <v>12</v>
      </c>
    </row>
    <row r="10608" spans="1:14" x14ac:dyDescent="0.25">
      <c r="A10608">
        <v>20160429</v>
      </c>
      <c r="B10608" t="str">
        <f>"063325"</f>
        <v>063325</v>
      </c>
      <c r="C10608" t="str">
        <f>"78311"</f>
        <v>78311</v>
      </c>
      <c r="D10608" t="s">
        <v>458</v>
      </c>
      <c r="E10608" s="3">
        <v>25.46</v>
      </c>
      <c r="F10608">
        <v>20160427</v>
      </c>
      <c r="G10608" t="s">
        <v>8478</v>
      </c>
      <c r="H10608" t="s">
        <v>4917</v>
      </c>
      <c r="I10608">
        <v>0</v>
      </c>
      <c r="J10608" t="s">
        <v>8323</v>
      </c>
      <c r="K10608" t="s">
        <v>290</v>
      </c>
      <c r="L10608" t="s">
        <v>285</v>
      </c>
      <c r="M10608" t="str">
        <f t="shared" si="801"/>
        <v>04</v>
      </c>
      <c r="N10608" t="s">
        <v>12</v>
      </c>
    </row>
    <row r="10609" spans="1:14" x14ac:dyDescent="0.25">
      <c r="A10609">
        <v>20160429</v>
      </c>
      <c r="B10609" t="str">
        <f>"063325"</f>
        <v>063325</v>
      </c>
      <c r="C10609" t="str">
        <f>"78311"</f>
        <v>78311</v>
      </c>
      <c r="D10609" t="s">
        <v>458</v>
      </c>
      <c r="E10609" s="3">
        <v>47.98</v>
      </c>
      <c r="F10609">
        <v>20160427</v>
      </c>
      <c r="G10609" t="s">
        <v>8478</v>
      </c>
      <c r="H10609" t="s">
        <v>4917</v>
      </c>
      <c r="I10609">
        <v>0</v>
      </c>
      <c r="J10609" t="s">
        <v>8323</v>
      </c>
      <c r="K10609" t="s">
        <v>290</v>
      </c>
      <c r="L10609" t="s">
        <v>285</v>
      </c>
      <c r="M10609" t="str">
        <f t="shared" si="801"/>
        <v>04</v>
      </c>
      <c r="N10609" t="s">
        <v>12</v>
      </c>
    </row>
    <row r="10610" spans="1:14" x14ac:dyDescent="0.25">
      <c r="A10610">
        <v>20160429</v>
      </c>
      <c r="B10610" t="str">
        <f>"063329"</f>
        <v>063329</v>
      </c>
      <c r="C10610" t="str">
        <f>"83022"</f>
        <v>83022</v>
      </c>
      <c r="D10610" t="s">
        <v>394</v>
      </c>
      <c r="E10610" s="3">
        <v>127.74</v>
      </c>
      <c r="F10610">
        <v>20160427</v>
      </c>
      <c r="G10610" t="s">
        <v>8332</v>
      </c>
      <c r="H10610" t="s">
        <v>8485</v>
      </c>
      <c r="I10610">
        <v>0</v>
      </c>
      <c r="J10610" t="s">
        <v>8323</v>
      </c>
      <c r="K10610" t="s">
        <v>95</v>
      </c>
      <c r="L10610" t="s">
        <v>285</v>
      </c>
      <c r="M10610" t="str">
        <f t="shared" si="801"/>
        <v>04</v>
      </c>
      <c r="N10610" t="s">
        <v>12</v>
      </c>
    </row>
    <row r="10611" spans="1:14" x14ac:dyDescent="0.25">
      <c r="A10611">
        <v>20160429</v>
      </c>
      <c r="B10611" t="str">
        <f>"063329"</f>
        <v>063329</v>
      </c>
      <c r="C10611" t="str">
        <f>"83022"</f>
        <v>83022</v>
      </c>
      <c r="D10611" t="s">
        <v>394</v>
      </c>
      <c r="E10611" s="3">
        <v>146.79</v>
      </c>
      <c r="F10611">
        <v>20160427</v>
      </c>
      <c r="G10611" t="s">
        <v>8321</v>
      </c>
      <c r="H10611" t="s">
        <v>8486</v>
      </c>
      <c r="I10611">
        <v>0</v>
      </c>
      <c r="J10611" t="s">
        <v>8323</v>
      </c>
      <c r="K10611" t="s">
        <v>290</v>
      </c>
      <c r="L10611" t="s">
        <v>285</v>
      </c>
      <c r="M10611" t="str">
        <f t="shared" si="801"/>
        <v>04</v>
      </c>
      <c r="N10611" t="s">
        <v>12</v>
      </c>
    </row>
    <row r="10612" spans="1:14" x14ac:dyDescent="0.25">
      <c r="A10612">
        <v>20160506</v>
      </c>
      <c r="B10612" t="str">
        <f>"063372"</f>
        <v>063372</v>
      </c>
      <c r="C10612" t="str">
        <f>"30846"</f>
        <v>30846</v>
      </c>
      <c r="D10612" t="s">
        <v>656</v>
      </c>
      <c r="E10612" s="3">
        <v>1163.69</v>
      </c>
      <c r="F10612">
        <v>20160504</v>
      </c>
      <c r="G10612" t="s">
        <v>8487</v>
      </c>
      <c r="H10612" t="s">
        <v>8357</v>
      </c>
      <c r="I10612">
        <v>0</v>
      </c>
      <c r="J10612" t="s">
        <v>8323</v>
      </c>
      <c r="K10612" t="s">
        <v>290</v>
      </c>
      <c r="L10612" t="s">
        <v>285</v>
      </c>
      <c r="M10612" t="str">
        <f t="shared" ref="M10612:M10636" si="802">"05"</f>
        <v>05</v>
      </c>
      <c r="N10612" t="s">
        <v>12</v>
      </c>
    </row>
    <row r="10613" spans="1:14" x14ac:dyDescent="0.25">
      <c r="A10613">
        <v>20160506</v>
      </c>
      <c r="B10613" t="str">
        <f>"063375"</f>
        <v>063375</v>
      </c>
      <c r="C10613" t="str">
        <f>"37500"</f>
        <v>37500</v>
      </c>
      <c r="D10613" t="s">
        <v>1652</v>
      </c>
      <c r="E10613" s="3">
        <v>228.47</v>
      </c>
      <c r="F10613">
        <v>20160505</v>
      </c>
      <c r="G10613" t="s">
        <v>8354</v>
      </c>
      <c r="H10613" t="s">
        <v>8488</v>
      </c>
      <c r="I10613">
        <v>0</v>
      </c>
      <c r="J10613" t="s">
        <v>8323</v>
      </c>
      <c r="K10613" t="s">
        <v>95</v>
      </c>
      <c r="L10613" t="s">
        <v>285</v>
      </c>
      <c r="M10613" t="str">
        <f t="shared" si="802"/>
        <v>05</v>
      </c>
      <c r="N10613" t="s">
        <v>12</v>
      </c>
    </row>
    <row r="10614" spans="1:14" x14ac:dyDescent="0.25">
      <c r="A10614">
        <v>20160506</v>
      </c>
      <c r="B10614" t="str">
        <f>"063375"</f>
        <v>063375</v>
      </c>
      <c r="C10614" t="str">
        <f>"37500"</f>
        <v>37500</v>
      </c>
      <c r="D10614" t="s">
        <v>1652</v>
      </c>
      <c r="E10614" s="3">
        <v>14.49</v>
      </c>
      <c r="F10614">
        <v>20160505</v>
      </c>
      <c r="G10614" t="s">
        <v>8354</v>
      </c>
      <c r="H10614" t="s">
        <v>8489</v>
      </c>
      <c r="I10614">
        <v>0</v>
      </c>
      <c r="J10614" t="s">
        <v>8323</v>
      </c>
      <c r="K10614" t="s">
        <v>95</v>
      </c>
      <c r="L10614" t="s">
        <v>285</v>
      </c>
      <c r="M10614" t="str">
        <f t="shared" si="802"/>
        <v>05</v>
      </c>
      <c r="N10614" t="s">
        <v>12</v>
      </c>
    </row>
    <row r="10615" spans="1:14" x14ac:dyDescent="0.25">
      <c r="A10615">
        <v>20160506</v>
      </c>
      <c r="B10615" t="str">
        <f>"063392"</f>
        <v>063392</v>
      </c>
      <c r="C10615" t="str">
        <f>"51347"</f>
        <v>51347</v>
      </c>
      <c r="D10615" t="s">
        <v>1096</v>
      </c>
      <c r="E10615" s="3">
        <v>280</v>
      </c>
      <c r="F10615">
        <v>20160504</v>
      </c>
      <c r="G10615" t="s">
        <v>8346</v>
      </c>
      <c r="H10615" t="s">
        <v>5112</v>
      </c>
      <c r="I10615">
        <v>0</v>
      </c>
      <c r="J10615" t="s">
        <v>8323</v>
      </c>
      <c r="K10615" t="s">
        <v>290</v>
      </c>
      <c r="L10615" t="s">
        <v>285</v>
      </c>
      <c r="M10615" t="str">
        <f t="shared" si="802"/>
        <v>05</v>
      </c>
      <c r="N10615" t="s">
        <v>12</v>
      </c>
    </row>
    <row r="10616" spans="1:14" x14ac:dyDescent="0.25">
      <c r="A10616">
        <v>20160506</v>
      </c>
      <c r="B10616" t="str">
        <f>"063411"</f>
        <v>063411</v>
      </c>
      <c r="C10616" t="str">
        <f>"66918"</f>
        <v>66918</v>
      </c>
      <c r="D10616" t="s">
        <v>8490</v>
      </c>
      <c r="E10616" s="3">
        <v>322</v>
      </c>
      <c r="F10616">
        <v>20160505</v>
      </c>
      <c r="G10616" t="s">
        <v>8340</v>
      </c>
      <c r="H10616" t="s">
        <v>8491</v>
      </c>
      <c r="I10616">
        <v>0</v>
      </c>
      <c r="J10616" t="s">
        <v>8323</v>
      </c>
      <c r="K10616" t="s">
        <v>290</v>
      </c>
      <c r="L10616" t="s">
        <v>285</v>
      </c>
      <c r="M10616" t="str">
        <f t="shared" si="802"/>
        <v>05</v>
      </c>
      <c r="N10616" t="s">
        <v>12</v>
      </c>
    </row>
    <row r="10617" spans="1:14" x14ac:dyDescent="0.25">
      <c r="A10617">
        <v>20160513</v>
      </c>
      <c r="B10617" t="str">
        <f>"063484"</f>
        <v>063484</v>
      </c>
      <c r="C10617" t="str">
        <f>"58204"</f>
        <v>58204</v>
      </c>
      <c r="D10617" t="s">
        <v>1816</v>
      </c>
      <c r="E10617" s="3">
        <v>44</v>
      </c>
      <c r="F10617">
        <v>20160512</v>
      </c>
      <c r="G10617" t="s">
        <v>8422</v>
      </c>
      <c r="H10617" t="s">
        <v>8492</v>
      </c>
      <c r="I10617">
        <v>0</v>
      </c>
      <c r="J10617" t="s">
        <v>8323</v>
      </c>
      <c r="K10617" t="s">
        <v>290</v>
      </c>
      <c r="L10617" t="s">
        <v>285</v>
      </c>
      <c r="M10617" t="str">
        <f t="shared" si="802"/>
        <v>05</v>
      </c>
      <c r="N10617" t="s">
        <v>12</v>
      </c>
    </row>
    <row r="10618" spans="1:14" x14ac:dyDescent="0.25">
      <c r="A10618">
        <v>20160513</v>
      </c>
      <c r="B10618" t="str">
        <f>"063494"</f>
        <v>063494</v>
      </c>
      <c r="C10618" t="str">
        <f>"65106"</f>
        <v>65106</v>
      </c>
      <c r="D10618" t="s">
        <v>1568</v>
      </c>
      <c r="E10618" s="3">
        <v>121.78</v>
      </c>
      <c r="F10618">
        <v>20160512</v>
      </c>
      <c r="G10618" t="s">
        <v>8337</v>
      </c>
      <c r="H10618" t="s">
        <v>8493</v>
      </c>
      <c r="I10618">
        <v>0</v>
      </c>
      <c r="J10618" t="s">
        <v>8323</v>
      </c>
      <c r="K10618" t="s">
        <v>1558</v>
      </c>
      <c r="L10618" t="s">
        <v>285</v>
      </c>
      <c r="M10618" t="str">
        <f t="shared" si="802"/>
        <v>05</v>
      </c>
      <c r="N10618" t="s">
        <v>12</v>
      </c>
    </row>
    <row r="10619" spans="1:14" x14ac:dyDescent="0.25">
      <c r="A10619">
        <v>20160513</v>
      </c>
      <c r="B10619" t="str">
        <f>"063494"</f>
        <v>063494</v>
      </c>
      <c r="C10619" t="str">
        <f>"65106"</f>
        <v>65106</v>
      </c>
      <c r="D10619" t="s">
        <v>1568</v>
      </c>
      <c r="E10619" s="3">
        <v>-43.93</v>
      </c>
      <c r="F10619">
        <v>20160415</v>
      </c>
      <c r="G10619" t="s">
        <v>8321</v>
      </c>
      <c r="H10619" t="s">
        <v>8494</v>
      </c>
      <c r="I10619">
        <v>0</v>
      </c>
      <c r="J10619" t="s">
        <v>8323</v>
      </c>
      <c r="K10619" t="s">
        <v>290</v>
      </c>
      <c r="L10619" t="s">
        <v>1385</v>
      </c>
      <c r="M10619" t="str">
        <f t="shared" si="802"/>
        <v>05</v>
      </c>
      <c r="N10619" t="s">
        <v>12</v>
      </c>
    </row>
    <row r="10620" spans="1:14" x14ac:dyDescent="0.25">
      <c r="A10620">
        <v>20160520</v>
      </c>
      <c r="B10620" t="str">
        <f>"063519"</f>
        <v>063519</v>
      </c>
      <c r="C10620" t="str">
        <f>"18251"</f>
        <v>18251</v>
      </c>
      <c r="D10620" t="s">
        <v>696</v>
      </c>
      <c r="E10620" s="3">
        <v>80</v>
      </c>
      <c r="F10620">
        <v>20160518</v>
      </c>
      <c r="G10620" t="s">
        <v>8340</v>
      </c>
      <c r="H10620" t="s">
        <v>8495</v>
      </c>
      <c r="I10620">
        <v>0</v>
      </c>
      <c r="J10620" t="s">
        <v>8323</v>
      </c>
      <c r="K10620" t="s">
        <v>290</v>
      </c>
      <c r="L10620" t="s">
        <v>285</v>
      </c>
      <c r="M10620" t="str">
        <f t="shared" si="802"/>
        <v>05</v>
      </c>
      <c r="N10620" t="s">
        <v>12</v>
      </c>
    </row>
    <row r="10621" spans="1:14" x14ac:dyDescent="0.25">
      <c r="A10621">
        <v>20160520</v>
      </c>
      <c r="B10621" t="str">
        <f>"063525"</f>
        <v>063525</v>
      </c>
      <c r="C10621" t="str">
        <f>"20675"</f>
        <v>20675</v>
      </c>
      <c r="D10621" t="s">
        <v>8496</v>
      </c>
      <c r="E10621" s="3">
        <v>196</v>
      </c>
      <c r="F10621">
        <v>20160518</v>
      </c>
      <c r="G10621" t="s">
        <v>8324</v>
      </c>
      <c r="H10621" t="s">
        <v>8482</v>
      </c>
      <c r="I10621">
        <v>0</v>
      </c>
      <c r="J10621" t="s">
        <v>8323</v>
      </c>
      <c r="K10621" t="s">
        <v>95</v>
      </c>
      <c r="L10621" t="s">
        <v>285</v>
      </c>
      <c r="M10621" t="str">
        <f t="shared" si="802"/>
        <v>05</v>
      </c>
      <c r="N10621" t="s">
        <v>12</v>
      </c>
    </row>
    <row r="10622" spans="1:14" x14ac:dyDescent="0.25">
      <c r="A10622">
        <v>20160520</v>
      </c>
      <c r="B10622" t="str">
        <f>"063525"</f>
        <v>063525</v>
      </c>
      <c r="C10622" t="str">
        <f>"20675"</f>
        <v>20675</v>
      </c>
      <c r="D10622" t="s">
        <v>8496</v>
      </c>
      <c r="E10622" s="3">
        <v>133</v>
      </c>
      <c r="F10622">
        <v>20160518</v>
      </c>
      <c r="G10622" t="s">
        <v>8332</v>
      </c>
      <c r="H10622" t="s">
        <v>5762</v>
      </c>
      <c r="I10622">
        <v>0</v>
      </c>
      <c r="J10622" t="s">
        <v>8323</v>
      </c>
      <c r="K10622" t="s">
        <v>95</v>
      </c>
      <c r="L10622" t="s">
        <v>285</v>
      </c>
      <c r="M10622" t="str">
        <f t="shared" si="802"/>
        <v>05</v>
      </c>
      <c r="N10622" t="s">
        <v>12</v>
      </c>
    </row>
    <row r="10623" spans="1:14" x14ac:dyDescent="0.25">
      <c r="A10623">
        <v>20160520</v>
      </c>
      <c r="B10623" t="str">
        <f>"063545"</f>
        <v>063545</v>
      </c>
      <c r="C10623" t="str">
        <f>"49748"</f>
        <v>49748</v>
      </c>
      <c r="D10623" t="s">
        <v>1885</v>
      </c>
      <c r="E10623" s="3">
        <v>195.5</v>
      </c>
      <c r="F10623">
        <v>20160519</v>
      </c>
      <c r="G10623" t="s">
        <v>8422</v>
      </c>
      <c r="H10623" t="s">
        <v>8497</v>
      </c>
      <c r="I10623">
        <v>0</v>
      </c>
      <c r="J10623" t="s">
        <v>8323</v>
      </c>
      <c r="K10623" t="s">
        <v>290</v>
      </c>
      <c r="L10623" t="s">
        <v>285</v>
      </c>
      <c r="M10623" t="str">
        <f t="shared" si="802"/>
        <v>05</v>
      </c>
      <c r="N10623" t="s">
        <v>12</v>
      </c>
    </row>
    <row r="10624" spans="1:14" x14ac:dyDescent="0.25">
      <c r="A10624">
        <v>20160520</v>
      </c>
      <c r="B10624" t="str">
        <f>"063554"</f>
        <v>063554</v>
      </c>
      <c r="C10624" t="str">
        <f>"55881"</f>
        <v>55881</v>
      </c>
      <c r="D10624" t="s">
        <v>4406</v>
      </c>
      <c r="E10624" s="3">
        <v>385</v>
      </c>
      <c r="F10624">
        <v>20160519</v>
      </c>
      <c r="G10624" t="s">
        <v>8354</v>
      </c>
      <c r="H10624" t="s">
        <v>8498</v>
      </c>
      <c r="I10624">
        <v>0</v>
      </c>
      <c r="J10624" t="s">
        <v>8323</v>
      </c>
      <c r="K10624" t="s">
        <v>95</v>
      </c>
      <c r="L10624" t="s">
        <v>285</v>
      </c>
      <c r="M10624" t="str">
        <f t="shared" si="802"/>
        <v>05</v>
      </c>
      <c r="N10624" t="s">
        <v>12</v>
      </c>
    </row>
    <row r="10625" spans="1:14" x14ac:dyDescent="0.25">
      <c r="A10625">
        <v>20160520</v>
      </c>
      <c r="B10625" t="str">
        <f>"063559"</f>
        <v>063559</v>
      </c>
      <c r="C10625" t="str">
        <f>"58203"</f>
        <v>58203</v>
      </c>
      <c r="D10625" t="s">
        <v>2371</v>
      </c>
      <c r="E10625" s="3">
        <v>77</v>
      </c>
      <c r="F10625">
        <v>20160519</v>
      </c>
      <c r="G10625" t="s">
        <v>8342</v>
      </c>
      <c r="H10625" t="s">
        <v>8499</v>
      </c>
      <c r="I10625">
        <v>0</v>
      </c>
      <c r="J10625" t="s">
        <v>8323</v>
      </c>
      <c r="K10625" t="s">
        <v>1643</v>
      </c>
      <c r="L10625" t="s">
        <v>285</v>
      </c>
      <c r="M10625" t="str">
        <f t="shared" si="802"/>
        <v>05</v>
      </c>
      <c r="N10625" t="s">
        <v>12</v>
      </c>
    </row>
    <row r="10626" spans="1:14" x14ac:dyDescent="0.25">
      <c r="A10626">
        <v>20160520</v>
      </c>
      <c r="B10626" t="str">
        <f>"063571"</f>
        <v>063571</v>
      </c>
      <c r="C10626" t="str">
        <f>"74160"</f>
        <v>74160</v>
      </c>
      <c r="D10626" t="s">
        <v>3141</v>
      </c>
      <c r="E10626" s="3">
        <v>123.2</v>
      </c>
      <c r="F10626">
        <v>20160519</v>
      </c>
      <c r="G10626" t="s">
        <v>8342</v>
      </c>
      <c r="H10626" t="s">
        <v>8500</v>
      </c>
      <c r="I10626">
        <v>0</v>
      </c>
      <c r="J10626" t="s">
        <v>8323</v>
      </c>
      <c r="K10626" t="s">
        <v>1643</v>
      </c>
      <c r="L10626" t="s">
        <v>285</v>
      </c>
      <c r="M10626" t="str">
        <f t="shared" si="802"/>
        <v>05</v>
      </c>
      <c r="N10626" t="s">
        <v>12</v>
      </c>
    </row>
    <row r="10627" spans="1:14" x14ac:dyDescent="0.25">
      <c r="A10627">
        <v>20160527</v>
      </c>
      <c r="B10627" t="str">
        <f>"063632"</f>
        <v>063632</v>
      </c>
      <c r="C10627" t="str">
        <f>"34670"</f>
        <v>34670</v>
      </c>
      <c r="D10627" t="s">
        <v>2503</v>
      </c>
      <c r="E10627" s="3">
        <v>3789</v>
      </c>
      <c r="F10627">
        <v>20160526</v>
      </c>
      <c r="G10627" t="s">
        <v>8487</v>
      </c>
      <c r="H10627" t="s">
        <v>8501</v>
      </c>
      <c r="I10627">
        <v>0</v>
      </c>
      <c r="J10627" t="s">
        <v>8323</v>
      </c>
      <c r="K10627" t="s">
        <v>290</v>
      </c>
      <c r="L10627" t="s">
        <v>285</v>
      </c>
      <c r="M10627" t="str">
        <f t="shared" si="802"/>
        <v>05</v>
      </c>
      <c r="N10627" t="s">
        <v>12</v>
      </c>
    </row>
    <row r="10628" spans="1:14" x14ac:dyDescent="0.25">
      <c r="A10628">
        <v>20160527</v>
      </c>
      <c r="B10628" t="str">
        <f>"063667"</f>
        <v>063667</v>
      </c>
      <c r="C10628" t="str">
        <f>"69020"</f>
        <v>69020</v>
      </c>
      <c r="D10628" t="s">
        <v>8464</v>
      </c>
      <c r="E10628" s="3">
        <v>5485.9</v>
      </c>
      <c r="F10628">
        <v>20160526</v>
      </c>
      <c r="G10628" t="s">
        <v>8328</v>
      </c>
      <c r="H10628" t="s">
        <v>8502</v>
      </c>
      <c r="I10628">
        <v>0</v>
      </c>
      <c r="J10628" t="s">
        <v>8323</v>
      </c>
      <c r="K10628" t="s">
        <v>95</v>
      </c>
      <c r="L10628" t="s">
        <v>285</v>
      </c>
      <c r="M10628" t="str">
        <f t="shared" si="802"/>
        <v>05</v>
      </c>
      <c r="N10628" t="s">
        <v>12</v>
      </c>
    </row>
    <row r="10629" spans="1:14" x14ac:dyDescent="0.25">
      <c r="A10629">
        <v>20160527</v>
      </c>
      <c r="B10629" t="str">
        <f>"063686"</f>
        <v>063686</v>
      </c>
      <c r="C10629" t="str">
        <f>"82183"</f>
        <v>82183</v>
      </c>
      <c r="D10629" t="s">
        <v>8503</v>
      </c>
      <c r="E10629" s="3">
        <v>500</v>
      </c>
      <c r="F10629">
        <v>20160526</v>
      </c>
      <c r="G10629" t="s">
        <v>8422</v>
      </c>
      <c r="H10629" t="s">
        <v>8504</v>
      </c>
      <c r="I10629">
        <v>0</v>
      </c>
      <c r="J10629" t="s">
        <v>8323</v>
      </c>
      <c r="K10629" t="s">
        <v>290</v>
      </c>
      <c r="L10629" t="s">
        <v>285</v>
      </c>
      <c r="M10629" t="str">
        <f t="shared" si="802"/>
        <v>05</v>
      </c>
      <c r="N10629" t="s">
        <v>12</v>
      </c>
    </row>
    <row r="10630" spans="1:14" x14ac:dyDescent="0.25">
      <c r="A10630">
        <v>20160527</v>
      </c>
      <c r="B10630" t="str">
        <f>"063689"</f>
        <v>063689</v>
      </c>
      <c r="C10630" t="str">
        <f>"83022"</f>
        <v>83022</v>
      </c>
      <c r="D10630" t="s">
        <v>394</v>
      </c>
      <c r="E10630" s="3">
        <v>59.18</v>
      </c>
      <c r="F10630">
        <v>20160526</v>
      </c>
      <c r="G10630" t="s">
        <v>8324</v>
      </c>
      <c r="H10630" t="s">
        <v>8505</v>
      </c>
      <c r="I10630">
        <v>0</v>
      </c>
      <c r="J10630" t="s">
        <v>8323</v>
      </c>
      <c r="K10630" t="s">
        <v>95</v>
      </c>
      <c r="L10630" t="s">
        <v>285</v>
      </c>
      <c r="M10630" t="str">
        <f t="shared" si="802"/>
        <v>05</v>
      </c>
      <c r="N10630" t="s">
        <v>12</v>
      </c>
    </row>
    <row r="10631" spans="1:14" x14ac:dyDescent="0.25">
      <c r="A10631">
        <v>20160527</v>
      </c>
      <c r="B10631" t="str">
        <f>"063689"</f>
        <v>063689</v>
      </c>
      <c r="C10631" t="str">
        <f>"83022"</f>
        <v>83022</v>
      </c>
      <c r="D10631" t="s">
        <v>394</v>
      </c>
      <c r="E10631" s="3">
        <v>82.73</v>
      </c>
      <c r="F10631">
        <v>20160526</v>
      </c>
      <c r="G10631" t="s">
        <v>8339</v>
      </c>
      <c r="H10631" t="s">
        <v>2752</v>
      </c>
      <c r="I10631">
        <v>0</v>
      </c>
      <c r="J10631" t="s">
        <v>8323</v>
      </c>
      <c r="K10631" t="s">
        <v>95</v>
      </c>
      <c r="L10631" t="s">
        <v>285</v>
      </c>
      <c r="M10631" t="str">
        <f t="shared" si="802"/>
        <v>05</v>
      </c>
      <c r="N10631" t="s">
        <v>12</v>
      </c>
    </row>
    <row r="10632" spans="1:14" x14ac:dyDescent="0.25">
      <c r="A10632">
        <v>20160527</v>
      </c>
      <c r="B10632" t="str">
        <f>"063689"</f>
        <v>063689</v>
      </c>
      <c r="C10632" t="str">
        <f>"83022"</f>
        <v>83022</v>
      </c>
      <c r="D10632" t="s">
        <v>394</v>
      </c>
      <c r="E10632" s="3">
        <v>190.57</v>
      </c>
      <c r="F10632">
        <v>20160526</v>
      </c>
      <c r="G10632" t="s">
        <v>8339</v>
      </c>
      <c r="H10632" t="s">
        <v>2752</v>
      </c>
      <c r="I10632">
        <v>0</v>
      </c>
      <c r="J10632" t="s">
        <v>8323</v>
      </c>
      <c r="K10632" t="s">
        <v>95</v>
      </c>
      <c r="L10632" t="s">
        <v>285</v>
      </c>
      <c r="M10632" t="str">
        <f t="shared" si="802"/>
        <v>05</v>
      </c>
      <c r="N10632" t="s">
        <v>12</v>
      </c>
    </row>
    <row r="10633" spans="1:14" x14ac:dyDescent="0.25">
      <c r="A10633">
        <v>20160527</v>
      </c>
      <c r="B10633" t="str">
        <f>"063689"</f>
        <v>063689</v>
      </c>
      <c r="C10633" t="str">
        <f>"83022"</f>
        <v>83022</v>
      </c>
      <c r="D10633" t="s">
        <v>394</v>
      </c>
      <c r="E10633" s="3">
        <v>127.12</v>
      </c>
      <c r="F10633">
        <v>20160526</v>
      </c>
      <c r="G10633" t="s">
        <v>8339</v>
      </c>
      <c r="H10633" t="s">
        <v>5398</v>
      </c>
      <c r="I10633">
        <v>0</v>
      </c>
      <c r="J10633" t="s">
        <v>8323</v>
      </c>
      <c r="K10633" t="s">
        <v>95</v>
      </c>
      <c r="L10633" t="s">
        <v>285</v>
      </c>
      <c r="M10633" t="str">
        <f t="shared" si="802"/>
        <v>05</v>
      </c>
      <c r="N10633" t="s">
        <v>12</v>
      </c>
    </row>
    <row r="10634" spans="1:14" x14ac:dyDescent="0.25">
      <c r="A10634">
        <v>20160527</v>
      </c>
      <c r="B10634" t="str">
        <f>"063689"</f>
        <v>063689</v>
      </c>
      <c r="C10634" t="str">
        <f>"83022"</f>
        <v>83022</v>
      </c>
      <c r="D10634" t="s">
        <v>394</v>
      </c>
      <c r="E10634" s="3">
        <v>256.24</v>
      </c>
      <c r="F10634">
        <v>20160526</v>
      </c>
      <c r="G10634" t="s">
        <v>8340</v>
      </c>
      <c r="H10634" t="s">
        <v>8506</v>
      </c>
      <c r="I10634">
        <v>0</v>
      </c>
      <c r="J10634" t="s">
        <v>8323</v>
      </c>
      <c r="K10634" t="s">
        <v>290</v>
      </c>
      <c r="L10634" t="s">
        <v>285</v>
      </c>
      <c r="M10634" t="str">
        <f t="shared" si="802"/>
        <v>05</v>
      </c>
      <c r="N10634" t="s">
        <v>12</v>
      </c>
    </row>
    <row r="10635" spans="1:14" x14ac:dyDescent="0.25">
      <c r="A10635">
        <v>20160602</v>
      </c>
      <c r="B10635" t="str">
        <f>"063693"</f>
        <v>063693</v>
      </c>
      <c r="C10635" t="str">
        <f>"26395"</f>
        <v>26395</v>
      </c>
      <c r="D10635" t="s">
        <v>4239</v>
      </c>
      <c r="E10635" s="3">
        <v>1207.1500000000001</v>
      </c>
      <c r="F10635">
        <v>20160602</v>
      </c>
      <c r="G10635" t="s">
        <v>8346</v>
      </c>
      <c r="H10635" t="s">
        <v>4652</v>
      </c>
      <c r="I10635">
        <v>0</v>
      </c>
      <c r="J10635" t="s">
        <v>8323</v>
      </c>
      <c r="K10635" t="s">
        <v>290</v>
      </c>
      <c r="L10635" t="s">
        <v>17</v>
      </c>
      <c r="M10635" t="str">
        <f t="shared" si="802"/>
        <v>05</v>
      </c>
      <c r="N10635" t="s">
        <v>12</v>
      </c>
    </row>
    <row r="10636" spans="1:14" x14ac:dyDescent="0.25">
      <c r="A10636">
        <v>20160602</v>
      </c>
      <c r="B10636" t="str">
        <f>"063693"</f>
        <v>063693</v>
      </c>
      <c r="C10636" t="str">
        <f>"26395"</f>
        <v>26395</v>
      </c>
      <c r="D10636" t="s">
        <v>4239</v>
      </c>
      <c r="E10636" s="3">
        <v>-1207.1500000000001</v>
      </c>
      <c r="F10636">
        <v>20160609</v>
      </c>
      <c r="G10636" t="s">
        <v>8346</v>
      </c>
      <c r="H10636" t="s">
        <v>8507</v>
      </c>
      <c r="I10636">
        <v>0</v>
      </c>
      <c r="J10636" t="s">
        <v>8323</v>
      </c>
      <c r="K10636" t="s">
        <v>290</v>
      </c>
      <c r="L10636" t="s">
        <v>17</v>
      </c>
      <c r="M10636" t="str">
        <f t="shared" si="802"/>
        <v>05</v>
      </c>
      <c r="N10636" t="s">
        <v>12</v>
      </c>
    </row>
    <row r="10637" spans="1:14" x14ac:dyDescent="0.25">
      <c r="A10637">
        <v>20160602</v>
      </c>
      <c r="B10637" t="str">
        <f>"063693"</f>
        <v>063693</v>
      </c>
      <c r="C10637" t="str">
        <f>"26395"</f>
        <v>26395</v>
      </c>
      <c r="D10637" t="s">
        <v>4239</v>
      </c>
      <c r="E10637" s="3">
        <v>1207.1500000000001</v>
      </c>
      <c r="F10637">
        <v>20160609</v>
      </c>
      <c r="G10637" t="s">
        <v>8346</v>
      </c>
      <c r="H10637" t="s">
        <v>4652</v>
      </c>
      <c r="I10637">
        <v>0</v>
      </c>
      <c r="J10637" t="s">
        <v>8323</v>
      </c>
      <c r="K10637" t="s">
        <v>290</v>
      </c>
      <c r="L10637" t="s">
        <v>17</v>
      </c>
      <c r="M10637" t="str">
        <f t="shared" ref="M10637:M10668" si="803">"06"</f>
        <v>06</v>
      </c>
      <c r="N10637" t="s">
        <v>12</v>
      </c>
    </row>
    <row r="10638" spans="1:14" x14ac:dyDescent="0.25">
      <c r="A10638">
        <v>20160610</v>
      </c>
      <c r="B10638" t="str">
        <f>"063711"</f>
        <v>063711</v>
      </c>
      <c r="C10638" t="str">
        <f>"09170"</f>
        <v>09170</v>
      </c>
      <c r="D10638" t="s">
        <v>596</v>
      </c>
      <c r="E10638" s="3">
        <v>100</v>
      </c>
      <c r="F10638">
        <v>20160607</v>
      </c>
      <c r="G10638" t="s">
        <v>8328</v>
      </c>
      <c r="H10638" t="s">
        <v>8508</v>
      </c>
      <c r="I10638">
        <v>0</v>
      </c>
      <c r="J10638" t="s">
        <v>8323</v>
      </c>
      <c r="K10638" t="s">
        <v>95</v>
      </c>
      <c r="L10638" t="s">
        <v>285</v>
      </c>
      <c r="M10638" t="str">
        <f t="shared" si="803"/>
        <v>06</v>
      </c>
      <c r="N10638" t="s">
        <v>12</v>
      </c>
    </row>
    <row r="10639" spans="1:14" x14ac:dyDescent="0.25">
      <c r="A10639">
        <v>20160610</v>
      </c>
      <c r="B10639" t="str">
        <f>"063711"</f>
        <v>063711</v>
      </c>
      <c r="C10639" t="str">
        <f>"09170"</f>
        <v>09170</v>
      </c>
      <c r="D10639" t="s">
        <v>596</v>
      </c>
      <c r="E10639" s="3">
        <v>2320.6999999999998</v>
      </c>
      <c r="F10639">
        <v>20160607</v>
      </c>
      <c r="G10639" t="s">
        <v>8422</v>
      </c>
      <c r="H10639" t="s">
        <v>8509</v>
      </c>
      <c r="I10639">
        <v>0</v>
      </c>
      <c r="J10639" t="s">
        <v>8323</v>
      </c>
      <c r="K10639" t="s">
        <v>290</v>
      </c>
      <c r="L10639" t="s">
        <v>285</v>
      </c>
      <c r="M10639" t="str">
        <f t="shared" si="803"/>
        <v>06</v>
      </c>
      <c r="N10639" t="s">
        <v>12</v>
      </c>
    </row>
    <row r="10640" spans="1:14" x14ac:dyDescent="0.25">
      <c r="A10640">
        <v>20160610</v>
      </c>
      <c r="B10640" t="str">
        <f>"063724"</f>
        <v>063724</v>
      </c>
      <c r="C10640" t="str">
        <f>"14140"</f>
        <v>14140</v>
      </c>
      <c r="D10640" t="s">
        <v>8510</v>
      </c>
      <c r="E10640" s="3">
        <v>102.14</v>
      </c>
      <c r="F10640">
        <v>20160607</v>
      </c>
      <c r="G10640" t="s">
        <v>8339</v>
      </c>
      <c r="H10640" t="s">
        <v>8511</v>
      </c>
      <c r="I10640">
        <v>0</v>
      </c>
      <c r="J10640" t="s">
        <v>8323</v>
      </c>
      <c r="K10640" t="s">
        <v>95</v>
      </c>
      <c r="L10640" t="s">
        <v>285</v>
      </c>
      <c r="M10640" t="str">
        <f t="shared" si="803"/>
        <v>06</v>
      </c>
      <c r="N10640" t="s">
        <v>12</v>
      </c>
    </row>
    <row r="10641" spans="1:14" x14ac:dyDescent="0.25">
      <c r="A10641">
        <v>20160610</v>
      </c>
      <c r="B10641" t="str">
        <f>"063734"</f>
        <v>063734</v>
      </c>
      <c r="C10641" t="str">
        <f>"51346"</f>
        <v>51346</v>
      </c>
      <c r="D10641" t="s">
        <v>379</v>
      </c>
      <c r="E10641" s="3">
        <v>162.5</v>
      </c>
      <c r="F10641">
        <v>20160607</v>
      </c>
      <c r="G10641" t="s">
        <v>8512</v>
      </c>
      <c r="H10641" t="s">
        <v>8513</v>
      </c>
      <c r="I10641">
        <v>0</v>
      </c>
      <c r="J10641" t="s">
        <v>8323</v>
      </c>
      <c r="K10641" t="s">
        <v>95</v>
      </c>
      <c r="L10641" t="s">
        <v>285</v>
      </c>
      <c r="M10641" t="str">
        <f t="shared" si="803"/>
        <v>06</v>
      </c>
      <c r="N10641" t="s">
        <v>12</v>
      </c>
    </row>
    <row r="10642" spans="1:14" x14ac:dyDescent="0.25">
      <c r="A10642">
        <v>20160610</v>
      </c>
      <c r="B10642" t="str">
        <f>"063751"</f>
        <v>063751</v>
      </c>
      <c r="C10642" t="str">
        <f>"27135"</f>
        <v>27135</v>
      </c>
      <c r="D10642" t="s">
        <v>842</v>
      </c>
      <c r="E10642" s="3">
        <v>149.99</v>
      </c>
      <c r="F10642">
        <v>20160607</v>
      </c>
      <c r="G10642" t="s">
        <v>8344</v>
      </c>
      <c r="H10642" t="s">
        <v>8514</v>
      </c>
      <c r="I10642">
        <v>0</v>
      </c>
      <c r="J10642" t="s">
        <v>8323</v>
      </c>
      <c r="K10642" t="s">
        <v>290</v>
      </c>
      <c r="L10642" t="s">
        <v>285</v>
      </c>
      <c r="M10642" t="str">
        <f t="shared" si="803"/>
        <v>06</v>
      </c>
      <c r="N10642" t="s">
        <v>12</v>
      </c>
    </row>
    <row r="10643" spans="1:14" x14ac:dyDescent="0.25">
      <c r="A10643">
        <v>20160610</v>
      </c>
      <c r="B10643" t="str">
        <f>"063774"</f>
        <v>063774</v>
      </c>
      <c r="C10643" t="str">
        <f>"42212"</f>
        <v>42212</v>
      </c>
      <c r="D10643" t="s">
        <v>2513</v>
      </c>
      <c r="E10643" s="3">
        <v>67.83</v>
      </c>
      <c r="F10643">
        <v>20160607</v>
      </c>
      <c r="G10643" t="s">
        <v>8346</v>
      </c>
      <c r="H10643" t="s">
        <v>4652</v>
      </c>
      <c r="I10643">
        <v>0</v>
      </c>
      <c r="J10643" t="s">
        <v>8323</v>
      </c>
      <c r="K10643" t="s">
        <v>290</v>
      </c>
      <c r="L10643" t="s">
        <v>285</v>
      </c>
      <c r="M10643" t="str">
        <f t="shared" si="803"/>
        <v>06</v>
      </c>
      <c r="N10643" t="s">
        <v>12</v>
      </c>
    </row>
    <row r="10644" spans="1:14" x14ac:dyDescent="0.25">
      <c r="A10644">
        <v>20160610</v>
      </c>
      <c r="B10644" t="str">
        <f>"063810"</f>
        <v>063810</v>
      </c>
      <c r="C10644" t="str">
        <f>"58207"</f>
        <v>58207</v>
      </c>
      <c r="D10644" t="s">
        <v>296</v>
      </c>
      <c r="E10644" s="3">
        <v>14.89</v>
      </c>
      <c r="F10644">
        <v>20160608</v>
      </c>
      <c r="G10644" t="s">
        <v>8344</v>
      </c>
      <c r="H10644" t="s">
        <v>8515</v>
      </c>
      <c r="I10644">
        <v>0</v>
      </c>
      <c r="J10644" t="s">
        <v>8323</v>
      </c>
      <c r="K10644" t="s">
        <v>290</v>
      </c>
      <c r="L10644" t="s">
        <v>285</v>
      </c>
      <c r="M10644" t="str">
        <f t="shared" si="803"/>
        <v>06</v>
      </c>
      <c r="N10644" t="s">
        <v>12</v>
      </c>
    </row>
    <row r="10645" spans="1:14" x14ac:dyDescent="0.25">
      <c r="A10645">
        <v>20160610</v>
      </c>
      <c r="B10645" t="str">
        <f>"063810"</f>
        <v>063810</v>
      </c>
      <c r="C10645" t="str">
        <f>"58207"</f>
        <v>58207</v>
      </c>
      <c r="D10645" t="s">
        <v>296</v>
      </c>
      <c r="E10645" s="3">
        <v>23.45</v>
      </c>
      <c r="F10645">
        <v>20160608</v>
      </c>
      <c r="G10645" t="s">
        <v>8344</v>
      </c>
      <c r="H10645" t="s">
        <v>8516</v>
      </c>
      <c r="I10645">
        <v>0</v>
      </c>
      <c r="J10645" t="s">
        <v>8323</v>
      </c>
      <c r="K10645" t="s">
        <v>290</v>
      </c>
      <c r="L10645" t="s">
        <v>285</v>
      </c>
      <c r="M10645" t="str">
        <f t="shared" si="803"/>
        <v>06</v>
      </c>
      <c r="N10645" t="s">
        <v>12</v>
      </c>
    </row>
    <row r="10646" spans="1:14" x14ac:dyDescent="0.25">
      <c r="A10646">
        <v>20160610</v>
      </c>
      <c r="B10646" t="str">
        <f>"063811"</f>
        <v>063811</v>
      </c>
      <c r="C10646" t="str">
        <f>"58204"</f>
        <v>58204</v>
      </c>
      <c r="D10646" t="s">
        <v>1816</v>
      </c>
      <c r="E10646" s="3">
        <v>65.61</v>
      </c>
      <c r="F10646">
        <v>20160608</v>
      </c>
      <c r="G10646" t="s">
        <v>8321</v>
      </c>
      <c r="H10646" t="s">
        <v>2752</v>
      </c>
      <c r="I10646">
        <v>0</v>
      </c>
      <c r="J10646" t="s">
        <v>8323</v>
      </c>
      <c r="K10646" t="s">
        <v>290</v>
      </c>
      <c r="L10646" t="s">
        <v>285</v>
      </c>
      <c r="M10646" t="str">
        <f t="shared" si="803"/>
        <v>06</v>
      </c>
      <c r="N10646" t="s">
        <v>12</v>
      </c>
    </row>
    <row r="10647" spans="1:14" x14ac:dyDescent="0.25">
      <c r="A10647">
        <v>20160610</v>
      </c>
      <c r="B10647" t="str">
        <f>"063823"</f>
        <v>063823</v>
      </c>
      <c r="C10647" t="str">
        <f>"64610"</f>
        <v>64610</v>
      </c>
      <c r="D10647" t="s">
        <v>678</v>
      </c>
      <c r="E10647" s="3">
        <v>97.19</v>
      </c>
      <c r="F10647">
        <v>20160608</v>
      </c>
      <c r="G10647" t="s">
        <v>8344</v>
      </c>
      <c r="H10647" t="s">
        <v>8517</v>
      </c>
      <c r="I10647">
        <v>0</v>
      </c>
      <c r="J10647" t="s">
        <v>8323</v>
      </c>
      <c r="K10647" t="s">
        <v>290</v>
      </c>
      <c r="L10647" t="s">
        <v>285</v>
      </c>
      <c r="M10647" t="str">
        <f t="shared" si="803"/>
        <v>06</v>
      </c>
      <c r="N10647" t="s">
        <v>12</v>
      </c>
    </row>
    <row r="10648" spans="1:14" x14ac:dyDescent="0.25">
      <c r="A10648">
        <v>20160610</v>
      </c>
      <c r="B10648" t="str">
        <f>"063823"</f>
        <v>063823</v>
      </c>
      <c r="C10648" t="str">
        <f>"64610"</f>
        <v>64610</v>
      </c>
      <c r="D10648" t="s">
        <v>678</v>
      </c>
      <c r="E10648" s="3">
        <v>188.75</v>
      </c>
      <c r="F10648">
        <v>20160608</v>
      </c>
      <c r="G10648" t="s">
        <v>8344</v>
      </c>
      <c r="H10648" t="s">
        <v>8518</v>
      </c>
      <c r="I10648">
        <v>0</v>
      </c>
      <c r="J10648" t="s">
        <v>8323</v>
      </c>
      <c r="K10648" t="s">
        <v>290</v>
      </c>
      <c r="L10648" t="s">
        <v>285</v>
      </c>
      <c r="M10648" t="str">
        <f t="shared" si="803"/>
        <v>06</v>
      </c>
      <c r="N10648" t="s">
        <v>12</v>
      </c>
    </row>
    <row r="10649" spans="1:14" x14ac:dyDescent="0.25">
      <c r="A10649">
        <v>20160617</v>
      </c>
      <c r="B10649" t="str">
        <f t="shared" ref="B10649:B10657" si="804">"063884"</f>
        <v>063884</v>
      </c>
      <c r="C10649" t="str">
        <f t="shared" ref="C10649:C10657" si="805">"37500"</f>
        <v>37500</v>
      </c>
      <c r="D10649" t="s">
        <v>1652</v>
      </c>
      <c r="E10649" s="3">
        <v>24.61</v>
      </c>
      <c r="F10649">
        <v>20160615</v>
      </c>
      <c r="G10649" t="s">
        <v>8337</v>
      </c>
      <c r="H10649" t="s">
        <v>8493</v>
      </c>
      <c r="I10649">
        <v>0</v>
      </c>
      <c r="J10649" t="s">
        <v>8323</v>
      </c>
      <c r="K10649" t="s">
        <v>1558</v>
      </c>
      <c r="L10649" t="s">
        <v>285</v>
      </c>
      <c r="M10649" t="str">
        <f t="shared" si="803"/>
        <v>06</v>
      </c>
      <c r="N10649" t="s">
        <v>12</v>
      </c>
    </row>
    <row r="10650" spans="1:14" x14ac:dyDescent="0.25">
      <c r="A10650">
        <v>20160617</v>
      </c>
      <c r="B10650" t="str">
        <f t="shared" si="804"/>
        <v>063884</v>
      </c>
      <c r="C10650" t="str">
        <f t="shared" si="805"/>
        <v>37500</v>
      </c>
      <c r="D10650" t="s">
        <v>1652</v>
      </c>
      <c r="E10650" s="3">
        <v>82.34</v>
      </c>
      <c r="F10650">
        <v>20160615</v>
      </c>
      <c r="G10650" t="s">
        <v>8342</v>
      </c>
      <c r="H10650" t="s">
        <v>7822</v>
      </c>
      <c r="I10650">
        <v>0</v>
      </c>
      <c r="J10650" t="s">
        <v>8323</v>
      </c>
      <c r="K10650" t="s">
        <v>1643</v>
      </c>
      <c r="L10650" t="s">
        <v>285</v>
      </c>
      <c r="M10650" t="str">
        <f t="shared" si="803"/>
        <v>06</v>
      </c>
      <c r="N10650" t="s">
        <v>12</v>
      </c>
    </row>
    <row r="10651" spans="1:14" x14ac:dyDescent="0.25">
      <c r="A10651">
        <v>20160617</v>
      </c>
      <c r="B10651" t="str">
        <f t="shared" si="804"/>
        <v>063884</v>
      </c>
      <c r="C10651" t="str">
        <f t="shared" si="805"/>
        <v>37500</v>
      </c>
      <c r="D10651" t="s">
        <v>1652</v>
      </c>
      <c r="E10651" s="3">
        <v>106.41</v>
      </c>
      <c r="F10651">
        <v>20160615</v>
      </c>
      <c r="G10651" t="s">
        <v>8342</v>
      </c>
      <c r="H10651" t="s">
        <v>7822</v>
      </c>
      <c r="I10651">
        <v>0</v>
      </c>
      <c r="J10651" t="s">
        <v>8323</v>
      </c>
      <c r="K10651" t="s">
        <v>1643</v>
      </c>
      <c r="L10651" t="s">
        <v>285</v>
      </c>
      <c r="M10651" t="str">
        <f t="shared" si="803"/>
        <v>06</v>
      </c>
      <c r="N10651" t="s">
        <v>12</v>
      </c>
    </row>
    <row r="10652" spans="1:14" x14ac:dyDescent="0.25">
      <c r="A10652">
        <v>20160617</v>
      </c>
      <c r="B10652" t="str">
        <f t="shared" si="804"/>
        <v>063884</v>
      </c>
      <c r="C10652" t="str">
        <f t="shared" si="805"/>
        <v>37500</v>
      </c>
      <c r="D10652" t="s">
        <v>1652</v>
      </c>
      <c r="E10652" s="3">
        <v>97.78</v>
      </c>
      <c r="F10652">
        <v>20160615</v>
      </c>
      <c r="G10652" t="s">
        <v>8342</v>
      </c>
      <c r="H10652" t="s">
        <v>7822</v>
      </c>
      <c r="I10652">
        <v>0</v>
      </c>
      <c r="J10652" t="s">
        <v>8323</v>
      </c>
      <c r="K10652" t="s">
        <v>1643</v>
      </c>
      <c r="L10652" t="s">
        <v>285</v>
      </c>
      <c r="M10652" t="str">
        <f t="shared" si="803"/>
        <v>06</v>
      </c>
      <c r="N10652" t="s">
        <v>12</v>
      </c>
    </row>
    <row r="10653" spans="1:14" x14ac:dyDescent="0.25">
      <c r="A10653">
        <v>20160617</v>
      </c>
      <c r="B10653" t="str">
        <f t="shared" si="804"/>
        <v>063884</v>
      </c>
      <c r="C10653" t="str">
        <f t="shared" si="805"/>
        <v>37500</v>
      </c>
      <c r="D10653" t="s">
        <v>1652</v>
      </c>
      <c r="E10653" s="3">
        <v>9.7200000000000006</v>
      </c>
      <c r="F10653">
        <v>20160615</v>
      </c>
      <c r="G10653" t="s">
        <v>8354</v>
      </c>
      <c r="H10653" t="s">
        <v>8519</v>
      </c>
      <c r="I10653">
        <v>0</v>
      </c>
      <c r="J10653" t="s">
        <v>8323</v>
      </c>
      <c r="K10653" t="s">
        <v>95</v>
      </c>
      <c r="L10653" t="s">
        <v>285</v>
      </c>
      <c r="M10653" t="str">
        <f t="shared" si="803"/>
        <v>06</v>
      </c>
      <c r="N10653" t="s">
        <v>12</v>
      </c>
    </row>
    <row r="10654" spans="1:14" x14ac:dyDescent="0.25">
      <c r="A10654">
        <v>20160617</v>
      </c>
      <c r="B10654" t="str">
        <f t="shared" si="804"/>
        <v>063884</v>
      </c>
      <c r="C10654" t="str">
        <f t="shared" si="805"/>
        <v>37500</v>
      </c>
      <c r="D10654" t="s">
        <v>1652</v>
      </c>
      <c r="E10654" s="3">
        <v>83.99</v>
      </c>
      <c r="F10654">
        <v>20160615</v>
      </c>
      <c r="G10654" t="s">
        <v>8339</v>
      </c>
      <c r="H10654" t="s">
        <v>5090</v>
      </c>
      <c r="I10654">
        <v>0</v>
      </c>
      <c r="J10654" t="s">
        <v>8323</v>
      </c>
      <c r="K10654" t="s">
        <v>95</v>
      </c>
      <c r="L10654" t="s">
        <v>285</v>
      </c>
      <c r="M10654" t="str">
        <f t="shared" si="803"/>
        <v>06</v>
      </c>
      <c r="N10654" t="s">
        <v>12</v>
      </c>
    </row>
    <row r="10655" spans="1:14" x14ac:dyDescent="0.25">
      <c r="A10655">
        <v>20160617</v>
      </c>
      <c r="B10655" t="str">
        <f t="shared" si="804"/>
        <v>063884</v>
      </c>
      <c r="C10655" t="str">
        <f t="shared" si="805"/>
        <v>37500</v>
      </c>
      <c r="D10655" t="s">
        <v>1652</v>
      </c>
      <c r="E10655" s="3">
        <v>171.59</v>
      </c>
      <c r="F10655">
        <v>20160615</v>
      </c>
      <c r="G10655" t="s">
        <v>8339</v>
      </c>
      <c r="H10655" t="s">
        <v>8520</v>
      </c>
      <c r="I10655">
        <v>0</v>
      </c>
      <c r="J10655" t="s">
        <v>8323</v>
      </c>
      <c r="K10655" t="s">
        <v>95</v>
      </c>
      <c r="L10655" t="s">
        <v>285</v>
      </c>
      <c r="M10655" t="str">
        <f t="shared" si="803"/>
        <v>06</v>
      </c>
      <c r="N10655" t="s">
        <v>12</v>
      </c>
    </row>
    <row r="10656" spans="1:14" x14ac:dyDescent="0.25">
      <c r="A10656">
        <v>20160617</v>
      </c>
      <c r="B10656" t="str">
        <f t="shared" si="804"/>
        <v>063884</v>
      </c>
      <c r="C10656" t="str">
        <f t="shared" si="805"/>
        <v>37500</v>
      </c>
      <c r="D10656" t="s">
        <v>1652</v>
      </c>
      <c r="E10656" s="3">
        <v>14.3</v>
      </c>
      <c r="F10656">
        <v>20160615</v>
      </c>
      <c r="G10656" t="s">
        <v>8339</v>
      </c>
      <c r="H10656" t="s">
        <v>8520</v>
      </c>
      <c r="I10656">
        <v>0</v>
      </c>
      <c r="J10656" t="s">
        <v>8323</v>
      </c>
      <c r="K10656" t="s">
        <v>95</v>
      </c>
      <c r="L10656" t="s">
        <v>285</v>
      </c>
      <c r="M10656" t="str">
        <f t="shared" si="803"/>
        <v>06</v>
      </c>
      <c r="N10656" t="s">
        <v>12</v>
      </c>
    </row>
    <row r="10657" spans="1:14" x14ac:dyDescent="0.25">
      <c r="A10657">
        <v>20160617</v>
      </c>
      <c r="B10657" t="str">
        <f t="shared" si="804"/>
        <v>063884</v>
      </c>
      <c r="C10657" t="str">
        <f t="shared" si="805"/>
        <v>37500</v>
      </c>
      <c r="D10657" t="s">
        <v>1652</v>
      </c>
      <c r="E10657" s="3">
        <v>189.06</v>
      </c>
      <c r="F10657">
        <v>20160615</v>
      </c>
      <c r="G10657" t="s">
        <v>8339</v>
      </c>
      <c r="H10657" t="s">
        <v>7822</v>
      </c>
      <c r="I10657">
        <v>0</v>
      </c>
      <c r="J10657" t="s">
        <v>8323</v>
      </c>
      <c r="K10657" t="s">
        <v>95</v>
      </c>
      <c r="L10657" t="s">
        <v>285</v>
      </c>
      <c r="M10657" t="str">
        <f t="shared" si="803"/>
        <v>06</v>
      </c>
      <c r="N10657" t="s">
        <v>12</v>
      </c>
    </row>
    <row r="10658" spans="1:14" x14ac:dyDescent="0.25">
      <c r="A10658">
        <v>20160617</v>
      </c>
      <c r="B10658" t="str">
        <f>"063902"</f>
        <v>063902</v>
      </c>
      <c r="C10658" t="str">
        <f>"58202"</f>
        <v>58202</v>
      </c>
      <c r="D10658" t="s">
        <v>2695</v>
      </c>
      <c r="E10658" s="3">
        <v>174</v>
      </c>
      <c r="F10658">
        <v>20160615</v>
      </c>
      <c r="G10658" t="s">
        <v>8512</v>
      </c>
      <c r="H10658" t="s">
        <v>8521</v>
      </c>
      <c r="I10658">
        <v>0</v>
      </c>
      <c r="J10658" t="s">
        <v>8323</v>
      </c>
      <c r="K10658" t="s">
        <v>95</v>
      </c>
      <c r="L10658" t="s">
        <v>285</v>
      </c>
      <c r="M10658" t="str">
        <f t="shared" si="803"/>
        <v>06</v>
      </c>
      <c r="N10658" t="s">
        <v>12</v>
      </c>
    </row>
    <row r="10659" spans="1:14" x14ac:dyDescent="0.25">
      <c r="A10659">
        <v>20160617</v>
      </c>
      <c r="B10659" t="str">
        <f>"063902"</f>
        <v>063902</v>
      </c>
      <c r="C10659" t="str">
        <f>"58202"</f>
        <v>58202</v>
      </c>
      <c r="D10659" t="s">
        <v>2695</v>
      </c>
      <c r="E10659" s="3">
        <v>90</v>
      </c>
      <c r="F10659">
        <v>20160615</v>
      </c>
      <c r="G10659" t="s">
        <v>8512</v>
      </c>
      <c r="H10659" t="s">
        <v>4790</v>
      </c>
      <c r="I10659">
        <v>0</v>
      </c>
      <c r="J10659" t="s">
        <v>8323</v>
      </c>
      <c r="K10659" t="s">
        <v>95</v>
      </c>
      <c r="L10659" t="s">
        <v>285</v>
      </c>
      <c r="M10659" t="str">
        <f t="shared" si="803"/>
        <v>06</v>
      </c>
      <c r="N10659" t="s">
        <v>12</v>
      </c>
    </row>
    <row r="10660" spans="1:14" x14ac:dyDescent="0.25">
      <c r="A10660">
        <v>20160617</v>
      </c>
      <c r="B10660" t="str">
        <f>"063902"</f>
        <v>063902</v>
      </c>
      <c r="C10660" t="str">
        <f>"58202"</f>
        <v>58202</v>
      </c>
      <c r="D10660" t="s">
        <v>2695</v>
      </c>
      <c r="E10660" s="3">
        <v>140</v>
      </c>
      <c r="F10660">
        <v>20160615</v>
      </c>
      <c r="G10660" t="s">
        <v>8334</v>
      </c>
      <c r="H10660" t="s">
        <v>8522</v>
      </c>
      <c r="I10660">
        <v>0</v>
      </c>
      <c r="J10660" t="s">
        <v>8323</v>
      </c>
      <c r="K10660" t="s">
        <v>95</v>
      </c>
      <c r="L10660" t="s">
        <v>285</v>
      </c>
      <c r="M10660" t="str">
        <f t="shared" si="803"/>
        <v>06</v>
      </c>
      <c r="N10660" t="s">
        <v>12</v>
      </c>
    </row>
    <row r="10661" spans="1:14" x14ac:dyDescent="0.25">
      <c r="A10661">
        <v>20160617</v>
      </c>
      <c r="B10661" t="str">
        <f>"063914"</f>
        <v>063914</v>
      </c>
      <c r="C10661" t="str">
        <f>"65106"</f>
        <v>65106</v>
      </c>
      <c r="D10661" t="s">
        <v>1568</v>
      </c>
      <c r="E10661" s="3">
        <v>126.97</v>
      </c>
      <c r="F10661">
        <v>20160616</v>
      </c>
      <c r="G10661" t="s">
        <v>8321</v>
      </c>
      <c r="H10661" t="s">
        <v>2169</v>
      </c>
      <c r="I10661">
        <v>0</v>
      </c>
      <c r="J10661" t="s">
        <v>8323</v>
      </c>
      <c r="K10661" t="s">
        <v>290</v>
      </c>
      <c r="L10661" t="s">
        <v>285</v>
      </c>
      <c r="M10661" t="str">
        <f t="shared" si="803"/>
        <v>06</v>
      </c>
      <c r="N10661" t="s">
        <v>12</v>
      </c>
    </row>
    <row r="10662" spans="1:14" x14ac:dyDescent="0.25">
      <c r="A10662">
        <v>20160623</v>
      </c>
      <c r="B10662" t="str">
        <f>"063937"</f>
        <v>063937</v>
      </c>
      <c r="C10662" t="str">
        <f>"09170"</f>
        <v>09170</v>
      </c>
      <c r="D10662" t="s">
        <v>596</v>
      </c>
      <c r="E10662" s="3">
        <v>94.49</v>
      </c>
      <c r="F10662">
        <v>20160622</v>
      </c>
      <c r="G10662" t="s">
        <v>8321</v>
      </c>
      <c r="H10662" t="s">
        <v>2752</v>
      </c>
      <c r="I10662">
        <v>0</v>
      </c>
      <c r="J10662" t="s">
        <v>8323</v>
      </c>
      <c r="K10662" t="s">
        <v>290</v>
      </c>
      <c r="L10662" t="s">
        <v>285</v>
      </c>
      <c r="M10662" t="str">
        <f t="shared" si="803"/>
        <v>06</v>
      </c>
      <c r="N10662" t="s">
        <v>12</v>
      </c>
    </row>
    <row r="10663" spans="1:14" x14ac:dyDescent="0.25">
      <c r="A10663">
        <v>20160623</v>
      </c>
      <c r="B10663" t="str">
        <f>"063998"</f>
        <v>063998</v>
      </c>
      <c r="C10663" t="str">
        <f>"70242"</f>
        <v>70242</v>
      </c>
      <c r="D10663" t="s">
        <v>5782</v>
      </c>
      <c r="E10663" s="3">
        <v>71.75</v>
      </c>
      <c r="F10663">
        <v>20160622</v>
      </c>
      <c r="G10663" t="s">
        <v>8371</v>
      </c>
      <c r="H10663" t="s">
        <v>5784</v>
      </c>
      <c r="I10663">
        <v>0</v>
      </c>
      <c r="J10663" t="s">
        <v>8323</v>
      </c>
      <c r="K10663" t="s">
        <v>290</v>
      </c>
      <c r="L10663" t="s">
        <v>285</v>
      </c>
      <c r="M10663" t="str">
        <f t="shared" si="803"/>
        <v>06</v>
      </c>
      <c r="N10663" t="s">
        <v>12</v>
      </c>
    </row>
    <row r="10664" spans="1:14" x14ac:dyDescent="0.25">
      <c r="A10664">
        <v>20160623</v>
      </c>
      <c r="B10664" t="str">
        <f>"063998"</f>
        <v>063998</v>
      </c>
      <c r="C10664" t="str">
        <f>"70242"</f>
        <v>70242</v>
      </c>
      <c r="D10664" t="s">
        <v>5782</v>
      </c>
      <c r="E10664" s="3">
        <v>88</v>
      </c>
      <c r="F10664">
        <v>20160622</v>
      </c>
      <c r="G10664" t="s">
        <v>8368</v>
      </c>
      <c r="H10664" t="s">
        <v>5784</v>
      </c>
      <c r="I10664">
        <v>0</v>
      </c>
      <c r="J10664" t="s">
        <v>8323</v>
      </c>
      <c r="K10664" t="s">
        <v>290</v>
      </c>
      <c r="L10664" t="s">
        <v>285</v>
      </c>
      <c r="M10664" t="str">
        <f t="shared" si="803"/>
        <v>06</v>
      </c>
      <c r="N10664" t="s">
        <v>12</v>
      </c>
    </row>
    <row r="10665" spans="1:14" x14ac:dyDescent="0.25">
      <c r="A10665">
        <v>20160623</v>
      </c>
      <c r="B10665" t="str">
        <f>"063998"</f>
        <v>063998</v>
      </c>
      <c r="C10665" t="str">
        <f>"70242"</f>
        <v>70242</v>
      </c>
      <c r="D10665" t="s">
        <v>5782</v>
      </c>
      <c r="E10665" s="3">
        <v>50</v>
      </c>
      <c r="F10665">
        <v>20160622</v>
      </c>
      <c r="G10665" t="s">
        <v>8446</v>
      </c>
      <c r="H10665" t="s">
        <v>5784</v>
      </c>
      <c r="I10665">
        <v>0</v>
      </c>
      <c r="J10665" t="s">
        <v>8323</v>
      </c>
      <c r="K10665" t="s">
        <v>290</v>
      </c>
      <c r="L10665" t="s">
        <v>285</v>
      </c>
      <c r="M10665" t="str">
        <f t="shared" si="803"/>
        <v>06</v>
      </c>
      <c r="N10665" t="s">
        <v>12</v>
      </c>
    </row>
    <row r="10666" spans="1:14" x14ac:dyDescent="0.25">
      <c r="A10666">
        <v>20160623</v>
      </c>
      <c r="B10666" t="str">
        <f>"063998"</f>
        <v>063998</v>
      </c>
      <c r="C10666" t="str">
        <f>"70242"</f>
        <v>70242</v>
      </c>
      <c r="D10666" t="s">
        <v>5782</v>
      </c>
      <c r="E10666" s="3">
        <v>358.75</v>
      </c>
      <c r="F10666">
        <v>20160622</v>
      </c>
      <c r="G10666" t="s">
        <v>8356</v>
      </c>
      <c r="H10666" t="s">
        <v>5784</v>
      </c>
      <c r="I10666">
        <v>0</v>
      </c>
      <c r="J10666" t="s">
        <v>8323</v>
      </c>
      <c r="K10666" t="s">
        <v>290</v>
      </c>
      <c r="L10666" t="s">
        <v>285</v>
      </c>
      <c r="M10666" t="str">
        <f t="shared" si="803"/>
        <v>06</v>
      </c>
      <c r="N10666" t="s">
        <v>12</v>
      </c>
    </row>
    <row r="10667" spans="1:14" x14ac:dyDescent="0.25">
      <c r="A10667">
        <v>20160623</v>
      </c>
      <c r="B10667" t="str">
        <f>"063998"</f>
        <v>063998</v>
      </c>
      <c r="C10667" t="str">
        <f>"70242"</f>
        <v>70242</v>
      </c>
      <c r="D10667" t="s">
        <v>5782</v>
      </c>
      <c r="E10667" s="3">
        <v>133.25</v>
      </c>
      <c r="F10667">
        <v>20160622</v>
      </c>
      <c r="G10667" t="s">
        <v>8346</v>
      </c>
      <c r="H10667" t="s">
        <v>5784</v>
      </c>
      <c r="I10667">
        <v>0</v>
      </c>
      <c r="J10667" t="s">
        <v>8323</v>
      </c>
      <c r="K10667" t="s">
        <v>290</v>
      </c>
      <c r="L10667" t="s">
        <v>285</v>
      </c>
      <c r="M10667" t="str">
        <f t="shared" si="803"/>
        <v>06</v>
      </c>
      <c r="N10667" t="s">
        <v>12</v>
      </c>
    </row>
    <row r="10668" spans="1:14" x14ac:dyDescent="0.25">
      <c r="A10668">
        <v>20160623</v>
      </c>
      <c r="B10668" t="str">
        <f>"064005"</f>
        <v>064005</v>
      </c>
      <c r="C10668" t="str">
        <f>"78430"</f>
        <v>78430</v>
      </c>
      <c r="D10668" t="s">
        <v>721</v>
      </c>
      <c r="E10668" s="3">
        <v>837.5</v>
      </c>
      <c r="F10668">
        <v>20160623</v>
      </c>
      <c r="G10668" t="s">
        <v>8344</v>
      </c>
      <c r="H10668" t="s">
        <v>1428</v>
      </c>
      <c r="I10668">
        <v>0</v>
      </c>
      <c r="J10668" t="s">
        <v>8323</v>
      </c>
      <c r="K10668" t="s">
        <v>290</v>
      </c>
      <c r="L10668" t="s">
        <v>285</v>
      </c>
      <c r="M10668" t="str">
        <f t="shared" si="803"/>
        <v>06</v>
      </c>
      <c r="N10668" t="s">
        <v>12</v>
      </c>
    </row>
    <row r="10669" spans="1:14" x14ac:dyDescent="0.25">
      <c r="A10669">
        <v>20160715</v>
      </c>
      <c r="B10669" t="str">
        <f>"064064"</f>
        <v>064064</v>
      </c>
      <c r="C10669" t="str">
        <f>"57791"</f>
        <v>57791</v>
      </c>
      <c r="D10669" t="s">
        <v>1878</v>
      </c>
      <c r="E10669" s="3">
        <v>341.68</v>
      </c>
      <c r="F10669">
        <v>20160714</v>
      </c>
      <c r="G10669" t="s">
        <v>8328</v>
      </c>
      <c r="H10669" t="s">
        <v>2125</v>
      </c>
      <c r="I10669">
        <v>0</v>
      </c>
      <c r="J10669" t="s">
        <v>8323</v>
      </c>
      <c r="K10669" t="s">
        <v>95</v>
      </c>
      <c r="L10669" t="s">
        <v>285</v>
      </c>
      <c r="M10669" t="str">
        <f>"07"</f>
        <v>07</v>
      </c>
      <c r="N10669" t="s">
        <v>12</v>
      </c>
    </row>
    <row r="10670" spans="1:14" x14ac:dyDescent="0.25">
      <c r="A10670">
        <v>20160715</v>
      </c>
      <c r="B10670" t="str">
        <f>"064064"</f>
        <v>064064</v>
      </c>
      <c r="C10670" t="str">
        <f>"57791"</f>
        <v>57791</v>
      </c>
      <c r="D10670" t="s">
        <v>1878</v>
      </c>
      <c r="E10670" s="3">
        <v>48.75</v>
      </c>
      <c r="F10670">
        <v>20160714</v>
      </c>
      <c r="G10670" t="s">
        <v>8328</v>
      </c>
      <c r="H10670" t="s">
        <v>8523</v>
      </c>
      <c r="I10670">
        <v>0</v>
      </c>
      <c r="J10670" t="s">
        <v>8323</v>
      </c>
      <c r="K10670" t="s">
        <v>95</v>
      </c>
      <c r="L10670" t="s">
        <v>285</v>
      </c>
      <c r="M10670" t="str">
        <f>"07"</f>
        <v>07</v>
      </c>
      <c r="N10670" t="s">
        <v>12</v>
      </c>
    </row>
    <row r="10671" spans="1:14" x14ac:dyDescent="0.25">
      <c r="A10671">
        <v>20160715</v>
      </c>
      <c r="B10671" t="str">
        <f>"064071"</f>
        <v>064071</v>
      </c>
      <c r="C10671" t="str">
        <f>"48310"</f>
        <v>48310</v>
      </c>
      <c r="D10671" t="s">
        <v>8471</v>
      </c>
      <c r="E10671" s="3">
        <v>1658</v>
      </c>
      <c r="F10671">
        <v>20160713</v>
      </c>
      <c r="G10671" t="s">
        <v>8487</v>
      </c>
      <c r="H10671" t="s">
        <v>8524</v>
      </c>
      <c r="I10671">
        <v>0</v>
      </c>
      <c r="J10671" t="s">
        <v>8323</v>
      </c>
      <c r="K10671" t="s">
        <v>290</v>
      </c>
      <c r="L10671" t="s">
        <v>285</v>
      </c>
      <c r="M10671" t="str">
        <f>"07"</f>
        <v>07</v>
      </c>
      <c r="N10671" t="s">
        <v>12</v>
      </c>
    </row>
    <row r="10672" spans="1:14" x14ac:dyDescent="0.25">
      <c r="A10672">
        <v>20160729</v>
      </c>
      <c r="B10672" t="str">
        <f>"064240"</f>
        <v>064240</v>
      </c>
      <c r="C10672" t="str">
        <f>"78311"</f>
        <v>78311</v>
      </c>
      <c r="D10672" t="s">
        <v>458</v>
      </c>
      <c r="E10672" s="3">
        <v>65.12</v>
      </c>
      <c r="F10672">
        <v>20160728</v>
      </c>
      <c r="G10672" t="s">
        <v>8344</v>
      </c>
      <c r="H10672" t="s">
        <v>1399</v>
      </c>
      <c r="I10672">
        <v>0</v>
      </c>
      <c r="J10672" t="s">
        <v>8323</v>
      </c>
      <c r="K10672" t="s">
        <v>290</v>
      </c>
      <c r="L10672" t="s">
        <v>285</v>
      </c>
      <c r="M10672" t="str">
        <f>"07"</f>
        <v>07</v>
      </c>
      <c r="N10672" t="s">
        <v>12</v>
      </c>
    </row>
    <row r="10673" spans="1:14" x14ac:dyDescent="0.25">
      <c r="A10673">
        <v>20160729</v>
      </c>
      <c r="B10673" t="str">
        <f>"064245"</f>
        <v>064245</v>
      </c>
      <c r="C10673" t="str">
        <f>"83022"</f>
        <v>83022</v>
      </c>
      <c r="D10673" t="s">
        <v>394</v>
      </c>
      <c r="E10673" s="3">
        <v>126</v>
      </c>
      <c r="F10673">
        <v>20160728</v>
      </c>
      <c r="G10673" t="s">
        <v>8342</v>
      </c>
      <c r="H10673" t="s">
        <v>8525</v>
      </c>
      <c r="I10673">
        <v>0</v>
      </c>
      <c r="J10673" t="s">
        <v>8323</v>
      </c>
      <c r="K10673" t="s">
        <v>1643</v>
      </c>
      <c r="L10673" t="s">
        <v>285</v>
      </c>
      <c r="M10673" t="str">
        <f>"07"</f>
        <v>07</v>
      </c>
      <c r="N10673" t="s">
        <v>12</v>
      </c>
    </row>
    <row r="10674" spans="1:14" x14ac:dyDescent="0.25">
      <c r="A10674">
        <v>20160805</v>
      </c>
      <c r="B10674" t="str">
        <f>"064270"</f>
        <v>064270</v>
      </c>
      <c r="C10674" t="str">
        <f>"23754"</f>
        <v>23754</v>
      </c>
      <c r="D10674" t="s">
        <v>794</v>
      </c>
      <c r="E10674" s="3">
        <v>104.19</v>
      </c>
      <c r="F10674">
        <v>20160804</v>
      </c>
      <c r="G10674" t="s">
        <v>8436</v>
      </c>
      <c r="H10674" t="s">
        <v>8526</v>
      </c>
      <c r="I10674">
        <v>0</v>
      </c>
      <c r="J10674" t="s">
        <v>8323</v>
      </c>
      <c r="K10674" t="s">
        <v>95</v>
      </c>
      <c r="L10674" t="s">
        <v>285</v>
      </c>
      <c r="M10674" t="str">
        <f t="shared" ref="M10674:M10683" si="806">"08"</f>
        <v>08</v>
      </c>
      <c r="N10674" t="s">
        <v>12</v>
      </c>
    </row>
    <row r="10675" spans="1:14" x14ac:dyDescent="0.25">
      <c r="A10675">
        <v>20160805</v>
      </c>
      <c r="B10675" t="str">
        <f>"064291"</f>
        <v>064291</v>
      </c>
      <c r="C10675" t="str">
        <f>"43449"</f>
        <v>43449</v>
      </c>
      <c r="D10675" t="s">
        <v>7723</v>
      </c>
      <c r="E10675" s="3">
        <v>595.38</v>
      </c>
      <c r="F10675">
        <v>20160804</v>
      </c>
      <c r="G10675" t="s">
        <v>8339</v>
      </c>
      <c r="H10675" t="s">
        <v>8527</v>
      </c>
      <c r="I10675">
        <v>0</v>
      </c>
      <c r="J10675" t="s">
        <v>8323</v>
      </c>
      <c r="K10675" t="s">
        <v>95</v>
      </c>
      <c r="L10675" t="s">
        <v>285</v>
      </c>
      <c r="M10675" t="str">
        <f t="shared" si="806"/>
        <v>08</v>
      </c>
      <c r="N10675" t="s">
        <v>12</v>
      </c>
    </row>
    <row r="10676" spans="1:14" x14ac:dyDescent="0.25">
      <c r="A10676">
        <v>20160805</v>
      </c>
      <c r="B10676" t="str">
        <f>"064314"</f>
        <v>064314</v>
      </c>
      <c r="C10676" t="str">
        <f>"69020"</f>
        <v>69020</v>
      </c>
      <c r="D10676" t="s">
        <v>8464</v>
      </c>
      <c r="E10676" s="3">
        <v>6028.66</v>
      </c>
      <c r="F10676">
        <v>20160804</v>
      </c>
      <c r="G10676" t="s">
        <v>8334</v>
      </c>
      <c r="H10676" t="s">
        <v>8528</v>
      </c>
      <c r="I10676">
        <v>0</v>
      </c>
      <c r="J10676" t="s">
        <v>8323</v>
      </c>
      <c r="K10676" t="s">
        <v>95</v>
      </c>
      <c r="L10676" t="s">
        <v>285</v>
      </c>
      <c r="M10676" t="str">
        <f t="shared" si="806"/>
        <v>08</v>
      </c>
      <c r="N10676" t="s">
        <v>12</v>
      </c>
    </row>
    <row r="10677" spans="1:14" x14ac:dyDescent="0.25">
      <c r="A10677">
        <v>20160805</v>
      </c>
      <c r="B10677" t="str">
        <f>"064314"</f>
        <v>064314</v>
      </c>
      <c r="C10677" t="str">
        <f>"69020"</f>
        <v>69020</v>
      </c>
      <c r="D10677" t="s">
        <v>8464</v>
      </c>
      <c r="E10677" s="3">
        <v>5570.4</v>
      </c>
      <c r="F10677">
        <v>20160804</v>
      </c>
      <c r="G10677" t="s">
        <v>8334</v>
      </c>
      <c r="H10677" t="s">
        <v>8529</v>
      </c>
      <c r="I10677">
        <v>0</v>
      </c>
      <c r="J10677" t="s">
        <v>8323</v>
      </c>
      <c r="K10677" t="s">
        <v>95</v>
      </c>
      <c r="L10677" t="s">
        <v>285</v>
      </c>
      <c r="M10677" t="str">
        <f t="shared" si="806"/>
        <v>08</v>
      </c>
      <c r="N10677" t="s">
        <v>12</v>
      </c>
    </row>
    <row r="10678" spans="1:14" x14ac:dyDescent="0.25">
      <c r="A10678">
        <v>20160819</v>
      </c>
      <c r="B10678" t="str">
        <f>"064406"</f>
        <v>064406</v>
      </c>
      <c r="C10678" t="str">
        <f>"08788"</f>
        <v>08788</v>
      </c>
      <c r="D10678" t="s">
        <v>302</v>
      </c>
      <c r="E10678" s="3">
        <v>128.4</v>
      </c>
      <c r="F10678">
        <v>20160817</v>
      </c>
      <c r="G10678" t="s">
        <v>8344</v>
      </c>
      <c r="H10678" t="s">
        <v>1262</v>
      </c>
      <c r="I10678">
        <v>0</v>
      </c>
      <c r="J10678" t="s">
        <v>8323</v>
      </c>
      <c r="K10678" t="s">
        <v>290</v>
      </c>
      <c r="L10678" t="s">
        <v>285</v>
      </c>
      <c r="M10678" t="str">
        <f t="shared" si="806"/>
        <v>08</v>
      </c>
      <c r="N10678" t="s">
        <v>12</v>
      </c>
    </row>
    <row r="10679" spans="1:14" x14ac:dyDescent="0.25">
      <c r="A10679">
        <v>20160819</v>
      </c>
      <c r="B10679" t="str">
        <f>"064443"</f>
        <v>064443</v>
      </c>
      <c r="C10679" t="str">
        <f>"50453"</f>
        <v>50453</v>
      </c>
      <c r="D10679" t="s">
        <v>1577</v>
      </c>
      <c r="E10679" s="3">
        <v>191.76</v>
      </c>
      <c r="F10679">
        <v>20160818</v>
      </c>
      <c r="G10679" t="s">
        <v>8337</v>
      </c>
      <c r="H10679" t="s">
        <v>8530</v>
      </c>
      <c r="I10679">
        <v>0</v>
      </c>
      <c r="J10679" t="s">
        <v>8323</v>
      </c>
      <c r="K10679" t="s">
        <v>1558</v>
      </c>
      <c r="L10679" t="s">
        <v>285</v>
      </c>
      <c r="M10679" t="str">
        <f t="shared" si="806"/>
        <v>08</v>
      </c>
      <c r="N10679" t="s">
        <v>12</v>
      </c>
    </row>
    <row r="10680" spans="1:14" x14ac:dyDescent="0.25">
      <c r="A10680">
        <v>20160819</v>
      </c>
      <c r="B10680" t="str">
        <f>"064453"</f>
        <v>064453</v>
      </c>
      <c r="C10680" t="str">
        <f>"58204"</f>
        <v>58204</v>
      </c>
      <c r="D10680" t="s">
        <v>1816</v>
      </c>
      <c r="E10680" s="3">
        <v>31.95</v>
      </c>
      <c r="F10680">
        <v>20160818</v>
      </c>
      <c r="G10680" t="s">
        <v>8340</v>
      </c>
      <c r="H10680" t="s">
        <v>8531</v>
      </c>
      <c r="I10680">
        <v>0</v>
      </c>
      <c r="J10680" t="s">
        <v>8323</v>
      </c>
      <c r="K10680" t="s">
        <v>290</v>
      </c>
      <c r="L10680" t="s">
        <v>285</v>
      </c>
      <c r="M10680" t="str">
        <f t="shared" si="806"/>
        <v>08</v>
      </c>
      <c r="N10680" t="s">
        <v>12</v>
      </c>
    </row>
    <row r="10681" spans="1:14" x14ac:dyDescent="0.25">
      <c r="A10681">
        <v>20160819</v>
      </c>
      <c r="B10681" t="str">
        <f>"064455"</f>
        <v>064455</v>
      </c>
      <c r="C10681" t="str">
        <f>"58202"</f>
        <v>58202</v>
      </c>
      <c r="D10681" t="s">
        <v>2695</v>
      </c>
      <c r="E10681" s="3">
        <v>26.45</v>
      </c>
      <c r="F10681">
        <v>20160818</v>
      </c>
      <c r="G10681" t="s">
        <v>8328</v>
      </c>
      <c r="H10681" t="s">
        <v>2125</v>
      </c>
      <c r="I10681">
        <v>0</v>
      </c>
      <c r="J10681" t="s">
        <v>8323</v>
      </c>
      <c r="K10681" t="s">
        <v>95</v>
      </c>
      <c r="L10681" t="s">
        <v>285</v>
      </c>
      <c r="M10681" t="str">
        <f t="shared" si="806"/>
        <v>08</v>
      </c>
      <c r="N10681" t="s">
        <v>12</v>
      </c>
    </row>
    <row r="10682" spans="1:14" x14ac:dyDescent="0.25">
      <c r="A10682">
        <v>20160826</v>
      </c>
      <c r="B10682" t="str">
        <f>"064496"</f>
        <v>064496</v>
      </c>
      <c r="C10682" t="str">
        <f>"08788"</f>
        <v>08788</v>
      </c>
      <c r="D10682" t="s">
        <v>302</v>
      </c>
      <c r="E10682" s="3">
        <v>150.88</v>
      </c>
      <c r="F10682">
        <v>20160824</v>
      </c>
      <c r="G10682" t="s">
        <v>8344</v>
      </c>
      <c r="H10682" t="s">
        <v>8532</v>
      </c>
      <c r="I10682">
        <v>0</v>
      </c>
      <c r="J10682" t="s">
        <v>8323</v>
      </c>
      <c r="K10682" t="s">
        <v>290</v>
      </c>
      <c r="L10682" t="s">
        <v>285</v>
      </c>
      <c r="M10682" t="str">
        <f t="shared" si="806"/>
        <v>08</v>
      </c>
      <c r="N10682" t="s">
        <v>12</v>
      </c>
    </row>
    <row r="10683" spans="1:14" x14ac:dyDescent="0.25">
      <c r="A10683">
        <v>20160826</v>
      </c>
      <c r="B10683" t="str">
        <f>"064585"</f>
        <v>064585</v>
      </c>
      <c r="C10683" t="str">
        <f>"82381"</f>
        <v>82381</v>
      </c>
      <c r="D10683" t="s">
        <v>5608</v>
      </c>
      <c r="E10683" s="3">
        <v>589</v>
      </c>
      <c r="F10683">
        <v>20160825</v>
      </c>
      <c r="G10683" t="s">
        <v>8472</v>
      </c>
      <c r="H10683" t="s">
        <v>8533</v>
      </c>
      <c r="I10683">
        <v>0</v>
      </c>
      <c r="J10683" t="s">
        <v>8323</v>
      </c>
      <c r="K10683" t="s">
        <v>95</v>
      </c>
      <c r="L10683" t="s">
        <v>285</v>
      </c>
      <c r="M10683" t="str">
        <f t="shared" si="806"/>
        <v>08</v>
      </c>
      <c r="N1068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DFin1800YtdCheckReg_csv_2018-08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Vanessa</dc:creator>
  <cp:lastModifiedBy>Vanessa Riggs</cp:lastModifiedBy>
  <dcterms:created xsi:type="dcterms:W3CDTF">2018-08-27T23:19:37Z</dcterms:created>
  <dcterms:modified xsi:type="dcterms:W3CDTF">2018-08-27T23:19:38Z</dcterms:modified>
</cp:coreProperties>
</file>